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<sst xmlns="http://schemas.openxmlformats.org/spreadsheetml/2006/main" count="132" uniqueCount="52">
  <si>
    <t>Fine-Structure Energy Levels for  O VIII</t>
  </si>
  <si>
    <t>S2</t>
  </si>
  <si>
    <t>S11</t>
  </si>
  <si>
    <t>S38</t>
  </si>
  <si>
    <t>S30</t>
  </si>
  <si>
    <t>S13</t>
  </si>
  <si>
    <t>Z</t>
  </si>
  <si>
    <t>N</t>
  </si>
  <si>
    <t>ilev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</si>
  <si>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</si>
  <si>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</si>
  <si>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</si>
  <si>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</si>
  <si>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</si>
  <si>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</si>
  <si>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</si>
  <si>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</si>
  <si>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</si>
  <si>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</si>
  <si>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</si>
  <si>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</si>
  <si>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</si>
  <si>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</si>
  <si>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</si>
  <si>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</si>
  <si>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</si>
  <si>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</si>
  <si>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</si>
  <si>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</si>
  <si>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</si>
  <si>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</si>
  <si>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</si>
  <si>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</si>
  <si>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</si>
  <si>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</si>
  <si>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</si>
  <si>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</si>
  <si>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A-values for fine-structure transitions in O VIII</t>
  </si>
  <si>
    <t>S18</t>
  </si>
  <si>
    <t>S12</t>
  </si>
  <si>
    <t>S20</t>
  </si>
  <si>
    <t>k</t>
  </si>
  <si>
    <t>i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</si>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</sst>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3.7109375" customWidth="1"/>
    <col min="11" max="11" width="13.7109375" customWidth="1"/>
    <col min="12" max="12" width="13.7109375" customWidth="1"/>
    <col min="13" max="13" width="14.7109375" customWidth="1"/>
    <col min="14" max="14" width="14.7109375" customWidth="1"/>
    <col min="15" max="15" width="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M2" s="2" t="s">
        <v>4</v>
      </c>
      <c r="N2" s="2" t="s">
        <v>4</v>
      </c>
      <c r="O2" s="2" t="s">
        <v>5</v>
      </c>
    </row>
    <row r="3" spans="1: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16</v>
      </c>
    </row>
    <row r="4" spans="1:15">
      <c r="A4" s="3">
        <v>8</v>
      </c>
      <c r="B4" s="3">
        <v>1</v>
      </c>
      <c r="C4" s="3">
        <v>1</v>
      </c>
      <c r="D4" s="3" t="s">
        <v>17</v>
      </c>
      <c r="E4" s="3" t="s">
        <v>18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HYPERLINK("http://141.218.60.56/~jnz1568/getInfo.php?workbook=08_01.xlsx&amp;sheet=E0&amp;row=4&amp;col=10&amp;number=0&amp;sourceID=2","0")</f>
        <v>0</v>
      </c>
      <c r="K4" s="4" t="str">
        <f>HYPERLINK("http://141.218.60.56/~jnz1568/getInfo.php?workbook=08_01.xlsx&amp;sheet=E0&amp;row=4&amp;col=11&amp;number=0&amp;sourceID=11","0")</f>
        <v>0</v>
      </c>
      <c r="L4" s="4" t="str">
        <f>HYPERLINK("http://141.218.60.56/~jnz1568/getInfo.php?workbook=08_01.xlsx&amp;sheet=E0&amp;row=4&amp;col=12&amp;number=0&amp;sourceID=38","0")</f>
        <v>0</v>
      </c>
      <c r="M4" s="4" t="str">
        <f>HYPERLINK("http://141.218.60.56/~jnz1568/getInfo.php?workbook=08_01.xlsx&amp;sheet=E0&amp;row=4&amp;col=13&amp;number=0&amp;sourceID=30","0")</f>
        <v>0</v>
      </c>
      <c r="N4" s="4" t="str">
        <f>HYPERLINK("http://141.218.60.56/~jnz1568/getInfo.php?workbook=08_01.xlsx&amp;sheet=E0&amp;row=4&amp;col=14&amp;number=0&amp;sourceID=30","0")</f>
        <v>0</v>
      </c>
      <c r="O4" s="4" t="str">
        <f>HYPERLINK("http://141.218.60.56/~jnz1568/getInfo.php?workbook=08_01.xlsx&amp;sheet=E0&amp;row=4&amp;col=15&amp;number=0&amp;sourceID=13","0")</f>
        <v>0</v>
      </c>
    </row>
    <row r="5" spans="1:15">
      <c r="A5" s="3">
        <v>8</v>
      </c>
      <c r="B5" s="3">
        <v>1</v>
      </c>
      <c r="C5" s="3">
        <f>+C4+1</f>
        <v>0</v>
      </c>
      <c r="D5" s="3" t="s">
        <v>19</v>
      </c>
      <c r="E5" s="3" t="s">
        <v>20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HYPERLINK("http://141.218.60.56/~jnz1568/getInfo.php?workbook=08_01.xlsx&amp;sheet=E0&amp;row=5&amp;col=10&amp;number=5270781.85&amp;sourceID=2","5270781.85")</f>
        <v>5270781.85</v>
      </c>
      <c r="K5" s="4" t="str">
        <f>HYPERLINK("http://141.218.60.56/~jnz1568/getInfo.php?workbook=08_01.xlsx&amp;sheet=E0&amp;row=5&amp;col=11&amp;number=5271331.1142&amp;sourceID=11","5271331.1142")</f>
        <v>5271331.1142</v>
      </c>
      <c r="L5" s="4" t="str">
        <f>HYPERLINK("http://141.218.60.56/~jnz1568/getInfo.php?workbook=08_01.xlsx&amp;sheet=E0&amp;row=5&amp;col=12&amp;number=5270783.9417&amp;sourceID=38","5270783.9417")</f>
        <v>5270783.9417</v>
      </c>
      <c r="M5" s="4" t="str">
        <f>HYPERLINK("http://141.218.60.56/~jnz1568/getInfo.php?workbook=08_01.xlsx&amp;sheet=E0&amp;row=5&amp;col=13&amp;number=5271511.7891&amp;sourceID=30","5271511.7891")</f>
        <v>5271511.7891</v>
      </c>
      <c r="N5" s="4" t="str">
        <f>HYPERLINK("http://141.218.60.56/~jnz1568/getInfo.php?workbook=08_01.xlsx&amp;sheet=E0&amp;row=5&amp;col=14&amp;number=5270968.58939&amp;sourceID=30","5270968.58939")</f>
        <v>5270968.58939</v>
      </c>
      <c r="O5" s="4" t="str">
        <f>HYPERLINK("http://141.218.60.56/~jnz1568/getInfo.php?workbook=08_01.xlsx&amp;sheet=E0&amp;row=5&amp;col=15&amp;number=5271508&amp;sourceID=13","5271508")</f>
        <v>5271508</v>
      </c>
    </row>
    <row r="6" spans="1:15">
      <c r="A6" s="3">
        <v>8</v>
      </c>
      <c r="B6" s="3">
        <v>1</v>
      </c>
      <c r="C6" s="3">
        <f/>
        <v>0</v>
      </c>
      <c r="D6" s="3" t="s">
        <v>21</v>
      </c>
      <c r="E6" s="3" t="s">
        <v>18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HYPERLINK("http://141.218.60.56/~jnz1568/getInfo.php?workbook=08_01.xlsx&amp;sheet=E0&amp;row=6&amp;col=10&amp;number=5270855.39&amp;sourceID=2","5270855.39")</f>
        <v>5270855.39</v>
      </c>
      <c r="K6" s="4" t="str">
        <f>HYPERLINK("http://141.218.60.56/~jnz1568/getInfo.php?workbook=08_01.xlsx&amp;sheet=E0&amp;row=6&amp;col=11&amp;number=5271331.1142&amp;sourceID=11","5271331.1142")</f>
        <v>5271331.1142</v>
      </c>
      <c r="L6" s="4" t="str">
        <f>HYPERLINK("http://141.218.60.56/~jnz1568/getInfo.php?workbook=08_01.xlsx&amp;sheet=E0&amp;row=6&amp;col=12&amp;number=5270857.058&amp;sourceID=38","5270857.058")</f>
        <v>5270857.058</v>
      </c>
      <c r="M6" s="4" t="str">
        <f>HYPERLINK("http://141.218.60.56/~jnz1568/getInfo.php?workbook=08_01.xlsx&amp;sheet=E0&amp;row=6&amp;col=13&amp;number=5271511.7891&amp;sourceID=30","5271511.7891")</f>
        <v>5271511.7891</v>
      </c>
      <c r="N6" s="4" t="str">
        <f>HYPERLINK("http://141.218.60.56/~jnz1568/getInfo.php?workbook=08_01.xlsx&amp;sheet=E0&amp;row=6&amp;col=14&amp;number=5271041.01602&amp;sourceID=30","5271041.01602")</f>
        <v>5271041.01602</v>
      </c>
      <c r="O6" s="4" t="str">
        <f>HYPERLINK("http://141.218.60.56/~jnz1568/getInfo.php?workbook=08_01.xlsx&amp;sheet=E0&amp;row=6&amp;col=15&amp;number=5271511&amp;sourceID=13","5271511")</f>
        <v>5271511</v>
      </c>
    </row>
    <row r="7" spans="1:15">
      <c r="A7" s="3">
        <v>8</v>
      </c>
      <c r="B7" s="3">
        <v>1</v>
      </c>
      <c r="C7" s="3">
        <f/>
        <v>0</v>
      </c>
      <c r="D7" s="3" t="s">
        <v>19</v>
      </c>
      <c r="E7" s="3" t="s">
        <v>20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HYPERLINK("http://141.218.60.56/~jnz1568/getInfo.php?workbook=08_01.xlsx&amp;sheet=E0&amp;row=7&amp;col=10&amp;number=5272284.37&amp;sourceID=2","5272284.37")</f>
        <v>5272284.37</v>
      </c>
      <c r="K7" s="4" t="str">
        <f>HYPERLINK("http://141.218.60.56/~jnz1568/getInfo.php?workbook=08_01.xlsx&amp;sheet=E0&amp;row=7&amp;col=11&amp;number=5272830.2337&amp;sourceID=11","5272830.2337")</f>
        <v>5272830.2337</v>
      </c>
      <c r="L7" s="4" t="str">
        <f>HYPERLINK("http://141.218.60.56/~jnz1568/getInfo.php?workbook=08_01.xlsx&amp;sheet=E0&amp;row=7&amp;col=12&amp;number=5272286.503&amp;sourceID=38","5272286.503")</f>
        <v>5272286.503</v>
      </c>
      <c r="M7" s="4" t="str">
        <f>HYPERLINK("http://141.218.60.56/~jnz1568/getInfo.php?workbook=08_01.xlsx&amp;sheet=E0&amp;row=7&amp;col=13&amp;number=5273010.80083&amp;sourceID=30","5273010.80083")</f>
        <v>5273010.80083</v>
      </c>
      <c r="N7" s="4" t="str">
        <f>HYPERLINK("http://141.218.60.56/~jnz1568/getInfo.php?workbook=08_01.xlsx&amp;sheet=E0&amp;row=7&amp;col=14&amp;number=5272470.89324&amp;sourceID=30","5272470.89324")</f>
        <v>5272470.89324</v>
      </c>
      <c r="O7" s="4" t="str">
        <f>HYPERLINK("http://141.218.60.56/~jnz1568/getInfo.php?workbook=08_01.xlsx&amp;sheet=E0&amp;row=7&amp;col=15&amp;number=5273005&amp;sourceID=13","5273005")</f>
        <v>5273005</v>
      </c>
    </row>
    <row r="8" spans="1:15">
      <c r="A8" s="3">
        <v>8</v>
      </c>
      <c r="B8" s="3">
        <v>1</v>
      </c>
      <c r="C8" s="3">
        <f/>
        <v>0</v>
      </c>
      <c r="D8" s="3" t="s">
        <v>22</v>
      </c>
      <c r="E8" s="3" t="s">
        <v>20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HYPERLINK("http://141.218.60.56/~jnz1568/getInfo.php?workbook=08_01.xlsx&amp;sheet=E0&amp;row=8&amp;col=10&amp;number=6247399.742&amp;sourceID=2","6247399.742")</f>
        <v>6247399.742</v>
      </c>
      <c r="K8" s="4" t="str">
        <f>HYPERLINK("http://141.218.60.56/~jnz1568/getInfo.php?workbook=08_01.xlsx&amp;sheet=E0&amp;row=8&amp;col=11&amp;number=6247947.7825&amp;sourceID=11","6247947.7825")</f>
        <v>6247947.7825</v>
      </c>
      <c r="L8" s="4" t="str">
        <f>HYPERLINK("http://141.218.60.56/~jnz1568/getInfo.php?workbook=08_01.xlsx&amp;sheet=E0&amp;row=8&amp;col=12&amp;number=6247401.8831&amp;sourceID=38","6247401.8831")</f>
        <v>6247401.8831</v>
      </c>
      <c r="M8" s="4" t="str">
        <f>HYPERLINK("http://141.218.60.56/~jnz1568/getInfo.php?workbook=08_01.xlsx&amp;sheet=E0&amp;row=8&amp;col=13&amp;number=6248161.8276&amp;sourceID=30","6248161.8276")</f>
        <v>6248161.8276</v>
      </c>
      <c r="N8" s="4" t="str">
        <f>HYPERLINK("http://141.218.60.56/~jnz1568/getInfo.php?workbook=08_01.xlsx&amp;sheet=E0&amp;row=8&amp;col=14&amp;number=6247619.72526&amp;sourceID=30","6247619.72526")</f>
        <v>6247619.72526</v>
      </c>
      <c r="O8" s="4" t="str">
        <f>HYPERLINK("http://141.218.60.56/~jnz1568/getInfo.php?workbook=08_01.xlsx&amp;sheet=E0&amp;row=8&amp;col=15&amp;number=6248161&amp;sourceID=13","6248161")</f>
        <v>6248161</v>
      </c>
    </row>
    <row r="9" spans="1:15">
      <c r="A9" s="3">
        <v>8</v>
      </c>
      <c r="B9" s="3">
        <v>1</v>
      </c>
      <c r="C9" s="3">
        <f/>
        <v>0</v>
      </c>
      <c r="D9" s="3" t="s">
        <v>23</v>
      </c>
      <c r="E9" s="3" t="s">
        <v>18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HYPERLINK("http://141.218.60.56/~jnz1568/getInfo.php?workbook=08_01.xlsx&amp;sheet=E0&amp;row=9&amp;col=10&amp;number=6247421.72&amp;sourceID=2","6247421.72")</f>
        <v>6247421.72</v>
      </c>
      <c r="K9" s="4" t="str">
        <f>HYPERLINK("http://141.218.60.56/~jnz1568/getInfo.php?workbook=08_01.xlsx&amp;sheet=E0&amp;row=9&amp;col=11&amp;number=6247947.7825&amp;sourceID=11","6247947.7825")</f>
        <v>6247947.7825</v>
      </c>
      <c r="L9" s="4" t="str">
        <f>HYPERLINK("http://141.218.60.56/~jnz1568/getInfo.php?workbook=08_01.xlsx&amp;sheet=E0&amp;row=9&amp;col=12&amp;number=6247423.8611&amp;sourceID=38","6247423.8611")</f>
        <v>6247423.8611</v>
      </c>
      <c r="M9" s="4" t="str">
        <f>HYPERLINK("http://141.218.60.56/~jnz1568/getInfo.php?workbook=08_01.xlsx&amp;sheet=E0&amp;row=9&amp;col=13&amp;number=6248161.8276&amp;sourceID=30","6248161.8276")</f>
        <v>6248161.8276</v>
      </c>
      <c r="N9" s="4" t="str">
        <f>HYPERLINK("http://141.218.60.56/~jnz1568/getInfo.php?workbook=08_01.xlsx&amp;sheet=E0&amp;row=9&amp;col=14&amp;number=6247641.67272&amp;sourceID=30","6247641.67272")</f>
        <v>6247641.67272</v>
      </c>
      <c r="O9" s="4" t="str">
        <f>HYPERLINK("http://141.218.60.56/~jnz1568/getInfo.php?workbook=08_01.xlsx&amp;sheet=E0&amp;row=9&amp;col=15&amp;number=6248159&amp;sourceID=13","6248159")</f>
        <v>6248159</v>
      </c>
    </row>
    <row r="10" spans="1:15">
      <c r="A10" s="3">
        <v>8</v>
      </c>
      <c r="B10" s="3">
        <v>1</v>
      </c>
      <c r="C10" s="3">
        <f/>
        <v>0</v>
      </c>
      <c r="D10" s="3" t="s">
        <v>24</v>
      </c>
      <c r="E10" s="3" t="s">
        <v>25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HYPERLINK("http://141.218.60.56/~jnz1568/getInfo.php?workbook=08_01.xlsx&amp;sheet=E0&amp;row=10&amp;col=10&amp;number=6247844.2122&amp;sourceID=2","6247844.2122")</f>
        <v>6247844.2122</v>
      </c>
      <c r="K10" s="4" t="str">
        <f>HYPERLINK("http://141.218.60.56/~jnz1568/getInfo.php?workbook=08_01.xlsx&amp;sheet=E0&amp;row=10&amp;col=11&amp;number=6248391.9976&amp;sourceID=11","6248391.9976")</f>
        <v>6248391.9976</v>
      </c>
      <c r="L10" s="4" t="str">
        <f>HYPERLINK("http://141.218.60.56/~jnz1568/getInfo.php?workbook=08_01.xlsx&amp;sheet=E0&amp;row=10&amp;col=12&amp;number=6247846.3533&amp;sourceID=38","6247846.3533")</f>
        <v>6247846.3533</v>
      </c>
      <c r="M10" s="4" t="str">
        <f>HYPERLINK("http://141.218.60.56/~jnz1568/getInfo.php?workbook=08_01.xlsx&amp;sheet=E0&amp;row=10&amp;col=13&amp;number=6248606.26373&amp;sourceID=30","6248606.26373")</f>
        <v>6248606.26373</v>
      </c>
      <c r="N10" s="4" t="str">
        <f>HYPERLINK("http://141.218.60.56/~jnz1568/getInfo.php?workbook=08_01.xlsx&amp;sheet=E0&amp;row=10&amp;col=14&amp;number=6248064.16139&amp;sourceID=30","6248064.16139")</f>
        <v>6248064.16139</v>
      </c>
      <c r="O10" s="4" t="str">
        <f>HYPERLINK("http://141.218.60.56/~jnz1568/getInfo.php?workbook=08_01.xlsx&amp;sheet=E0&amp;row=10&amp;col=15&amp;number=6248600&amp;sourceID=13","6248600")</f>
        <v>6248600</v>
      </c>
    </row>
    <row r="11" spans="1:15">
      <c r="A11" s="3">
        <v>8</v>
      </c>
      <c r="B11" s="3">
        <v>1</v>
      </c>
      <c r="C11" s="3">
        <f/>
        <v>0</v>
      </c>
      <c r="D11" s="3" t="s">
        <v>22</v>
      </c>
      <c r="E11" s="3" t="s">
        <v>20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HYPERLINK("http://141.218.60.56/~jnz1568/getInfo.php?workbook=08_01.xlsx&amp;sheet=E0&amp;row=11&amp;col=10&amp;number=6247844.96&amp;sourceID=2","6247844.96")</f>
        <v>6247844.96</v>
      </c>
      <c r="K11" s="4" t="str">
        <f>HYPERLINK("http://141.218.60.56/~jnz1568/getInfo.php?workbook=08_01.xlsx&amp;sheet=E0&amp;row=11&amp;col=11&amp;number=6248391.9976&amp;sourceID=11","6248391.9976")</f>
        <v>6248391.9976</v>
      </c>
      <c r="L11" s="4" t="str">
        <f>HYPERLINK("http://141.218.60.56/~jnz1568/getInfo.php?workbook=08_01.xlsx&amp;sheet=E0&amp;row=11&amp;col=12&amp;number=6247847.1011&amp;sourceID=38","6247847.1011")</f>
        <v>6247847.1011</v>
      </c>
      <c r="M11" s="4" t="str">
        <f>HYPERLINK("http://141.218.60.56/~jnz1568/getInfo.php?workbook=08_01.xlsx&amp;sheet=E0&amp;row=11&amp;col=13&amp;number=6248606.26373&amp;sourceID=30","6248606.26373")</f>
        <v>6248606.26373</v>
      </c>
      <c r="N11" s="4" t="str">
        <f>HYPERLINK("http://141.218.60.56/~jnz1568/getInfo.php?workbook=08_01.xlsx&amp;sheet=E0&amp;row=11&amp;col=14&amp;number=6248065.25876&amp;sourceID=30","6248065.25876")</f>
        <v>6248065.25876</v>
      </c>
      <c r="O11" s="4" t="str">
        <f>HYPERLINK("http://141.218.60.56/~jnz1568/getInfo.php?workbook=08_01.xlsx&amp;sheet=E0&amp;row=11&amp;col=15&amp;number=6248604&amp;sourceID=13","6248604")</f>
        <v>6248604</v>
      </c>
    </row>
    <row r="12" spans="1:15">
      <c r="A12" s="3">
        <v>8</v>
      </c>
      <c r="B12" s="3">
        <v>1</v>
      </c>
      <c r="C12" s="3">
        <f/>
        <v>0</v>
      </c>
      <c r="D12" s="3" t="s">
        <v>24</v>
      </c>
      <c r="E12" s="3" t="s">
        <v>25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HYPERLINK("http://141.218.60.56/~jnz1568/getInfo.php?workbook=08_01.xlsx&amp;sheet=E0&amp;row=12&amp;col=10&amp;number=6247992.3879&amp;sourceID=2","6247992.3879")</f>
        <v>6247992.3879</v>
      </c>
      <c r="K12" s="4" t="str">
        <f>HYPERLINK("http://141.218.60.56/~jnz1568/getInfo.php?workbook=08_01.xlsx&amp;sheet=E0&amp;row=12&amp;col=11&amp;number=6248539.8308&amp;sourceID=11","6248539.8308")</f>
        <v>6248539.8308</v>
      </c>
      <c r="L12" s="4" t="str">
        <f>HYPERLINK("http://141.218.60.56/~jnz1568/getInfo.php?workbook=08_01.xlsx&amp;sheet=E0&amp;row=12&amp;col=12&amp;number=6247994.529&amp;sourceID=38","6247994.529")</f>
        <v>6247994.529</v>
      </c>
      <c r="M12" s="4" t="str">
        <f>HYPERLINK("http://141.218.60.56/~jnz1568/getInfo.php?workbook=08_01.xlsx&amp;sheet=E0&amp;row=12&amp;col=13&amp;number=6248754.4091&amp;sourceID=30","6248754.4091")</f>
        <v>6248754.4091</v>
      </c>
      <c r="N12" s="4" t="str">
        <f>HYPERLINK("http://141.218.60.56/~jnz1568/getInfo.php?workbook=08_01.xlsx&amp;sheet=E0&amp;row=12&amp;col=14&amp;number=6248212.30676&amp;sourceID=30","6248212.30676")</f>
        <v>6248212.30676</v>
      </c>
      <c r="O12" s="4" t="str">
        <f>HYPERLINK("http://141.218.60.56/~jnz1568/getInfo.php?workbook=08_01.xlsx&amp;sheet=E0&amp;row=12&amp;col=15&amp;number=6248748&amp;sourceID=13","6248748")</f>
        <v>6248748</v>
      </c>
    </row>
    <row r="13" spans="1:15">
      <c r="A13" s="3">
        <v>8</v>
      </c>
      <c r="B13" s="3">
        <v>1</v>
      </c>
      <c r="C13" s="3">
        <f/>
        <v>0</v>
      </c>
      <c r="D13" s="3" t="s">
        <v>26</v>
      </c>
      <c r="E13" s="3" t="s">
        <v>20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HYPERLINK("http://141.218.60.56/~jnz1568/getInfo.php?workbook=08_01.xlsx&amp;sheet=E0&amp;row=13&amp;col=10&amp;number=6589154.903&amp;sourceID=2","6589154.903")</f>
        <v>6589154.903</v>
      </c>
      <c r="K13" s="4" t="str">
        <f>HYPERLINK("http://141.218.60.56/~jnz1568/getInfo.php?workbook=08_01.xlsx&amp;sheet=E0&amp;row=13&amp;col=11&amp;number=6589702.6764&amp;sourceID=11","6589702.6764")</f>
        <v>6589702.6764</v>
      </c>
      <c r="L13" s="4" t="str">
        <f>HYPERLINK("http://141.218.60.56/~jnz1568/getInfo.php?workbook=08_01.xlsx&amp;sheet=E0&amp;row=13&amp;col=12&amp;number=6589157.0441&amp;sourceID=38","6589157.0441")</f>
        <v>6589157.0441</v>
      </c>
      <c r="M13" s="4" t="str">
        <f>HYPERLINK("http://141.218.60.56/~jnz1568/getInfo.php?workbook=08_01.xlsx&amp;sheet=E0&amp;row=13&amp;col=13&amp;number=6589928.82094&amp;sourceID=30","6589928.82094")</f>
        <v>6589928.82094</v>
      </c>
      <c r="N13" s="4" t="str">
        <f>HYPERLINK("http://141.218.60.56/~jnz1568/getInfo.php?workbook=08_01.xlsx&amp;sheet=E0&amp;row=13&amp;col=14&amp;number=6589386.7186&amp;sourceID=30","6589386.7186")</f>
        <v>6589386.7186</v>
      </c>
      <c r="O13" s="4" t="str">
        <f>HYPERLINK("http://141.218.60.56/~jnz1568/getInfo.php?workbook=08_01.xlsx&amp;sheet=E0&amp;row=13&amp;col=15&amp;number=6589924&amp;sourceID=13","6589924")</f>
        <v>6589924</v>
      </c>
    </row>
    <row r="14" spans="1:15">
      <c r="A14" s="3">
        <v>8</v>
      </c>
      <c r="B14" s="3">
        <v>1</v>
      </c>
      <c r="C14" s="3">
        <f/>
        <v>0</v>
      </c>
      <c r="D14" s="3" t="s">
        <v>27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HYPERLINK("http://141.218.60.56/~jnz1568/getInfo.php?workbook=08_01.xlsx&amp;sheet=E0&amp;row=14&amp;col=10&amp;number=6589164.206&amp;sourceID=2","6589164.206")</f>
        <v>6589164.206</v>
      </c>
      <c r="K14" s="4" t="str">
        <f>HYPERLINK("http://141.218.60.56/~jnz1568/getInfo.php?workbook=08_01.xlsx&amp;sheet=E0&amp;row=14&amp;col=11&amp;number=6589702.6764&amp;sourceID=11","6589702.6764")</f>
        <v>6589702.6764</v>
      </c>
      <c r="L14" s="4" t="str">
        <f>HYPERLINK("http://141.218.60.56/~jnz1568/getInfo.php?workbook=08_01.xlsx&amp;sheet=E0&amp;row=14&amp;col=12&amp;number=6589166.3471&amp;sourceID=38","6589166.3471")</f>
        <v>6589166.3471</v>
      </c>
      <c r="M14" s="4" t="str">
        <f>HYPERLINK("http://141.218.60.56/~jnz1568/getInfo.php?workbook=08_01.xlsx&amp;sheet=E0&amp;row=14&amp;col=13&amp;number=6589928.82094&amp;sourceID=30","6589928.82094")</f>
        <v>6589928.82094</v>
      </c>
      <c r="N14" s="4" t="str">
        <f>HYPERLINK("http://141.218.60.56/~jnz1568/getInfo.php?workbook=08_01.xlsx&amp;sheet=E0&amp;row=14&amp;col=14&amp;number=6589395.49759&amp;sourceID=30","6589395.49759")</f>
        <v>6589395.49759</v>
      </c>
      <c r="O14" s="4" t="str">
        <f>HYPERLINK("http://141.218.60.56/~jnz1568/getInfo.php?workbook=08_01.xlsx&amp;sheet=E0&amp;row=14&amp;col=15&amp;number=6589925&amp;sourceID=13","6589925")</f>
        <v>6589925</v>
      </c>
    </row>
    <row r="15" spans="1:15">
      <c r="A15" s="3">
        <v>8</v>
      </c>
      <c r="B15" s="3">
        <v>1</v>
      </c>
      <c r="C15" s="3">
        <f/>
        <v>0</v>
      </c>
      <c r="D15" s="3" t="s">
        <v>28</v>
      </c>
      <c r="E15" s="3" t="s">
        <v>25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HYPERLINK("http://141.218.60.56/~jnz1568/getInfo.php?workbook=08_01.xlsx&amp;sheet=E0&amp;row=15&amp;col=10&amp;number=6589342.396&amp;sourceID=2","6589342.396")</f>
        <v>6589342.396</v>
      </c>
      <c r="K15" s="4" t="str">
        <f>HYPERLINK("http://141.218.60.56/~jnz1568/getInfo.php?workbook=08_01.xlsx&amp;sheet=E0&amp;row=15&amp;col=11&amp;number=6589890.0663&amp;sourceID=11","6589890.0663")</f>
        <v>6589890.0663</v>
      </c>
      <c r="L15" s="4" t="str">
        <f>HYPERLINK("http://141.218.60.56/~jnz1568/getInfo.php?workbook=08_01.xlsx&amp;sheet=E0&amp;row=15&amp;col=12&amp;number=6589344.5371&amp;sourceID=38","6589344.5371")</f>
        <v>6589344.5371</v>
      </c>
      <c r="M15" s="4" t="str">
        <f>HYPERLINK("http://141.218.60.56/~jnz1568/getInfo.php?workbook=08_01.xlsx&amp;sheet=E0&amp;row=15&amp;col=13&amp;number=6590116.47175&amp;sourceID=30","6590116.47175")</f>
        <v>6590116.47175</v>
      </c>
      <c r="N15" s="4" t="str">
        <f>HYPERLINK("http://141.218.60.56/~jnz1568/getInfo.php?workbook=08_01.xlsx&amp;sheet=E0&amp;row=15&amp;col=14&amp;number=6589574.36941&amp;sourceID=30","6589574.36941")</f>
        <v>6589574.36941</v>
      </c>
      <c r="O15" s="4" t="str">
        <f>HYPERLINK("http://141.218.60.56/~jnz1568/getInfo.php?workbook=08_01.xlsx&amp;sheet=E0&amp;row=15&amp;col=15&amp;number=6590110&amp;sourceID=13","6590110")</f>
        <v>6590110</v>
      </c>
    </row>
    <row r="16" spans="1:15">
      <c r="A16" s="3">
        <v>8</v>
      </c>
      <c r="B16" s="3">
        <v>1</v>
      </c>
      <c r="C16" s="3">
        <f/>
        <v>0</v>
      </c>
      <c r="D16" s="3" t="s">
        <v>26</v>
      </c>
      <c r="E16" s="3" t="s">
        <v>20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HYPERLINK("http://141.218.60.56/~jnz1568/getInfo.php?workbook=08_01.xlsx&amp;sheet=E0&amp;row=16&amp;col=10&amp;number=6589342.716&amp;sourceID=2","6589342.716")</f>
        <v>6589342.716</v>
      </c>
      <c r="K16" s="4" t="str">
        <f>HYPERLINK("http://141.218.60.56/~jnz1568/getInfo.php?workbook=08_01.xlsx&amp;sheet=E0&amp;row=16&amp;col=11&amp;number=6589890.0663&amp;sourceID=11","6589890.0663")</f>
        <v>6589890.0663</v>
      </c>
      <c r="L16" s="4" t="str">
        <f>HYPERLINK("http://141.218.60.56/~jnz1568/getInfo.php?workbook=08_01.xlsx&amp;sheet=E0&amp;row=16&amp;col=12&amp;number=6589344.8571&amp;sourceID=38","6589344.8571")</f>
        <v>6589344.8571</v>
      </c>
      <c r="M16" s="4" t="str">
        <f>HYPERLINK("http://141.218.60.56/~jnz1568/getInfo.php?workbook=08_01.xlsx&amp;sheet=E0&amp;row=16&amp;col=13&amp;number=6590116.47175&amp;sourceID=30","6590116.47175")</f>
        <v>6590116.47175</v>
      </c>
      <c r="N16" s="4" t="str">
        <f>HYPERLINK("http://141.218.60.56/~jnz1568/getInfo.php?workbook=08_01.xlsx&amp;sheet=E0&amp;row=16&amp;col=14&amp;number=6589574.36941&amp;sourceID=30","6589574.36941")</f>
        <v>6589574.36941</v>
      </c>
      <c r="O16" s="4" t="str">
        <f>HYPERLINK("http://141.218.60.56/~jnz1568/getInfo.php?workbook=08_01.xlsx&amp;sheet=E0&amp;row=16&amp;col=15&amp;number=6590110&amp;sourceID=13","6590110")</f>
        <v>6590110</v>
      </c>
    </row>
    <row r="17" spans="1:15">
      <c r="A17" s="3">
        <v>8</v>
      </c>
      <c r="B17" s="3">
        <v>1</v>
      </c>
      <c r="C17" s="3">
        <f/>
        <v>0</v>
      </c>
      <c r="D17" s="3" t="s">
        <v>29</v>
      </c>
      <c r="E17" s="3" t="s">
        <v>30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HYPERLINK("http://141.218.60.56/~jnz1568/getInfo.php?workbook=08_01.xlsx&amp;sheet=E0&amp;row=17&amp;col=10&amp;number=6589404.7992&amp;sourceID=2","6589404.7992")</f>
        <v>6589404.7992</v>
      </c>
      <c r="K17" s="4" t="str">
        <f>HYPERLINK("http://141.218.60.56/~jnz1568/getInfo.php?workbook=08_01.xlsx&amp;sheet=E0&amp;row=17&amp;col=11&amp;number=6589952.4378&amp;sourceID=11","6589952.4378")</f>
        <v>6589952.4378</v>
      </c>
      <c r="L17" s="4" t="str">
        <f>HYPERLINK("http://141.218.60.56/~jnz1568/getInfo.php?workbook=08_01.xlsx&amp;sheet=E0&amp;row=17&amp;col=12&amp;number=6589406.9403&amp;sourceID=38","6589406.9403")</f>
        <v>6589406.9403</v>
      </c>
      <c r="M17" s="4" t="str">
        <f>HYPERLINK("http://141.218.60.56/~jnz1568/getInfo.php?workbook=08_01.xlsx&amp;sheet=E0&amp;row=17&amp;col=13&amp;number=6590179.02202&amp;sourceID=30","6590179.02202")</f>
        <v>6590179.02202</v>
      </c>
      <c r="N17" s="4" t="str">
        <f>HYPERLINK("http://141.218.60.56/~jnz1568/getInfo.php?workbook=08_01.xlsx&amp;sheet=E0&amp;row=17&amp;col=14&amp;number=6589636.91968&amp;sourceID=30","6589636.91968")</f>
        <v>6589636.91968</v>
      </c>
      <c r="O17" s="4" t="str">
        <f>HYPERLINK("http://141.218.60.56/~jnz1568/getInfo.php?workbook=08_01.xlsx&amp;sheet=E0&amp;row=17&amp;col=15&amp;number=6590172&amp;sourceID=13","6590172")</f>
        <v>6590172</v>
      </c>
    </row>
    <row r="18" spans="1:15">
      <c r="A18" s="3">
        <v>8</v>
      </c>
      <c r="B18" s="3">
        <v>1</v>
      </c>
      <c r="C18" s="3">
        <f/>
        <v>0</v>
      </c>
      <c r="D18" s="3" t="s">
        <v>28</v>
      </c>
      <c r="E18" s="3" t="s">
        <v>25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HYPERLINK("http://141.218.60.56/~jnz1568/getInfo.php?workbook=08_01.xlsx&amp;sheet=E0&amp;row=18&amp;col=10&amp;number=6589404.912&amp;sourceID=2","6589404.912")</f>
        <v>6589404.912</v>
      </c>
      <c r="K18" s="4" t="str">
        <f>HYPERLINK("http://141.218.60.56/~jnz1568/getInfo.php?workbook=08_01.xlsx&amp;sheet=E0&amp;row=18&amp;col=11&amp;number=6589952.4378&amp;sourceID=11","6589952.4378")</f>
        <v>6589952.4378</v>
      </c>
      <c r="L18" s="4" t="str">
        <f>HYPERLINK("http://141.218.60.56/~jnz1568/getInfo.php?workbook=08_01.xlsx&amp;sheet=E0&amp;row=18&amp;col=12&amp;number=6589407.0531&amp;sourceID=38","6589407.0531")</f>
        <v>6589407.0531</v>
      </c>
      <c r="M18" s="4" t="str">
        <f>HYPERLINK("http://141.218.60.56/~jnz1568/getInfo.php?workbook=08_01.xlsx&amp;sheet=E0&amp;row=18&amp;col=13&amp;number=6590179.02202&amp;sourceID=30","6590179.02202")</f>
        <v>6590179.02202</v>
      </c>
      <c r="N18" s="4" t="str">
        <f>HYPERLINK("http://141.218.60.56/~jnz1568/getInfo.php?workbook=08_01.xlsx&amp;sheet=E0&amp;row=18&amp;col=14&amp;number=6589636.91968&amp;sourceID=30","6589636.91968")</f>
        <v>6589636.91968</v>
      </c>
      <c r="O18" s="4" t="str">
        <f>HYPERLINK("http://141.218.60.56/~jnz1568/getInfo.php?workbook=08_01.xlsx&amp;sheet=E0&amp;row=18&amp;col=15&amp;number=6590172&amp;sourceID=13","6590172")</f>
        <v>6590172</v>
      </c>
    </row>
    <row r="19" spans="1:15">
      <c r="A19" s="3">
        <v>8</v>
      </c>
      <c r="B19" s="3">
        <v>1</v>
      </c>
      <c r="C19" s="3">
        <f/>
        <v>0</v>
      </c>
      <c r="D19" s="3" t="s">
        <v>29</v>
      </c>
      <c r="E19" s="3" t="s">
        <v>30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HYPERLINK("http://141.218.60.56/~jnz1568/getInfo.php?workbook=08_01.xlsx&amp;sheet=E0&amp;row=19&amp;col=10&amp;number=6589436.045&amp;sourceID=2","6589436.045")</f>
        <v>6589436.045</v>
      </c>
      <c r="K19" s="4" t="str">
        <f>HYPERLINK("http://141.218.60.56/~jnz1568/getInfo.php?workbook=08_01.xlsx&amp;sheet=E0&amp;row=19&amp;col=11&amp;number=6589983.6115&amp;sourceID=11","6589983.6115")</f>
        <v>6589983.6115</v>
      </c>
      <c r="L19" s="4" t="str">
        <f>HYPERLINK("http://141.218.60.56/~jnz1568/getInfo.php?workbook=08_01.xlsx&amp;sheet=E0&amp;row=19&amp;col=12&amp;number=6589438.1861&amp;sourceID=38","6589438.1861")</f>
        <v>6589438.1861</v>
      </c>
      <c r="M19" s="4" t="str">
        <f>HYPERLINK("http://141.218.60.56/~jnz1568/getInfo.php?workbook=08_01.xlsx&amp;sheet=E0&amp;row=19&amp;col=13&amp;number=6590209.74847&amp;sourceID=30","6590209.74847")</f>
        <v>6590209.74847</v>
      </c>
      <c r="N19" s="4" t="str">
        <f>HYPERLINK("http://141.218.60.56/~jnz1568/getInfo.php?workbook=08_01.xlsx&amp;sheet=E0&amp;row=19&amp;col=14&amp;number=6589667.64613&amp;sourceID=30","6589667.64613")</f>
        <v>6589667.64613</v>
      </c>
      <c r="O19" s="4" t="str">
        <f>HYPERLINK("http://141.218.60.56/~jnz1568/getInfo.php?workbook=08_01.xlsx&amp;sheet=E0&amp;row=19&amp;col=15&amp;number=6590203&amp;sourceID=13","6590203")</f>
        <v>6590203</v>
      </c>
    </row>
    <row r="20" spans="1:15">
      <c r="A20" s="3">
        <v>8</v>
      </c>
      <c r="B20" s="3">
        <v>1</v>
      </c>
      <c r="C20" s="3">
        <f/>
        <v>0</v>
      </c>
      <c r="D20" s="3" t="s">
        <v>31</v>
      </c>
      <c r="E20" s="3" t="s">
        <v>20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HYPERLINK("http://141.218.60.56/~jnz1568/getInfo.php?workbook=08_01.xlsx&amp;sheet=E0&amp;row=20&amp;col=10&amp;number=6747312.636&amp;sourceID=2","6747312.636")</f>
        <v>6747312.636</v>
      </c>
      <c r="K20" s="4" t="str">
        <f>HYPERLINK("http://141.218.60.56/~jnz1568/getInfo.php?workbook=08_01.xlsx&amp;sheet=E0&amp;row=20&amp;col=11&amp;number=6747860.3191&amp;sourceID=11","6747860.3191")</f>
        <v>6747860.3191</v>
      </c>
      <c r="L20" s="4" t="str">
        <f>HYPERLINK("http://141.218.60.56/~jnz1568/getInfo.php?workbook=08_01.xlsx&amp;sheet=E0&amp;row=20&amp;col=12&amp;number=6747314.7771&amp;sourceID=38","6747314.7771")</f>
        <v>6747314.7771</v>
      </c>
      <c r="M20" s="4" t="str">
        <f>HYPERLINK("http://141.218.60.56/~jnz1568/getInfo.php?workbook=08_01.xlsx&amp;sheet=E0&amp;row=20&amp;col=13&amp;number=6748092.11667&amp;sourceID=30","6748092.11667")</f>
        <v>6748092.11667</v>
      </c>
      <c r="N20" s="4" t="str">
        <f>HYPERLINK("http://141.218.60.56/~jnz1568/getInfo.php?workbook=08_01.xlsx&amp;sheet=E0&amp;row=20&amp;col=14&amp;number=6747550.01433&amp;sourceID=30","6747550.01433")</f>
        <v>6747550.01433</v>
      </c>
      <c r="O20" s="4" t="str">
        <f>HYPERLINK("http://141.218.60.56/~jnz1568/getInfo.php?workbook=08_01.xlsx&amp;sheet=E0&amp;row=20&amp;col=15&amp;number=&amp;sourceID=13","")</f>
        <v/>
      </c>
    </row>
    <row r="21" spans="1:15">
      <c r="A21" s="3">
        <v>8</v>
      </c>
      <c r="B21" s="3">
        <v>1</v>
      </c>
      <c r="C21" s="3">
        <f/>
        <v>0</v>
      </c>
      <c r="D21" s="3" t="s">
        <v>32</v>
      </c>
      <c r="E21" s="3" t="s">
        <v>18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HYPERLINK("http://141.218.60.56/~jnz1568/getInfo.php?workbook=08_01.xlsx&amp;sheet=E0&amp;row=21&amp;col=10&amp;number=6747317.407&amp;sourceID=2","6747317.407")</f>
        <v>6747317.407</v>
      </c>
      <c r="K21" s="4" t="str">
        <f>HYPERLINK("http://141.218.60.56/~jnz1568/getInfo.php?workbook=08_01.xlsx&amp;sheet=E0&amp;row=21&amp;col=11&amp;number=6747860.3191&amp;sourceID=11","6747860.3191")</f>
        <v>6747860.3191</v>
      </c>
      <c r="L21" s="4" t="str">
        <f>HYPERLINK("http://141.218.60.56/~jnz1568/getInfo.php?workbook=08_01.xlsx&amp;sheet=E0&amp;row=21&amp;col=12&amp;number=6747319.5481&amp;sourceID=38","6747319.5481")</f>
        <v>6747319.5481</v>
      </c>
      <c r="M21" s="4" t="str">
        <f>HYPERLINK("http://141.218.60.56/~jnz1568/getInfo.php?workbook=08_01.xlsx&amp;sheet=E0&amp;row=21&amp;col=13&amp;number=6748092.11667&amp;sourceID=30","6748092.11667")</f>
        <v>6748092.11667</v>
      </c>
      <c r="N21" s="4" t="str">
        <f>HYPERLINK("http://141.218.60.56/~jnz1568/getInfo.php?workbook=08_01.xlsx&amp;sheet=E0&amp;row=21&amp;col=14&amp;number=6747554.40382&amp;sourceID=30","6747554.40382")</f>
        <v>6747554.40382</v>
      </c>
      <c r="O21" s="4" t="str">
        <f>HYPERLINK("http://141.218.60.56/~jnz1568/getInfo.php?workbook=08_01.xlsx&amp;sheet=E0&amp;row=21&amp;col=15&amp;number=&amp;sourceID=13","")</f>
        <v/>
      </c>
    </row>
    <row r="22" spans="1:15">
      <c r="A22" s="3">
        <v>8</v>
      </c>
      <c r="B22" s="3">
        <v>1</v>
      </c>
      <c r="C22" s="3">
        <f/>
        <v>0</v>
      </c>
      <c r="D22" s="3" t="s">
        <v>33</v>
      </c>
      <c r="E22" s="3" t="s">
        <v>25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HYPERLINK("http://141.218.60.56/~jnz1568/getInfo.php?workbook=08_01.xlsx&amp;sheet=E0&amp;row=22&amp;col=10&amp;number=6747408.624&amp;sourceID=2","6747408.624")</f>
        <v>6747408.624</v>
      </c>
      <c r="K22" s="4" t="str">
        <f>HYPERLINK("http://141.218.60.56/~jnz1568/getInfo.php?workbook=08_01.xlsx&amp;sheet=E0&amp;row=22&amp;col=11&amp;number=6747956.2553&amp;sourceID=11","6747956.2553")</f>
        <v>6747956.2553</v>
      </c>
      <c r="L22" s="4" t="str">
        <f>HYPERLINK("http://141.218.60.56/~jnz1568/getInfo.php?workbook=08_01.xlsx&amp;sheet=E0&amp;row=22&amp;col=12&amp;number=6747410.7651&amp;sourceID=38","6747410.7651")</f>
        <v>6747410.7651</v>
      </c>
      <c r="M22" s="4" t="str">
        <f>HYPERLINK("http://141.218.60.56/~jnz1568/getInfo.php?workbook=08_01.xlsx&amp;sheet=E0&amp;row=22&amp;col=13&amp;number=6748187.58813&amp;sourceID=30","6748187.58813")</f>
        <v>6748187.58813</v>
      </c>
      <c r="N22" s="4" t="str">
        <f>HYPERLINK("http://141.218.60.56/~jnz1568/getInfo.php?workbook=08_01.xlsx&amp;sheet=E0&amp;row=22&amp;col=14&amp;number=6747645.48579&amp;sourceID=30","6747645.48579")</f>
        <v>6747645.48579</v>
      </c>
      <c r="O22" s="4" t="str">
        <f>HYPERLINK("http://141.218.60.56/~jnz1568/getInfo.php?workbook=08_01.xlsx&amp;sheet=E0&amp;row=22&amp;col=15&amp;number=&amp;sourceID=13","")</f>
        <v/>
      </c>
    </row>
    <row r="23" spans="1:15">
      <c r="A23" s="3">
        <v>8</v>
      </c>
      <c r="B23" s="3">
        <v>1</v>
      </c>
      <c r="C23" s="3">
        <f/>
        <v>0</v>
      </c>
      <c r="D23" s="3" t="s">
        <v>31</v>
      </c>
      <c r="E23" s="3" t="s">
        <v>20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HYPERLINK("http://141.218.60.56/~jnz1568/getInfo.php?workbook=08_01.xlsx&amp;sheet=E0&amp;row=23&amp;col=10&amp;number=6747408.788&amp;sourceID=2","6747408.788")</f>
        <v>6747408.788</v>
      </c>
      <c r="K23" s="4" t="str">
        <f>HYPERLINK("http://141.218.60.56/~jnz1568/getInfo.php?workbook=08_01.xlsx&amp;sheet=E0&amp;row=23&amp;col=11&amp;number=6747956.2553&amp;sourceID=11","6747956.2553")</f>
        <v>6747956.2553</v>
      </c>
      <c r="L23" s="4" t="str">
        <f>HYPERLINK("http://141.218.60.56/~jnz1568/getInfo.php?workbook=08_01.xlsx&amp;sheet=E0&amp;row=23&amp;col=12&amp;number=6747410.9291&amp;sourceID=38","6747410.9291")</f>
        <v>6747410.9291</v>
      </c>
      <c r="M23" s="4" t="str">
        <f>HYPERLINK("http://141.218.60.56/~jnz1568/getInfo.php?workbook=08_01.xlsx&amp;sheet=E0&amp;row=23&amp;col=13&amp;number=6748187.58813&amp;sourceID=30","6748187.58813")</f>
        <v>6748187.58813</v>
      </c>
      <c r="N23" s="4" t="str">
        <f>HYPERLINK("http://141.218.60.56/~jnz1568/getInfo.php?workbook=08_01.xlsx&amp;sheet=E0&amp;row=23&amp;col=14&amp;number=6747645.48579&amp;sourceID=30","6747645.48579")</f>
        <v>6747645.48579</v>
      </c>
      <c r="O23" s="4" t="str">
        <f>HYPERLINK("http://141.218.60.56/~jnz1568/getInfo.php?workbook=08_01.xlsx&amp;sheet=E0&amp;row=23&amp;col=15&amp;number=&amp;sourceID=13","")</f>
        <v/>
      </c>
    </row>
    <row r="24" spans="1:15">
      <c r="A24" s="3">
        <v>8</v>
      </c>
      <c r="B24" s="3">
        <v>1</v>
      </c>
      <c r="C24" s="3">
        <f/>
        <v>0</v>
      </c>
      <c r="D24" s="3" t="s">
        <v>34</v>
      </c>
      <c r="E24" s="3" t="s">
        <v>30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HYPERLINK("http://141.218.60.56/~jnz1568/getInfo.php?workbook=08_01.xlsx&amp;sheet=E0&amp;row=24&amp;col=10&amp;number=6747440.5739&amp;sourceID=2","6747440.5739")</f>
        <v>6747440.5739</v>
      </c>
      <c r="K24" s="4" t="str">
        <f>HYPERLINK("http://141.218.60.56/~jnz1568/getInfo.php?workbook=08_01.xlsx&amp;sheet=E0&amp;row=24&amp;col=11&amp;number=6747988.1899&amp;sourceID=11","6747988.1899")</f>
        <v>6747988.1899</v>
      </c>
      <c r="L24" s="4" t="str">
        <f>HYPERLINK("http://141.218.60.56/~jnz1568/getInfo.php?workbook=08_01.xlsx&amp;sheet=E0&amp;row=24&amp;col=12&amp;number=6747442.715&amp;sourceID=38","6747442.715")</f>
        <v>6747442.715</v>
      </c>
      <c r="M24" s="4" t="str">
        <f>HYPERLINK("http://141.218.60.56/~jnz1568/getInfo.php?workbook=08_01.xlsx&amp;sheet=E0&amp;row=24&amp;col=13&amp;number=6748219.41195&amp;sourceID=30","6748219.41195")</f>
        <v>6748219.41195</v>
      </c>
      <c r="N24" s="4" t="str">
        <f>HYPERLINK("http://141.218.60.56/~jnz1568/getInfo.php?workbook=08_01.xlsx&amp;sheet=E0&amp;row=24&amp;col=14&amp;number=6747677.30961&amp;sourceID=30","6747677.30961")</f>
        <v>6747677.30961</v>
      </c>
      <c r="O24" s="4" t="str">
        <f>HYPERLINK("http://141.218.60.56/~jnz1568/getInfo.php?workbook=08_01.xlsx&amp;sheet=E0&amp;row=24&amp;col=15&amp;number=&amp;sourceID=13","")</f>
        <v/>
      </c>
    </row>
    <row r="25" spans="1:15">
      <c r="A25" s="3">
        <v>8</v>
      </c>
      <c r="B25" s="3">
        <v>1</v>
      </c>
      <c r="C25" s="3">
        <f/>
        <v>0</v>
      </c>
      <c r="D25" s="3" t="s">
        <v>33</v>
      </c>
      <c r="E25" s="3" t="s">
        <v>25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HYPERLINK("http://141.218.60.56/~jnz1568/getInfo.php?workbook=08_01.xlsx&amp;sheet=E0&amp;row=25&amp;col=10&amp;number=6747440.632&amp;sourceID=2","6747440.632")</f>
        <v>6747440.632</v>
      </c>
      <c r="K25" s="4" t="str">
        <f>HYPERLINK("http://141.218.60.56/~jnz1568/getInfo.php?workbook=08_01.xlsx&amp;sheet=E0&amp;row=25&amp;col=11&amp;number=6747988.1899&amp;sourceID=11","6747988.1899")</f>
        <v>6747988.1899</v>
      </c>
      <c r="L25" s="4" t="str">
        <f>HYPERLINK("http://141.218.60.56/~jnz1568/getInfo.php?workbook=08_01.xlsx&amp;sheet=E0&amp;row=25&amp;col=12&amp;number=6747442.7731&amp;sourceID=38","6747442.7731")</f>
        <v>6747442.7731</v>
      </c>
      <c r="M25" s="4" t="str">
        <f>HYPERLINK("http://141.218.60.56/~jnz1568/getInfo.php?workbook=08_01.xlsx&amp;sheet=E0&amp;row=25&amp;col=13&amp;number=6748219.41195&amp;sourceID=30","6748219.41195")</f>
        <v>6748219.41195</v>
      </c>
      <c r="N25" s="4" t="str">
        <f>HYPERLINK("http://141.218.60.56/~jnz1568/getInfo.php?workbook=08_01.xlsx&amp;sheet=E0&amp;row=25&amp;col=14&amp;number=6747677.30961&amp;sourceID=30","6747677.30961")</f>
        <v>6747677.30961</v>
      </c>
      <c r="O25" s="4" t="str">
        <f>HYPERLINK("http://141.218.60.56/~jnz1568/getInfo.php?workbook=08_01.xlsx&amp;sheet=E0&amp;row=25&amp;col=15&amp;number=&amp;sourceID=13","")</f>
        <v/>
      </c>
    </row>
    <row r="26" spans="1:15">
      <c r="A26" s="3">
        <v>8</v>
      </c>
      <c r="B26" s="3">
        <v>1</v>
      </c>
      <c r="C26" s="3">
        <f/>
        <v>0</v>
      </c>
      <c r="D26" s="3" t="s">
        <v>35</v>
      </c>
      <c r="E26" s="3" t="s">
        <v>36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HYPERLINK("http://141.218.60.56/~jnz1568/getInfo.php?workbook=08_01.xlsx&amp;sheet=E0&amp;row=26&amp;col=10&amp;number=6747456.5421&amp;sourceID=2","6747456.5421")</f>
        <v>6747456.5421</v>
      </c>
      <c r="K26" s="4" t="str">
        <f>HYPERLINK("http://141.218.60.56/~jnz1568/getInfo.php?workbook=08_01.xlsx&amp;sheet=E0&amp;row=26&amp;col=11&amp;number=6748004.1514&amp;sourceID=11","6748004.1514")</f>
        <v>6748004.1514</v>
      </c>
      <c r="L26" s="4" t="str">
        <f>HYPERLINK("http://141.218.60.56/~jnz1568/getInfo.php?workbook=08_01.xlsx&amp;sheet=E0&amp;row=26&amp;col=12&amp;number=6747458.6832&amp;sourceID=38","6747458.6832")</f>
        <v>6747458.6832</v>
      </c>
      <c r="M26" s="4" t="str">
        <f>HYPERLINK("http://141.218.60.56/~jnz1568/getInfo.php?workbook=08_01.xlsx&amp;sheet=E0&amp;row=26&amp;col=13&amp;number=6748235.87255&amp;sourceID=30","6748235.87255")</f>
        <v>6748235.87255</v>
      </c>
      <c r="N26" s="4" t="str">
        <f>HYPERLINK("http://141.218.60.56/~jnz1568/getInfo.php?workbook=08_01.xlsx&amp;sheet=E0&amp;row=26&amp;col=14&amp;number=6747693.77021&amp;sourceID=30","6747693.77021")</f>
        <v>6747693.77021</v>
      </c>
      <c r="O26" s="4" t="str">
        <f>HYPERLINK("http://141.218.60.56/~jnz1568/getInfo.php?workbook=08_01.xlsx&amp;sheet=E0&amp;row=26&amp;col=15&amp;number=&amp;sourceID=13","")</f>
        <v/>
      </c>
    </row>
    <row r="27" spans="1:15">
      <c r="A27" s="3">
        <v>8</v>
      </c>
      <c r="B27" s="3">
        <v>1</v>
      </c>
      <c r="C27" s="3">
        <f/>
        <v>0</v>
      </c>
      <c r="D27" s="3" t="s">
        <v>34</v>
      </c>
      <c r="E27" s="3" t="s">
        <v>30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HYPERLINK("http://141.218.60.56/~jnz1568/getInfo.php?workbook=08_01.xlsx&amp;sheet=E0&amp;row=27&amp;col=10&amp;number=6747456.5724&amp;sourceID=2","6747456.5724")</f>
        <v>6747456.5724</v>
      </c>
      <c r="K27" s="4" t="str">
        <f>HYPERLINK("http://141.218.60.56/~jnz1568/getInfo.php?workbook=08_01.xlsx&amp;sheet=E0&amp;row=27&amp;col=11&amp;number=6748004.1514&amp;sourceID=11","6748004.1514")</f>
        <v>6748004.1514</v>
      </c>
      <c r="L27" s="4" t="str">
        <f>HYPERLINK("http://141.218.60.56/~jnz1568/getInfo.php?workbook=08_01.xlsx&amp;sheet=E0&amp;row=27&amp;col=12&amp;number=6747458.7135&amp;sourceID=38","6747458.7135")</f>
        <v>6747458.7135</v>
      </c>
      <c r="M27" s="4" t="str">
        <f>HYPERLINK("http://141.218.60.56/~jnz1568/getInfo.php?workbook=08_01.xlsx&amp;sheet=E0&amp;row=27&amp;col=13&amp;number=6748235.87255&amp;sourceID=30","6748235.87255")</f>
        <v>6748235.87255</v>
      </c>
      <c r="N27" s="4" t="str">
        <f>HYPERLINK("http://141.218.60.56/~jnz1568/getInfo.php?workbook=08_01.xlsx&amp;sheet=E0&amp;row=27&amp;col=14&amp;number=6747693.77021&amp;sourceID=30","6747693.77021")</f>
        <v>6747693.77021</v>
      </c>
      <c r="O27" s="4" t="str">
        <f>HYPERLINK("http://141.218.60.56/~jnz1568/getInfo.php?workbook=08_01.xlsx&amp;sheet=E0&amp;row=27&amp;col=15&amp;number=&amp;sourceID=13","")</f>
        <v/>
      </c>
    </row>
    <row r="28" spans="1:15">
      <c r="A28" s="3">
        <v>8</v>
      </c>
      <c r="B28" s="3">
        <v>1</v>
      </c>
      <c r="C28" s="3">
        <f/>
        <v>0</v>
      </c>
      <c r="D28" s="3" t="s">
        <v>35</v>
      </c>
      <c r="E28" s="3" t="s">
        <v>36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HYPERLINK("http://141.218.60.56/~jnz1568/getInfo.php?workbook=08_01.xlsx&amp;sheet=E0&amp;row=28&amp;col=10&amp;number=6747466.1397&amp;sourceID=2","6747466.1397")</f>
        <v>6747466.1397</v>
      </c>
      <c r="K28" s="4" t="str">
        <f>HYPERLINK("http://141.218.60.56/~jnz1568/getInfo.php?workbook=08_01.xlsx&amp;sheet=E0&amp;row=28&amp;col=11&amp;number=6748013.7268&amp;sourceID=11","6748013.7268")</f>
        <v>6748013.7268</v>
      </c>
      <c r="L28" s="4" t="str">
        <f>HYPERLINK("http://141.218.60.56/~jnz1568/getInfo.php?workbook=08_01.xlsx&amp;sheet=E0&amp;row=28&amp;col=12&amp;number=6747468.2808&amp;sourceID=38","6747468.2808")</f>
        <v>6747468.2808</v>
      </c>
      <c r="M28" s="4" t="str">
        <f>HYPERLINK("http://141.218.60.56/~jnz1568/getInfo.php?workbook=08_01.xlsx&amp;sheet=E0&amp;row=28&amp;col=13&amp;number=6748244.65153&amp;sourceID=30","6748244.65153")</f>
        <v>6748244.65153</v>
      </c>
      <c r="N28" s="4" t="str">
        <f>HYPERLINK("http://141.218.60.56/~jnz1568/getInfo.php?workbook=08_01.xlsx&amp;sheet=E0&amp;row=28&amp;col=14&amp;number=6747703.64657&amp;sourceID=30","6747703.64657")</f>
        <v>6747703.64657</v>
      </c>
      <c r="O28" s="4" t="str">
        <f>HYPERLINK("http://141.218.60.56/~jnz1568/getInfo.php?workbook=08_01.xlsx&amp;sheet=E0&amp;row=28&amp;col=15&amp;number=&amp;sourceID=13","")</f>
        <v/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84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5.7109375" customWidth="1"/>
    <col min="8" max="8" width="14.7109375" customWidth="1"/>
    <col min="9" max="9" width="11.7109375" customWidth="1"/>
    <col min="10" max="10" width="11.7109375" customWidth="1"/>
    <col min="11" max="11" width="11.7109375" customWidth="1"/>
    <col min="12" max="12" width="11.7109375" customWidth="1"/>
    <col min="13" max="13" width="11.7109375" customWidth="1"/>
    <col min="14" max="14" width="14.7109375" customWidth="1"/>
    <col min="15" max="15" width="14.7109375" customWidth="1"/>
    <col min="16" max="16" width="11.7109375" customWidth="1"/>
    <col min="17" max="17" width="11.7109375" customWidth="1"/>
    <col min="18" max="18" width="11.7109375" customWidth="1"/>
    <col min="19" max="19" width="11.7109375" customWidth="1"/>
    <col min="20" max="20" width="11.7109375" customWidth="1"/>
    <col min="21" max="21" width="18.7109375" customWidth="1"/>
    <col min="22" max="22" width="14.7109375" customWidth="1"/>
    <col min="23" max="23" width="10.7109375" customWidth="1"/>
    <col min="24" max="24" width="10.7109375" customWidth="1"/>
    <col min="25" max="25" width="10.7109375" customWidth="1"/>
    <col min="26" max="26" width="15.7109375" customWidth="1"/>
    <col min="27" max="27" width="14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  <col min="32" max="32" width="14.7109375" customWidth="1"/>
  </cols>
  <sheetData>
    <row r="1" spans="1:32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2"/>
      <c r="B2" s="2"/>
      <c r="C2" s="2"/>
      <c r="D2" s="2"/>
      <c r="E2" s="2"/>
      <c r="F2" s="2" t="s">
        <v>38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  <c r="AF2" s="2" t="s">
        <v>40</v>
      </c>
    </row>
    <row r="3" spans="1:32">
      <c r="A3" s="2" t="s">
        <v>6</v>
      </c>
      <c r="B3" s="2" t="s">
        <v>7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2" t="s">
        <v>48</v>
      </c>
      <c r="K3" s="2" t="s">
        <v>49</v>
      </c>
      <c r="L3" s="2" t="s">
        <v>50</v>
      </c>
      <c r="M3" s="2" t="s">
        <v>51</v>
      </c>
      <c r="N3" s="2" t="s">
        <v>45</v>
      </c>
      <c r="O3" s="2" t="s">
        <v>46</v>
      </c>
      <c r="P3" s="2" t="s">
        <v>47</v>
      </c>
      <c r="Q3" s="2" t="s">
        <v>48</v>
      </c>
      <c r="R3" s="2" t="s">
        <v>49</v>
      </c>
      <c r="S3" s="2" t="s">
        <v>50</v>
      </c>
      <c r="T3" s="2" t="s">
        <v>51</v>
      </c>
      <c r="U3" s="2" t="s">
        <v>45</v>
      </c>
      <c r="V3" s="2" t="s">
        <v>46</v>
      </c>
      <c r="W3" s="2" t="s">
        <v>47</v>
      </c>
      <c r="X3" s="2" t="s">
        <v>49</v>
      </c>
      <c r="Y3" s="2" t="s">
        <v>50</v>
      </c>
      <c r="Z3" s="2" t="s">
        <v>45</v>
      </c>
      <c r="AA3" s="2" t="s">
        <v>46</v>
      </c>
      <c r="AB3" s="2" t="s">
        <v>47</v>
      </c>
      <c r="AC3" s="2" t="s">
        <v>48</v>
      </c>
      <c r="AD3" s="2" t="s">
        <v>49</v>
      </c>
      <c r="AE3" s="2" t="s">
        <v>50</v>
      </c>
      <c r="AF3" s="2" t="s">
        <v>45</v>
      </c>
    </row>
    <row r="4" spans="1:32">
      <c r="A4" s="3">
        <v>8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HYPERLINK("http://141.218.60.56/~jnz1568/getInfo.php?workbook=08_01.xlsx&amp;sheet=A0&amp;row=4&amp;col=6&amp;number=&amp;sourceID=18","")</f>
        <v/>
      </c>
      <c r="G4" s="4" t="str">
        <f>HYPERLINK("http://141.218.60.56/~jnz1568/getInfo.php?workbook=08_01.xlsx&amp;sheet=A0&amp;row=4&amp;col=7&amp;number==SUM(H4:M4)&amp;sourceID=11","=SUM(H4:M4)")</f>
        <v>=SUM(H4:M4)</v>
      </c>
      <c r="H4" s="4" t="str">
        <f>HYPERLINK("http://141.218.60.56/~jnz1568/getInfo.php?workbook=08_01.xlsx&amp;sheet=A0&amp;row=4&amp;col=8&amp;number=2568400000000&amp;sourceID=11","2568400000000")</f>
        <v>2568400000000</v>
      </c>
      <c r="I4" s="4" t="str">
        <f>HYPERLINK("http://141.218.60.56/~jnz1568/getInfo.php?workbook=08_01.xlsx&amp;sheet=A0&amp;row=4&amp;col=9&amp;number=&amp;sourceID=11","")</f>
        <v/>
      </c>
      <c r="J4" s="4" t="str">
        <f>HYPERLINK("http://141.218.60.56/~jnz1568/getInfo.php?workbook=08_01.xlsx&amp;sheet=A0&amp;row=4&amp;col=10&amp;number=&amp;sourceID=11","")</f>
        <v/>
      </c>
      <c r="K4" s="4" t="str">
        <f>HYPERLINK("http://141.218.60.56/~jnz1568/getInfo.php?workbook=08_01.xlsx&amp;sheet=A0&amp;row=4&amp;col=11&amp;number=&amp;sourceID=11","")</f>
        <v/>
      </c>
      <c r="L4" s="4" t="str">
        <f>HYPERLINK("http://141.218.60.56/~jnz1568/getInfo.php?workbook=08_01.xlsx&amp;sheet=A0&amp;row=4&amp;col=12&amp;number=&amp;sourceID=11","")</f>
        <v/>
      </c>
      <c r="M4" s="4" t="str">
        <f>HYPERLINK("http://141.218.60.56/~jnz1568/getInfo.php?workbook=08_01.xlsx&amp;sheet=A0&amp;row=4&amp;col=13&amp;number=&amp;sourceID=11","")</f>
        <v/>
      </c>
      <c r="N4" s="4" t="str">
        <f>HYPERLINK("http://141.218.60.56/~jnz1568/getInfo.php?workbook=08_01.xlsx&amp;sheet=A0&amp;row=4&amp;col=14&amp;number=2568500000000&amp;sourceID=12","2568500000000")</f>
        <v>2568500000000</v>
      </c>
      <c r="O4" s="4" t="str">
        <f>HYPERLINK("http://141.218.60.56/~jnz1568/getInfo.php?workbook=08_01.xlsx&amp;sheet=A0&amp;row=4&amp;col=15&amp;number=2568500000000&amp;sourceID=12","2568500000000")</f>
        <v>2568500000000</v>
      </c>
      <c r="P4" s="4" t="str">
        <f>HYPERLINK("http://141.218.60.56/~jnz1568/getInfo.php?workbook=08_01.xlsx&amp;sheet=A0&amp;row=4&amp;col=16&amp;number=&amp;sourceID=12","")</f>
        <v/>
      </c>
      <c r="Q4" s="4" t="str">
        <f>HYPERLINK("http://141.218.60.56/~jnz1568/getInfo.php?workbook=08_01.xlsx&amp;sheet=A0&amp;row=4&amp;col=17&amp;number=&amp;sourceID=12","")</f>
        <v/>
      </c>
      <c r="R4" s="4" t="str">
        <f>HYPERLINK("http://141.218.60.56/~jnz1568/getInfo.php?workbook=08_01.xlsx&amp;sheet=A0&amp;row=4&amp;col=18&amp;number=&amp;sourceID=12","")</f>
        <v/>
      </c>
      <c r="S4" s="4" t="str">
        <f>HYPERLINK("http://141.218.60.56/~jnz1568/getInfo.php?workbook=08_01.xlsx&amp;sheet=A0&amp;row=4&amp;col=19&amp;number=&amp;sourceID=12","")</f>
        <v/>
      </c>
      <c r="T4" s="4" t="str">
        <f>HYPERLINK("http://141.218.60.56/~jnz1568/getInfo.php?workbook=08_01.xlsx&amp;sheet=A0&amp;row=4&amp;col=20&amp;number=&amp;sourceID=12","")</f>
        <v/>
      </c>
      <c r="U4" s="4" t="str">
        <f>HYPERLINK("http://141.218.60.56/~jnz1568/getInfo.php?workbook=08_01.xlsx&amp;sheet=A0&amp;row=4&amp;col=21&amp;number=2569000000000&amp;sourceID=30","2569000000000")</f>
        <v>2569000000000</v>
      </c>
      <c r="V4" s="4" t="str">
        <f>HYPERLINK("http://141.218.60.56/~jnz1568/getInfo.php?workbook=08_01.xlsx&amp;sheet=A0&amp;row=4&amp;col=22&amp;number=2569000000000&amp;sourceID=30","2569000000000")</f>
        <v>2569000000000</v>
      </c>
      <c r="W4" s="4" t="str">
        <f>HYPERLINK("http://141.218.60.56/~jnz1568/getInfo.php?workbook=08_01.xlsx&amp;sheet=A0&amp;row=4&amp;col=23&amp;number=&amp;sourceID=30","")</f>
        <v/>
      </c>
      <c r="X4" s="4" t="str">
        <f>HYPERLINK("http://141.218.60.56/~jnz1568/getInfo.php?workbook=08_01.xlsx&amp;sheet=A0&amp;row=4&amp;col=24&amp;number=&amp;sourceID=30","")</f>
        <v/>
      </c>
      <c r="Y4" s="4" t="str">
        <f>HYPERLINK("http://141.218.60.56/~jnz1568/getInfo.php?workbook=08_01.xlsx&amp;sheet=A0&amp;row=4&amp;col=25&amp;number=&amp;sourceID=30","")</f>
        <v/>
      </c>
      <c r="Z4" s="4" t="str">
        <f>HYPERLINK("http://141.218.60.56/~jnz1568/getInfo.php?workbook=08_01.xlsx&amp;sheet=A0&amp;row=4&amp;col=26&amp;number==SUM(AA4:AE4)&amp;sourceID=13","=SUM(AA4:AE4)")</f>
        <v>=SUM(AA4:AE4)</v>
      </c>
      <c r="AA4" s="4" t="str">
        <f>HYPERLINK("http://141.218.60.56/~jnz1568/getInfo.php?workbook=08_01.xlsx&amp;sheet=A0&amp;row=4&amp;col=27&amp;number=2560000000000&amp;sourceID=13","2560000000000")</f>
        <v>2560000000000</v>
      </c>
      <c r="AB4" s="4" t="str">
        <f>HYPERLINK("http://141.218.60.56/~jnz1568/getInfo.php?workbook=08_01.xlsx&amp;sheet=A0&amp;row=4&amp;col=28&amp;number=&amp;sourceID=13","")</f>
        <v/>
      </c>
      <c r="AC4" s="4" t="str">
        <f>HYPERLINK("http://141.218.60.56/~jnz1568/getInfo.php?workbook=08_01.xlsx&amp;sheet=A0&amp;row=4&amp;col=29&amp;number=&amp;sourceID=13","")</f>
        <v/>
      </c>
      <c r="AD4" s="4" t="str">
        <f>HYPERLINK("http://141.218.60.56/~jnz1568/getInfo.php?workbook=08_01.xlsx&amp;sheet=A0&amp;row=4&amp;col=30&amp;number=&amp;sourceID=13","")</f>
        <v/>
      </c>
      <c r="AE4" s="4" t="str">
        <f>HYPERLINK("http://141.218.60.56/~jnz1568/getInfo.php?workbook=08_01.xlsx&amp;sheet=A0&amp;row=4&amp;col=31&amp;number=&amp;sourceID=13","")</f>
        <v/>
      </c>
      <c r="AF4" s="4" t="str">
        <f>HYPERLINK("http://141.218.60.56/~jnz1568/getInfo.php?workbook=08_01.xlsx&amp;sheet=A0&amp;row=4&amp;col=32&amp;number=2568400000000&amp;sourceID=20","2568400000000")</f>
        <v>2568400000000</v>
      </c>
    </row>
    <row r="5" spans="1:32">
      <c r="A5" s="3">
        <v>8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HYPERLINK("http://141.218.60.56/~jnz1568/getInfo.php?workbook=08_01.xlsx&amp;sheet=A0&amp;row=5&amp;col=6&amp;number=2152500&amp;sourceID=18","2152500")</f>
        <v>2152500</v>
      </c>
      <c r="G5" s="4" t="str">
        <f>HYPERLINK("http://141.218.60.56/~jnz1568/getInfo.php?workbook=08_01.xlsx&amp;sheet=A0&amp;row=5&amp;col=7&amp;number=&amp;sourceID=11","")</f>
        <v/>
      </c>
      <c r="H5" s="4" t="str">
        <f>HYPERLINK("http://141.218.60.56/~jnz1568/getInfo.php?workbook=08_01.xlsx&amp;sheet=A0&amp;row=5&amp;col=8&amp;number=&amp;sourceID=11","")</f>
        <v/>
      </c>
      <c r="I5" s="4" t="str">
        <f>HYPERLINK("http://141.218.60.56/~jnz1568/getInfo.php?workbook=08_01.xlsx&amp;sheet=A0&amp;row=5&amp;col=9&amp;number=&amp;sourceID=11","")</f>
        <v/>
      </c>
      <c r="J5" s="4" t="str">
        <f>HYPERLINK("http://141.218.60.56/~jnz1568/getInfo.php?workbook=08_01.xlsx&amp;sheet=A0&amp;row=5&amp;col=10&amp;number=&amp;sourceID=11","")</f>
        <v/>
      </c>
      <c r="K5" s="4" t="str">
        <f>HYPERLINK("http://141.218.60.56/~jnz1568/getInfo.php?workbook=08_01.xlsx&amp;sheet=A0&amp;row=5&amp;col=11&amp;number=2689.5&amp;sourceID=11","2689.5")</f>
        <v>2689.5</v>
      </c>
      <c r="L5" s="4" t="str">
        <f>HYPERLINK("http://141.218.60.56/~jnz1568/getInfo.php?workbook=08_01.xlsx&amp;sheet=A0&amp;row=5&amp;col=12&amp;number=&amp;sourceID=11","")</f>
        <v/>
      </c>
      <c r="M5" s="4" t="str">
        <f>HYPERLINK("http://141.218.60.56/~jnz1568/getInfo.php?workbook=08_01.xlsx&amp;sheet=A0&amp;row=5&amp;col=13&amp;number=&amp;sourceID=11","")</f>
        <v/>
      </c>
      <c r="N5" s="4" t="str">
        <f>HYPERLINK("http://141.218.60.56/~jnz1568/getInfo.php?workbook=08_01.xlsx&amp;sheet=A0&amp;row=5&amp;col=14&amp;number=&amp;sourceID=12","")</f>
        <v/>
      </c>
      <c r="O5" s="4" t="str">
        <f>HYPERLINK("http://141.218.60.56/~jnz1568/getInfo.php?workbook=08_01.xlsx&amp;sheet=A0&amp;row=5&amp;col=15&amp;number=&amp;sourceID=12","")</f>
        <v/>
      </c>
      <c r="P5" s="4" t="str">
        <f>HYPERLINK("http://141.218.60.56/~jnz1568/getInfo.php?workbook=08_01.xlsx&amp;sheet=A0&amp;row=5&amp;col=16&amp;number=&amp;sourceID=12","")</f>
        <v/>
      </c>
      <c r="Q5" s="4" t="str">
        <f>HYPERLINK("http://141.218.60.56/~jnz1568/getInfo.php?workbook=08_01.xlsx&amp;sheet=A0&amp;row=5&amp;col=17&amp;number=&amp;sourceID=12","")</f>
        <v/>
      </c>
      <c r="R5" s="4" t="str">
        <f>HYPERLINK("http://141.218.60.56/~jnz1568/getInfo.php?workbook=08_01.xlsx&amp;sheet=A0&amp;row=5&amp;col=18&amp;number=2689.6&amp;sourceID=12","2689.6")</f>
        <v>2689.6</v>
      </c>
      <c r="S5" s="4" t="str">
        <f>HYPERLINK("http://141.218.60.56/~jnz1568/getInfo.php?workbook=08_01.xlsx&amp;sheet=A0&amp;row=5&amp;col=19&amp;number=&amp;sourceID=12","")</f>
        <v/>
      </c>
      <c r="T5" s="4" t="str">
        <f>HYPERLINK("http://141.218.60.56/~jnz1568/getInfo.php?workbook=08_01.xlsx&amp;sheet=A0&amp;row=5&amp;col=20&amp;number=&amp;sourceID=12","")</f>
        <v/>
      </c>
      <c r="U5" s="4" t="str">
        <f>HYPERLINK("http://141.218.60.56/~jnz1568/getInfo.php?workbook=08_01.xlsx&amp;sheet=A0&amp;row=5&amp;col=21&amp;number=&amp;sourceID=30","")</f>
        <v/>
      </c>
      <c r="V5" s="4" t="str">
        <f>HYPERLINK("http://141.218.60.56/~jnz1568/getInfo.php?workbook=08_01.xlsx&amp;sheet=A0&amp;row=5&amp;col=22&amp;number=&amp;sourceID=30","")</f>
        <v/>
      </c>
      <c r="W5" s="4" t="str">
        <f>HYPERLINK("http://141.218.60.56/~jnz1568/getInfo.php?workbook=08_01.xlsx&amp;sheet=A0&amp;row=5&amp;col=23&amp;number=&amp;sourceID=30","")</f>
        <v/>
      </c>
      <c r="X5" s="4" t="str">
        <f>HYPERLINK("http://141.218.60.56/~jnz1568/getInfo.php?workbook=08_01.xlsx&amp;sheet=A0&amp;row=5&amp;col=24&amp;number=2690&amp;sourceID=30","2690")</f>
        <v>2690</v>
      </c>
      <c r="Y5" s="4" t="str">
        <f>HYPERLINK("http://141.218.60.56/~jnz1568/getInfo.php?workbook=08_01.xlsx&amp;sheet=A0&amp;row=5&amp;col=25&amp;number=&amp;sourceID=30","")</f>
        <v/>
      </c>
      <c r="Z5" s="4" t="str">
        <f>HYPERLINK("http://141.218.60.56/~jnz1568/getInfo.php?workbook=08_01.xlsx&amp;sheet=A0&amp;row=5&amp;col=26&amp;number=&amp;sourceID=13","")</f>
        <v/>
      </c>
      <c r="AA5" s="4" t="str">
        <f>HYPERLINK("http://141.218.60.56/~jnz1568/getInfo.php?workbook=08_01.xlsx&amp;sheet=A0&amp;row=5&amp;col=27&amp;number=&amp;sourceID=13","")</f>
        <v/>
      </c>
      <c r="AB5" s="4" t="str">
        <f>HYPERLINK("http://141.218.60.56/~jnz1568/getInfo.php?workbook=08_01.xlsx&amp;sheet=A0&amp;row=5&amp;col=28&amp;number=&amp;sourceID=13","")</f>
        <v/>
      </c>
      <c r="AC5" s="4" t="str">
        <f>HYPERLINK("http://141.218.60.56/~jnz1568/getInfo.php?workbook=08_01.xlsx&amp;sheet=A0&amp;row=5&amp;col=29&amp;number=&amp;sourceID=13","")</f>
        <v/>
      </c>
      <c r="AD5" s="4" t="str">
        <f>HYPERLINK("http://141.218.60.56/~jnz1568/getInfo.php?workbook=08_01.xlsx&amp;sheet=A0&amp;row=5&amp;col=30&amp;number=2690&amp;sourceID=13","2690")</f>
        <v>2690</v>
      </c>
      <c r="AE5" s="4" t="str">
        <f>HYPERLINK("http://141.218.60.56/~jnz1568/getInfo.php?workbook=08_01.xlsx&amp;sheet=A0&amp;row=5&amp;col=31&amp;number=&amp;sourceID=13","")</f>
        <v/>
      </c>
      <c r="AF5" s="4" t="str">
        <f>HYPERLINK("http://141.218.60.56/~jnz1568/getInfo.php?workbook=08_01.xlsx&amp;sheet=A0&amp;row=5&amp;col=32&amp;number=&amp;sourceID=20","")</f>
        <v/>
      </c>
    </row>
    <row r="6" spans="1:32">
      <c r="A6" s="3">
        <v>8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HYPERLINK("http://141.218.60.56/~jnz1568/getInfo.php?workbook=08_01.xlsx&amp;sheet=A0&amp;row=6&amp;col=6&amp;number=&amp;sourceID=18","")</f>
        <v/>
      </c>
      <c r="G6" s="4" t="str">
        <f>HYPERLINK("http://141.218.60.56/~jnz1568/getInfo.php?workbook=08_01.xlsx&amp;sheet=A0&amp;row=6&amp;col=7&amp;number==SUM(H6:M6)&amp;sourceID=11","=SUM(H6:M6)")</f>
        <v>=SUM(H6:M6)</v>
      </c>
      <c r="H6" s="4" t="str">
        <f>HYPERLINK("http://141.218.60.56/~jnz1568/getInfo.php?workbook=08_01.xlsx&amp;sheet=A0&amp;row=6&amp;col=8&amp;number=2565400000000&amp;sourceID=11","2565400000000")</f>
        <v>2565400000000</v>
      </c>
      <c r="I6" s="4" t="str">
        <f>HYPERLINK("http://141.218.60.56/~jnz1568/getInfo.php?workbook=08_01.xlsx&amp;sheet=A0&amp;row=6&amp;col=9&amp;number=&amp;sourceID=11","")</f>
        <v/>
      </c>
      <c r="J6" s="4" t="str">
        <f>HYPERLINK("http://141.218.60.56/~jnz1568/getInfo.php?workbook=08_01.xlsx&amp;sheet=A0&amp;row=6&amp;col=10&amp;number=&amp;sourceID=11","")</f>
        <v/>
      </c>
      <c r="K6" s="4" t="str">
        <f>HYPERLINK("http://141.218.60.56/~jnz1568/getInfo.php?workbook=08_01.xlsx&amp;sheet=A0&amp;row=6&amp;col=11&amp;number=&amp;sourceID=11","")</f>
        <v/>
      </c>
      <c r="L6" s="4" t="str">
        <f>HYPERLINK("http://141.218.60.56/~jnz1568/getInfo.php?workbook=08_01.xlsx&amp;sheet=A0&amp;row=6&amp;col=12&amp;number=787040&amp;sourceID=11","787040")</f>
        <v>787040</v>
      </c>
      <c r="M6" s="4" t="str">
        <f>HYPERLINK("http://141.218.60.56/~jnz1568/getInfo.php?workbook=08_01.xlsx&amp;sheet=A0&amp;row=6&amp;col=13&amp;number=&amp;sourceID=11","")</f>
        <v/>
      </c>
      <c r="N6" s="4" t="str">
        <f>HYPERLINK("http://141.218.60.56/~jnz1568/getInfo.php?workbook=08_01.xlsx&amp;sheet=A0&amp;row=6&amp;col=14&amp;number=2565500000000&amp;sourceID=12","2565500000000")</f>
        <v>2565500000000</v>
      </c>
      <c r="O6" s="4" t="str">
        <f>HYPERLINK("http://141.218.60.56/~jnz1568/getInfo.php?workbook=08_01.xlsx&amp;sheet=A0&amp;row=6&amp;col=15&amp;number=2565500000000&amp;sourceID=12","2565500000000")</f>
        <v>2565500000000</v>
      </c>
      <c r="P6" s="4" t="str">
        <f>HYPERLINK("http://141.218.60.56/~jnz1568/getInfo.php?workbook=08_01.xlsx&amp;sheet=A0&amp;row=6&amp;col=16&amp;number=&amp;sourceID=12","")</f>
        <v/>
      </c>
      <c r="Q6" s="4" t="str">
        <f>HYPERLINK("http://141.218.60.56/~jnz1568/getInfo.php?workbook=08_01.xlsx&amp;sheet=A0&amp;row=6&amp;col=17&amp;number=&amp;sourceID=12","")</f>
        <v/>
      </c>
      <c r="R6" s="4" t="str">
        <f>HYPERLINK("http://141.218.60.56/~jnz1568/getInfo.php?workbook=08_01.xlsx&amp;sheet=A0&amp;row=6&amp;col=18&amp;number=&amp;sourceID=12","")</f>
        <v/>
      </c>
      <c r="S6" s="4" t="str">
        <f>HYPERLINK("http://141.218.60.56/~jnz1568/getInfo.php?workbook=08_01.xlsx&amp;sheet=A0&amp;row=6&amp;col=19&amp;number=787070&amp;sourceID=12","787070")</f>
        <v>787070</v>
      </c>
      <c r="T6" s="4" t="str">
        <f>HYPERLINK("http://141.218.60.56/~jnz1568/getInfo.php?workbook=08_01.xlsx&amp;sheet=A0&amp;row=6&amp;col=20&amp;number=&amp;sourceID=12","")</f>
        <v/>
      </c>
      <c r="U6" s="4" t="str">
        <f>HYPERLINK("http://141.218.60.56/~jnz1568/getInfo.php?workbook=08_01.xlsx&amp;sheet=A0&amp;row=6&amp;col=21&amp;number=2566000787100&amp;sourceID=30","2566000787100")</f>
        <v>2566000787100</v>
      </c>
      <c r="V6" s="4" t="str">
        <f>HYPERLINK("http://141.218.60.56/~jnz1568/getInfo.php?workbook=08_01.xlsx&amp;sheet=A0&amp;row=6&amp;col=22&amp;number=2566000000000&amp;sourceID=30","2566000000000")</f>
        <v>2566000000000</v>
      </c>
      <c r="W6" s="4" t="str">
        <f>HYPERLINK("http://141.218.60.56/~jnz1568/getInfo.php?workbook=08_01.xlsx&amp;sheet=A0&amp;row=6&amp;col=23&amp;number=&amp;sourceID=30","")</f>
        <v/>
      </c>
      <c r="X6" s="4" t="str">
        <f>HYPERLINK("http://141.218.60.56/~jnz1568/getInfo.php?workbook=08_01.xlsx&amp;sheet=A0&amp;row=6&amp;col=24&amp;number=&amp;sourceID=30","")</f>
        <v/>
      </c>
      <c r="Y6" s="4" t="str">
        <f>HYPERLINK("http://141.218.60.56/~jnz1568/getInfo.php?workbook=08_01.xlsx&amp;sheet=A0&amp;row=6&amp;col=25&amp;number=787100&amp;sourceID=30","787100")</f>
        <v>787100</v>
      </c>
      <c r="Z6" s="4" t="str">
        <f>HYPERLINK("http://141.218.60.56/~jnz1568/getInfo.php?workbook=08_01.xlsx&amp;sheet=A0&amp;row=6&amp;col=26&amp;number==SUM(AA6:AE6)&amp;sourceID=13","=SUM(AA6:AE6)")</f>
        <v>=SUM(AA6:AE6)</v>
      </c>
      <c r="AA6" s="4" t="str">
        <f>HYPERLINK("http://141.218.60.56/~jnz1568/getInfo.php?workbook=08_01.xlsx&amp;sheet=A0&amp;row=6&amp;col=27&amp;number=2560000000000&amp;sourceID=13","2560000000000")</f>
        <v>2560000000000</v>
      </c>
      <c r="AB6" s="4" t="str">
        <f>HYPERLINK("http://141.218.60.56/~jnz1568/getInfo.php?workbook=08_01.xlsx&amp;sheet=A0&amp;row=6&amp;col=28&amp;number=&amp;sourceID=13","")</f>
        <v/>
      </c>
      <c r="AC6" s="4" t="str">
        <f>HYPERLINK("http://141.218.60.56/~jnz1568/getInfo.php?workbook=08_01.xlsx&amp;sheet=A0&amp;row=6&amp;col=29&amp;number=&amp;sourceID=13","")</f>
        <v/>
      </c>
      <c r="AD6" s="4" t="str">
        <f>HYPERLINK("http://141.218.60.56/~jnz1568/getInfo.php?workbook=08_01.xlsx&amp;sheet=A0&amp;row=6&amp;col=30&amp;number=&amp;sourceID=13","")</f>
        <v/>
      </c>
      <c r="AE6" s="4" t="str">
        <f>HYPERLINK("http://141.218.60.56/~jnz1568/getInfo.php?workbook=08_01.xlsx&amp;sheet=A0&amp;row=6&amp;col=31&amp;number=&amp;sourceID=13","")</f>
        <v/>
      </c>
      <c r="AF6" s="4" t="str">
        <f>HYPERLINK("http://141.218.60.56/~jnz1568/getInfo.php?workbook=08_01.xlsx&amp;sheet=A0&amp;row=6&amp;col=32&amp;number=2565400000000&amp;sourceID=20","2565400000000")</f>
        <v>2565400000000</v>
      </c>
    </row>
    <row r="7" spans="1:32">
      <c r="A7" s="3">
        <v>8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HYPERLINK("http://141.218.60.56/~jnz1568/getInfo.php?workbook=08_01.xlsx&amp;sheet=A0&amp;row=7&amp;col=6&amp;number=&amp;sourceID=18","")</f>
        <v/>
      </c>
      <c r="G7" s="4" t="str">
        <f>HYPERLINK("http://141.218.60.56/~jnz1568/getInfo.php?workbook=08_01.xlsx&amp;sheet=A0&amp;row=7&amp;col=7&amp;number==&amp;sourceID=11","=")</f>
        <v>=</v>
      </c>
      <c r="H7" s="4" t="str">
        <f>HYPERLINK("http://141.218.60.56/~jnz1568/getInfo.php?workbook=08_01.xlsx&amp;sheet=A0&amp;row=7&amp;col=8&amp;number=&amp;sourceID=11","")</f>
        <v/>
      </c>
      <c r="I7" s="4" t="str">
        <f>HYPERLINK("http://141.218.60.56/~jnz1568/getInfo.php?workbook=08_01.xlsx&amp;sheet=A0&amp;row=7&amp;col=9&amp;number=3.7136e-08&amp;sourceID=11","3.7136e-08")</f>
        <v>3.7136e-08</v>
      </c>
      <c r="J7" s="4" t="str">
        <f>HYPERLINK("http://141.218.60.56/~jnz1568/getInfo.php?workbook=08_01.xlsx&amp;sheet=A0&amp;row=7&amp;col=10&amp;number=&amp;sourceID=11","")</f>
        <v/>
      </c>
      <c r="K7" s="4" t="str">
        <f>HYPERLINK("http://141.218.60.56/~jnz1568/getInfo.php?workbook=08_01.xlsx&amp;sheet=A0&amp;row=7&amp;col=11&amp;number=0.030281&amp;sourceID=11","0.030281")</f>
        <v>0.030281</v>
      </c>
      <c r="L7" s="4" t="str">
        <f>HYPERLINK("http://141.218.60.56/~jnz1568/getInfo.php?workbook=08_01.xlsx&amp;sheet=A0&amp;row=7&amp;col=12&amp;number=&amp;sourceID=11","")</f>
        <v/>
      </c>
      <c r="M7" s="4" t="str">
        <f>HYPERLINK("http://141.218.60.56/~jnz1568/getInfo.php?workbook=08_01.xlsx&amp;sheet=A0&amp;row=7&amp;col=13&amp;number=&amp;sourceID=11","")</f>
        <v/>
      </c>
      <c r="N7" s="4" t="str">
        <f>HYPERLINK("http://141.218.60.56/~jnz1568/getInfo.php?workbook=08_01.xlsx&amp;sheet=A0&amp;row=7&amp;col=14&amp;number=0.030282&amp;sourceID=12","0.030282")</f>
        <v>0.030282</v>
      </c>
      <c r="O7" s="4" t="str">
        <f>HYPERLINK("http://141.218.60.56/~jnz1568/getInfo.php?workbook=08_01.xlsx&amp;sheet=A0&amp;row=7&amp;col=15&amp;number=&amp;sourceID=12","")</f>
        <v/>
      </c>
      <c r="P7" s="4" t="str">
        <f>HYPERLINK("http://141.218.60.56/~jnz1568/getInfo.php?workbook=08_01.xlsx&amp;sheet=A0&amp;row=7&amp;col=16&amp;number=3.7137e-08&amp;sourceID=12","3.7137e-08")</f>
        <v>3.7137e-08</v>
      </c>
      <c r="Q7" s="4" t="str">
        <f>HYPERLINK("http://141.218.60.56/~jnz1568/getInfo.php?workbook=08_01.xlsx&amp;sheet=A0&amp;row=7&amp;col=17&amp;number=&amp;sourceID=12","")</f>
        <v/>
      </c>
      <c r="R7" s="4" t="str">
        <f>HYPERLINK("http://141.218.60.56/~jnz1568/getInfo.php?workbook=08_01.xlsx&amp;sheet=A0&amp;row=7&amp;col=18&amp;number=0.030282&amp;sourceID=12","0.030282")</f>
        <v>0.030282</v>
      </c>
      <c r="S7" s="4" t="str">
        <f>HYPERLINK("http://141.218.60.56/~jnz1568/getInfo.php?workbook=08_01.xlsx&amp;sheet=A0&amp;row=7&amp;col=19&amp;number=&amp;sourceID=12","")</f>
        <v/>
      </c>
      <c r="T7" s="4" t="str">
        <f>HYPERLINK("http://141.218.60.56/~jnz1568/getInfo.php?workbook=08_01.xlsx&amp;sheet=A0&amp;row=7&amp;col=20&amp;number=&amp;sourceID=12","")</f>
        <v/>
      </c>
      <c r="U7" s="4" t="str">
        <f>HYPERLINK("http://141.218.60.56/~jnz1568/getInfo.php?workbook=08_01.xlsx&amp;sheet=A0&amp;row=7&amp;col=21&amp;number=0.03028003714&amp;sourceID=30","0.03028003714")</f>
        <v>0.03028003714</v>
      </c>
      <c r="V7" s="4" t="str">
        <f>HYPERLINK("http://141.218.60.56/~jnz1568/getInfo.php?workbook=08_01.xlsx&amp;sheet=A0&amp;row=7&amp;col=22&amp;number=&amp;sourceID=30","")</f>
        <v/>
      </c>
      <c r="W7" s="4" t="str">
        <f>HYPERLINK("http://141.218.60.56/~jnz1568/getInfo.php?workbook=08_01.xlsx&amp;sheet=A0&amp;row=7&amp;col=23&amp;number=3.714e-08&amp;sourceID=30","3.714e-08")</f>
        <v>3.714e-08</v>
      </c>
      <c r="X7" s="4" t="str">
        <f>HYPERLINK("http://141.218.60.56/~jnz1568/getInfo.php?workbook=08_01.xlsx&amp;sheet=A0&amp;row=7&amp;col=24&amp;number=0.03028&amp;sourceID=30","0.03028")</f>
        <v>0.03028</v>
      </c>
      <c r="Y7" s="4" t="str">
        <f>HYPERLINK("http://141.218.60.56/~jnz1568/getInfo.php?workbook=08_01.xlsx&amp;sheet=A0&amp;row=7&amp;col=25&amp;number=&amp;sourceID=30","")</f>
        <v/>
      </c>
      <c r="Z7" s="4" t="str">
        <f>HYPERLINK("http://141.218.60.56/~jnz1568/getInfo.php?workbook=08_01.xlsx&amp;sheet=A0&amp;row=7&amp;col=26&amp;number==&amp;sourceID=13","=")</f>
        <v>=</v>
      </c>
      <c r="AA7" s="4" t="str">
        <f>HYPERLINK("http://141.218.60.56/~jnz1568/getInfo.php?workbook=08_01.xlsx&amp;sheet=A0&amp;row=7&amp;col=27&amp;number=&amp;sourceID=13","")</f>
        <v/>
      </c>
      <c r="AB7" s="4" t="str">
        <f>HYPERLINK("http://141.218.60.56/~jnz1568/getInfo.php?workbook=08_01.xlsx&amp;sheet=A0&amp;row=7&amp;col=28&amp;number=3.69e-08&amp;sourceID=13","3.69e-08")</f>
        <v>3.69e-08</v>
      </c>
      <c r="AC7" s="4" t="str">
        <f>HYPERLINK("http://141.218.60.56/~jnz1568/getInfo.php?workbook=08_01.xlsx&amp;sheet=A0&amp;row=7&amp;col=29&amp;number=&amp;sourceID=13","")</f>
        <v/>
      </c>
      <c r="AD7" s="4" t="str">
        <f>HYPERLINK("http://141.218.60.56/~jnz1568/getInfo.php?workbook=08_01.xlsx&amp;sheet=A0&amp;row=7&amp;col=30&amp;number=0.0302&amp;sourceID=13","0.0302")</f>
        <v>0.0302</v>
      </c>
      <c r="AE7" s="4" t="str">
        <f>HYPERLINK("http://141.218.60.56/~jnz1568/getInfo.php?workbook=08_01.xlsx&amp;sheet=A0&amp;row=7&amp;col=31&amp;number=&amp;sourceID=13","")</f>
        <v/>
      </c>
      <c r="AF7" s="4" t="str">
        <f>HYPERLINK("http://141.218.60.56/~jnz1568/getInfo.php?workbook=08_01.xlsx&amp;sheet=A0&amp;row=7&amp;col=32&amp;number=&amp;sourceID=20","")</f>
        <v/>
      </c>
    </row>
    <row r="8" spans="1:32">
      <c r="A8" s="3">
        <v>8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HYPERLINK("http://141.218.60.56/~jnz1568/getInfo.php?workbook=08_01.xlsx&amp;sheet=A0&amp;row=8&amp;col=6&amp;number=&amp;sourceID=18","")</f>
        <v/>
      </c>
      <c r="G8" s="4" t="str">
        <f>HYPERLINK("http://141.218.60.56/~jnz1568/getInfo.php?workbook=08_01.xlsx&amp;sheet=A0&amp;row=8&amp;col=7&amp;number==&amp;sourceID=11","=")</f>
        <v>=</v>
      </c>
      <c r="H8" s="4" t="str">
        <f>HYPERLINK("http://141.218.60.56/~jnz1568/getInfo.php?workbook=08_01.xlsx&amp;sheet=A0&amp;row=8&amp;col=8&amp;number=958.9&amp;sourceID=11","958.9")</f>
        <v>958.9</v>
      </c>
      <c r="I8" s="4" t="str">
        <f>HYPERLINK("http://141.218.60.56/~jnz1568/getInfo.php?workbook=08_01.xlsx&amp;sheet=A0&amp;row=8&amp;col=9&amp;number=&amp;sourceID=11","")</f>
        <v/>
      </c>
      <c r="J8" s="4" t="str">
        <f>HYPERLINK("http://141.218.60.56/~jnz1568/getInfo.php?workbook=08_01.xlsx&amp;sheet=A0&amp;row=8&amp;col=10&amp;number=&amp;sourceID=11","")</f>
        <v/>
      </c>
      <c r="K8" s="4" t="str">
        <f>HYPERLINK("http://141.218.60.56/~jnz1568/getInfo.php?workbook=08_01.xlsx&amp;sheet=A0&amp;row=8&amp;col=11&amp;number=&amp;sourceID=11","")</f>
        <v/>
      </c>
      <c r="L8" s="4" t="str">
        <f>HYPERLINK("http://141.218.60.56/~jnz1568/getInfo.php?workbook=08_01.xlsx&amp;sheet=A0&amp;row=8&amp;col=12&amp;number=2.3785e-11&amp;sourceID=11","2.3785e-11")</f>
        <v>2.3785e-11</v>
      </c>
      <c r="M8" s="4" t="str">
        <f>HYPERLINK("http://141.218.60.56/~jnz1568/getInfo.php?workbook=08_01.xlsx&amp;sheet=A0&amp;row=8&amp;col=13&amp;number=&amp;sourceID=11","")</f>
        <v/>
      </c>
      <c r="N8" s="4" t="str">
        <f>HYPERLINK("http://141.218.60.56/~jnz1568/getInfo.php?workbook=08_01.xlsx&amp;sheet=A0&amp;row=8&amp;col=14&amp;number=958.93&amp;sourceID=12","958.93")</f>
        <v>958.93</v>
      </c>
      <c r="O8" s="4" t="str">
        <f>HYPERLINK("http://141.218.60.56/~jnz1568/getInfo.php?workbook=08_01.xlsx&amp;sheet=A0&amp;row=8&amp;col=15&amp;number=958.93&amp;sourceID=12","958.93")</f>
        <v>958.93</v>
      </c>
      <c r="P8" s="4" t="str">
        <f>HYPERLINK("http://141.218.60.56/~jnz1568/getInfo.php?workbook=08_01.xlsx&amp;sheet=A0&amp;row=8&amp;col=16&amp;number=&amp;sourceID=12","")</f>
        <v/>
      </c>
      <c r="Q8" s="4" t="str">
        <f>HYPERLINK("http://141.218.60.56/~jnz1568/getInfo.php?workbook=08_01.xlsx&amp;sheet=A0&amp;row=8&amp;col=17&amp;number=&amp;sourceID=12","")</f>
        <v/>
      </c>
      <c r="R8" s="4" t="str">
        <f>HYPERLINK("http://141.218.60.56/~jnz1568/getInfo.php?workbook=08_01.xlsx&amp;sheet=A0&amp;row=8&amp;col=18&amp;number=&amp;sourceID=12","")</f>
        <v/>
      </c>
      <c r="S8" s="4" t="str">
        <f>HYPERLINK("http://141.218.60.56/~jnz1568/getInfo.php?workbook=08_01.xlsx&amp;sheet=A0&amp;row=8&amp;col=19&amp;number=2.3785e-11&amp;sourceID=12","2.3785e-11")</f>
        <v>2.3785e-11</v>
      </c>
      <c r="T8" s="4" t="str">
        <f>HYPERLINK("http://141.218.60.56/~jnz1568/getInfo.php?workbook=08_01.xlsx&amp;sheet=A0&amp;row=8&amp;col=20&amp;number=&amp;sourceID=12","")</f>
        <v/>
      </c>
      <c r="U8" s="4" t="str">
        <f>HYPERLINK("http://141.218.60.56/~jnz1568/getInfo.php?workbook=08_01.xlsx&amp;sheet=A0&amp;row=8&amp;col=21&amp;number=958.9&amp;sourceID=30","958.9")</f>
        <v>958.9</v>
      </c>
      <c r="V8" s="4" t="str">
        <f>HYPERLINK("http://141.218.60.56/~jnz1568/getInfo.php?workbook=08_01.xlsx&amp;sheet=A0&amp;row=8&amp;col=22&amp;number=958.9&amp;sourceID=30","958.9")</f>
        <v>958.9</v>
      </c>
      <c r="W8" s="4" t="str">
        <f>HYPERLINK("http://141.218.60.56/~jnz1568/getInfo.php?workbook=08_01.xlsx&amp;sheet=A0&amp;row=8&amp;col=23&amp;number=&amp;sourceID=30","")</f>
        <v/>
      </c>
      <c r="X8" s="4" t="str">
        <f>HYPERLINK("http://141.218.60.56/~jnz1568/getInfo.php?workbook=08_01.xlsx&amp;sheet=A0&amp;row=8&amp;col=24&amp;number=&amp;sourceID=30","")</f>
        <v/>
      </c>
      <c r="Y8" s="4" t="str">
        <f>HYPERLINK("http://141.218.60.56/~jnz1568/getInfo.php?workbook=08_01.xlsx&amp;sheet=A0&amp;row=8&amp;col=25&amp;number=2.379e-11&amp;sourceID=30","2.379e-11")</f>
        <v>2.379e-11</v>
      </c>
      <c r="Z8" s="4" t="str">
        <f>HYPERLINK("http://141.218.60.56/~jnz1568/getInfo.php?workbook=08_01.xlsx&amp;sheet=A0&amp;row=8&amp;col=26&amp;number==&amp;sourceID=13","=")</f>
        <v>=</v>
      </c>
      <c r="AA8" s="4" t="str">
        <f>HYPERLINK("http://141.218.60.56/~jnz1568/getInfo.php?workbook=08_01.xlsx&amp;sheet=A0&amp;row=8&amp;col=27&amp;number=949&amp;sourceID=13","949")</f>
        <v>949</v>
      </c>
      <c r="AB8" s="4" t="str">
        <f>HYPERLINK("http://141.218.60.56/~jnz1568/getInfo.php?workbook=08_01.xlsx&amp;sheet=A0&amp;row=8&amp;col=28&amp;number=&amp;sourceID=13","")</f>
        <v/>
      </c>
      <c r="AC8" s="4" t="str">
        <f>HYPERLINK("http://141.218.60.56/~jnz1568/getInfo.php?workbook=08_01.xlsx&amp;sheet=A0&amp;row=8&amp;col=29&amp;number=&amp;sourceID=13","")</f>
        <v/>
      </c>
      <c r="AD8" s="4" t="str">
        <f>HYPERLINK("http://141.218.60.56/~jnz1568/getInfo.php?workbook=08_01.xlsx&amp;sheet=A0&amp;row=8&amp;col=30&amp;number=&amp;sourceID=13","")</f>
        <v/>
      </c>
      <c r="AE8" s="4" t="str">
        <f>HYPERLINK("http://141.218.60.56/~jnz1568/getInfo.php?workbook=08_01.xlsx&amp;sheet=A0&amp;row=8&amp;col=31&amp;number=&amp;sourceID=13","")</f>
        <v/>
      </c>
      <c r="AF8" s="4" t="str">
        <f>HYPERLINK("http://141.218.60.56/~jnz1568/getInfo.php?workbook=08_01.xlsx&amp;sheet=A0&amp;row=8&amp;col=32&amp;number=&amp;sourceID=20","")</f>
        <v/>
      </c>
    </row>
    <row r="9" spans="1:32">
      <c r="A9" s="3">
        <v>8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HYPERLINK("http://141.218.60.56/~jnz1568/getInfo.php?workbook=08_01.xlsx&amp;sheet=A0&amp;row=9&amp;col=6&amp;number=&amp;sourceID=18","")</f>
        <v/>
      </c>
      <c r="G9" s="4" t="str">
        <f>HYPERLINK("http://141.218.60.56/~jnz1568/getInfo.php?workbook=08_01.xlsx&amp;sheet=A0&amp;row=9&amp;col=7&amp;number==&amp;sourceID=11","=")</f>
        <v>=</v>
      </c>
      <c r="H9" s="4" t="str">
        <f>HYPERLINK("http://141.218.60.56/~jnz1568/getInfo.php?workbook=08_01.xlsx&amp;sheet=A0&amp;row=9&amp;col=8&amp;number=685050000000&amp;sourceID=11","685050000000")</f>
        <v>685050000000</v>
      </c>
      <c r="I9" s="4" t="str">
        <f>HYPERLINK("http://141.218.60.56/~jnz1568/getInfo.php?workbook=08_01.xlsx&amp;sheet=A0&amp;row=9&amp;col=9&amp;number=&amp;sourceID=11","")</f>
        <v/>
      </c>
      <c r="J9" s="4" t="str">
        <f>HYPERLINK("http://141.218.60.56/~jnz1568/getInfo.php?workbook=08_01.xlsx&amp;sheet=A0&amp;row=9&amp;col=10&amp;number=&amp;sourceID=11","")</f>
        <v/>
      </c>
      <c r="K9" s="4" t="str">
        <f>HYPERLINK("http://141.218.60.56/~jnz1568/getInfo.php?workbook=08_01.xlsx&amp;sheet=A0&amp;row=9&amp;col=11&amp;number=&amp;sourceID=11","")</f>
        <v/>
      </c>
      <c r="L9" s="4" t="str">
        <f>HYPERLINK("http://141.218.60.56/~jnz1568/getInfo.php?workbook=08_01.xlsx&amp;sheet=A0&amp;row=9&amp;col=12&amp;number=&amp;sourceID=11","")</f>
        <v/>
      </c>
      <c r="M9" s="4" t="str">
        <f>HYPERLINK("http://141.218.60.56/~jnz1568/getInfo.php?workbook=08_01.xlsx&amp;sheet=A0&amp;row=9&amp;col=13&amp;number=&amp;sourceID=11","")</f>
        <v/>
      </c>
      <c r="N9" s="4" t="str">
        <f>HYPERLINK("http://141.218.60.56/~jnz1568/getInfo.php?workbook=08_01.xlsx&amp;sheet=A0&amp;row=9&amp;col=14&amp;number=685070000000&amp;sourceID=12","685070000000")</f>
        <v>685070000000</v>
      </c>
      <c r="O9" s="4" t="str">
        <f>HYPERLINK("http://141.218.60.56/~jnz1568/getInfo.php?workbook=08_01.xlsx&amp;sheet=A0&amp;row=9&amp;col=15&amp;number=685070000000&amp;sourceID=12","685070000000")</f>
        <v>685070000000</v>
      </c>
      <c r="P9" s="4" t="str">
        <f>HYPERLINK("http://141.218.60.56/~jnz1568/getInfo.php?workbook=08_01.xlsx&amp;sheet=A0&amp;row=9&amp;col=16&amp;number=&amp;sourceID=12","")</f>
        <v/>
      </c>
      <c r="Q9" s="4" t="str">
        <f>HYPERLINK("http://141.218.60.56/~jnz1568/getInfo.php?workbook=08_01.xlsx&amp;sheet=A0&amp;row=9&amp;col=17&amp;number=&amp;sourceID=12","")</f>
        <v/>
      </c>
      <c r="R9" s="4" t="str">
        <f>HYPERLINK("http://141.218.60.56/~jnz1568/getInfo.php?workbook=08_01.xlsx&amp;sheet=A0&amp;row=9&amp;col=18&amp;number=&amp;sourceID=12","")</f>
        <v/>
      </c>
      <c r="S9" s="4" t="str">
        <f>HYPERLINK("http://141.218.60.56/~jnz1568/getInfo.php?workbook=08_01.xlsx&amp;sheet=A0&amp;row=9&amp;col=19&amp;number=&amp;sourceID=12","")</f>
        <v/>
      </c>
      <c r="T9" s="4" t="str">
        <f>HYPERLINK("http://141.218.60.56/~jnz1568/getInfo.php?workbook=08_01.xlsx&amp;sheet=A0&amp;row=9&amp;col=20&amp;number=&amp;sourceID=12","")</f>
        <v/>
      </c>
      <c r="U9" s="4" t="str">
        <f>HYPERLINK("http://141.218.60.56/~jnz1568/getInfo.php?workbook=08_01.xlsx&amp;sheet=A0&amp;row=9&amp;col=21&amp;number=685100000000&amp;sourceID=30","685100000000")</f>
        <v>685100000000</v>
      </c>
      <c r="V9" s="4" t="str">
        <f>HYPERLINK("http://141.218.60.56/~jnz1568/getInfo.php?workbook=08_01.xlsx&amp;sheet=A0&amp;row=9&amp;col=22&amp;number=685100000000&amp;sourceID=30","685100000000")</f>
        <v>685100000000</v>
      </c>
      <c r="W9" s="4" t="str">
        <f>HYPERLINK("http://141.218.60.56/~jnz1568/getInfo.php?workbook=08_01.xlsx&amp;sheet=A0&amp;row=9&amp;col=23&amp;number=&amp;sourceID=30","")</f>
        <v/>
      </c>
      <c r="X9" s="4" t="str">
        <f>HYPERLINK("http://141.218.60.56/~jnz1568/getInfo.php?workbook=08_01.xlsx&amp;sheet=A0&amp;row=9&amp;col=24&amp;number=&amp;sourceID=30","")</f>
        <v/>
      </c>
      <c r="Y9" s="4" t="str">
        <f>HYPERLINK("http://141.218.60.56/~jnz1568/getInfo.php?workbook=08_01.xlsx&amp;sheet=A0&amp;row=9&amp;col=25&amp;number=&amp;sourceID=30","")</f>
        <v/>
      </c>
      <c r="Z9" s="4" t="str">
        <f>HYPERLINK("http://141.218.60.56/~jnz1568/getInfo.php?workbook=08_01.xlsx&amp;sheet=A0&amp;row=9&amp;col=26&amp;number==&amp;sourceID=13","=")</f>
        <v>=</v>
      </c>
      <c r="AA9" s="4" t="str">
        <f>HYPERLINK("http://141.218.60.56/~jnz1568/getInfo.php?workbook=08_01.xlsx&amp;sheet=A0&amp;row=9&amp;col=27&amp;number=680000000000&amp;sourceID=13","680000000000")</f>
        <v>680000000000</v>
      </c>
      <c r="AB9" s="4" t="str">
        <f>HYPERLINK("http://141.218.60.56/~jnz1568/getInfo.php?workbook=08_01.xlsx&amp;sheet=A0&amp;row=9&amp;col=28&amp;number=&amp;sourceID=13","")</f>
        <v/>
      </c>
      <c r="AC9" s="4" t="str">
        <f>HYPERLINK("http://141.218.60.56/~jnz1568/getInfo.php?workbook=08_01.xlsx&amp;sheet=A0&amp;row=9&amp;col=29&amp;number=&amp;sourceID=13","")</f>
        <v/>
      </c>
      <c r="AD9" s="4" t="str">
        <f>HYPERLINK("http://141.218.60.56/~jnz1568/getInfo.php?workbook=08_01.xlsx&amp;sheet=A0&amp;row=9&amp;col=30&amp;number=&amp;sourceID=13","")</f>
        <v/>
      </c>
      <c r="AE9" s="4" t="str">
        <f>HYPERLINK("http://141.218.60.56/~jnz1568/getInfo.php?workbook=08_01.xlsx&amp;sheet=A0&amp;row=9&amp;col=31&amp;number=&amp;sourceID=13","")</f>
        <v/>
      </c>
      <c r="AF9" s="4" t="str">
        <f>HYPERLINK("http://141.218.60.56/~jnz1568/getInfo.php?workbook=08_01.xlsx&amp;sheet=A0&amp;row=9&amp;col=32&amp;number=685050000000&amp;sourceID=20","685050000000")</f>
        <v>685050000000</v>
      </c>
    </row>
    <row r="10" spans="1:32">
      <c r="A10" s="3">
        <v>8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HYPERLINK("http://141.218.60.56/~jnz1568/getInfo.php?workbook=08_01.xlsx&amp;sheet=A0&amp;row=10&amp;col=6&amp;number=&amp;sourceID=18","")</f>
        <v/>
      </c>
      <c r="G10" s="4" t="str">
        <f>HYPERLINK("http://141.218.60.56/~jnz1568/getInfo.php?workbook=08_01.xlsx&amp;sheet=A0&amp;row=10&amp;col=7&amp;number==&amp;sourceID=11","=")</f>
        <v>=</v>
      </c>
      <c r="H10" s="4" t="str">
        <f>HYPERLINK("http://141.218.60.56/~jnz1568/getInfo.php?workbook=08_01.xlsx&amp;sheet=A0&amp;row=10&amp;col=8&amp;number=&amp;sourceID=11","")</f>
        <v/>
      </c>
      <c r="I10" s="4" t="str">
        <f>HYPERLINK("http://141.218.60.56/~jnz1568/getInfo.php?workbook=08_01.xlsx&amp;sheet=A0&amp;row=10&amp;col=9&amp;number=&amp;sourceID=11","")</f>
        <v/>
      </c>
      <c r="J10" s="4" t="str">
        <f>HYPERLINK("http://141.218.60.56/~jnz1568/getInfo.php?workbook=08_01.xlsx&amp;sheet=A0&amp;row=10&amp;col=10&amp;number=&amp;sourceID=11","")</f>
        <v/>
      </c>
      <c r="K10" s="4" t="str">
        <f>HYPERLINK("http://141.218.60.56/~jnz1568/getInfo.php?workbook=08_01.xlsx&amp;sheet=A0&amp;row=10&amp;col=11&amp;number=0.52975&amp;sourceID=11","0.52975")</f>
        <v>0.52975</v>
      </c>
      <c r="L10" s="4" t="str">
        <f>HYPERLINK("http://141.218.60.56/~jnz1568/getInfo.php?workbook=08_01.xlsx&amp;sheet=A0&amp;row=10&amp;col=12&amp;number=&amp;sourceID=11","")</f>
        <v/>
      </c>
      <c r="M10" s="4" t="str">
        <f>HYPERLINK("http://141.218.60.56/~jnz1568/getInfo.php?workbook=08_01.xlsx&amp;sheet=A0&amp;row=10&amp;col=13&amp;number=&amp;sourceID=11","")</f>
        <v/>
      </c>
      <c r="N10" s="4" t="str">
        <f>HYPERLINK("http://141.218.60.56/~jnz1568/getInfo.php?workbook=08_01.xlsx&amp;sheet=A0&amp;row=10&amp;col=14&amp;number=0.52977&amp;sourceID=12","0.52977")</f>
        <v>0.52977</v>
      </c>
      <c r="O10" s="4" t="str">
        <f>HYPERLINK("http://141.218.60.56/~jnz1568/getInfo.php?workbook=08_01.xlsx&amp;sheet=A0&amp;row=10&amp;col=15&amp;number=&amp;sourceID=12","")</f>
        <v/>
      </c>
      <c r="P10" s="4" t="str">
        <f>HYPERLINK("http://141.218.60.56/~jnz1568/getInfo.php?workbook=08_01.xlsx&amp;sheet=A0&amp;row=10&amp;col=16&amp;number=&amp;sourceID=12","")</f>
        <v/>
      </c>
      <c r="Q10" s="4" t="str">
        <f>HYPERLINK("http://141.218.60.56/~jnz1568/getInfo.php?workbook=08_01.xlsx&amp;sheet=A0&amp;row=10&amp;col=17&amp;number=&amp;sourceID=12","")</f>
        <v/>
      </c>
      <c r="R10" s="4" t="str">
        <f>HYPERLINK("http://141.218.60.56/~jnz1568/getInfo.php?workbook=08_01.xlsx&amp;sheet=A0&amp;row=10&amp;col=18&amp;number=0.52977&amp;sourceID=12","0.52977")</f>
        <v>0.52977</v>
      </c>
      <c r="S10" s="4" t="str">
        <f>HYPERLINK("http://141.218.60.56/~jnz1568/getInfo.php?workbook=08_01.xlsx&amp;sheet=A0&amp;row=10&amp;col=19&amp;number=&amp;sourceID=12","")</f>
        <v/>
      </c>
      <c r="T10" s="4" t="str">
        <f>HYPERLINK("http://141.218.60.56/~jnz1568/getInfo.php?workbook=08_01.xlsx&amp;sheet=A0&amp;row=10&amp;col=20&amp;number=&amp;sourceID=12","")</f>
        <v/>
      </c>
      <c r="U10" s="4" t="str">
        <f>HYPERLINK("http://141.218.60.56/~jnz1568/getInfo.php?workbook=08_01.xlsx&amp;sheet=A0&amp;row=10&amp;col=21&amp;number=0.5298&amp;sourceID=30","0.5298")</f>
        <v>0.5298</v>
      </c>
      <c r="V10" s="4" t="str">
        <f>HYPERLINK("http://141.218.60.56/~jnz1568/getInfo.php?workbook=08_01.xlsx&amp;sheet=A0&amp;row=10&amp;col=22&amp;number=&amp;sourceID=30","")</f>
        <v/>
      </c>
      <c r="W10" s="4" t="str">
        <f>HYPERLINK("http://141.218.60.56/~jnz1568/getInfo.php?workbook=08_01.xlsx&amp;sheet=A0&amp;row=10&amp;col=23&amp;number=&amp;sourceID=30","")</f>
        <v/>
      </c>
      <c r="X10" s="4" t="str">
        <f>HYPERLINK("http://141.218.60.56/~jnz1568/getInfo.php?workbook=08_01.xlsx&amp;sheet=A0&amp;row=10&amp;col=24&amp;number=0.5298&amp;sourceID=30","0.5298")</f>
        <v>0.5298</v>
      </c>
      <c r="Y10" s="4" t="str">
        <f>HYPERLINK("http://141.218.60.56/~jnz1568/getInfo.php?workbook=08_01.xlsx&amp;sheet=A0&amp;row=10&amp;col=25&amp;number=&amp;sourceID=30","")</f>
        <v/>
      </c>
      <c r="Z10" s="4" t="str">
        <f>HYPERLINK("http://141.218.60.56/~jnz1568/getInfo.php?workbook=08_01.xlsx&amp;sheet=A0&amp;row=10&amp;col=26&amp;number==&amp;sourceID=13","=")</f>
        <v>=</v>
      </c>
      <c r="AA10" s="4" t="str">
        <f>HYPERLINK("http://141.218.60.56/~jnz1568/getInfo.php?workbook=08_01.xlsx&amp;sheet=A0&amp;row=10&amp;col=27&amp;number=&amp;sourceID=13","")</f>
        <v/>
      </c>
      <c r="AB10" s="4" t="str">
        <f>HYPERLINK("http://141.218.60.56/~jnz1568/getInfo.php?workbook=08_01.xlsx&amp;sheet=A0&amp;row=10&amp;col=28&amp;number=&amp;sourceID=13","")</f>
        <v/>
      </c>
      <c r="AC10" s="4" t="str">
        <f>HYPERLINK("http://141.218.60.56/~jnz1568/getInfo.php?workbook=08_01.xlsx&amp;sheet=A0&amp;row=10&amp;col=29&amp;number=&amp;sourceID=13","")</f>
        <v/>
      </c>
      <c r="AD10" s="4" t="str">
        <f>HYPERLINK("http://141.218.60.56/~jnz1568/getInfo.php?workbook=08_01.xlsx&amp;sheet=A0&amp;row=10&amp;col=30&amp;number=0.527&amp;sourceID=13","0.527")</f>
        <v>0.527</v>
      </c>
      <c r="AE10" s="4" t="str">
        <f>HYPERLINK("http://141.218.60.56/~jnz1568/getInfo.php?workbook=08_01.xlsx&amp;sheet=A0&amp;row=10&amp;col=31&amp;number=&amp;sourceID=13","")</f>
        <v/>
      </c>
      <c r="AF10" s="4" t="str">
        <f>HYPERLINK("http://141.218.60.56/~jnz1568/getInfo.php?workbook=08_01.xlsx&amp;sheet=A0&amp;row=10&amp;col=32&amp;number=0.52975&amp;sourceID=20","0.52975")</f>
        <v>0.52975</v>
      </c>
    </row>
    <row r="11" spans="1:32">
      <c r="A11" s="3">
        <v>8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HYPERLINK("http://141.218.60.56/~jnz1568/getInfo.php?workbook=08_01.xlsx&amp;sheet=A0&amp;row=11&amp;col=6&amp;number=&amp;sourceID=18","")</f>
        <v/>
      </c>
      <c r="G11" s="4" t="str">
        <f>HYPERLINK("http://141.218.60.56/~jnz1568/getInfo.php?workbook=08_01.xlsx&amp;sheet=A0&amp;row=11&amp;col=7&amp;number==&amp;sourceID=11","=")</f>
        <v>=</v>
      </c>
      <c r="H11" s="4" t="str">
        <f>HYPERLINK("http://141.218.60.56/~jnz1568/getInfo.php?workbook=08_01.xlsx&amp;sheet=A0&amp;row=11&amp;col=8&amp;number=92206000000&amp;sourceID=11","92206000000")</f>
        <v>92206000000</v>
      </c>
      <c r="I11" s="4" t="str">
        <f>HYPERLINK("http://141.218.60.56/~jnz1568/getInfo.php?workbook=08_01.xlsx&amp;sheet=A0&amp;row=11&amp;col=9&amp;number=&amp;sourceID=11","")</f>
        <v/>
      </c>
      <c r="J11" s="4" t="str">
        <f>HYPERLINK("http://141.218.60.56/~jnz1568/getInfo.php?workbook=08_01.xlsx&amp;sheet=A0&amp;row=11&amp;col=10&amp;number=&amp;sourceID=11","")</f>
        <v/>
      </c>
      <c r="K11" s="4" t="str">
        <f>HYPERLINK("http://141.218.60.56/~jnz1568/getInfo.php?workbook=08_01.xlsx&amp;sheet=A0&amp;row=11&amp;col=11&amp;number=&amp;sourceID=11","")</f>
        <v/>
      </c>
      <c r="L11" s="4" t="str">
        <f>HYPERLINK("http://141.218.60.56/~jnz1568/getInfo.php?workbook=08_01.xlsx&amp;sheet=A0&amp;row=11&amp;col=12&amp;number=&amp;sourceID=11","")</f>
        <v/>
      </c>
      <c r="M11" s="4" t="str">
        <f>HYPERLINK("http://141.218.60.56/~jnz1568/getInfo.php?workbook=08_01.xlsx&amp;sheet=A0&amp;row=11&amp;col=13&amp;number=&amp;sourceID=11","")</f>
        <v/>
      </c>
      <c r="N11" s="4" t="str">
        <f>HYPERLINK("http://141.218.60.56/~jnz1568/getInfo.php?workbook=08_01.xlsx&amp;sheet=A0&amp;row=11&amp;col=14&amp;number=92209000000&amp;sourceID=12","92209000000")</f>
        <v>92209000000</v>
      </c>
      <c r="O11" s="4" t="str">
        <f>HYPERLINK("http://141.218.60.56/~jnz1568/getInfo.php?workbook=08_01.xlsx&amp;sheet=A0&amp;row=11&amp;col=15&amp;number=92209000000&amp;sourceID=12","92209000000")</f>
        <v>92209000000</v>
      </c>
      <c r="P11" s="4" t="str">
        <f>HYPERLINK("http://141.218.60.56/~jnz1568/getInfo.php?workbook=08_01.xlsx&amp;sheet=A0&amp;row=11&amp;col=16&amp;number=&amp;sourceID=12","")</f>
        <v/>
      </c>
      <c r="Q11" s="4" t="str">
        <f>HYPERLINK("http://141.218.60.56/~jnz1568/getInfo.php?workbook=08_01.xlsx&amp;sheet=A0&amp;row=11&amp;col=17&amp;number=&amp;sourceID=12","")</f>
        <v/>
      </c>
      <c r="R11" s="4" t="str">
        <f>HYPERLINK("http://141.218.60.56/~jnz1568/getInfo.php?workbook=08_01.xlsx&amp;sheet=A0&amp;row=11&amp;col=18&amp;number=&amp;sourceID=12","")</f>
        <v/>
      </c>
      <c r="S11" s="4" t="str">
        <f>HYPERLINK("http://141.218.60.56/~jnz1568/getInfo.php?workbook=08_01.xlsx&amp;sheet=A0&amp;row=11&amp;col=19&amp;number=&amp;sourceID=12","")</f>
        <v/>
      </c>
      <c r="T11" s="4" t="str">
        <f>HYPERLINK("http://141.218.60.56/~jnz1568/getInfo.php?workbook=08_01.xlsx&amp;sheet=A0&amp;row=11&amp;col=20&amp;number=&amp;sourceID=12","")</f>
        <v/>
      </c>
      <c r="U11" s="4" t="str">
        <f>HYPERLINK("http://141.218.60.56/~jnz1568/getInfo.php?workbook=08_01.xlsx&amp;sheet=A0&amp;row=11&amp;col=21&amp;number=92210000000&amp;sourceID=30","92210000000")</f>
        <v>92210000000</v>
      </c>
      <c r="V11" s="4" t="str">
        <f>HYPERLINK("http://141.218.60.56/~jnz1568/getInfo.php?workbook=08_01.xlsx&amp;sheet=A0&amp;row=11&amp;col=22&amp;number=92210000000&amp;sourceID=30","92210000000")</f>
        <v>92210000000</v>
      </c>
      <c r="W11" s="4" t="str">
        <f>HYPERLINK("http://141.218.60.56/~jnz1568/getInfo.php?workbook=08_01.xlsx&amp;sheet=A0&amp;row=11&amp;col=23&amp;number=&amp;sourceID=30","")</f>
        <v/>
      </c>
      <c r="X11" s="4" t="str">
        <f>HYPERLINK("http://141.218.60.56/~jnz1568/getInfo.php?workbook=08_01.xlsx&amp;sheet=A0&amp;row=11&amp;col=24&amp;number=&amp;sourceID=30","")</f>
        <v/>
      </c>
      <c r="Y11" s="4" t="str">
        <f>HYPERLINK("http://141.218.60.56/~jnz1568/getInfo.php?workbook=08_01.xlsx&amp;sheet=A0&amp;row=11&amp;col=25&amp;number=&amp;sourceID=30","")</f>
        <v/>
      </c>
      <c r="Z11" s="4" t="str">
        <f>HYPERLINK("http://141.218.60.56/~jnz1568/getInfo.php?workbook=08_01.xlsx&amp;sheet=A0&amp;row=11&amp;col=26&amp;number==&amp;sourceID=13","=")</f>
        <v>=</v>
      </c>
      <c r="AA11" s="4" t="str">
        <f>HYPERLINK("http://141.218.60.56/~jnz1568/getInfo.php?workbook=08_01.xlsx&amp;sheet=A0&amp;row=11&amp;col=27&amp;number=92000000000&amp;sourceID=13","92000000000")</f>
        <v>92000000000</v>
      </c>
      <c r="AB11" s="4" t="str">
        <f>HYPERLINK("http://141.218.60.56/~jnz1568/getInfo.php?workbook=08_01.xlsx&amp;sheet=A0&amp;row=11&amp;col=28&amp;number=&amp;sourceID=13","")</f>
        <v/>
      </c>
      <c r="AC11" s="4" t="str">
        <f>HYPERLINK("http://141.218.60.56/~jnz1568/getInfo.php?workbook=08_01.xlsx&amp;sheet=A0&amp;row=11&amp;col=29&amp;number=&amp;sourceID=13","")</f>
        <v/>
      </c>
      <c r="AD11" s="4" t="str">
        <f>HYPERLINK("http://141.218.60.56/~jnz1568/getInfo.php?workbook=08_01.xlsx&amp;sheet=A0&amp;row=11&amp;col=30&amp;number=&amp;sourceID=13","")</f>
        <v/>
      </c>
      <c r="AE11" s="4" t="str">
        <f>HYPERLINK("http://141.218.60.56/~jnz1568/getInfo.php?workbook=08_01.xlsx&amp;sheet=A0&amp;row=11&amp;col=31&amp;number=&amp;sourceID=13","")</f>
        <v/>
      </c>
      <c r="AF11" s="4" t="str">
        <f>HYPERLINK("http://141.218.60.56/~jnz1568/getInfo.php?workbook=08_01.xlsx&amp;sheet=A0&amp;row=11&amp;col=32&amp;number=92206000000&amp;sourceID=20","92206000000")</f>
        <v>92206000000</v>
      </c>
    </row>
    <row r="12" spans="1:32">
      <c r="A12" s="3">
        <v>8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HYPERLINK("http://141.218.60.56/~jnz1568/getInfo.php?workbook=08_01.xlsx&amp;sheet=A0&amp;row=12&amp;col=6&amp;number=&amp;sourceID=18","")</f>
        <v/>
      </c>
      <c r="G12" s="4" t="str">
        <f>HYPERLINK("http://141.218.60.56/~jnz1568/getInfo.php?workbook=08_01.xlsx&amp;sheet=A0&amp;row=12&amp;col=7&amp;number==&amp;sourceID=11","=")</f>
        <v>=</v>
      </c>
      <c r="H12" s="4" t="str">
        <f>HYPERLINK("http://141.218.60.56/~jnz1568/getInfo.php?workbook=08_01.xlsx&amp;sheet=A0&amp;row=12&amp;col=8&amp;number=&amp;sourceID=11","")</f>
        <v/>
      </c>
      <c r="I12" s="4" t="str">
        <f>HYPERLINK("http://141.218.60.56/~jnz1568/getInfo.php?workbook=08_01.xlsx&amp;sheet=A0&amp;row=12&amp;col=9&amp;number=6273800&amp;sourceID=11","6273800")</f>
        <v>6273800</v>
      </c>
      <c r="J12" s="4" t="str">
        <f>HYPERLINK("http://141.218.60.56/~jnz1568/getInfo.php?workbook=08_01.xlsx&amp;sheet=A0&amp;row=12&amp;col=10&amp;number=&amp;sourceID=11","")</f>
        <v/>
      </c>
      <c r="K12" s="4" t="str">
        <f>HYPERLINK("http://141.218.60.56/~jnz1568/getInfo.php?workbook=08_01.xlsx&amp;sheet=A0&amp;row=12&amp;col=11&amp;number=13.888&amp;sourceID=11","13.888")</f>
        <v>13.888</v>
      </c>
      <c r="L12" s="4" t="str">
        <f>HYPERLINK("http://141.218.60.56/~jnz1568/getInfo.php?workbook=08_01.xlsx&amp;sheet=A0&amp;row=12&amp;col=12&amp;number=&amp;sourceID=11","")</f>
        <v/>
      </c>
      <c r="M12" s="4" t="str">
        <f>HYPERLINK("http://141.218.60.56/~jnz1568/getInfo.php?workbook=08_01.xlsx&amp;sheet=A0&amp;row=12&amp;col=13&amp;number=&amp;sourceID=11","")</f>
        <v/>
      </c>
      <c r="N12" s="4" t="str">
        <f>HYPERLINK("http://141.218.60.56/~jnz1568/getInfo.php?workbook=08_01.xlsx&amp;sheet=A0&amp;row=12&amp;col=14&amp;number=6274000&amp;sourceID=12","6274000")</f>
        <v>6274000</v>
      </c>
      <c r="O12" s="4" t="str">
        <f>HYPERLINK("http://141.218.60.56/~jnz1568/getInfo.php?workbook=08_01.xlsx&amp;sheet=A0&amp;row=12&amp;col=15&amp;number=&amp;sourceID=12","")</f>
        <v/>
      </c>
      <c r="P12" s="4" t="str">
        <f>HYPERLINK("http://141.218.60.56/~jnz1568/getInfo.php?workbook=08_01.xlsx&amp;sheet=A0&amp;row=12&amp;col=16&amp;number=6274000&amp;sourceID=12","6274000")</f>
        <v>6274000</v>
      </c>
      <c r="Q12" s="4" t="str">
        <f>HYPERLINK("http://141.218.60.56/~jnz1568/getInfo.php?workbook=08_01.xlsx&amp;sheet=A0&amp;row=12&amp;col=17&amp;number=&amp;sourceID=12","")</f>
        <v/>
      </c>
      <c r="R12" s="4" t="str">
        <f>HYPERLINK("http://141.218.60.56/~jnz1568/getInfo.php?workbook=08_01.xlsx&amp;sheet=A0&amp;row=12&amp;col=18&amp;number=13.888&amp;sourceID=12","13.888")</f>
        <v>13.888</v>
      </c>
      <c r="S12" s="4" t="str">
        <f>HYPERLINK("http://141.218.60.56/~jnz1568/getInfo.php?workbook=08_01.xlsx&amp;sheet=A0&amp;row=12&amp;col=19&amp;number=&amp;sourceID=12","")</f>
        <v/>
      </c>
      <c r="T12" s="4" t="str">
        <f>HYPERLINK("http://141.218.60.56/~jnz1568/getInfo.php?workbook=08_01.xlsx&amp;sheet=A0&amp;row=12&amp;col=20&amp;number=&amp;sourceID=12","")</f>
        <v/>
      </c>
      <c r="U12" s="4" t="str">
        <f>HYPERLINK("http://141.218.60.56/~jnz1568/getInfo.php?workbook=08_01.xlsx&amp;sheet=A0&amp;row=12&amp;col=21&amp;number=6274013.89&amp;sourceID=30","6274013.89")</f>
        <v>6274013.89</v>
      </c>
      <c r="V12" s="4" t="str">
        <f>HYPERLINK("http://141.218.60.56/~jnz1568/getInfo.php?workbook=08_01.xlsx&amp;sheet=A0&amp;row=12&amp;col=22&amp;number=&amp;sourceID=30","")</f>
        <v/>
      </c>
      <c r="W12" s="4" t="str">
        <f>HYPERLINK("http://141.218.60.56/~jnz1568/getInfo.php?workbook=08_01.xlsx&amp;sheet=A0&amp;row=12&amp;col=23&amp;number=6274000&amp;sourceID=30","6274000")</f>
        <v>6274000</v>
      </c>
      <c r="X12" s="4" t="str">
        <f>HYPERLINK("http://141.218.60.56/~jnz1568/getInfo.php?workbook=08_01.xlsx&amp;sheet=A0&amp;row=12&amp;col=24&amp;number=13.89&amp;sourceID=30","13.89")</f>
        <v>13.89</v>
      </c>
      <c r="Y12" s="4" t="str">
        <f>HYPERLINK("http://141.218.60.56/~jnz1568/getInfo.php?workbook=08_01.xlsx&amp;sheet=A0&amp;row=12&amp;col=25&amp;number=&amp;sourceID=30","")</f>
        <v/>
      </c>
      <c r="Z12" s="4" t="str">
        <f>HYPERLINK("http://141.218.60.56/~jnz1568/getInfo.php?workbook=08_01.xlsx&amp;sheet=A0&amp;row=12&amp;col=26&amp;number==&amp;sourceID=13","=")</f>
        <v>=</v>
      </c>
      <c r="AA12" s="4" t="str">
        <f>HYPERLINK("http://141.218.60.56/~jnz1568/getInfo.php?workbook=08_01.xlsx&amp;sheet=A0&amp;row=12&amp;col=27&amp;number=&amp;sourceID=13","")</f>
        <v/>
      </c>
      <c r="AB12" s="4" t="str">
        <f>HYPERLINK("http://141.218.60.56/~jnz1568/getInfo.php?workbook=08_01.xlsx&amp;sheet=A0&amp;row=12&amp;col=28&amp;number=6260000&amp;sourceID=13","6260000")</f>
        <v>6260000</v>
      </c>
      <c r="AC12" s="4" t="str">
        <f>HYPERLINK("http://141.218.60.56/~jnz1568/getInfo.php?workbook=08_01.xlsx&amp;sheet=A0&amp;row=12&amp;col=29&amp;number=&amp;sourceID=13","")</f>
        <v/>
      </c>
      <c r="AD12" s="4" t="str">
        <f>HYPERLINK("http://141.218.60.56/~jnz1568/getInfo.php?workbook=08_01.xlsx&amp;sheet=A0&amp;row=12&amp;col=30&amp;number=15.2&amp;sourceID=13","15.2")</f>
        <v>15.2</v>
      </c>
      <c r="AE12" s="4" t="str">
        <f>HYPERLINK("http://141.218.60.56/~jnz1568/getInfo.php?workbook=08_01.xlsx&amp;sheet=A0&amp;row=12&amp;col=31&amp;number=&amp;sourceID=13","")</f>
        <v/>
      </c>
      <c r="AF12" s="4" t="str">
        <f>HYPERLINK("http://141.218.60.56/~jnz1568/getInfo.php?workbook=08_01.xlsx&amp;sheet=A0&amp;row=12&amp;col=32&amp;number=6273800&amp;sourceID=20","6273800")</f>
        <v>6273800</v>
      </c>
    </row>
    <row r="13" spans="1:32">
      <c r="A13" s="3">
        <v>8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HYPERLINK("http://141.218.60.56/~jnz1568/getInfo.php?workbook=08_01.xlsx&amp;sheet=A0&amp;row=13&amp;col=6&amp;number=&amp;sourceID=18","")</f>
        <v/>
      </c>
      <c r="G13" s="4" t="str">
        <f>HYPERLINK("http://141.218.60.56/~jnz1568/getInfo.php?workbook=08_01.xlsx&amp;sheet=A0&amp;row=13&amp;col=7&amp;number==&amp;sourceID=11","=")</f>
        <v>=</v>
      </c>
      <c r="H13" s="4" t="str">
        <f>HYPERLINK("http://141.218.60.56/~jnz1568/getInfo.php?workbook=08_01.xlsx&amp;sheet=A0&amp;row=13&amp;col=8&amp;number=&amp;sourceID=11","")</f>
        <v/>
      </c>
      <c r="I13" s="4" t="str">
        <f>HYPERLINK("http://141.218.60.56/~jnz1568/getInfo.php?workbook=08_01.xlsx&amp;sheet=A0&amp;row=13&amp;col=9&amp;number=&amp;sourceID=11","")</f>
        <v/>
      </c>
      <c r="J13" s="4" t="str">
        <f>HYPERLINK("http://141.218.60.56/~jnz1568/getInfo.php?workbook=08_01.xlsx&amp;sheet=A0&amp;row=13&amp;col=10&amp;number=&amp;sourceID=11","")</f>
        <v/>
      </c>
      <c r="K13" s="4" t="str">
        <f>HYPERLINK("http://141.218.60.56/~jnz1568/getInfo.php?workbook=08_01.xlsx&amp;sheet=A0&amp;row=13&amp;col=11&amp;number=1194.9&amp;sourceID=11","1194.9")</f>
        <v>1194.9</v>
      </c>
      <c r="L13" s="4" t="str">
        <f>HYPERLINK("http://141.218.60.56/~jnz1568/getInfo.php?workbook=08_01.xlsx&amp;sheet=A0&amp;row=13&amp;col=12&amp;number=&amp;sourceID=11","")</f>
        <v/>
      </c>
      <c r="M13" s="4" t="str">
        <f>HYPERLINK("http://141.218.60.56/~jnz1568/getInfo.php?workbook=08_01.xlsx&amp;sheet=A0&amp;row=13&amp;col=13&amp;number=&amp;sourceID=11","")</f>
        <v/>
      </c>
      <c r="N13" s="4" t="str">
        <f>HYPERLINK("http://141.218.60.56/~jnz1568/getInfo.php?workbook=08_01.xlsx&amp;sheet=A0&amp;row=13&amp;col=14&amp;number=1195&amp;sourceID=12","1195")</f>
        <v>1195</v>
      </c>
      <c r="O13" s="4" t="str">
        <f>HYPERLINK("http://141.218.60.56/~jnz1568/getInfo.php?workbook=08_01.xlsx&amp;sheet=A0&amp;row=13&amp;col=15&amp;number=&amp;sourceID=12","")</f>
        <v/>
      </c>
      <c r="P13" s="4" t="str">
        <f>HYPERLINK("http://141.218.60.56/~jnz1568/getInfo.php?workbook=08_01.xlsx&amp;sheet=A0&amp;row=13&amp;col=16&amp;number=&amp;sourceID=12","")</f>
        <v/>
      </c>
      <c r="Q13" s="4" t="str">
        <f>HYPERLINK("http://141.218.60.56/~jnz1568/getInfo.php?workbook=08_01.xlsx&amp;sheet=A0&amp;row=13&amp;col=17&amp;number=&amp;sourceID=12","")</f>
        <v/>
      </c>
      <c r="R13" s="4" t="str">
        <f>HYPERLINK("http://141.218.60.56/~jnz1568/getInfo.php?workbook=08_01.xlsx&amp;sheet=A0&amp;row=13&amp;col=18&amp;number=1195&amp;sourceID=12","1195")</f>
        <v>1195</v>
      </c>
      <c r="S13" s="4" t="str">
        <f>HYPERLINK("http://141.218.60.56/~jnz1568/getInfo.php?workbook=08_01.xlsx&amp;sheet=A0&amp;row=13&amp;col=19&amp;number=&amp;sourceID=12","")</f>
        <v/>
      </c>
      <c r="T13" s="4" t="str">
        <f>HYPERLINK("http://141.218.60.56/~jnz1568/getInfo.php?workbook=08_01.xlsx&amp;sheet=A0&amp;row=13&amp;col=20&amp;number=&amp;sourceID=12","")</f>
        <v/>
      </c>
      <c r="U13" s="4" t="str">
        <f>HYPERLINK("http://141.218.60.56/~jnz1568/getInfo.php?workbook=08_01.xlsx&amp;sheet=A0&amp;row=13&amp;col=21&amp;number=1195&amp;sourceID=30","1195")</f>
        <v>1195</v>
      </c>
      <c r="V13" s="4" t="str">
        <f>HYPERLINK("http://141.218.60.56/~jnz1568/getInfo.php?workbook=08_01.xlsx&amp;sheet=A0&amp;row=13&amp;col=22&amp;number=&amp;sourceID=30","")</f>
        <v/>
      </c>
      <c r="W13" s="4" t="str">
        <f>HYPERLINK("http://141.218.60.56/~jnz1568/getInfo.php?workbook=08_01.xlsx&amp;sheet=A0&amp;row=13&amp;col=23&amp;number=&amp;sourceID=30","")</f>
        <v/>
      </c>
      <c r="X13" s="4" t="str">
        <f>HYPERLINK("http://141.218.60.56/~jnz1568/getInfo.php?workbook=08_01.xlsx&amp;sheet=A0&amp;row=13&amp;col=24&amp;number=1195&amp;sourceID=30","1195")</f>
        <v>1195</v>
      </c>
      <c r="Y13" s="4" t="str">
        <f>HYPERLINK("http://141.218.60.56/~jnz1568/getInfo.php?workbook=08_01.xlsx&amp;sheet=A0&amp;row=13&amp;col=25&amp;number=&amp;sourceID=30","")</f>
        <v/>
      </c>
      <c r="Z13" s="4" t="str">
        <f>HYPERLINK("http://141.218.60.56/~jnz1568/getInfo.php?workbook=08_01.xlsx&amp;sheet=A0&amp;row=13&amp;col=26&amp;number==&amp;sourceID=13","=")</f>
        <v>=</v>
      </c>
      <c r="AA13" s="4" t="str">
        <f>HYPERLINK("http://141.218.60.56/~jnz1568/getInfo.php?workbook=08_01.xlsx&amp;sheet=A0&amp;row=13&amp;col=27&amp;number=&amp;sourceID=13","")</f>
        <v/>
      </c>
      <c r="AB13" s="4" t="str">
        <f>HYPERLINK("http://141.218.60.56/~jnz1568/getInfo.php?workbook=08_01.xlsx&amp;sheet=A0&amp;row=13&amp;col=28&amp;number=&amp;sourceID=13","")</f>
        <v/>
      </c>
      <c r="AC13" s="4" t="str">
        <f>HYPERLINK("http://141.218.60.56/~jnz1568/getInfo.php?workbook=08_01.xlsx&amp;sheet=A0&amp;row=13&amp;col=29&amp;number=&amp;sourceID=13","")</f>
        <v/>
      </c>
      <c r="AD13" s="4" t="str">
        <f>HYPERLINK("http://141.218.60.56/~jnz1568/getInfo.php?workbook=08_01.xlsx&amp;sheet=A0&amp;row=13&amp;col=30&amp;number=1210&amp;sourceID=13","1210")</f>
        <v>1210</v>
      </c>
      <c r="AE13" s="4" t="str">
        <f>HYPERLINK("http://141.218.60.56/~jnz1568/getInfo.php?workbook=08_01.xlsx&amp;sheet=A0&amp;row=13&amp;col=31&amp;number=&amp;sourceID=13","")</f>
        <v/>
      </c>
      <c r="AF13" s="4" t="str">
        <f>HYPERLINK("http://141.218.60.56/~jnz1568/getInfo.php?workbook=08_01.xlsx&amp;sheet=A0&amp;row=13&amp;col=32&amp;number=&amp;sourceID=20","")</f>
        <v/>
      </c>
    </row>
    <row r="14" spans="1:32">
      <c r="A14" s="3">
        <v>8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HYPERLINK("http://141.218.60.56/~jnz1568/getInfo.php?workbook=08_01.xlsx&amp;sheet=A0&amp;row=14&amp;col=6&amp;number=&amp;sourceID=18","")</f>
        <v/>
      </c>
      <c r="G14" s="4" t="str">
        <f>HYPERLINK("http://141.218.60.56/~jnz1568/getInfo.php?workbook=08_01.xlsx&amp;sheet=A0&amp;row=14&amp;col=7&amp;number==&amp;sourceID=11","=")</f>
        <v>=</v>
      </c>
      <c r="H14" s="4" t="str">
        <f>HYPERLINK("http://141.218.60.56/~jnz1568/getInfo.php?workbook=08_01.xlsx&amp;sheet=A0&amp;row=14&amp;col=8&amp;number=8643100000&amp;sourceID=11","8643100000")</f>
        <v>8643100000</v>
      </c>
      <c r="I14" s="4" t="str">
        <f>HYPERLINK("http://141.218.60.56/~jnz1568/getInfo.php?workbook=08_01.xlsx&amp;sheet=A0&amp;row=14&amp;col=9&amp;number=&amp;sourceID=11","")</f>
        <v/>
      </c>
      <c r="J14" s="4" t="str">
        <f>HYPERLINK("http://141.218.60.56/~jnz1568/getInfo.php?workbook=08_01.xlsx&amp;sheet=A0&amp;row=14&amp;col=10&amp;number=&amp;sourceID=11","")</f>
        <v/>
      </c>
      <c r="K14" s="4" t="str">
        <f>HYPERLINK("http://141.218.60.56/~jnz1568/getInfo.php?workbook=08_01.xlsx&amp;sheet=A0&amp;row=14&amp;col=11&amp;number=&amp;sourceID=11","")</f>
        <v/>
      </c>
      <c r="L14" s="4" t="str">
        <f>HYPERLINK("http://141.218.60.56/~jnz1568/getInfo.php?workbook=08_01.xlsx&amp;sheet=A0&amp;row=14&amp;col=12&amp;number=&amp;sourceID=11","")</f>
        <v/>
      </c>
      <c r="M14" s="4" t="str">
        <f>HYPERLINK("http://141.218.60.56/~jnz1568/getInfo.php?workbook=08_01.xlsx&amp;sheet=A0&amp;row=14&amp;col=13&amp;number=&amp;sourceID=11","")</f>
        <v/>
      </c>
      <c r="N14" s="4" t="str">
        <f>HYPERLINK("http://141.218.60.56/~jnz1568/getInfo.php?workbook=08_01.xlsx&amp;sheet=A0&amp;row=14&amp;col=14&amp;number=8643400000&amp;sourceID=12","8643400000")</f>
        <v>8643400000</v>
      </c>
      <c r="O14" s="4" t="str">
        <f>HYPERLINK("http://141.218.60.56/~jnz1568/getInfo.php?workbook=08_01.xlsx&amp;sheet=A0&amp;row=14&amp;col=15&amp;number=8643400000&amp;sourceID=12","8643400000")</f>
        <v>8643400000</v>
      </c>
      <c r="P14" s="4" t="str">
        <f>HYPERLINK("http://141.218.60.56/~jnz1568/getInfo.php?workbook=08_01.xlsx&amp;sheet=A0&amp;row=14&amp;col=16&amp;number=&amp;sourceID=12","")</f>
        <v/>
      </c>
      <c r="Q14" s="4" t="str">
        <f>HYPERLINK("http://141.218.60.56/~jnz1568/getInfo.php?workbook=08_01.xlsx&amp;sheet=A0&amp;row=14&amp;col=17&amp;number=&amp;sourceID=12","")</f>
        <v/>
      </c>
      <c r="R14" s="4" t="str">
        <f>HYPERLINK("http://141.218.60.56/~jnz1568/getInfo.php?workbook=08_01.xlsx&amp;sheet=A0&amp;row=14&amp;col=18&amp;number=&amp;sourceID=12","")</f>
        <v/>
      </c>
      <c r="S14" s="4" t="str">
        <f>HYPERLINK("http://141.218.60.56/~jnz1568/getInfo.php?workbook=08_01.xlsx&amp;sheet=A0&amp;row=14&amp;col=19&amp;number=&amp;sourceID=12","")</f>
        <v/>
      </c>
      <c r="T14" s="4" t="str">
        <f>HYPERLINK("http://141.218.60.56/~jnz1568/getInfo.php?workbook=08_01.xlsx&amp;sheet=A0&amp;row=14&amp;col=20&amp;number=&amp;sourceID=12","")</f>
        <v/>
      </c>
      <c r="U14" s="4" t="str">
        <f>HYPERLINK("http://141.218.60.56/~jnz1568/getInfo.php?workbook=08_01.xlsx&amp;sheet=A0&amp;row=14&amp;col=21&amp;number=8643000000&amp;sourceID=30","8643000000")</f>
        <v>8643000000</v>
      </c>
      <c r="V14" s="4" t="str">
        <f>HYPERLINK("http://141.218.60.56/~jnz1568/getInfo.php?workbook=08_01.xlsx&amp;sheet=A0&amp;row=14&amp;col=22&amp;number=8643000000&amp;sourceID=30","8643000000")</f>
        <v>8643000000</v>
      </c>
      <c r="W14" s="4" t="str">
        <f>HYPERLINK("http://141.218.60.56/~jnz1568/getInfo.php?workbook=08_01.xlsx&amp;sheet=A0&amp;row=14&amp;col=23&amp;number=&amp;sourceID=30","")</f>
        <v/>
      </c>
      <c r="X14" s="4" t="str">
        <f>HYPERLINK("http://141.218.60.56/~jnz1568/getInfo.php?workbook=08_01.xlsx&amp;sheet=A0&amp;row=14&amp;col=24&amp;number=&amp;sourceID=30","")</f>
        <v/>
      </c>
      <c r="Y14" s="4" t="str">
        <f>HYPERLINK("http://141.218.60.56/~jnz1568/getInfo.php?workbook=08_01.xlsx&amp;sheet=A0&amp;row=14&amp;col=25&amp;number=&amp;sourceID=30","")</f>
        <v/>
      </c>
      <c r="Z14" s="4" t="str">
        <f>HYPERLINK("http://141.218.60.56/~jnz1568/getInfo.php?workbook=08_01.xlsx&amp;sheet=A0&amp;row=14&amp;col=26&amp;number==&amp;sourceID=13","=")</f>
        <v>=</v>
      </c>
      <c r="AA14" s="4" t="str">
        <f>HYPERLINK("http://141.218.60.56/~jnz1568/getInfo.php?workbook=08_01.xlsx&amp;sheet=A0&amp;row=14&amp;col=27&amp;number=8560000000&amp;sourceID=13","8560000000")</f>
        <v>8560000000</v>
      </c>
      <c r="AB14" s="4" t="str">
        <f>HYPERLINK("http://141.218.60.56/~jnz1568/getInfo.php?workbook=08_01.xlsx&amp;sheet=A0&amp;row=14&amp;col=28&amp;number=&amp;sourceID=13","")</f>
        <v/>
      </c>
      <c r="AC14" s="4" t="str">
        <f>HYPERLINK("http://141.218.60.56/~jnz1568/getInfo.php?workbook=08_01.xlsx&amp;sheet=A0&amp;row=14&amp;col=29&amp;number=&amp;sourceID=13","")</f>
        <v/>
      </c>
      <c r="AD14" s="4" t="str">
        <f>HYPERLINK("http://141.218.60.56/~jnz1568/getInfo.php?workbook=08_01.xlsx&amp;sheet=A0&amp;row=14&amp;col=30&amp;number=&amp;sourceID=13","")</f>
        <v/>
      </c>
      <c r="AE14" s="4" t="str">
        <f>HYPERLINK("http://141.218.60.56/~jnz1568/getInfo.php?workbook=08_01.xlsx&amp;sheet=A0&amp;row=14&amp;col=31&amp;number=&amp;sourceID=13","")</f>
        <v/>
      </c>
      <c r="AF14" s="4" t="str">
        <f>HYPERLINK("http://141.218.60.56/~jnz1568/getInfo.php?workbook=08_01.xlsx&amp;sheet=A0&amp;row=14&amp;col=32&amp;number=8643100000&amp;sourceID=20","8643100000")</f>
        <v>8643100000</v>
      </c>
    </row>
    <row r="15" spans="1:32">
      <c r="A15" s="3">
        <v>8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HYPERLINK("http://141.218.60.56/~jnz1568/getInfo.php?workbook=08_01.xlsx&amp;sheet=A0&amp;row=15&amp;col=6&amp;number=&amp;sourceID=18","")</f>
        <v/>
      </c>
      <c r="G15" s="4" t="str">
        <f>HYPERLINK("http://141.218.60.56/~jnz1568/getInfo.php?workbook=08_01.xlsx&amp;sheet=A0&amp;row=15&amp;col=7&amp;number==&amp;sourceID=11","=")</f>
        <v>=</v>
      </c>
      <c r="H15" s="4" t="str">
        <f>HYPERLINK("http://141.218.60.56/~jnz1568/getInfo.php?workbook=08_01.xlsx&amp;sheet=A0&amp;row=15&amp;col=8&amp;number=&amp;sourceID=11","")</f>
        <v/>
      </c>
      <c r="I15" s="4" t="str">
        <f>HYPERLINK("http://141.218.60.56/~jnz1568/getInfo.php?workbook=08_01.xlsx&amp;sheet=A0&amp;row=15&amp;col=9&amp;number=&amp;sourceID=11","")</f>
        <v/>
      </c>
      <c r="J15" s="4" t="str">
        <f>HYPERLINK("http://141.218.60.56/~jnz1568/getInfo.php?workbook=08_01.xlsx&amp;sheet=A0&amp;row=15&amp;col=10&amp;number=&amp;sourceID=11","")</f>
        <v/>
      </c>
      <c r="K15" s="4" t="str">
        <f>HYPERLINK("http://141.218.60.56/~jnz1568/getInfo.php?workbook=08_01.xlsx&amp;sheet=A0&amp;row=15&amp;col=11&amp;number=2.0271&amp;sourceID=11","2.0271")</f>
        <v>2.0271</v>
      </c>
      <c r="L15" s="4" t="str">
        <f>HYPERLINK("http://141.218.60.56/~jnz1568/getInfo.php?workbook=08_01.xlsx&amp;sheet=A0&amp;row=15&amp;col=12&amp;number=&amp;sourceID=11","")</f>
        <v/>
      </c>
      <c r="M15" s="4" t="str">
        <f>HYPERLINK("http://141.218.60.56/~jnz1568/getInfo.php?workbook=08_01.xlsx&amp;sheet=A0&amp;row=15&amp;col=13&amp;number=&amp;sourceID=11","")</f>
        <v/>
      </c>
      <c r="N15" s="4" t="str">
        <f>HYPERLINK("http://141.218.60.56/~jnz1568/getInfo.php?workbook=08_01.xlsx&amp;sheet=A0&amp;row=15&amp;col=14&amp;number=2.0272&amp;sourceID=12","2.0272")</f>
        <v>2.0272</v>
      </c>
      <c r="O15" s="4" t="str">
        <f>HYPERLINK("http://141.218.60.56/~jnz1568/getInfo.php?workbook=08_01.xlsx&amp;sheet=A0&amp;row=15&amp;col=15&amp;number=&amp;sourceID=12","")</f>
        <v/>
      </c>
      <c r="P15" s="4" t="str">
        <f>HYPERLINK("http://141.218.60.56/~jnz1568/getInfo.php?workbook=08_01.xlsx&amp;sheet=A0&amp;row=15&amp;col=16&amp;number=&amp;sourceID=12","")</f>
        <v/>
      </c>
      <c r="Q15" s="4" t="str">
        <f>HYPERLINK("http://141.218.60.56/~jnz1568/getInfo.php?workbook=08_01.xlsx&amp;sheet=A0&amp;row=15&amp;col=17&amp;number=&amp;sourceID=12","")</f>
        <v/>
      </c>
      <c r="R15" s="4" t="str">
        <f>HYPERLINK("http://141.218.60.56/~jnz1568/getInfo.php?workbook=08_01.xlsx&amp;sheet=A0&amp;row=15&amp;col=18&amp;number=2.0272&amp;sourceID=12","2.0272")</f>
        <v>2.0272</v>
      </c>
      <c r="S15" s="4" t="str">
        <f>HYPERLINK("http://141.218.60.56/~jnz1568/getInfo.php?workbook=08_01.xlsx&amp;sheet=A0&amp;row=15&amp;col=19&amp;number=&amp;sourceID=12","")</f>
        <v/>
      </c>
      <c r="T15" s="4" t="str">
        <f>HYPERLINK("http://141.218.60.56/~jnz1568/getInfo.php?workbook=08_01.xlsx&amp;sheet=A0&amp;row=15&amp;col=20&amp;number=&amp;sourceID=12","")</f>
        <v/>
      </c>
      <c r="U15" s="4" t="str">
        <f>HYPERLINK("http://141.218.60.56/~jnz1568/getInfo.php?workbook=08_01.xlsx&amp;sheet=A0&amp;row=15&amp;col=21&amp;number=2.027&amp;sourceID=30","2.027")</f>
        <v>2.027</v>
      </c>
      <c r="V15" s="4" t="str">
        <f>HYPERLINK("http://141.218.60.56/~jnz1568/getInfo.php?workbook=08_01.xlsx&amp;sheet=A0&amp;row=15&amp;col=22&amp;number=&amp;sourceID=30","")</f>
        <v/>
      </c>
      <c r="W15" s="4" t="str">
        <f>HYPERLINK("http://141.218.60.56/~jnz1568/getInfo.php?workbook=08_01.xlsx&amp;sheet=A0&amp;row=15&amp;col=23&amp;number=&amp;sourceID=30","")</f>
        <v/>
      </c>
      <c r="X15" s="4" t="str">
        <f>HYPERLINK("http://141.218.60.56/~jnz1568/getInfo.php?workbook=08_01.xlsx&amp;sheet=A0&amp;row=15&amp;col=24&amp;number=2.027&amp;sourceID=30","2.027")</f>
        <v>2.027</v>
      </c>
      <c r="Y15" s="4" t="str">
        <f>HYPERLINK("http://141.218.60.56/~jnz1568/getInfo.php?workbook=08_01.xlsx&amp;sheet=A0&amp;row=15&amp;col=25&amp;number=&amp;sourceID=30","")</f>
        <v/>
      </c>
      <c r="Z15" s="4" t="str">
        <f>HYPERLINK("http://141.218.60.56/~jnz1568/getInfo.php?workbook=08_01.xlsx&amp;sheet=A0&amp;row=15&amp;col=26&amp;number==&amp;sourceID=13","=")</f>
        <v>=</v>
      </c>
      <c r="AA15" s="4" t="str">
        <f>HYPERLINK("http://141.218.60.56/~jnz1568/getInfo.php?workbook=08_01.xlsx&amp;sheet=A0&amp;row=15&amp;col=27&amp;number=&amp;sourceID=13","")</f>
        <v/>
      </c>
      <c r="AB15" s="4" t="str">
        <f>HYPERLINK("http://141.218.60.56/~jnz1568/getInfo.php?workbook=08_01.xlsx&amp;sheet=A0&amp;row=15&amp;col=28&amp;number=&amp;sourceID=13","")</f>
        <v/>
      </c>
      <c r="AC15" s="4" t="str">
        <f>HYPERLINK("http://141.218.60.56/~jnz1568/getInfo.php?workbook=08_01.xlsx&amp;sheet=A0&amp;row=15&amp;col=29&amp;number=&amp;sourceID=13","")</f>
        <v/>
      </c>
      <c r="AD15" s="4" t="str">
        <f>HYPERLINK("http://141.218.60.56/~jnz1568/getInfo.php?workbook=08_01.xlsx&amp;sheet=A0&amp;row=15&amp;col=30&amp;number=2.02&amp;sourceID=13","2.02")</f>
        <v>2.02</v>
      </c>
      <c r="AE15" s="4" t="str">
        <f>HYPERLINK("http://141.218.60.56/~jnz1568/getInfo.php?workbook=08_01.xlsx&amp;sheet=A0&amp;row=15&amp;col=31&amp;number=&amp;sourceID=13","")</f>
        <v/>
      </c>
      <c r="AF15" s="4" t="str">
        <f>HYPERLINK("http://141.218.60.56/~jnz1568/getInfo.php?workbook=08_01.xlsx&amp;sheet=A0&amp;row=15&amp;col=32&amp;number=2.0271&amp;sourceID=20","2.0271")</f>
        <v>2.0271</v>
      </c>
    </row>
    <row r="16" spans="1:32">
      <c r="A16" s="3">
        <v>8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HYPERLINK("http://141.218.60.56/~jnz1568/getInfo.php?workbook=08_01.xlsx&amp;sheet=A0&amp;row=16&amp;col=6&amp;number=&amp;sourceID=18","")</f>
        <v/>
      </c>
      <c r="G16" s="4" t="str">
        <f>HYPERLINK("http://141.218.60.56/~jnz1568/getInfo.php?workbook=08_01.xlsx&amp;sheet=A0&amp;row=16&amp;col=7&amp;number==&amp;sourceID=11","=")</f>
        <v>=</v>
      </c>
      <c r="H16" s="4" t="str">
        <f>HYPERLINK("http://141.218.60.56/~jnz1568/getInfo.php?workbook=08_01.xlsx&amp;sheet=A0&amp;row=16&amp;col=8&amp;number=17409000000&amp;sourceID=11","17409000000")</f>
        <v>17409000000</v>
      </c>
      <c r="I16" s="4" t="str">
        <f>HYPERLINK("http://141.218.60.56/~jnz1568/getInfo.php?workbook=08_01.xlsx&amp;sheet=A0&amp;row=16&amp;col=9&amp;number=&amp;sourceID=11","")</f>
        <v/>
      </c>
      <c r="J16" s="4" t="str">
        <f>HYPERLINK("http://141.218.60.56/~jnz1568/getInfo.php?workbook=08_01.xlsx&amp;sheet=A0&amp;row=16&amp;col=10&amp;number=&amp;sourceID=11","")</f>
        <v/>
      </c>
      <c r="K16" s="4" t="str">
        <f>HYPERLINK("http://141.218.60.56/~jnz1568/getInfo.php?workbook=08_01.xlsx&amp;sheet=A0&amp;row=16&amp;col=11&amp;number=&amp;sourceID=11","")</f>
        <v/>
      </c>
      <c r="L16" s="4" t="str">
        <f>HYPERLINK("http://141.218.60.56/~jnz1568/getInfo.php?workbook=08_01.xlsx&amp;sheet=A0&amp;row=16&amp;col=12&amp;number=182.85&amp;sourceID=11","182.85")</f>
        <v>182.85</v>
      </c>
      <c r="M16" s="4" t="str">
        <f>HYPERLINK("http://141.218.60.56/~jnz1568/getInfo.php?workbook=08_01.xlsx&amp;sheet=A0&amp;row=16&amp;col=13&amp;number=&amp;sourceID=11","")</f>
        <v/>
      </c>
      <c r="N16" s="4" t="str">
        <f>HYPERLINK("http://141.218.60.56/~jnz1568/getInfo.php?workbook=08_01.xlsx&amp;sheet=A0&amp;row=16&amp;col=14&amp;number=17409000000&amp;sourceID=12","17409000000")</f>
        <v>17409000000</v>
      </c>
      <c r="O16" s="4" t="str">
        <f>HYPERLINK("http://141.218.60.56/~jnz1568/getInfo.php?workbook=08_01.xlsx&amp;sheet=A0&amp;row=16&amp;col=15&amp;number=17409000000&amp;sourceID=12","17409000000")</f>
        <v>17409000000</v>
      </c>
      <c r="P16" s="4" t="str">
        <f>HYPERLINK("http://141.218.60.56/~jnz1568/getInfo.php?workbook=08_01.xlsx&amp;sheet=A0&amp;row=16&amp;col=16&amp;number=&amp;sourceID=12","")</f>
        <v/>
      </c>
      <c r="Q16" s="4" t="str">
        <f>HYPERLINK("http://141.218.60.56/~jnz1568/getInfo.php?workbook=08_01.xlsx&amp;sheet=A0&amp;row=16&amp;col=17&amp;number=&amp;sourceID=12","")</f>
        <v/>
      </c>
      <c r="R16" s="4" t="str">
        <f>HYPERLINK("http://141.218.60.56/~jnz1568/getInfo.php?workbook=08_01.xlsx&amp;sheet=A0&amp;row=16&amp;col=18&amp;number=&amp;sourceID=12","")</f>
        <v/>
      </c>
      <c r="S16" s="4" t="str">
        <f>HYPERLINK("http://141.218.60.56/~jnz1568/getInfo.php?workbook=08_01.xlsx&amp;sheet=A0&amp;row=16&amp;col=19&amp;number=182.86&amp;sourceID=12","182.86")</f>
        <v>182.86</v>
      </c>
      <c r="T16" s="4" t="str">
        <f>HYPERLINK("http://141.218.60.56/~jnz1568/getInfo.php?workbook=08_01.xlsx&amp;sheet=A0&amp;row=16&amp;col=20&amp;number=&amp;sourceID=12","")</f>
        <v/>
      </c>
      <c r="U16" s="4" t="str">
        <f>HYPERLINK("http://141.218.60.56/~jnz1568/getInfo.php?workbook=08_01.xlsx&amp;sheet=A0&amp;row=16&amp;col=21&amp;number=17410000182.9&amp;sourceID=30","17410000182.9")</f>
        <v>17410000182.9</v>
      </c>
      <c r="V16" s="4" t="str">
        <f>HYPERLINK("http://141.218.60.56/~jnz1568/getInfo.php?workbook=08_01.xlsx&amp;sheet=A0&amp;row=16&amp;col=22&amp;number=17410000000&amp;sourceID=30","17410000000")</f>
        <v>17410000000</v>
      </c>
      <c r="W16" s="4" t="str">
        <f>HYPERLINK("http://141.218.60.56/~jnz1568/getInfo.php?workbook=08_01.xlsx&amp;sheet=A0&amp;row=16&amp;col=23&amp;number=&amp;sourceID=30","")</f>
        <v/>
      </c>
      <c r="X16" s="4" t="str">
        <f>HYPERLINK("http://141.218.60.56/~jnz1568/getInfo.php?workbook=08_01.xlsx&amp;sheet=A0&amp;row=16&amp;col=24&amp;number=&amp;sourceID=30","")</f>
        <v/>
      </c>
      <c r="Y16" s="4" t="str">
        <f>HYPERLINK("http://141.218.60.56/~jnz1568/getInfo.php?workbook=08_01.xlsx&amp;sheet=A0&amp;row=16&amp;col=25&amp;number=182.9&amp;sourceID=30","182.9")</f>
        <v>182.9</v>
      </c>
      <c r="Z16" s="4" t="str">
        <f>HYPERLINK("http://141.218.60.56/~jnz1568/getInfo.php?workbook=08_01.xlsx&amp;sheet=A0&amp;row=16&amp;col=26&amp;number==&amp;sourceID=13","=")</f>
        <v>=</v>
      </c>
      <c r="AA16" s="4" t="str">
        <f>HYPERLINK("http://141.218.60.56/~jnz1568/getInfo.php?workbook=08_01.xlsx&amp;sheet=A0&amp;row=16&amp;col=27&amp;number=17300000000&amp;sourceID=13","17300000000")</f>
        <v>17300000000</v>
      </c>
      <c r="AB16" s="4" t="str">
        <f>HYPERLINK("http://141.218.60.56/~jnz1568/getInfo.php?workbook=08_01.xlsx&amp;sheet=A0&amp;row=16&amp;col=28&amp;number=&amp;sourceID=13","")</f>
        <v/>
      </c>
      <c r="AC16" s="4" t="str">
        <f>HYPERLINK("http://141.218.60.56/~jnz1568/getInfo.php?workbook=08_01.xlsx&amp;sheet=A0&amp;row=16&amp;col=29&amp;number=&amp;sourceID=13","")</f>
        <v/>
      </c>
      <c r="AD16" s="4" t="str">
        <f>HYPERLINK("http://141.218.60.56/~jnz1568/getInfo.php?workbook=08_01.xlsx&amp;sheet=A0&amp;row=16&amp;col=30&amp;number=&amp;sourceID=13","")</f>
        <v/>
      </c>
      <c r="AE16" s="4" t="str">
        <f>HYPERLINK("http://141.218.60.56/~jnz1568/getInfo.php?workbook=08_01.xlsx&amp;sheet=A0&amp;row=16&amp;col=31&amp;number=&amp;sourceID=13","")</f>
        <v/>
      </c>
      <c r="AF16" s="4" t="str">
        <f>HYPERLINK("http://141.218.60.56/~jnz1568/getInfo.php?workbook=08_01.xlsx&amp;sheet=A0&amp;row=16&amp;col=32&amp;number=17409000000&amp;sourceID=20","17409000000")</f>
        <v>17409000000</v>
      </c>
    </row>
    <row r="17" spans="1:32">
      <c r="A17" s="3">
        <v>8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HYPERLINK("http://141.218.60.56/~jnz1568/getInfo.php?workbook=08_01.xlsx&amp;sheet=A0&amp;row=17&amp;col=6&amp;number=&amp;sourceID=18","")</f>
        <v/>
      </c>
      <c r="G17" s="4" t="str">
        <f>HYPERLINK("http://141.218.60.56/~jnz1568/getInfo.php?workbook=08_01.xlsx&amp;sheet=A0&amp;row=17&amp;col=7&amp;number==&amp;sourceID=11","=")</f>
        <v>=</v>
      </c>
      <c r="H17" s="4" t="str">
        <f>HYPERLINK("http://141.218.60.56/~jnz1568/getInfo.php?workbook=08_01.xlsx&amp;sheet=A0&amp;row=17&amp;col=8&amp;number=&amp;sourceID=11","")</f>
        <v/>
      </c>
      <c r="I17" s="4" t="str">
        <f>HYPERLINK("http://141.218.60.56/~jnz1568/getInfo.php?workbook=08_01.xlsx&amp;sheet=A0&amp;row=17&amp;col=9&amp;number=155570000&amp;sourceID=11","155570000")</f>
        <v>155570000</v>
      </c>
      <c r="J17" s="4" t="str">
        <f>HYPERLINK("http://141.218.60.56/~jnz1568/getInfo.php?workbook=08_01.xlsx&amp;sheet=A0&amp;row=17&amp;col=10&amp;number=&amp;sourceID=11","")</f>
        <v/>
      </c>
      <c r="K17" s="4" t="str">
        <f>HYPERLINK("http://141.218.60.56/~jnz1568/getInfo.php?workbook=08_01.xlsx&amp;sheet=A0&amp;row=17&amp;col=11&amp;number=7.4503&amp;sourceID=11","7.4503")</f>
        <v>7.4503</v>
      </c>
      <c r="L17" s="4" t="str">
        <f>HYPERLINK("http://141.218.60.56/~jnz1568/getInfo.php?workbook=08_01.xlsx&amp;sheet=A0&amp;row=17&amp;col=12&amp;number=&amp;sourceID=11","")</f>
        <v/>
      </c>
      <c r="M17" s="4" t="str">
        <f>HYPERLINK("http://141.218.60.56/~jnz1568/getInfo.php?workbook=08_01.xlsx&amp;sheet=A0&amp;row=17&amp;col=13&amp;number=&amp;sourceID=11","")</f>
        <v/>
      </c>
      <c r="N17" s="4" t="str">
        <f>HYPERLINK("http://141.218.60.56/~jnz1568/getInfo.php?workbook=08_01.xlsx&amp;sheet=A0&amp;row=17&amp;col=14&amp;number=155570000&amp;sourceID=12","155570000")</f>
        <v>155570000</v>
      </c>
      <c r="O17" s="4" t="str">
        <f>HYPERLINK("http://141.218.60.56/~jnz1568/getInfo.php?workbook=08_01.xlsx&amp;sheet=A0&amp;row=17&amp;col=15&amp;number=&amp;sourceID=12","")</f>
        <v/>
      </c>
      <c r="P17" s="4" t="str">
        <f>HYPERLINK("http://141.218.60.56/~jnz1568/getInfo.php?workbook=08_01.xlsx&amp;sheet=A0&amp;row=17&amp;col=16&amp;number=155570000&amp;sourceID=12","155570000")</f>
        <v>155570000</v>
      </c>
      <c r="Q17" s="4" t="str">
        <f>HYPERLINK("http://141.218.60.56/~jnz1568/getInfo.php?workbook=08_01.xlsx&amp;sheet=A0&amp;row=17&amp;col=17&amp;number=&amp;sourceID=12","")</f>
        <v/>
      </c>
      <c r="R17" s="4" t="str">
        <f>HYPERLINK("http://141.218.60.56/~jnz1568/getInfo.php?workbook=08_01.xlsx&amp;sheet=A0&amp;row=17&amp;col=18&amp;number=7.4501&amp;sourceID=12","7.4501")</f>
        <v>7.4501</v>
      </c>
      <c r="S17" s="4" t="str">
        <f>HYPERLINK("http://141.218.60.56/~jnz1568/getInfo.php?workbook=08_01.xlsx&amp;sheet=A0&amp;row=17&amp;col=19&amp;number=&amp;sourceID=12","")</f>
        <v/>
      </c>
      <c r="T17" s="4" t="str">
        <f>HYPERLINK("http://141.218.60.56/~jnz1568/getInfo.php?workbook=08_01.xlsx&amp;sheet=A0&amp;row=17&amp;col=20&amp;number=&amp;sourceID=12","")</f>
        <v/>
      </c>
      <c r="U17" s="4" t="str">
        <f>HYPERLINK("http://141.218.60.56/~jnz1568/getInfo.php?workbook=08_01.xlsx&amp;sheet=A0&amp;row=17&amp;col=21&amp;number=155600007.451&amp;sourceID=30","155600007.451")</f>
        <v>155600007.451</v>
      </c>
      <c r="V17" s="4" t="str">
        <f>HYPERLINK("http://141.218.60.56/~jnz1568/getInfo.php?workbook=08_01.xlsx&amp;sheet=A0&amp;row=17&amp;col=22&amp;number=&amp;sourceID=30","")</f>
        <v/>
      </c>
      <c r="W17" s="4" t="str">
        <f>HYPERLINK("http://141.218.60.56/~jnz1568/getInfo.php?workbook=08_01.xlsx&amp;sheet=A0&amp;row=17&amp;col=23&amp;number=155600000&amp;sourceID=30","155600000")</f>
        <v>155600000</v>
      </c>
      <c r="X17" s="4" t="str">
        <f>HYPERLINK("http://141.218.60.56/~jnz1568/getInfo.php?workbook=08_01.xlsx&amp;sheet=A0&amp;row=17&amp;col=24&amp;number=7.451&amp;sourceID=30","7.451")</f>
        <v>7.451</v>
      </c>
      <c r="Y17" s="4" t="str">
        <f>HYPERLINK("http://141.218.60.56/~jnz1568/getInfo.php?workbook=08_01.xlsx&amp;sheet=A0&amp;row=17&amp;col=25&amp;number=&amp;sourceID=30","")</f>
        <v/>
      </c>
      <c r="Z17" s="4" t="str">
        <f>HYPERLINK("http://141.218.60.56/~jnz1568/getInfo.php?workbook=08_01.xlsx&amp;sheet=A0&amp;row=17&amp;col=26&amp;number==&amp;sourceID=13","=")</f>
        <v>=</v>
      </c>
      <c r="AA17" s="4" t="str">
        <f>HYPERLINK("http://141.218.60.56/~jnz1568/getInfo.php?workbook=08_01.xlsx&amp;sheet=A0&amp;row=17&amp;col=27&amp;number=&amp;sourceID=13","")</f>
        <v/>
      </c>
      <c r="AB17" s="4" t="str">
        <f>HYPERLINK("http://141.218.60.56/~jnz1568/getInfo.php?workbook=08_01.xlsx&amp;sheet=A0&amp;row=17&amp;col=28&amp;number=157000000&amp;sourceID=13","157000000")</f>
        <v>157000000</v>
      </c>
      <c r="AC17" s="4" t="str">
        <f>HYPERLINK("http://141.218.60.56/~jnz1568/getInfo.php?workbook=08_01.xlsx&amp;sheet=A0&amp;row=17&amp;col=29&amp;number=&amp;sourceID=13","")</f>
        <v/>
      </c>
      <c r="AD17" s="4" t="str">
        <f>HYPERLINK("http://141.218.60.56/~jnz1568/getInfo.php?workbook=08_01.xlsx&amp;sheet=A0&amp;row=17&amp;col=30&amp;number=20.5&amp;sourceID=13","20.5")</f>
        <v>20.5</v>
      </c>
      <c r="AE17" s="4" t="str">
        <f>HYPERLINK("http://141.218.60.56/~jnz1568/getInfo.php?workbook=08_01.xlsx&amp;sheet=A0&amp;row=17&amp;col=31&amp;number=&amp;sourceID=13","")</f>
        <v/>
      </c>
      <c r="AF17" s="4" t="str">
        <f>HYPERLINK("http://141.218.60.56/~jnz1568/getInfo.php?workbook=08_01.xlsx&amp;sheet=A0&amp;row=17&amp;col=32&amp;number=&amp;sourceID=20","")</f>
        <v/>
      </c>
    </row>
    <row r="18" spans="1:32">
      <c r="A18" s="3">
        <v>8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HYPERLINK("http://141.218.60.56/~jnz1568/getInfo.php?workbook=08_01.xlsx&amp;sheet=A0&amp;row=18&amp;col=6&amp;number=&amp;sourceID=18","")</f>
        <v/>
      </c>
      <c r="G18" s="4" t="str">
        <f>HYPERLINK("http://141.218.60.56/~jnz1568/getInfo.php?workbook=08_01.xlsx&amp;sheet=A0&amp;row=18&amp;col=7&amp;number==&amp;sourceID=11","=")</f>
        <v>=</v>
      </c>
      <c r="H18" s="4" t="str">
        <f>HYPERLINK("http://141.218.60.56/~jnz1568/getInfo.php?workbook=08_01.xlsx&amp;sheet=A0&amp;row=18&amp;col=8&amp;number=221100000000&amp;sourceID=11","221100000000")</f>
        <v>221100000000</v>
      </c>
      <c r="I18" s="4" t="str">
        <f>HYPERLINK("http://141.218.60.56/~jnz1568/getInfo.php?workbook=08_01.xlsx&amp;sheet=A0&amp;row=18&amp;col=9&amp;number=&amp;sourceID=11","")</f>
        <v/>
      </c>
      <c r="J18" s="4" t="str">
        <f>HYPERLINK("http://141.218.60.56/~jnz1568/getInfo.php?workbook=08_01.xlsx&amp;sheet=A0&amp;row=18&amp;col=10&amp;number=&amp;sourceID=11","")</f>
        <v/>
      </c>
      <c r="K18" s="4" t="str">
        <f>HYPERLINK("http://141.218.60.56/~jnz1568/getInfo.php?workbook=08_01.xlsx&amp;sheet=A0&amp;row=18&amp;col=11&amp;number=&amp;sourceID=11","")</f>
        <v/>
      </c>
      <c r="L18" s="4" t="str">
        <f>HYPERLINK("http://141.218.60.56/~jnz1568/getInfo.php?workbook=08_01.xlsx&amp;sheet=A0&amp;row=18&amp;col=12&amp;number=93.129&amp;sourceID=11","93.129")</f>
        <v>93.129</v>
      </c>
      <c r="M18" s="4" t="str">
        <f>HYPERLINK("http://141.218.60.56/~jnz1568/getInfo.php?workbook=08_01.xlsx&amp;sheet=A0&amp;row=18&amp;col=13&amp;number=&amp;sourceID=11","")</f>
        <v/>
      </c>
      <c r="N18" s="4" t="str">
        <f>HYPERLINK("http://141.218.60.56/~jnz1568/getInfo.php?workbook=08_01.xlsx&amp;sheet=A0&amp;row=18&amp;col=14&amp;number=221110000000&amp;sourceID=12","221110000000")</f>
        <v>221110000000</v>
      </c>
      <c r="O18" s="4" t="str">
        <f>HYPERLINK("http://141.218.60.56/~jnz1568/getInfo.php?workbook=08_01.xlsx&amp;sheet=A0&amp;row=18&amp;col=15&amp;number=221110000000&amp;sourceID=12","221110000000")</f>
        <v>221110000000</v>
      </c>
      <c r="P18" s="4" t="str">
        <f>HYPERLINK("http://141.218.60.56/~jnz1568/getInfo.php?workbook=08_01.xlsx&amp;sheet=A0&amp;row=18&amp;col=16&amp;number=&amp;sourceID=12","")</f>
        <v/>
      </c>
      <c r="Q18" s="4" t="str">
        <f>HYPERLINK("http://141.218.60.56/~jnz1568/getInfo.php?workbook=08_01.xlsx&amp;sheet=A0&amp;row=18&amp;col=17&amp;number=&amp;sourceID=12","")</f>
        <v/>
      </c>
      <c r="R18" s="4" t="str">
        <f>HYPERLINK("http://141.218.60.56/~jnz1568/getInfo.php?workbook=08_01.xlsx&amp;sheet=A0&amp;row=18&amp;col=18&amp;number=&amp;sourceID=12","")</f>
        <v/>
      </c>
      <c r="S18" s="4" t="str">
        <f>HYPERLINK("http://141.218.60.56/~jnz1568/getInfo.php?workbook=08_01.xlsx&amp;sheet=A0&amp;row=18&amp;col=19&amp;number=93.132&amp;sourceID=12","93.132")</f>
        <v>93.132</v>
      </c>
      <c r="T18" s="4" t="str">
        <f>HYPERLINK("http://141.218.60.56/~jnz1568/getInfo.php?workbook=08_01.xlsx&amp;sheet=A0&amp;row=18&amp;col=20&amp;number=&amp;sourceID=12","")</f>
        <v/>
      </c>
      <c r="U18" s="4" t="str">
        <f>HYPERLINK("http://141.218.60.56/~jnz1568/getInfo.php?workbook=08_01.xlsx&amp;sheet=A0&amp;row=18&amp;col=21&amp;number=2.21100000093e+11&amp;sourceID=30","2.21100000093e+11")</f>
        <v>2.21100000093e+11</v>
      </c>
      <c r="V18" s="4" t="str">
        <f>HYPERLINK("http://141.218.60.56/~jnz1568/getInfo.php?workbook=08_01.xlsx&amp;sheet=A0&amp;row=18&amp;col=22&amp;number=221100000000&amp;sourceID=30","221100000000")</f>
        <v>221100000000</v>
      </c>
      <c r="W18" s="4" t="str">
        <f>HYPERLINK("http://141.218.60.56/~jnz1568/getInfo.php?workbook=08_01.xlsx&amp;sheet=A0&amp;row=18&amp;col=23&amp;number=&amp;sourceID=30","")</f>
        <v/>
      </c>
      <c r="X18" s="4" t="str">
        <f>HYPERLINK("http://141.218.60.56/~jnz1568/getInfo.php?workbook=08_01.xlsx&amp;sheet=A0&amp;row=18&amp;col=24&amp;number=&amp;sourceID=30","")</f>
        <v/>
      </c>
      <c r="Y18" s="4" t="str">
        <f>HYPERLINK("http://141.218.60.56/~jnz1568/getInfo.php?workbook=08_01.xlsx&amp;sheet=A0&amp;row=18&amp;col=25&amp;number=93.13&amp;sourceID=30","93.13")</f>
        <v>93.13</v>
      </c>
      <c r="Z18" s="4" t="str">
        <f>HYPERLINK("http://141.218.60.56/~jnz1568/getInfo.php?workbook=08_01.xlsx&amp;sheet=A0&amp;row=18&amp;col=26&amp;number==&amp;sourceID=13","=")</f>
        <v>=</v>
      </c>
      <c r="AA18" s="4" t="str">
        <f>HYPERLINK("http://141.218.60.56/~jnz1568/getInfo.php?workbook=08_01.xlsx&amp;sheet=A0&amp;row=18&amp;col=27&amp;number=221000000000&amp;sourceID=13","221000000000")</f>
        <v>221000000000</v>
      </c>
      <c r="AB18" s="4" t="str">
        <f>HYPERLINK("http://141.218.60.56/~jnz1568/getInfo.php?workbook=08_01.xlsx&amp;sheet=A0&amp;row=18&amp;col=28&amp;number=&amp;sourceID=13","")</f>
        <v/>
      </c>
      <c r="AC18" s="4" t="str">
        <f>HYPERLINK("http://141.218.60.56/~jnz1568/getInfo.php?workbook=08_01.xlsx&amp;sheet=A0&amp;row=18&amp;col=29&amp;number=&amp;sourceID=13","")</f>
        <v/>
      </c>
      <c r="AD18" s="4" t="str">
        <f>HYPERLINK("http://141.218.60.56/~jnz1568/getInfo.php?workbook=08_01.xlsx&amp;sheet=A0&amp;row=18&amp;col=30&amp;number=&amp;sourceID=13","")</f>
        <v/>
      </c>
      <c r="AE18" s="4" t="str">
        <f>HYPERLINK("http://141.218.60.56/~jnz1568/getInfo.php?workbook=08_01.xlsx&amp;sheet=A0&amp;row=18&amp;col=31&amp;number=&amp;sourceID=13","")</f>
        <v/>
      </c>
      <c r="AF18" s="4" t="str">
        <f>HYPERLINK("http://141.218.60.56/~jnz1568/getInfo.php?workbook=08_01.xlsx&amp;sheet=A0&amp;row=18&amp;col=32&amp;number=221100000000&amp;sourceID=20","221100000000")</f>
        <v>221100000000</v>
      </c>
    </row>
    <row r="19" spans="1:32">
      <c r="A19" s="3">
        <v>8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HYPERLINK("http://141.218.60.56/~jnz1568/getInfo.php?workbook=08_01.xlsx&amp;sheet=A0&amp;row=19&amp;col=6&amp;number=&amp;sourceID=18","")</f>
        <v/>
      </c>
      <c r="G19" s="4" t="str">
        <f>HYPERLINK("http://141.218.60.56/~jnz1568/getInfo.php?workbook=08_01.xlsx&amp;sheet=A0&amp;row=19&amp;col=7&amp;number==&amp;sourceID=11","=")</f>
        <v>=</v>
      </c>
      <c r="H19" s="4" t="str">
        <f>HYPERLINK("http://141.218.60.56/~jnz1568/getInfo.php?workbook=08_01.xlsx&amp;sheet=A0&amp;row=19&amp;col=8&amp;number=&amp;sourceID=11","")</f>
        <v/>
      </c>
      <c r="I19" s="4" t="str">
        <f>HYPERLINK("http://141.218.60.56/~jnz1568/getInfo.php?workbook=08_01.xlsx&amp;sheet=A0&amp;row=19&amp;col=9&amp;number=13429000&amp;sourceID=11","13429000")</f>
        <v>13429000</v>
      </c>
      <c r="J19" s="4" t="str">
        <f>HYPERLINK("http://141.218.60.56/~jnz1568/getInfo.php?workbook=08_01.xlsx&amp;sheet=A0&amp;row=19&amp;col=10&amp;number=&amp;sourceID=11","")</f>
        <v/>
      </c>
      <c r="K19" s="4" t="str">
        <f>HYPERLINK("http://141.218.60.56/~jnz1568/getInfo.php?workbook=08_01.xlsx&amp;sheet=A0&amp;row=19&amp;col=11&amp;number=0.11337&amp;sourceID=11","0.11337")</f>
        <v>0.11337</v>
      </c>
      <c r="L19" s="4" t="str">
        <f>HYPERLINK("http://141.218.60.56/~jnz1568/getInfo.php?workbook=08_01.xlsx&amp;sheet=A0&amp;row=19&amp;col=12&amp;number=&amp;sourceID=11","")</f>
        <v/>
      </c>
      <c r="M19" s="4" t="str">
        <f>HYPERLINK("http://141.218.60.56/~jnz1568/getInfo.php?workbook=08_01.xlsx&amp;sheet=A0&amp;row=19&amp;col=13&amp;number=&amp;sourceID=11","")</f>
        <v/>
      </c>
      <c r="N19" s="4" t="str">
        <f>HYPERLINK("http://141.218.60.56/~jnz1568/getInfo.php?workbook=08_01.xlsx&amp;sheet=A0&amp;row=19&amp;col=14&amp;number=13429000&amp;sourceID=12","13429000")</f>
        <v>13429000</v>
      </c>
      <c r="O19" s="4" t="str">
        <f>HYPERLINK("http://141.218.60.56/~jnz1568/getInfo.php?workbook=08_01.xlsx&amp;sheet=A0&amp;row=19&amp;col=15&amp;number=&amp;sourceID=12","")</f>
        <v/>
      </c>
      <c r="P19" s="4" t="str">
        <f>HYPERLINK("http://141.218.60.56/~jnz1568/getInfo.php?workbook=08_01.xlsx&amp;sheet=A0&amp;row=19&amp;col=16&amp;number=13429000&amp;sourceID=12","13429000")</f>
        <v>13429000</v>
      </c>
      <c r="Q19" s="4" t="str">
        <f>HYPERLINK("http://141.218.60.56/~jnz1568/getInfo.php?workbook=08_01.xlsx&amp;sheet=A0&amp;row=19&amp;col=17&amp;number=&amp;sourceID=12","")</f>
        <v/>
      </c>
      <c r="R19" s="4" t="str">
        <f>HYPERLINK("http://141.218.60.56/~jnz1568/getInfo.php?workbook=08_01.xlsx&amp;sheet=A0&amp;row=19&amp;col=18&amp;number=0.11338&amp;sourceID=12","0.11338")</f>
        <v>0.11338</v>
      </c>
      <c r="S19" s="4" t="str">
        <f>HYPERLINK("http://141.218.60.56/~jnz1568/getInfo.php?workbook=08_01.xlsx&amp;sheet=A0&amp;row=19&amp;col=19&amp;number=&amp;sourceID=12","")</f>
        <v/>
      </c>
      <c r="T19" s="4" t="str">
        <f>HYPERLINK("http://141.218.60.56/~jnz1568/getInfo.php?workbook=08_01.xlsx&amp;sheet=A0&amp;row=19&amp;col=20&amp;number=&amp;sourceID=12","")</f>
        <v/>
      </c>
      <c r="U19" s="4" t="str">
        <f>HYPERLINK("http://141.218.60.56/~jnz1568/getInfo.php?workbook=08_01.xlsx&amp;sheet=A0&amp;row=19&amp;col=21&amp;number=13430000.1134&amp;sourceID=30","13430000.1134")</f>
        <v>13430000.1134</v>
      </c>
      <c r="V19" s="4" t="str">
        <f>HYPERLINK("http://141.218.60.56/~jnz1568/getInfo.php?workbook=08_01.xlsx&amp;sheet=A0&amp;row=19&amp;col=22&amp;number=&amp;sourceID=30","")</f>
        <v/>
      </c>
      <c r="W19" s="4" t="str">
        <f>HYPERLINK("http://141.218.60.56/~jnz1568/getInfo.php?workbook=08_01.xlsx&amp;sheet=A0&amp;row=19&amp;col=23&amp;number=13430000&amp;sourceID=30","13430000")</f>
        <v>13430000</v>
      </c>
      <c r="X19" s="4" t="str">
        <f>HYPERLINK("http://141.218.60.56/~jnz1568/getInfo.php?workbook=08_01.xlsx&amp;sheet=A0&amp;row=19&amp;col=24&amp;number=0.1134&amp;sourceID=30","0.1134")</f>
        <v>0.1134</v>
      </c>
      <c r="Y19" s="4" t="str">
        <f>HYPERLINK("http://141.218.60.56/~jnz1568/getInfo.php?workbook=08_01.xlsx&amp;sheet=A0&amp;row=19&amp;col=25&amp;number=&amp;sourceID=30","")</f>
        <v/>
      </c>
      <c r="Z19" s="4" t="str">
        <f>HYPERLINK("http://141.218.60.56/~jnz1568/getInfo.php?workbook=08_01.xlsx&amp;sheet=A0&amp;row=19&amp;col=26&amp;number==&amp;sourceID=13","=")</f>
        <v>=</v>
      </c>
      <c r="AA19" s="4" t="str">
        <f>HYPERLINK("http://141.218.60.56/~jnz1568/getInfo.php?workbook=08_01.xlsx&amp;sheet=A0&amp;row=19&amp;col=27&amp;number=&amp;sourceID=13","")</f>
        <v/>
      </c>
      <c r="AB19" s="4" t="str">
        <f>HYPERLINK("http://141.218.60.56/~jnz1568/getInfo.php?workbook=08_01.xlsx&amp;sheet=A0&amp;row=19&amp;col=28&amp;number=13400000&amp;sourceID=13","13400000")</f>
        <v>13400000</v>
      </c>
      <c r="AC19" s="4" t="str">
        <f>HYPERLINK("http://141.218.60.56/~jnz1568/getInfo.php?workbook=08_01.xlsx&amp;sheet=A0&amp;row=19&amp;col=29&amp;number=&amp;sourceID=13","")</f>
        <v/>
      </c>
      <c r="AD19" s="4" t="str">
        <f>HYPERLINK("http://141.218.60.56/~jnz1568/getInfo.php?workbook=08_01.xlsx&amp;sheet=A0&amp;row=19&amp;col=30&amp;number=0.218&amp;sourceID=13","0.218")</f>
        <v>0.218</v>
      </c>
      <c r="AE19" s="4" t="str">
        <f>HYPERLINK("http://141.218.60.56/~jnz1568/getInfo.php?workbook=08_01.xlsx&amp;sheet=A0&amp;row=19&amp;col=31&amp;number=&amp;sourceID=13","")</f>
        <v/>
      </c>
      <c r="AF19" s="4" t="str">
        <f>HYPERLINK("http://141.218.60.56/~jnz1568/getInfo.php?workbook=08_01.xlsx&amp;sheet=A0&amp;row=19&amp;col=32&amp;number=13429000&amp;sourceID=20","13429000")</f>
        <v>13429000</v>
      </c>
    </row>
    <row r="20" spans="1:32">
      <c r="A20" s="3">
        <v>8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HYPERLINK("http://141.218.60.56/~jnz1568/getInfo.php?workbook=08_01.xlsx&amp;sheet=A0&amp;row=20&amp;col=6&amp;number=&amp;sourceID=18","")</f>
        <v/>
      </c>
      <c r="G20" s="4" t="str">
        <f>HYPERLINK("http://141.218.60.56/~jnz1568/getInfo.php?workbook=08_01.xlsx&amp;sheet=A0&amp;row=20&amp;col=7&amp;number==&amp;sourceID=11","=")</f>
        <v>=</v>
      </c>
      <c r="H20" s="4" t="str">
        <f>HYPERLINK("http://141.218.60.56/~jnz1568/getInfo.php?workbook=08_01.xlsx&amp;sheet=A0&amp;row=20&amp;col=8&amp;number=44148000000&amp;sourceID=11","44148000000")</f>
        <v>44148000000</v>
      </c>
      <c r="I20" s="4" t="str">
        <f>HYPERLINK("http://141.218.60.56/~jnz1568/getInfo.php?workbook=08_01.xlsx&amp;sheet=A0&amp;row=20&amp;col=9&amp;number=&amp;sourceID=11","")</f>
        <v/>
      </c>
      <c r="J20" s="4" t="str">
        <f>HYPERLINK("http://141.218.60.56/~jnz1568/getInfo.php?workbook=08_01.xlsx&amp;sheet=A0&amp;row=20&amp;col=10&amp;number=379.6&amp;sourceID=11","379.6")</f>
        <v>379.6</v>
      </c>
      <c r="K20" s="4" t="str">
        <f>HYPERLINK("http://141.218.60.56/~jnz1568/getInfo.php?workbook=08_01.xlsx&amp;sheet=A0&amp;row=20&amp;col=11&amp;number=&amp;sourceID=11","")</f>
        <v/>
      </c>
      <c r="L20" s="4" t="str">
        <f>HYPERLINK("http://141.218.60.56/~jnz1568/getInfo.php?workbook=08_01.xlsx&amp;sheet=A0&amp;row=20&amp;col=12&amp;number=&amp;sourceID=11","")</f>
        <v/>
      </c>
      <c r="M20" s="4" t="str">
        <f>HYPERLINK("http://141.218.60.56/~jnz1568/getInfo.php?workbook=08_01.xlsx&amp;sheet=A0&amp;row=20&amp;col=13&amp;number=&amp;sourceID=11","")</f>
        <v/>
      </c>
      <c r="N20" s="4" t="str">
        <f>HYPERLINK("http://141.218.60.56/~jnz1568/getInfo.php?workbook=08_01.xlsx&amp;sheet=A0&amp;row=20&amp;col=14&amp;number=44149000000&amp;sourceID=12","44149000000")</f>
        <v>44149000000</v>
      </c>
      <c r="O20" s="4" t="str">
        <f>HYPERLINK("http://141.218.60.56/~jnz1568/getInfo.php?workbook=08_01.xlsx&amp;sheet=A0&amp;row=20&amp;col=15&amp;number=44149000000&amp;sourceID=12","44149000000")</f>
        <v>44149000000</v>
      </c>
      <c r="P20" s="4" t="str">
        <f>HYPERLINK("http://141.218.60.56/~jnz1568/getInfo.php?workbook=08_01.xlsx&amp;sheet=A0&amp;row=20&amp;col=16&amp;number=&amp;sourceID=12","")</f>
        <v/>
      </c>
      <c r="Q20" s="4" t="str">
        <f>HYPERLINK("http://141.218.60.56/~jnz1568/getInfo.php?workbook=08_01.xlsx&amp;sheet=A0&amp;row=20&amp;col=17&amp;number=379.61&amp;sourceID=12","379.61")</f>
        <v>379.61</v>
      </c>
      <c r="R20" s="4" t="str">
        <f>HYPERLINK("http://141.218.60.56/~jnz1568/getInfo.php?workbook=08_01.xlsx&amp;sheet=A0&amp;row=20&amp;col=18&amp;number=&amp;sourceID=12","")</f>
        <v/>
      </c>
      <c r="S20" s="4" t="str">
        <f>HYPERLINK("http://141.218.60.56/~jnz1568/getInfo.php?workbook=08_01.xlsx&amp;sheet=A0&amp;row=20&amp;col=19&amp;number=&amp;sourceID=12","")</f>
        <v/>
      </c>
      <c r="T20" s="4" t="str">
        <f>HYPERLINK("http://141.218.60.56/~jnz1568/getInfo.php?workbook=08_01.xlsx&amp;sheet=A0&amp;row=20&amp;col=20&amp;number=&amp;sourceID=12","")</f>
        <v/>
      </c>
      <c r="U20" s="4" t="str">
        <f>HYPERLINK("http://141.218.60.56/~jnz1568/getInfo.php?workbook=08_01.xlsx&amp;sheet=A0&amp;row=20&amp;col=21&amp;number=44150000000&amp;sourceID=30","44150000000")</f>
        <v>44150000000</v>
      </c>
      <c r="V20" s="4" t="str">
        <f>HYPERLINK("http://141.218.60.56/~jnz1568/getInfo.php?workbook=08_01.xlsx&amp;sheet=A0&amp;row=20&amp;col=22&amp;number=44150000000&amp;sourceID=30","44150000000")</f>
        <v>44150000000</v>
      </c>
      <c r="W20" s="4" t="str">
        <f>HYPERLINK("http://141.218.60.56/~jnz1568/getInfo.php?workbook=08_01.xlsx&amp;sheet=A0&amp;row=20&amp;col=23&amp;number=&amp;sourceID=30","")</f>
        <v/>
      </c>
      <c r="X20" s="4" t="str">
        <f>HYPERLINK("http://141.218.60.56/~jnz1568/getInfo.php?workbook=08_01.xlsx&amp;sheet=A0&amp;row=20&amp;col=24&amp;number=&amp;sourceID=30","")</f>
        <v/>
      </c>
      <c r="Y20" s="4" t="str">
        <f>HYPERLINK("http://141.218.60.56/~jnz1568/getInfo.php?workbook=08_01.xlsx&amp;sheet=A0&amp;row=20&amp;col=25&amp;number=&amp;sourceID=30","")</f>
        <v/>
      </c>
      <c r="Z20" s="4" t="str">
        <f>HYPERLINK("http://141.218.60.56/~jnz1568/getInfo.php?workbook=08_01.xlsx&amp;sheet=A0&amp;row=20&amp;col=26&amp;number==&amp;sourceID=13","=")</f>
        <v>=</v>
      </c>
      <c r="AA20" s="4" t="str">
        <f>HYPERLINK("http://141.218.60.56/~jnz1568/getInfo.php?workbook=08_01.xlsx&amp;sheet=A0&amp;row=20&amp;col=27&amp;number=44100000000&amp;sourceID=13","44100000000")</f>
        <v>44100000000</v>
      </c>
      <c r="AB20" s="4" t="str">
        <f>HYPERLINK("http://141.218.60.56/~jnz1568/getInfo.php?workbook=08_01.xlsx&amp;sheet=A0&amp;row=20&amp;col=28&amp;number=&amp;sourceID=13","")</f>
        <v/>
      </c>
      <c r="AC20" s="4" t="str">
        <f>HYPERLINK("http://141.218.60.56/~jnz1568/getInfo.php?workbook=08_01.xlsx&amp;sheet=A0&amp;row=20&amp;col=29&amp;number=&amp;sourceID=13","")</f>
        <v/>
      </c>
      <c r="AD20" s="4" t="str">
        <f>HYPERLINK("http://141.218.60.56/~jnz1568/getInfo.php?workbook=08_01.xlsx&amp;sheet=A0&amp;row=20&amp;col=30&amp;number=&amp;sourceID=13","")</f>
        <v/>
      </c>
      <c r="AE20" s="4" t="str">
        <f>HYPERLINK("http://141.218.60.56/~jnz1568/getInfo.php?workbook=08_01.xlsx&amp;sheet=A0&amp;row=20&amp;col=31&amp;number=&amp;sourceID=13","")</f>
        <v/>
      </c>
      <c r="AF20" s="4" t="str">
        <f>HYPERLINK("http://141.218.60.56/~jnz1568/getInfo.php?workbook=08_01.xlsx&amp;sheet=A0&amp;row=20&amp;col=32&amp;number=44148000000&amp;sourceID=20","44148000000")</f>
        <v>44148000000</v>
      </c>
    </row>
    <row r="21" spans="1:32">
      <c r="A21" s="3">
        <v>8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HYPERLINK("http://141.218.60.56/~jnz1568/getInfo.php?workbook=08_01.xlsx&amp;sheet=A0&amp;row=21&amp;col=6&amp;number=&amp;sourceID=18","")</f>
        <v/>
      </c>
      <c r="G21" s="4" t="str">
        <f>HYPERLINK("http://141.218.60.56/~jnz1568/getInfo.php?workbook=08_01.xlsx&amp;sheet=A0&amp;row=21&amp;col=7&amp;number==&amp;sourceID=11","=")</f>
        <v>=</v>
      </c>
      <c r="H21" s="4" t="str">
        <f>HYPERLINK("http://141.218.60.56/~jnz1568/getInfo.php?workbook=08_01.xlsx&amp;sheet=A0&amp;row=21&amp;col=8&amp;number=93.617&amp;sourceID=11","93.617")</f>
        <v>93.617</v>
      </c>
      <c r="I21" s="4" t="str">
        <f>HYPERLINK("http://141.218.60.56/~jnz1568/getInfo.php?workbook=08_01.xlsx&amp;sheet=A0&amp;row=21&amp;col=9&amp;number=&amp;sourceID=11","")</f>
        <v/>
      </c>
      <c r="J21" s="4" t="str">
        <f>HYPERLINK("http://141.218.60.56/~jnz1568/getInfo.php?workbook=08_01.xlsx&amp;sheet=A0&amp;row=21&amp;col=10&amp;number=&amp;sourceID=11","")</f>
        <v/>
      </c>
      <c r="K21" s="4" t="str">
        <f>HYPERLINK("http://141.218.60.56/~jnz1568/getInfo.php?workbook=08_01.xlsx&amp;sheet=A0&amp;row=21&amp;col=11&amp;number=&amp;sourceID=11","")</f>
        <v/>
      </c>
      <c r="L21" s="4" t="str">
        <f>HYPERLINK("http://141.218.60.56/~jnz1568/getInfo.php?workbook=08_01.xlsx&amp;sheet=A0&amp;row=21&amp;col=12&amp;number=8e-15&amp;sourceID=11","8e-15")</f>
        <v>8e-15</v>
      </c>
      <c r="M21" s="4" t="str">
        <f>HYPERLINK("http://141.218.60.56/~jnz1568/getInfo.php?workbook=08_01.xlsx&amp;sheet=A0&amp;row=21&amp;col=13&amp;number=&amp;sourceID=11","")</f>
        <v/>
      </c>
      <c r="N21" s="4" t="str">
        <f>HYPERLINK("http://141.218.60.56/~jnz1568/getInfo.php?workbook=08_01.xlsx&amp;sheet=A0&amp;row=21&amp;col=14&amp;number=93.621&amp;sourceID=12","93.621")</f>
        <v>93.621</v>
      </c>
      <c r="O21" s="4" t="str">
        <f>HYPERLINK("http://141.218.60.56/~jnz1568/getInfo.php?workbook=08_01.xlsx&amp;sheet=A0&amp;row=21&amp;col=15&amp;number=93.621&amp;sourceID=12","93.621")</f>
        <v>93.621</v>
      </c>
      <c r="P21" s="4" t="str">
        <f>HYPERLINK("http://141.218.60.56/~jnz1568/getInfo.php?workbook=08_01.xlsx&amp;sheet=A0&amp;row=21&amp;col=16&amp;number=&amp;sourceID=12","")</f>
        <v/>
      </c>
      <c r="Q21" s="4" t="str">
        <f>HYPERLINK("http://141.218.60.56/~jnz1568/getInfo.php?workbook=08_01.xlsx&amp;sheet=A0&amp;row=21&amp;col=17&amp;number=&amp;sourceID=12","")</f>
        <v/>
      </c>
      <c r="R21" s="4" t="str">
        <f>HYPERLINK("http://141.218.60.56/~jnz1568/getInfo.php?workbook=08_01.xlsx&amp;sheet=A0&amp;row=21&amp;col=18&amp;number=&amp;sourceID=12","")</f>
        <v/>
      </c>
      <c r="S21" s="4" t="str">
        <f>HYPERLINK("http://141.218.60.56/~jnz1568/getInfo.php?workbook=08_01.xlsx&amp;sheet=A0&amp;row=21&amp;col=19&amp;number=8e-15&amp;sourceID=12","8e-15")</f>
        <v>8e-15</v>
      </c>
      <c r="T21" s="4" t="str">
        <f>HYPERLINK("http://141.218.60.56/~jnz1568/getInfo.php?workbook=08_01.xlsx&amp;sheet=A0&amp;row=21&amp;col=20&amp;number=&amp;sourceID=12","")</f>
        <v/>
      </c>
      <c r="U21" s="4" t="str">
        <f>HYPERLINK("http://141.218.60.56/~jnz1568/getInfo.php?workbook=08_01.xlsx&amp;sheet=A0&amp;row=21&amp;col=21&amp;number=93.62&amp;sourceID=30","93.62")</f>
        <v>93.62</v>
      </c>
      <c r="V21" s="4" t="str">
        <f>HYPERLINK("http://141.218.60.56/~jnz1568/getInfo.php?workbook=08_01.xlsx&amp;sheet=A0&amp;row=21&amp;col=22&amp;number=93.62&amp;sourceID=30","93.62")</f>
        <v>93.62</v>
      </c>
      <c r="W21" s="4" t="str">
        <f>HYPERLINK("http://141.218.60.56/~jnz1568/getInfo.php?workbook=08_01.xlsx&amp;sheet=A0&amp;row=21&amp;col=23&amp;number=&amp;sourceID=30","")</f>
        <v/>
      </c>
      <c r="X21" s="4" t="str">
        <f>HYPERLINK("http://141.218.60.56/~jnz1568/getInfo.php?workbook=08_01.xlsx&amp;sheet=A0&amp;row=21&amp;col=24&amp;number=&amp;sourceID=30","")</f>
        <v/>
      </c>
      <c r="Y21" s="4" t="str">
        <f>HYPERLINK("http://141.218.60.56/~jnz1568/getInfo.php?workbook=08_01.xlsx&amp;sheet=A0&amp;row=21&amp;col=25&amp;number=8e-15&amp;sourceID=30","8e-15")</f>
        <v>8e-15</v>
      </c>
      <c r="Z21" s="4" t="str">
        <f>HYPERLINK("http://141.218.60.56/~jnz1568/getInfo.php?workbook=08_01.xlsx&amp;sheet=A0&amp;row=21&amp;col=26&amp;number==&amp;sourceID=13","=")</f>
        <v>=</v>
      </c>
      <c r="AA21" s="4" t="str">
        <f>HYPERLINK("http://141.218.60.56/~jnz1568/getInfo.php?workbook=08_01.xlsx&amp;sheet=A0&amp;row=21&amp;col=27&amp;number=90.4&amp;sourceID=13","90.4")</f>
        <v>90.4</v>
      </c>
      <c r="AB21" s="4" t="str">
        <f>HYPERLINK("http://141.218.60.56/~jnz1568/getInfo.php?workbook=08_01.xlsx&amp;sheet=A0&amp;row=21&amp;col=28&amp;number=&amp;sourceID=13","")</f>
        <v/>
      </c>
      <c r="AC21" s="4" t="str">
        <f>HYPERLINK("http://141.218.60.56/~jnz1568/getInfo.php?workbook=08_01.xlsx&amp;sheet=A0&amp;row=21&amp;col=29&amp;number=&amp;sourceID=13","")</f>
        <v/>
      </c>
      <c r="AD21" s="4" t="str">
        <f>HYPERLINK("http://141.218.60.56/~jnz1568/getInfo.php?workbook=08_01.xlsx&amp;sheet=A0&amp;row=21&amp;col=30&amp;number=&amp;sourceID=13","")</f>
        <v/>
      </c>
      <c r="AE21" s="4" t="str">
        <f>HYPERLINK("http://141.218.60.56/~jnz1568/getInfo.php?workbook=08_01.xlsx&amp;sheet=A0&amp;row=21&amp;col=31&amp;number=&amp;sourceID=13","")</f>
        <v/>
      </c>
      <c r="AF21" s="4" t="str">
        <f>HYPERLINK("http://141.218.60.56/~jnz1568/getInfo.php?workbook=08_01.xlsx&amp;sheet=A0&amp;row=21&amp;col=32&amp;number=&amp;sourceID=20","")</f>
        <v/>
      </c>
    </row>
    <row r="22" spans="1:32">
      <c r="A22" s="3">
        <v>8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HYPERLINK("http://141.218.60.56/~jnz1568/getInfo.php?workbook=08_01.xlsx&amp;sheet=A0&amp;row=22&amp;col=6&amp;number=&amp;sourceID=18","")</f>
        <v/>
      </c>
      <c r="G22" s="4" t="str">
        <f>HYPERLINK("http://141.218.60.56/~jnz1568/getInfo.php?workbook=08_01.xlsx&amp;sheet=A0&amp;row=22&amp;col=7&amp;number==&amp;sourceID=11","=")</f>
        <v>=</v>
      </c>
      <c r="H22" s="4" t="str">
        <f>HYPERLINK("http://141.218.60.56/~jnz1568/getInfo.php?workbook=08_01.xlsx&amp;sheet=A0&amp;row=22&amp;col=8&amp;number=&amp;sourceID=11","")</f>
        <v/>
      </c>
      <c r="I22" s="4" t="str">
        <f>HYPERLINK("http://141.218.60.56/~jnz1568/getInfo.php?workbook=08_01.xlsx&amp;sheet=A0&amp;row=22&amp;col=9&amp;number=1.9124e-09&amp;sourceID=11","1.9124e-09")</f>
        <v>1.9124e-09</v>
      </c>
      <c r="J22" s="4" t="str">
        <f>HYPERLINK("http://141.218.60.56/~jnz1568/getInfo.php?workbook=08_01.xlsx&amp;sheet=A0&amp;row=22&amp;col=10&amp;number=&amp;sourceID=11","")</f>
        <v/>
      </c>
      <c r="K22" s="4" t="str">
        <f>HYPERLINK("http://141.218.60.56/~jnz1568/getInfo.php?workbook=08_01.xlsx&amp;sheet=A0&amp;row=22&amp;col=11&amp;number=7.1e-13&amp;sourceID=11","7.1e-13")</f>
        <v>7.1e-13</v>
      </c>
      <c r="L22" s="4" t="str">
        <f>HYPERLINK("http://141.218.60.56/~jnz1568/getInfo.php?workbook=08_01.xlsx&amp;sheet=A0&amp;row=22&amp;col=12&amp;number=&amp;sourceID=11","")</f>
        <v/>
      </c>
      <c r="M22" s="4" t="str">
        <f>HYPERLINK("http://141.218.60.56/~jnz1568/getInfo.php?workbook=08_01.xlsx&amp;sheet=A0&amp;row=22&amp;col=13&amp;number=&amp;sourceID=11","")</f>
        <v/>
      </c>
      <c r="N22" s="4" t="str">
        <f>HYPERLINK("http://141.218.60.56/~jnz1568/getInfo.php?workbook=08_01.xlsx&amp;sheet=A0&amp;row=22&amp;col=14&amp;number=1.9132e-09&amp;sourceID=12","1.9132e-09")</f>
        <v>1.9132e-09</v>
      </c>
      <c r="O22" s="4" t="str">
        <f>HYPERLINK("http://141.218.60.56/~jnz1568/getInfo.php?workbook=08_01.xlsx&amp;sheet=A0&amp;row=22&amp;col=15&amp;number=&amp;sourceID=12","")</f>
        <v/>
      </c>
      <c r="P22" s="4" t="str">
        <f>HYPERLINK("http://141.218.60.56/~jnz1568/getInfo.php?workbook=08_01.xlsx&amp;sheet=A0&amp;row=22&amp;col=16&amp;number=1.9125e-09&amp;sourceID=12","1.9125e-09")</f>
        <v>1.9125e-09</v>
      </c>
      <c r="Q22" s="4" t="str">
        <f>HYPERLINK("http://141.218.60.56/~jnz1568/getInfo.php?workbook=08_01.xlsx&amp;sheet=A0&amp;row=22&amp;col=17&amp;number=&amp;sourceID=12","")</f>
        <v/>
      </c>
      <c r="R22" s="4" t="str">
        <f>HYPERLINK("http://141.218.60.56/~jnz1568/getInfo.php?workbook=08_01.xlsx&amp;sheet=A0&amp;row=22&amp;col=18&amp;number=7.1e-13&amp;sourceID=12","7.1e-13")</f>
        <v>7.1e-13</v>
      </c>
      <c r="S22" s="4" t="str">
        <f>HYPERLINK("http://141.218.60.56/~jnz1568/getInfo.php?workbook=08_01.xlsx&amp;sheet=A0&amp;row=22&amp;col=19&amp;number=&amp;sourceID=12","")</f>
        <v/>
      </c>
      <c r="T22" s="4" t="str">
        <f>HYPERLINK("http://141.218.60.56/~jnz1568/getInfo.php?workbook=08_01.xlsx&amp;sheet=A0&amp;row=22&amp;col=20&amp;number=&amp;sourceID=12","")</f>
        <v/>
      </c>
      <c r="U22" s="4" t="str">
        <f>HYPERLINK("http://141.218.60.56/~jnz1568/getInfo.php?workbook=08_01.xlsx&amp;sheet=A0&amp;row=22&amp;col=21&amp;number=1.912711e-09&amp;sourceID=30","1.912711e-09")</f>
        <v>1.912711e-09</v>
      </c>
      <c r="V22" s="4" t="str">
        <f>HYPERLINK("http://141.218.60.56/~jnz1568/getInfo.php?workbook=08_01.xlsx&amp;sheet=A0&amp;row=22&amp;col=22&amp;number=&amp;sourceID=30","")</f>
        <v/>
      </c>
      <c r="W22" s="4" t="str">
        <f>HYPERLINK("http://141.218.60.56/~jnz1568/getInfo.php?workbook=08_01.xlsx&amp;sheet=A0&amp;row=22&amp;col=23&amp;number=1.912e-09&amp;sourceID=30","1.912e-09")</f>
        <v>1.912e-09</v>
      </c>
      <c r="X22" s="4" t="str">
        <f>HYPERLINK("http://141.218.60.56/~jnz1568/getInfo.php?workbook=08_01.xlsx&amp;sheet=A0&amp;row=22&amp;col=24&amp;number=7.11e-13&amp;sourceID=30","7.11e-13")</f>
        <v>7.11e-13</v>
      </c>
      <c r="Y22" s="4" t="str">
        <f>HYPERLINK("http://141.218.60.56/~jnz1568/getInfo.php?workbook=08_01.xlsx&amp;sheet=A0&amp;row=22&amp;col=25&amp;number=&amp;sourceID=30","")</f>
        <v/>
      </c>
      <c r="Z22" s="4" t="str">
        <f>HYPERLINK("http://141.218.60.56/~jnz1568/getInfo.php?workbook=08_01.xlsx&amp;sheet=A0&amp;row=22&amp;col=26&amp;number=&amp;sourceID=13","")</f>
        <v/>
      </c>
      <c r="AA22" s="4" t="str">
        <f>HYPERLINK("http://141.218.60.56/~jnz1568/getInfo.php?workbook=08_01.xlsx&amp;sheet=A0&amp;row=22&amp;col=27&amp;number=&amp;sourceID=13","")</f>
        <v/>
      </c>
      <c r="AB22" s="4" t="str">
        <f>HYPERLINK("http://141.218.60.56/~jnz1568/getInfo.php?workbook=08_01.xlsx&amp;sheet=A0&amp;row=22&amp;col=28&amp;number=&amp;sourceID=13","")</f>
        <v/>
      </c>
      <c r="AC22" s="4" t="str">
        <f>HYPERLINK("http://141.218.60.56/~jnz1568/getInfo.php?workbook=08_01.xlsx&amp;sheet=A0&amp;row=22&amp;col=29&amp;number=&amp;sourceID=13","")</f>
        <v/>
      </c>
      <c r="AD22" s="4" t="str">
        <f>HYPERLINK("http://141.218.60.56/~jnz1568/getInfo.php?workbook=08_01.xlsx&amp;sheet=A0&amp;row=22&amp;col=30&amp;number=&amp;sourceID=13","")</f>
        <v/>
      </c>
      <c r="AE22" s="4" t="str">
        <f>HYPERLINK("http://141.218.60.56/~jnz1568/getInfo.php?workbook=08_01.xlsx&amp;sheet=A0&amp;row=22&amp;col=31&amp;number=&amp;sourceID=13","")</f>
        <v/>
      </c>
      <c r="AF22" s="4" t="str">
        <f>HYPERLINK("http://141.218.60.56/~jnz1568/getInfo.php?workbook=08_01.xlsx&amp;sheet=A0&amp;row=22&amp;col=32&amp;number=&amp;sourceID=20","")</f>
        <v/>
      </c>
    </row>
    <row r="23" spans="1:32">
      <c r="A23" s="3">
        <v>8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HYPERLINK("http://141.218.60.56/~jnz1568/getInfo.php?workbook=08_01.xlsx&amp;sheet=A0&amp;row=23&amp;col=6&amp;number=&amp;sourceID=18","")</f>
        <v/>
      </c>
      <c r="G23" s="4" t="str">
        <f>HYPERLINK("http://141.218.60.56/~jnz1568/getInfo.php?workbook=08_01.xlsx&amp;sheet=A0&amp;row=23&amp;col=7&amp;number==&amp;sourceID=11","=")</f>
        <v>=</v>
      </c>
      <c r="H23" s="4" t="str">
        <f>HYPERLINK("http://141.218.60.56/~jnz1568/getInfo.php?workbook=08_01.xlsx&amp;sheet=A0&amp;row=23&amp;col=8&amp;number=685170000000&amp;sourceID=11","685170000000")</f>
        <v>685170000000</v>
      </c>
      <c r="I23" s="4" t="str">
        <f>HYPERLINK("http://141.218.60.56/~jnz1568/getInfo.php?workbook=08_01.xlsx&amp;sheet=A0&amp;row=23&amp;col=9&amp;number=&amp;sourceID=11","")</f>
        <v/>
      </c>
      <c r="J23" s="4" t="str">
        <f>HYPERLINK("http://141.218.60.56/~jnz1568/getInfo.php?workbook=08_01.xlsx&amp;sheet=A0&amp;row=23&amp;col=10&amp;number=&amp;sourceID=11","")</f>
        <v/>
      </c>
      <c r="K23" s="4" t="str">
        <f>HYPERLINK("http://141.218.60.56/~jnz1568/getInfo.php?workbook=08_01.xlsx&amp;sheet=A0&amp;row=23&amp;col=11&amp;number=&amp;sourceID=11","")</f>
        <v/>
      </c>
      <c r="L23" s="4" t="str">
        <f>HYPERLINK("http://141.218.60.56/~jnz1568/getInfo.php?workbook=08_01.xlsx&amp;sheet=A0&amp;row=23&amp;col=12&amp;number=295050&amp;sourceID=11","295050")</f>
        <v>295050</v>
      </c>
      <c r="M23" s="4" t="str">
        <f>HYPERLINK("http://141.218.60.56/~jnz1568/getInfo.php?workbook=08_01.xlsx&amp;sheet=A0&amp;row=23&amp;col=13&amp;number=&amp;sourceID=11","")</f>
        <v/>
      </c>
      <c r="N23" s="4" t="str">
        <f>HYPERLINK("http://141.218.60.56/~jnz1568/getInfo.php?workbook=08_01.xlsx&amp;sheet=A0&amp;row=23&amp;col=14&amp;number=685190000000&amp;sourceID=12","685190000000")</f>
        <v>685190000000</v>
      </c>
      <c r="O23" s="4" t="str">
        <f>HYPERLINK("http://141.218.60.56/~jnz1568/getInfo.php?workbook=08_01.xlsx&amp;sheet=A0&amp;row=23&amp;col=15&amp;number=685190000000&amp;sourceID=12","685190000000")</f>
        <v>685190000000</v>
      </c>
      <c r="P23" s="4" t="str">
        <f>HYPERLINK("http://141.218.60.56/~jnz1568/getInfo.php?workbook=08_01.xlsx&amp;sheet=A0&amp;row=23&amp;col=16&amp;number=&amp;sourceID=12","")</f>
        <v/>
      </c>
      <c r="Q23" s="4" t="str">
        <f>HYPERLINK("http://141.218.60.56/~jnz1568/getInfo.php?workbook=08_01.xlsx&amp;sheet=A0&amp;row=23&amp;col=17&amp;number=&amp;sourceID=12","")</f>
        <v/>
      </c>
      <c r="R23" s="4" t="str">
        <f>HYPERLINK("http://141.218.60.56/~jnz1568/getInfo.php?workbook=08_01.xlsx&amp;sheet=A0&amp;row=23&amp;col=18&amp;number=&amp;sourceID=12","")</f>
        <v/>
      </c>
      <c r="S23" s="4" t="str">
        <f>HYPERLINK("http://141.218.60.56/~jnz1568/getInfo.php?workbook=08_01.xlsx&amp;sheet=A0&amp;row=23&amp;col=19&amp;number=295060&amp;sourceID=12","295060")</f>
        <v>295060</v>
      </c>
      <c r="T23" s="4" t="str">
        <f>HYPERLINK("http://141.218.60.56/~jnz1568/getInfo.php?workbook=08_01.xlsx&amp;sheet=A0&amp;row=23&amp;col=20&amp;number=&amp;sourceID=12","")</f>
        <v/>
      </c>
      <c r="U23" s="4" t="str">
        <f>HYPERLINK("http://141.218.60.56/~jnz1568/getInfo.php?workbook=08_01.xlsx&amp;sheet=A0&amp;row=23&amp;col=21&amp;number=685200295100&amp;sourceID=30","685200295100")</f>
        <v>685200295100</v>
      </c>
      <c r="V23" s="4" t="str">
        <f>HYPERLINK("http://141.218.60.56/~jnz1568/getInfo.php?workbook=08_01.xlsx&amp;sheet=A0&amp;row=23&amp;col=22&amp;number=685200000000&amp;sourceID=30","685200000000")</f>
        <v>685200000000</v>
      </c>
      <c r="W23" s="4" t="str">
        <f>HYPERLINK("http://141.218.60.56/~jnz1568/getInfo.php?workbook=08_01.xlsx&amp;sheet=A0&amp;row=23&amp;col=23&amp;number=&amp;sourceID=30","")</f>
        <v/>
      </c>
      <c r="X23" s="4" t="str">
        <f>HYPERLINK("http://141.218.60.56/~jnz1568/getInfo.php?workbook=08_01.xlsx&amp;sheet=A0&amp;row=23&amp;col=24&amp;number=&amp;sourceID=30","")</f>
        <v/>
      </c>
      <c r="Y23" s="4" t="str">
        <f>HYPERLINK("http://141.218.60.56/~jnz1568/getInfo.php?workbook=08_01.xlsx&amp;sheet=A0&amp;row=23&amp;col=25&amp;number=295100&amp;sourceID=30","295100")</f>
        <v>295100</v>
      </c>
      <c r="Z23" s="4" t="str">
        <f>HYPERLINK("http://141.218.60.56/~jnz1568/getInfo.php?workbook=08_01.xlsx&amp;sheet=A0&amp;row=23&amp;col=26&amp;number==SUM(AA23:AE23)&amp;sourceID=13","=SUM(AA23:AE23)")</f>
        <v>=SUM(AA23:AE23)</v>
      </c>
      <c r="AA23" s="4" t="str">
        <f>HYPERLINK("http://141.218.60.56/~jnz1568/getInfo.php?workbook=08_01.xlsx&amp;sheet=A0&amp;row=23&amp;col=27&amp;number=682000000000&amp;sourceID=13","682000000000")</f>
        <v>682000000000</v>
      </c>
      <c r="AB23" s="4" t="str">
        <f>HYPERLINK("http://141.218.60.56/~jnz1568/getInfo.php?workbook=08_01.xlsx&amp;sheet=A0&amp;row=23&amp;col=28&amp;number=&amp;sourceID=13","")</f>
        <v/>
      </c>
      <c r="AC23" s="4" t="str">
        <f>HYPERLINK("http://141.218.60.56/~jnz1568/getInfo.php?workbook=08_01.xlsx&amp;sheet=A0&amp;row=23&amp;col=29&amp;number=&amp;sourceID=13","")</f>
        <v/>
      </c>
      <c r="AD23" s="4" t="str">
        <f>HYPERLINK("http://141.218.60.56/~jnz1568/getInfo.php?workbook=08_01.xlsx&amp;sheet=A0&amp;row=23&amp;col=30&amp;number=&amp;sourceID=13","")</f>
        <v/>
      </c>
      <c r="AE23" s="4" t="str">
        <f>HYPERLINK("http://141.218.60.56/~jnz1568/getInfo.php?workbook=08_01.xlsx&amp;sheet=A0&amp;row=23&amp;col=31&amp;number=&amp;sourceID=13","")</f>
        <v/>
      </c>
      <c r="AF23" s="4" t="str">
        <f>HYPERLINK("http://141.218.60.56/~jnz1568/getInfo.php?workbook=08_01.xlsx&amp;sheet=A0&amp;row=23&amp;col=32&amp;number=685170000000&amp;sourceID=20","685170000000")</f>
        <v>685170000000</v>
      </c>
    </row>
    <row r="24" spans="1:32">
      <c r="A24" s="3">
        <v>8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HYPERLINK("http://141.218.60.56/~jnz1568/getInfo.php?workbook=08_01.xlsx&amp;sheet=A0&amp;row=24&amp;col=6&amp;number=&amp;sourceID=18","")</f>
        <v/>
      </c>
      <c r="G24" s="4" t="str">
        <f>HYPERLINK("http://141.218.60.56/~jnz1568/getInfo.php?workbook=08_01.xlsx&amp;sheet=A0&amp;row=24&amp;col=7&amp;number==&amp;sourceID=11","=")</f>
        <v>=</v>
      </c>
      <c r="H24" s="4" t="str">
        <f>HYPERLINK("http://141.218.60.56/~jnz1568/getInfo.php?workbook=08_01.xlsx&amp;sheet=A0&amp;row=24&amp;col=8&amp;number=&amp;sourceID=11","")</f>
        <v/>
      </c>
      <c r="I24" s="4" t="str">
        <f>HYPERLINK("http://141.218.60.56/~jnz1568/getInfo.php?workbook=08_01.xlsx&amp;sheet=A0&amp;row=24&amp;col=9&amp;number=3139900&amp;sourceID=11","3139900")</f>
        <v>3139900</v>
      </c>
      <c r="J24" s="4" t="str">
        <f>HYPERLINK("http://141.218.60.56/~jnz1568/getInfo.php?workbook=08_01.xlsx&amp;sheet=A0&amp;row=24&amp;col=10&amp;number=&amp;sourceID=11","")</f>
        <v/>
      </c>
      <c r="K24" s="4" t="str">
        <f>HYPERLINK("http://141.218.60.56/~jnz1568/getInfo.php?workbook=08_01.xlsx&amp;sheet=A0&amp;row=24&amp;col=11&amp;number=3.6533&amp;sourceID=11","3.6533")</f>
        <v>3.6533</v>
      </c>
      <c r="L24" s="4" t="str">
        <f>HYPERLINK("http://141.218.60.56/~jnz1568/getInfo.php?workbook=08_01.xlsx&amp;sheet=A0&amp;row=24&amp;col=12&amp;number=&amp;sourceID=11","")</f>
        <v/>
      </c>
      <c r="M24" s="4" t="str">
        <f>HYPERLINK("http://141.218.60.56/~jnz1568/getInfo.php?workbook=08_01.xlsx&amp;sheet=A0&amp;row=24&amp;col=13&amp;number=&amp;sourceID=11","")</f>
        <v/>
      </c>
      <c r="N24" s="4" t="str">
        <f>HYPERLINK("http://141.218.60.56/~jnz1568/getInfo.php?workbook=08_01.xlsx&amp;sheet=A0&amp;row=24&amp;col=14&amp;number=3140000&amp;sourceID=12","3140000")</f>
        <v>3140000</v>
      </c>
      <c r="O24" s="4" t="str">
        <f>HYPERLINK("http://141.218.60.56/~jnz1568/getInfo.php?workbook=08_01.xlsx&amp;sheet=A0&amp;row=24&amp;col=15&amp;number=&amp;sourceID=12","")</f>
        <v/>
      </c>
      <c r="P24" s="4" t="str">
        <f>HYPERLINK("http://141.218.60.56/~jnz1568/getInfo.php?workbook=08_01.xlsx&amp;sheet=A0&amp;row=24&amp;col=16&amp;number=3140000&amp;sourceID=12","3140000")</f>
        <v>3140000</v>
      </c>
      <c r="Q24" s="4" t="str">
        <f>HYPERLINK("http://141.218.60.56/~jnz1568/getInfo.php?workbook=08_01.xlsx&amp;sheet=A0&amp;row=24&amp;col=17&amp;number=&amp;sourceID=12","")</f>
        <v/>
      </c>
      <c r="R24" s="4" t="str">
        <f>HYPERLINK("http://141.218.60.56/~jnz1568/getInfo.php?workbook=08_01.xlsx&amp;sheet=A0&amp;row=24&amp;col=18&amp;number=3.6534&amp;sourceID=12","3.6534")</f>
        <v>3.6534</v>
      </c>
      <c r="S24" s="4" t="str">
        <f>HYPERLINK("http://141.218.60.56/~jnz1568/getInfo.php?workbook=08_01.xlsx&amp;sheet=A0&amp;row=24&amp;col=19&amp;number=&amp;sourceID=12","")</f>
        <v/>
      </c>
      <c r="T24" s="4" t="str">
        <f>HYPERLINK("http://141.218.60.56/~jnz1568/getInfo.php?workbook=08_01.xlsx&amp;sheet=A0&amp;row=24&amp;col=20&amp;number=&amp;sourceID=12","")</f>
        <v/>
      </c>
      <c r="U24" s="4" t="str">
        <f>HYPERLINK("http://141.218.60.56/~jnz1568/getInfo.php?workbook=08_01.xlsx&amp;sheet=A0&amp;row=24&amp;col=21&amp;number=3140003.654&amp;sourceID=30","3140003.654")</f>
        <v>3140003.654</v>
      </c>
      <c r="V24" s="4" t="str">
        <f>HYPERLINK("http://141.218.60.56/~jnz1568/getInfo.php?workbook=08_01.xlsx&amp;sheet=A0&amp;row=24&amp;col=22&amp;number=&amp;sourceID=30","")</f>
        <v/>
      </c>
      <c r="W24" s="4" t="str">
        <f>HYPERLINK("http://141.218.60.56/~jnz1568/getInfo.php?workbook=08_01.xlsx&amp;sheet=A0&amp;row=24&amp;col=23&amp;number=3140000&amp;sourceID=30","3140000")</f>
        <v>3140000</v>
      </c>
      <c r="X24" s="4" t="str">
        <f>HYPERLINK("http://141.218.60.56/~jnz1568/getInfo.php?workbook=08_01.xlsx&amp;sheet=A0&amp;row=24&amp;col=24&amp;number=3.654&amp;sourceID=30","3.654")</f>
        <v>3.654</v>
      </c>
      <c r="Y24" s="4" t="str">
        <f>HYPERLINK("http://141.218.60.56/~jnz1568/getInfo.php?workbook=08_01.xlsx&amp;sheet=A0&amp;row=24&amp;col=25&amp;number=&amp;sourceID=30","")</f>
        <v/>
      </c>
      <c r="Z24" s="4" t="str">
        <f>HYPERLINK("http://141.218.60.56/~jnz1568/getInfo.php?workbook=08_01.xlsx&amp;sheet=A0&amp;row=24&amp;col=26&amp;number==&amp;sourceID=13","=")</f>
        <v>=</v>
      </c>
      <c r="AA24" s="4" t="str">
        <f>HYPERLINK("http://141.218.60.56/~jnz1568/getInfo.php?workbook=08_01.xlsx&amp;sheet=A0&amp;row=24&amp;col=27&amp;number=&amp;sourceID=13","")</f>
        <v/>
      </c>
      <c r="AB24" s="4" t="str">
        <f>HYPERLINK("http://141.218.60.56/~jnz1568/getInfo.php?workbook=08_01.xlsx&amp;sheet=A0&amp;row=24&amp;col=28&amp;number=3130000&amp;sourceID=13","3130000")</f>
        <v>3130000</v>
      </c>
      <c r="AC24" s="4" t="str">
        <f>HYPERLINK("http://141.218.60.56/~jnz1568/getInfo.php?workbook=08_01.xlsx&amp;sheet=A0&amp;row=24&amp;col=29&amp;number=&amp;sourceID=13","")</f>
        <v/>
      </c>
      <c r="AD24" s="4" t="str">
        <f>HYPERLINK("http://141.218.60.56/~jnz1568/getInfo.php?workbook=08_01.xlsx&amp;sheet=A0&amp;row=24&amp;col=30&amp;number=3.17&amp;sourceID=13","3.17")</f>
        <v>3.17</v>
      </c>
      <c r="AE24" s="4" t="str">
        <f>HYPERLINK("http://141.218.60.56/~jnz1568/getInfo.php?workbook=08_01.xlsx&amp;sheet=A0&amp;row=24&amp;col=31&amp;number=&amp;sourceID=13","")</f>
        <v/>
      </c>
      <c r="AF24" s="4" t="str">
        <f>HYPERLINK("http://141.218.60.56/~jnz1568/getInfo.php?workbook=08_01.xlsx&amp;sheet=A0&amp;row=24&amp;col=32&amp;number=3139900&amp;sourceID=20","3139900")</f>
        <v>3139900</v>
      </c>
    </row>
    <row r="25" spans="1:32">
      <c r="A25" s="3">
        <v>8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HYPERLINK("http://141.218.60.56/~jnz1568/getInfo.php?workbook=08_01.xlsx&amp;sheet=A0&amp;row=25&amp;col=6&amp;number=&amp;sourceID=18","")</f>
        <v/>
      </c>
      <c r="G25" s="4" t="str">
        <f>HYPERLINK("http://141.218.60.56/~jnz1568/getInfo.php?workbook=08_01.xlsx&amp;sheet=A0&amp;row=25&amp;col=7&amp;number==&amp;sourceID=11","=")</f>
        <v>=</v>
      </c>
      <c r="H25" s="4" t="str">
        <f>HYPERLINK("http://141.218.60.56/~jnz1568/getInfo.php?workbook=08_01.xlsx&amp;sheet=A0&amp;row=25&amp;col=8&amp;number=91918000000&amp;sourceID=11","91918000000")</f>
        <v>91918000000</v>
      </c>
      <c r="I25" s="4" t="str">
        <f>HYPERLINK("http://141.218.60.56/~jnz1568/getInfo.php?workbook=08_01.xlsx&amp;sheet=A0&amp;row=25&amp;col=9&amp;number=&amp;sourceID=11","")</f>
        <v/>
      </c>
      <c r="J25" s="4" t="str">
        <f>HYPERLINK("http://141.218.60.56/~jnz1568/getInfo.php?workbook=08_01.xlsx&amp;sheet=A0&amp;row=25&amp;col=10&amp;number=&amp;sourceID=11","")</f>
        <v/>
      </c>
      <c r="K25" s="4" t="str">
        <f>HYPERLINK("http://141.218.60.56/~jnz1568/getInfo.php?workbook=08_01.xlsx&amp;sheet=A0&amp;row=25&amp;col=11&amp;number=&amp;sourceID=11","")</f>
        <v/>
      </c>
      <c r="L25" s="4" t="str">
        <f>HYPERLINK("http://141.218.60.56/~jnz1568/getInfo.php?workbook=08_01.xlsx&amp;sheet=A0&amp;row=25&amp;col=12&amp;number=968.71&amp;sourceID=11","968.71")</f>
        <v>968.71</v>
      </c>
      <c r="M25" s="4" t="str">
        <f>HYPERLINK("http://141.218.60.56/~jnz1568/getInfo.php?workbook=08_01.xlsx&amp;sheet=A0&amp;row=25&amp;col=13&amp;number=&amp;sourceID=11","")</f>
        <v/>
      </c>
      <c r="N25" s="4" t="str">
        <f>HYPERLINK("http://141.218.60.56/~jnz1568/getInfo.php?workbook=08_01.xlsx&amp;sheet=A0&amp;row=25&amp;col=14&amp;number=91921000000&amp;sourceID=12","91921000000")</f>
        <v>91921000000</v>
      </c>
      <c r="O25" s="4" t="str">
        <f>HYPERLINK("http://141.218.60.56/~jnz1568/getInfo.php?workbook=08_01.xlsx&amp;sheet=A0&amp;row=25&amp;col=15&amp;number=91921000000&amp;sourceID=12","91921000000")</f>
        <v>91921000000</v>
      </c>
      <c r="P25" s="4" t="str">
        <f>HYPERLINK("http://141.218.60.56/~jnz1568/getInfo.php?workbook=08_01.xlsx&amp;sheet=A0&amp;row=25&amp;col=16&amp;number=&amp;sourceID=12","")</f>
        <v/>
      </c>
      <c r="Q25" s="4" t="str">
        <f>HYPERLINK("http://141.218.60.56/~jnz1568/getInfo.php?workbook=08_01.xlsx&amp;sheet=A0&amp;row=25&amp;col=17&amp;number=&amp;sourceID=12","")</f>
        <v/>
      </c>
      <c r="R25" s="4" t="str">
        <f>HYPERLINK("http://141.218.60.56/~jnz1568/getInfo.php?workbook=08_01.xlsx&amp;sheet=A0&amp;row=25&amp;col=18&amp;number=&amp;sourceID=12","")</f>
        <v/>
      </c>
      <c r="S25" s="4" t="str">
        <f>HYPERLINK("http://141.218.60.56/~jnz1568/getInfo.php?workbook=08_01.xlsx&amp;sheet=A0&amp;row=25&amp;col=19&amp;number=968.74&amp;sourceID=12","968.74")</f>
        <v>968.74</v>
      </c>
      <c r="T25" s="4" t="str">
        <f>HYPERLINK("http://141.218.60.56/~jnz1568/getInfo.php?workbook=08_01.xlsx&amp;sheet=A0&amp;row=25&amp;col=20&amp;number=&amp;sourceID=12","")</f>
        <v/>
      </c>
      <c r="U25" s="4" t="str">
        <f>HYPERLINK("http://141.218.60.56/~jnz1568/getInfo.php?workbook=08_01.xlsx&amp;sheet=A0&amp;row=25&amp;col=21&amp;number=91920000968.7&amp;sourceID=30","91920000968.7")</f>
        <v>91920000968.7</v>
      </c>
      <c r="V25" s="4" t="str">
        <f>HYPERLINK("http://141.218.60.56/~jnz1568/getInfo.php?workbook=08_01.xlsx&amp;sheet=A0&amp;row=25&amp;col=22&amp;number=91920000000&amp;sourceID=30","91920000000")</f>
        <v>91920000000</v>
      </c>
      <c r="W25" s="4" t="str">
        <f>HYPERLINK("http://141.218.60.56/~jnz1568/getInfo.php?workbook=08_01.xlsx&amp;sheet=A0&amp;row=25&amp;col=23&amp;number=&amp;sourceID=30","")</f>
        <v/>
      </c>
      <c r="X25" s="4" t="str">
        <f>HYPERLINK("http://141.218.60.56/~jnz1568/getInfo.php?workbook=08_01.xlsx&amp;sheet=A0&amp;row=25&amp;col=24&amp;number=&amp;sourceID=30","")</f>
        <v/>
      </c>
      <c r="Y25" s="4" t="str">
        <f>HYPERLINK("http://141.218.60.56/~jnz1568/getInfo.php?workbook=08_01.xlsx&amp;sheet=A0&amp;row=25&amp;col=25&amp;number=968.7&amp;sourceID=30","968.7")</f>
        <v>968.7</v>
      </c>
      <c r="Z25" s="4" t="str">
        <f>HYPERLINK("http://141.218.60.56/~jnz1568/getInfo.php?workbook=08_01.xlsx&amp;sheet=A0&amp;row=25&amp;col=26&amp;number==&amp;sourceID=13","=")</f>
        <v>=</v>
      </c>
      <c r="AA25" s="4" t="str">
        <f>HYPERLINK("http://141.218.60.56/~jnz1568/getInfo.php?workbook=08_01.xlsx&amp;sheet=A0&amp;row=25&amp;col=27&amp;number=91800000000&amp;sourceID=13","91800000000")</f>
        <v>91800000000</v>
      </c>
      <c r="AB25" s="4" t="str">
        <f>HYPERLINK("http://141.218.60.56/~jnz1568/getInfo.php?workbook=08_01.xlsx&amp;sheet=A0&amp;row=25&amp;col=28&amp;number=&amp;sourceID=13","")</f>
        <v/>
      </c>
      <c r="AC25" s="4" t="str">
        <f>HYPERLINK("http://141.218.60.56/~jnz1568/getInfo.php?workbook=08_01.xlsx&amp;sheet=A0&amp;row=25&amp;col=29&amp;number=&amp;sourceID=13","")</f>
        <v/>
      </c>
      <c r="AD25" s="4" t="str">
        <f>HYPERLINK("http://141.218.60.56/~jnz1568/getInfo.php?workbook=08_01.xlsx&amp;sheet=A0&amp;row=25&amp;col=30&amp;number=&amp;sourceID=13","")</f>
        <v/>
      </c>
      <c r="AE25" s="4" t="str">
        <f>HYPERLINK("http://141.218.60.56/~jnz1568/getInfo.php?workbook=08_01.xlsx&amp;sheet=A0&amp;row=25&amp;col=31&amp;number=&amp;sourceID=13","")</f>
        <v/>
      </c>
      <c r="AF25" s="4" t="str">
        <f>HYPERLINK("http://141.218.60.56/~jnz1568/getInfo.php?workbook=08_01.xlsx&amp;sheet=A0&amp;row=25&amp;col=32&amp;number=91918000000&amp;sourceID=20","91918000000")</f>
        <v>91918000000</v>
      </c>
    </row>
    <row r="26" spans="1:32">
      <c r="A26" s="3">
        <v>8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HYPERLINK("http://141.218.60.56/~jnz1568/getInfo.php?workbook=08_01.xlsx&amp;sheet=A0&amp;row=26&amp;col=6&amp;number=&amp;sourceID=18","")</f>
        <v/>
      </c>
      <c r="G26" s="4" t="str">
        <f>HYPERLINK("http://141.218.60.56/~jnz1568/getInfo.php?workbook=08_01.xlsx&amp;sheet=A0&amp;row=26&amp;col=7&amp;number==&amp;sourceID=11","=")</f>
        <v>=</v>
      </c>
      <c r="H26" s="4" t="str">
        <f>HYPERLINK("http://141.218.60.56/~jnz1568/getInfo.php?workbook=08_01.xlsx&amp;sheet=A0&amp;row=26&amp;col=8&amp;number=&amp;sourceID=11","")</f>
        <v/>
      </c>
      <c r="I26" s="4" t="str">
        <f>HYPERLINK("http://141.218.60.56/~jnz1568/getInfo.php?workbook=08_01.xlsx&amp;sheet=A0&amp;row=26&amp;col=9&amp;number=3134700&amp;sourceID=11","3134700")</f>
        <v>3134700</v>
      </c>
      <c r="J26" s="4" t="str">
        <f>HYPERLINK("http://141.218.60.56/~jnz1568/getInfo.php?workbook=08_01.xlsx&amp;sheet=A0&amp;row=26&amp;col=10&amp;number=&amp;sourceID=11","")</f>
        <v/>
      </c>
      <c r="K26" s="4" t="str">
        <f>HYPERLINK("http://141.218.60.56/~jnz1568/getInfo.php?workbook=08_01.xlsx&amp;sheet=A0&amp;row=26&amp;col=11&amp;number=3.796&amp;sourceID=11","3.796")</f>
        <v>3.796</v>
      </c>
      <c r="L26" s="4" t="str">
        <f>HYPERLINK("http://141.218.60.56/~jnz1568/getInfo.php?workbook=08_01.xlsx&amp;sheet=A0&amp;row=26&amp;col=12&amp;number=&amp;sourceID=11","")</f>
        <v/>
      </c>
      <c r="M26" s="4" t="str">
        <f>HYPERLINK("http://141.218.60.56/~jnz1568/getInfo.php?workbook=08_01.xlsx&amp;sheet=A0&amp;row=26&amp;col=13&amp;number=0.070263&amp;sourceID=11","0.070263")</f>
        <v>0.070263</v>
      </c>
      <c r="N26" s="4" t="str">
        <f>HYPERLINK("http://141.218.60.56/~jnz1568/getInfo.php?workbook=08_01.xlsx&amp;sheet=A0&amp;row=26&amp;col=14&amp;number=3134800&amp;sourceID=12","3134800")</f>
        <v>3134800</v>
      </c>
      <c r="O26" s="4" t="str">
        <f>HYPERLINK("http://141.218.60.56/~jnz1568/getInfo.php?workbook=08_01.xlsx&amp;sheet=A0&amp;row=26&amp;col=15&amp;number=&amp;sourceID=12","")</f>
        <v/>
      </c>
      <c r="P26" s="4" t="str">
        <f>HYPERLINK("http://141.218.60.56/~jnz1568/getInfo.php?workbook=08_01.xlsx&amp;sheet=A0&amp;row=26&amp;col=16&amp;number=3134800&amp;sourceID=12","3134800")</f>
        <v>3134800</v>
      </c>
      <c r="Q26" s="4" t="str">
        <f>HYPERLINK("http://141.218.60.56/~jnz1568/getInfo.php?workbook=08_01.xlsx&amp;sheet=A0&amp;row=26&amp;col=17&amp;number=&amp;sourceID=12","")</f>
        <v/>
      </c>
      <c r="R26" s="4" t="str">
        <f>HYPERLINK("http://141.218.60.56/~jnz1568/getInfo.php?workbook=08_01.xlsx&amp;sheet=A0&amp;row=26&amp;col=18&amp;number=3.7961&amp;sourceID=12","3.7961")</f>
        <v>3.7961</v>
      </c>
      <c r="S26" s="4" t="str">
        <f>HYPERLINK("http://141.218.60.56/~jnz1568/getInfo.php?workbook=08_01.xlsx&amp;sheet=A0&amp;row=26&amp;col=19&amp;number=&amp;sourceID=12","")</f>
        <v/>
      </c>
      <c r="T26" s="4" t="str">
        <f>HYPERLINK("http://141.218.60.56/~jnz1568/getInfo.php?workbook=08_01.xlsx&amp;sheet=A0&amp;row=26&amp;col=20&amp;number=0.070265&amp;sourceID=12","0.070265")</f>
        <v>0.070265</v>
      </c>
      <c r="U26" s="4" t="str">
        <f>HYPERLINK("http://141.218.60.56/~jnz1568/getInfo.php?workbook=08_01.xlsx&amp;sheet=A0&amp;row=26&amp;col=21&amp;number=3135003.796&amp;sourceID=30","3135003.796")</f>
        <v>3135003.796</v>
      </c>
      <c r="V26" s="4" t="str">
        <f>HYPERLINK("http://141.218.60.56/~jnz1568/getInfo.php?workbook=08_01.xlsx&amp;sheet=A0&amp;row=26&amp;col=22&amp;number=&amp;sourceID=30","")</f>
        <v/>
      </c>
      <c r="W26" s="4" t="str">
        <f>HYPERLINK("http://141.218.60.56/~jnz1568/getInfo.php?workbook=08_01.xlsx&amp;sheet=A0&amp;row=26&amp;col=23&amp;number=3135000&amp;sourceID=30","3135000")</f>
        <v>3135000</v>
      </c>
      <c r="X26" s="4" t="str">
        <f>HYPERLINK("http://141.218.60.56/~jnz1568/getInfo.php?workbook=08_01.xlsx&amp;sheet=A0&amp;row=26&amp;col=24&amp;number=3.796&amp;sourceID=30","3.796")</f>
        <v>3.796</v>
      </c>
      <c r="Y26" s="4" t="str">
        <f>HYPERLINK("http://141.218.60.56/~jnz1568/getInfo.php?workbook=08_01.xlsx&amp;sheet=A0&amp;row=26&amp;col=25&amp;number=&amp;sourceID=30","")</f>
        <v/>
      </c>
      <c r="Z26" s="4" t="str">
        <f>HYPERLINK("http://141.218.60.56/~jnz1568/getInfo.php?workbook=08_01.xlsx&amp;sheet=A0&amp;row=26&amp;col=26&amp;number==&amp;sourceID=13","=")</f>
        <v>=</v>
      </c>
      <c r="AA26" s="4" t="str">
        <f>HYPERLINK("http://141.218.60.56/~jnz1568/getInfo.php?workbook=08_01.xlsx&amp;sheet=A0&amp;row=26&amp;col=27&amp;number=&amp;sourceID=13","")</f>
        <v/>
      </c>
      <c r="AB26" s="4" t="str">
        <f>HYPERLINK("http://141.218.60.56/~jnz1568/getInfo.php?workbook=08_01.xlsx&amp;sheet=A0&amp;row=26&amp;col=28&amp;number=3130000&amp;sourceID=13","3130000")</f>
        <v>3130000</v>
      </c>
      <c r="AC26" s="4" t="str">
        <f>HYPERLINK("http://141.218.60.56/~jnz1568/getInfo.php?workbook=08_01.xlsx&amp;sheet=A0&amp;row=26&amp;col=29&amp;number=&amp;sourceID=13","")</f>
        <v/>
      </c>
      <c r="AD26" s="4" t="str">
        <f>HYPERLINK("http://141.218.60.56/~jnz1568/getInfo.php?workbook=08_01.xlsx&amp;sheet=A0&amp;row=26&amp;col=30&amp;number=3.8&amp;sourceID=13","3.8")</f>
        <v>3.8</v>
      </c>
      <c r="AE26" s="4" t="str">
        <f>HYPERLINK("http://141.218.60.56/~jnz1568/getInfo.php?workbook=08_01.xlsx&amp;sheet=A0&amp;row=26&amp;col=31&amp;number=&amp;sourceID=13","")</f>
        <v/>
      </c>
      <c r="AF26" s="4" t="str">
        <f>HYPERLINK("http://141.218.60.56/~jnz1568/getInfo.php?workbook=08_01.xlsx&amp;sheet=A0&amp;row=26&amp;col=32&amp;number=3134700&amp;sourceID=20","3134700")</f>
        <v>3134700</v>
      </c>
    </row>
    <row r="27" spans="1:32">
      <c r="A27" s="3">
        <v>8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HYPERLINK("http://141.218.60.56/~jnz1568/getInfo.php?workbook=08_01.xlsx&amp;sheet=A0&amp;row=27&amp;col=6&amp;number=&amp;sourceID=18","")</f>
        <v/>
      </c>
      <c r="G27" s="4" t="str">
        <f>HYPERLINK("http://141.218.60.56/~jnz1568/getInfo.php?workbook=08_01.xlsx&amp;sheet=A0&amp;row=27&amp;col=7&amp;number==&amp;sourceID=11","=")</f>
        <v>=</v>
      </c>
      <c r="H27" s="4" t="str">
        <f>HYPERLINK("http://141.218.60.56/~jnz1568/getInfo.php?workbook=08_01.xlsx&amp;sheet=A0&amp;row=27&amp;col=8&amp;number=&amp;sourceID=11","")</f>
        <v/>
      </c>
      <c r="I27" s="4" t="str">
        <f>HYPERLINK("http://141.218.60.56/~jnz1568/getInfo.php?workbook=08_01.xlsx&amp;sheet=A0&amp;row=27&amp;col=9&amp;number=3.0569e-09&amp;sourceID=11","3.0569e-09")</f>
        <v>3.0569e-09</v>
      </c>
      <c r="J27" s="4" t="str">
        <f>HYPERLINK("http://141.218.60.56/~jnz1568/getInfo.php?workbook=08_01.xlsx&amp;sheet=A0&amp;row=27&amp;col=10&amp;number=&amp;sourceID=11","")</f>
        <v/>
      </c>
      <c r="K27" s="4" t="str">
        <f>HYPERLINK("http://141.218.60.56/~jnz1568/getInfo.php?workbook=08_01.xlsx&amp;sheet=A0&amp;row=27&amp;col=11&amp;number=0.00078803&amp;sourceID=11","0.00078803")</f>
        <v>0.00078803</v>
      </c>
      <c r="L27" s="4" t="str">
        <f>HYPERLINK("http://141.218.60.56/~jnz1568/getInfo.php?workbook=08_01.xlsx&amp;sheet=A0&amp;row=27&amp;col=12&amp;number=&amp;sourceID=11","")</f>
        <v/>
      </c>
      <c r="M27" s="4" t="str">
        <f>HYPERLINK("http://141.218.60.56/~jnz1568/getInfo.php?workbook=08_01.xlsx&amp;sheet=A0&amp;row=27&amp;col=13&amp;number=&amp;sourceID=11","")</f>
        <v/>
      </c>
      <c r="N27" s="4" t="str">
        <f>HYPERLINK("http://141.218.60.56/~jnz1568/getInfo.php?workbook=08_01.xlsx&amp;sheet=A0&amp;row=27&amp;col=14&amp;number=0.00078806&amp;sourceID=12","0.00078806")</f>
        <v>0.00078806</v>
      </c>
      <c r="O27" s="4" t="str">
        <f>HYPERLINK("http://141.218.60.56/~jnz1568/getInfo.php?workbook=08_01.xlsx&amp;sheet=A0&amp;row=27&amp;col=15&amp;number=&amp;sourceID=12","")</f>
        <v/>
      </c>
      <c r="P27" s="4" t="str">
        <f>HYPERLINK("http://141.218.60.56/~jnz1568/getInfo.php?workbook=08_01.xlsx&amp;sheet=A0&amp;row=27&amp;col=16&amp;number=3.057e-09&amp;sourceID=12","3.057e-09")</f>
        <v>3.057e-09</v>
      </c>
      <c r="Q27" s="4" t="str">
        <f>HYPERLINK("http://141.218.60.56/~jnz1568/getInfo.php?workbook=08_01.xlsx&amp;sheet=A0&amp;row=27&amp;col=17&amp;number=&amp;sourceID=12","")</f>
        <v/>
      </c>
      <c r="R27" s="4" t="str">
        <f>HYPERLINK("http://141.218.60.56/~jnz1568/getInfo.php?workbook=08_01.xlsx&amp;sheet=A0&amp;row=27&amp;col=18&amp;number=0.00078806&amp;sourceID=12","0.00078806")</f>
        <v>0.00078806</v>
      </c>
      <c r="S27" s="4" t="str">
        <f>HYPERLINK("http://141.218.60.56/~jnz1568/getInfo.php?workbook=08_01.xlsx&amp;sheet=A0&amp;row=27&amp;col=19&amp;number=&amp;sourceID=12","")</f>
        <v/>
      </c>
      <c r="T27" s="4" t="str">
        <f>HYPERLINK("http://141.218.60.56/~jnz1568/getInfo.php?workbook=08_01.xlsx&amp;sheet=A0&amp;row=27&amp;col=20&amp;number=&amp;sourceID=12","")</f>
        <v/>
      </c>
      <c r="U27" s="4" t="str">
        <f>HYPERLINK("http://141.218.60.56/~jnz1568/getInfo.php?workbook=08_01.xlsx&amp;sheet=A0&amp;row=27&amp;col=21&amp;number=0.000788103057&amp;sourceID=30","0.000788103057")</f>
        <v>0.000788103057</v>
      </c>
      <c r="V27" s="4" t="str">
        <f>HYPERLINK("http://141.218.60.56/~jnz1568/getInfo.php?workbook=08_01.xlsx&amp;sheet=A0&amp;row=27&amp;col=22&amp;number=&amp;sourceID=30","")</f>
        <v/>
      </c>
      <c r="W27" s="4" t="str">
        <f>HYPERLINK("http://141.218.60.56/~jnz1568/getInfo.php?workbook=08_01.xlsx&amp;sheet=A0&amp;row=27&amp;col=23&amp;number=3.057e-09&amp;sourceID=30","3.057e-09")</f>
        <v>3.057e-09</v>
      </c>
      <c r="X27" s="4" t="str">
        <f>HYPERLINK("http://141.218.60.56/~jnz1568/getInfo.php?workbook=08_01.xlsx&amp;sheet=A0&amp;row=27&amp;col=24&amp;number=0.0007881&amp;sourceID=30","0.0007881")</f>
        <v>0.0007881</v>
      </c>
      <c r="Y27" s="4" t="str">
        <f>HYPERLINK("http://141.218.60.56/~jnz1568/getInfo.php?workbook=08_01.xlsx&amp;sheet=A0&amp;row=27&amp;col=25&amp;number=&amp;sourceID=30","")</f>
        <v/>
      </c>
      <c r="Z27" s="4" t="str">
        <f>HYPERLINK("http://141.218.60.56/~jnz1568/getInfo.php?workbook=08_01.xlsx&amp;sheet=A0&amp;row=27&amp;col=26&amp;number==&amp;sourceID=13","=")</f>
        <v>=</v>
      </c>
      <c r="AA27" s="4" t="str">
        <f>HYPERLINK("http://141.218.60.56/~jnz1568/getInfo.php?workbook=08_01.xlsx&amp;sheet=A0&amp;row=27&amp;col=27&amp;number=&amp;sourceID=13","")</f>
        <v/>
      </c>
      <c r="AB27" s="4" t="str">
        <f>HYPERLINK("http://141.218.60.56/~jnz1568/getInfo.php?workbook=08_01.xlsx&amp;sheet=A0&amp;row=27&amp;col=28&amp;number=3.01e-09&amp;sourceID=13","3.01e-09")</f>
        <v>3.01e-09</v>
      </c>
      <c r="AC27" s="4" t="str">
        <f>HYPERLINK("http://141.218.60.56/~jnz1568/getInfo.php?workbook=08_01.xlsx&amp;sheet=A0&amp;row=27&amp;col=29&amp;number=&amp;sourceID=13","")</f>
        <v/>
      </c>
      <c r="AD27" s="4" t="str">
        <f>HYPERLINK("http://141.218.60.56/~jnz1568/getInfo.php?workbook=08_01.xlsx&amp;sheet=A0&amp;row=27&amp;col=30&amp;number=0.00078&amp;sourceID=13","0.00078")</f>
        <v>0.00078</v>
      </c>
      <c r="AE27" s="4" t="str">
        <f>HYPERLINK("http://141.218.60.56/~jnz1568/getInfo.php?workbook=08_01.xlsx&amp;sheet=A0&amp;row=27&amp;col=31&amp;number=&amp;sourceID=13","")</f>
        <v/>
      </c>
      <c r="AF27" s="4" t="str">
        <f>HYPERLINK("http://141.218.60.56/~jnz1568/getInfo.php?workbook=08_01.xlsx&amp;sheet=A0&amp;row=27&amp;col=32&amp;number=&amp;sourceID=20","")</f>
        <v/>
      </c>
    </row>
    <row r="28" spans="1:32">
      <c r="A28" s="3">
        <v>8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HYPERLINK("http://141.218.60.56/~jnz1568/getInfo.php?workbook=08_01.xlsx&amp;sheet=A0&amp;row=28&amp;col=6&amp;number=&amp;sourceID=18","")</f>
        <v/>
      </c>
      <c r="G28" s="4" t="str">
        <f>HYPERLINK("http://141.218.60.56/~jnz1568/getInfo.php?workbook=08_01.xlsx&amp;sheet=A0&amp;row=28&amp;col=7&amp;number==&amp;sourceID=11","=")</f>
        <v>=</v>
      </c>
      <c r="H28" s="4" t="str">
        <f>HYPERLINK("http://141.218.60.56/~jnz1568/getInfo.php?workbook=08_01.xlsx&amp;sheet=A0&amp;row=28&amp;col=8&amp;number=149.73&amp;sourceID=11","149.73")</f>
        <v>149.73</v>
      </c>
      <c r="I28" s="4" t="str">
        <f>HYPERLINK("http://141.218.60.56/~jnz1568/getInfo.php?workbook=08_01.xlsx&amp;sheet=A0&amp;row=28&amp;col=9&amp;number=&amp;sourceID=11","")</f>
        <v/>
      </c>
      <c r="J28" s="4" t="str">
        <f>HYPERLINK("http://141.218.60.56/~jnz1568/getInfo.php?workbook=08_01.xlsx&amp;sheet=A0&amp;row=28&amp;col=10&amp;number=&amp;sourceID=11","")</f>
        <v/>
      </c>
      <c r="K28" s="4" t="str">
        <f>HYPERLINK("http://141.218.60.56/~jnz1568/getInfo.php?workbook=08_01.xlsx&amp;sheet=A0&amp;row=28&amp;col=11&amp;number=&amp;sourceID=11","")</f>
        <v/>
      </c>
      <c r="L28" s="4" t="str">
        <f>HYPERLINK("http://141.218.60.56/~jnz1568/getInfo.php?workbook=08_01.xlsx&amp;sheet=A0&amp;row=28&amp;col=12&amp;number=3.26e-13&amp;sourceID=11","3.26e-13")</f>
        <v>3.26e-13</v>
      </c>
      <c r="M28" s="4" t="str">
        <f>HYPERLINK("http://141.218.60.56/~jnz1568/getInfo.php?workbook=08_01.xlsx&amp;sheet=A0&amp;row=28&amp;col=13&amp;number=&amp;sourceID=11","")</f>
        <v/>
      </c>
      <c r="N28" s="4" t="str">
        <f>HYPERLINK("http://141.218.60.56/~jnz1568/getInfo.php?workbook=08_01.xlsx&amp;sheet=A0&amp;row=28&amp;col=14&amp;number=149.73&amp;sourceID=12","149.73")</f>
        <v>149.73</v>
      </c>
      <c r="O28" s="4" t="str">
        <f>HYPERLINK("http://141.218.60.56/~jnz1568/getInfo.php?workbook=08_01.xlsx&amp;sheet=A0&amp;row=28&amp;col=15&amp;number=149.73&amp;sourceID=12","149.73")</f>
        <v>149.73</v>
      </c>
      <c r="P28" s="4" t="str">
        <f>HYPERLINK("http://141.218.60.56/~jnz1568/getInfo.php?workbook=08_01.xlsx&amp;sheet=A0&amp;row=28&amp;col=16&amp;number=&amp;sourceID=12","")</f>
        <v/>
      </c>
      <c r="Q28" s="4" t="str">
        <f>HYPERLINK("http://141.218.60.56/~jnz1568/getInfo.php?workbook=08_01.xlsx&amp;sheet=A0&amp;row=28&amp;col=17&amp;number=&amp;sourceID=12","")</f>
        <v/>
      </c>
      <c r="R28" s="4" t="str">
        <f>HYPERLINK("http://141.218.60.56/~jnz1568/getInfo.php?workbook=08_01.xlsx&amp;sheet=A0&amp;row=28&amp;col=18&amp;number=&amp;sourceID=12","")</f>
        <v/>
      </c>
      <c r="S28" s="4" t="str">
        <f>HYPERLINK("http://141.218.60.56/~jnz1568/getInfo.php?workbook=08_01.xlsx&amp;sheet=A0&amp;row=28&amp;col=19&amp;number=3.26e-13&amp;sourceID=12","3.26e-13")</f>
        <v>3.26e-13</v>
      </c>
      <c r="T28" s="4" t="str">
        <f>HYPERLINK("http://141.218.60.56/~jnz1568/getInfo.php?workbook=08_01.xlsx&amp;sheet=A0&amp;row=28&amp;col=20&amp;number=&amp;sourceID=12","")</f>
        <v/>
      </c>
      <c r="U28" s="4" t="str">
        <f>HYPERLINK("http://141.218.60.56/~jnz1568/getInfo.php?workbook=08_01.xlsx&amp;sheet=A0&amp;row=28&amp;col=21&amp;number=149.7&amp;sourceID=30","149.7")</f>
        <v>149.7</v>
      </c>
      <c r="V28" s="4" t="str">
        <f>HYPERLINK("http://141.218.60.56/~jnz1568/getInfo.php?workbook=08_01.xlsx&amp;sheet=A0&amp;row=28&amp;col=22&amp;number=149.7&amp;sourceID=30","149.7")</f>
        <v>149.7</v>
      </c>
      <c r="W28" s="4" t="str">
        <f>HYPERLINK("http://141.218.60.56/~jnz1568/getInfo.php?workbook=08_01.xlsx&amp;sheet=A0&amp;row=28&amp;col=23&amp;number=&amp;sourceID=30","")</f>
        <v/>
      </c>
      <c r="X28" s="4" t="str">
        <f>HYPERLINK("http://141.218.60.56/~jnz1568/getInfo.php?workbook=08_01.xlsx&amp;sheet=A0&amp;row=28&amp;col=24&amp;number=&amp;sourceID=30","")</f>
        <v/>
      </c>
      <c r="Y28" s="4" t="str">
        <f>HYPERLINK("http://141.218.60.56/~jnz1568/getInfo.php?workbook=08_01.xlsx&amp;sheet=A0&amp;row=28&amp;col=25&amp;number=3.26e-13&amp;sourceID=30","3.26e-13")</f>
        <v>3.26e-13</v>
      </c>
      <c r="Z28" s="4" t="str">
        <f>HYPERLINK("http://141.218.60.56/~jnz1568/getInfo.php?workbook=08_01.xlsx&amp;sheet=A0&amp;row=28&amp;col=26&amp;number==&amp;sourceID=13","=")</f>
        <v>=</v>
      </c>
      <c r="AA28" s="4" t="str">
        <f>HYPERLINK("http://141.218.60.56/~jnz1568/getInfo.php?workbook=08_01.xlsx&amp;sheet=A0&amp;row=28&amp;col=27&amp;number=151&amp;sourceID=13","151")</f>
        <v>151</v>
      </c>
      <c r="AB28" s="4" t="str">
        <f>HYPERLINK("http://141.218.60.56/~jnz1568/getInfo.php?workbook=08_01.xlsx&amp;sheet=A0&amp;row=28&amp;col=28&amp;number=&amp;sourceID=13","")</f>
        <v/>
      </c>
      <c r="AC28" s="4" t="str">
        <f>HYPERLINK("http://141.218.60.56/~jnz1568/getInfo.php?workbook=08_01.xlsx&amp;sheet=A0&amp;row=28&amp;col=29&amp;number=&amp;sourceID=13","")</f>
        <v/>
      </c>
      <c r="AD28" s="4" t="str">
        <f>HYPERLINK("http://141.218.60.56/~jnz1568/getInfo.php?workbook=08_01.xlsx&amp;sheet=A0&amp;row=28&amp;col=30&amp;number=&amp;sourceID=13","")</f>
        <v/>
      </c>
      <c r="AE28" s="4" t="str">
        <f>HYPERLINK("http://141.218.60.56/~jnz1568/getInfo.php?workbook=08_01.xlsx&amp;sheet=A0&amp;row=28&amp;col=31&amp;number=&amp;sourceID=13","")</f>
        <v/>
      </c>
      <c r="AF28" s="4" t="str">
        <f>HYPERLINK("http://141.218.60.56/~jnz1568/getInfo.php?workbook=08_01.xlsx&amp;sheet=A0&amp;row=28&amp;col=32&amp;number=&amp;sourceID=20","")</f>
        <v/>
      </c>
    </row>
    <row r="29" spans="1:32">
      <c r="A29" s="3">
        <v>8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HYPERLINK("http://141.218.60.56/~jnz1568/getInfo.php?workbook=08_01.xlsx&amp;sheet=A0&amp;row=29&amp;col=6&amp;number=&amp;sourceID=18","")</f>
        <v/>
      </c>
      <c r="G29" s="4" t="str">
        <f>HYPERLINK("http://141.218.60.56/~jnz1568/getInfo.php?workbook=08_01.xlsx&amp;sheet=A0&amp;row=29&amp;col=7&amp;number==&amp;sourceID=11","=")</f>
        <v>=</v>
      </c>
      <c r="H29" s="4" t="str">
        <f>HYPERLINK("http://141.218.60.56/~jnz1568/getInfo.php?workbook=08_01.xlsx&amp;sheet=A0&amp;row=29&amp;col=8&amp;number=&amp;sourceID=11","")</f>
        <v/>
      </c>
      <c r="I29" s="4" t="str">
        <f>HYPERLINK("http://141.218.60.56/~jnz1568/getInfo.php?workbook=08_01.xlsx&amp;sheet=A0&amp;row=29&amp;col=9&amp;number=155300000&amp;sourceID=11","155300000")</f>
        <v>155300000</v>
      </c>
      <c r="J29" s="4" t="str">
        <f>HYPERLINK("http://141.218.60.56/~jnz1568/getInfo.php?workbook=08_01.xlsx&amp;sheet=A0&amp;row=29&amp;col=10&amp;number=&amp;sourceID=11","")</f>
        <v/>
      </c>
      <c r="K29" s="4" t="str">
        <f>HYPERLINK("http://141.218.60.56/~jnz1568/getInfo.php?workbook=08_01.xlsx&amp;sheet=A0&amp;row=29&amp;col=11&amp;number=&amp;sourceID=11","")</f>
        <v/>
      </c>
      <c r="L29" s="4" t="str">
        <f>HYPERLINK("http://141.218.60.56/~jnz1568/getInfo.php?workbook=08_01.xlsx&amp;sheet=A0&amp;row=29&amp;col=12&amp;number=&amp;sourceID=11","")</f>
        <v/>
      </c>
      <c r="M29" s="4" t="str">
        <f>HYPERLINK("http://141.218.60.56/~jnz1568/getInfo.php?workbook=08_01.xlsx&amp;sheet=A0&amp;row=29&amp;col=13&amp;number=79.359&amp;sourceID=11","79.359")</f>
        <v>79.359</v>
      </c>
      <c r="N29" s="4" t="str">
        <f>HYPERLINK("http://141.218.60.56/~jnz1568/getInfo.php?workbook=08_01.xlsx&amp;sheet=A0&amp;row=29&amp;col=14&amp;number=155310000&amp;sourceID=12","155310000")</f>
        <v>155310000</v>
      </c>
      <c r="O29" s="4" t="str">
        <f>HYPERLINK("http://141.218.60.56/~jnz1568/getInfo.php?workbook=08_01.xlsx&amp;sheet=A0&amp;row=29&amp;col=15&amp;number=&amp;sourceID=12","")</f>
        <v/>
      </c>
      <c r="P29" s="4" t="str">
        <f>HYPERLINK("http://141.218.60.56/~jnz1568/getInfo.php?workbook=08_01.xlsx&amp;sheet=A0&amp;row=29&amp;col=16&amp;number=155310000&amp;sourceID=12","155310000")</f>
        <v>155310000</v>
      </c>
      <c r="Q29" s="4" t="str">
        <f>HYPERLINK("http://141.218.60.56/~jnz1568/getInfo.php?workbook=08_01.xlsx&amp;sheet=A0&amp;row=29&amp;col=17&amp;number=&amp;sourceID=12","")</f>
        <v/>
      </c>
      <c r="R29" s="4" t="str">
        <f>HYPERLINK("http://141.218.60.56/~jnz1568/getInfo.php?workbook=08_01.xlsx&amp;sheet=A0&amp;row=29&amp;col=18&amp;number=&amp;sourceID=12","")</f>
        <v/>
      </c>
      <c r="S29" s="4" t="str">
        <f>HYPERLINK("http://141.218.60.56/~jnz1568/getInfo.php?workbook=08_01.xlsx&amp;sheet=A0&amp;row=29&amp;col=19&amp;number=&amp;sourceID=12","")</f>
        <v/>
      </c>
      <c r="T29" s="4" t="str">
        <f>HYPERLINK("http://141.218.60.56/~jnz1568/getInfo.php?workbook=08_01.xlsx&amp;sheet=A0&amp;row=29&amp;col=20&amp;number=79.362&amp;sourceID=12","79.362")</f>
        <v>79.362</v>
      </c>
      <c r="U29" s="4" t="str">
        <f>HYPERLINK("http://141.218.60.56/~jnz1568/getInfo.php?workbook=08_01.xlsx&amp;sheet=A0&amp;row=29&amp;col=21&amp;number=155300000&amp;sourceID=30","155300000")</f>
        <v>155300000</v>
      </c>
      <c r="V29" s="4" t="str">
        <f>HYPERLINK("http://141.218.60.56/~jnz1568/getInfo.php?workbook=08_01.xlsx&amp;sheet=A0&amp;row=29&amp;col=22&amp;number=&amp;sourceID=30","")</f>
        <v/>
      </c>
      <c r="W29" s="4" t="str">
        <f>HYPERLINK("http://141.218.60.56/~jnz1568/getInfo.php?workbook=08_01.xlsx&amp;sheet=A0&amp;row=29&amp;col=23&amp;number=155300000&amp;sourceID=30","155300000")</f>
        <v>155300000</v>
      </c>
      <c r="X29" s="4" t="str">
        <f>HYPERLINK("http://141.218.60.56/~jnz1568/getInfo.php?workbook=08_01.xlsx&amp;sheet=A0&amp;row=29&amp;col=24&amp;number=&amp;sourceID=30","")</f>
        <v/>
      </c>
      <c r="Y29" s="4" t="str">
        <f>HYPERLINK("http://141.218.60.56/~jnz1568/getInfo.php?workbook=08_01.xlsx&amp;sheet=A0&amp;row=29&amp;col=25&amp;number=&amp;sourceID=30","")</f>
        <v/>
      </c>
      <c r="Z29" s="4" t="str">
        <f>HYPERLINK("http://141.218.60.56/~jnz1568/getInfo.php?workbook=08_01.xlsx&amp;sheet=A0&amp;row=29&amp;col=26&amp;number==&amp;sourceID=13","=")</f>
        <v>=</v>
      </c>
      <c r="AA29" s="4" t="str">
        <f>HYPERLINK("http://141.218.60.56/~jnz1568/getInfo.php?workbook=08_01.xlsx&amp;sheet=A0&amp;row=29&amp;col=27&amp;number=&amp;sourceID=13","")</f>
        <v/>
      </c>
      <c r="AB29" s="4" t="str">
        <f>HYPERLINK("http://141.218.60.56/~jnz1568/getInfo.php?workbook=08_01.xlsx&amp;sheet=A0&amp;row=29&amp;col=28&amp;number=157000000&amp;sourceID=13","157000000")</f>
        <v>157000000</v>
      </c>
      <c r="AC29" s="4" t="str">
        <f>HYPERLINK("http://141.218.60.56/~jnz1568/getInfo.php?workbook=08_01.xlsx&amp;sheet=A0&amp;row=29&amp;col=29&amp;number=&amp;sourceID=13","")</f>
        <v/>
      </c>
      <c r="AD29" s="4" t="str">
        <f>HYPERLINK("http://141.218.60.56/~jnz1568/getInfo.php?workbook=08_01.xlsx&amp;sheet=A0&amp;row=29&amp;col=30&amp;number=&amp;sourceID=13","")</f>
        <v/>
      </c>
      <c r="AE29" s="4" t="str">
        <f>HYPERLINK("http://141.218.60.56/~jnz1568/getInfo.php?workbook=08_01.xlsx&amp;sheet=A0&amp;row=29&amp;col=31&amp;number=&amp;sourceID=13","")</f>
        <v/>
      </c>
      <c r="AF29" s="4" t="str">
        <f>HYPERLINK("http://141.218.60.56/~jnz1568/getInfo.php?workbook=08_01.xlsx&amp;sheet=A0&amp;row=29&amp;col=32&amp;number=&amp;sourceID=20","")</f>
        <v/>
      </c>
    </row>
    <row r="30" spans="1:32">
      <c r="A30" s="3">
        <v>8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HYPERLINK("http://141.218.60.56/~jnz1568/getInfo.php?workbook=08_01.xlsx&amp;sheet=A0&amp;row=30&amp;col=6&amp;number=&amp;sourceID=18","")</f>
        <v/>
      </c>
      <c r="G30" s="4" t="str">
        <f>HYPERLINK("http://141.218.60.56/~jnz1568/getInfo.php?workbook=08_01.xlsx&amp;sheet=A0&amp;row=30&amp;col=7&amp;number==&amp;sourceID=11","=")</f>
        <v>=</v>
      </c>
      <c r="H30" s="4" t="str">
        <f>HYPERLINK("http://141.218.60.56/~jnz1568/getInfo.php?workbook=08_01.xlsx&amp;sheet=A0&amp;row=30&amp;col=8&amp;number=&amp;sourceID=11","")</f>
        <v/>
      </c>
      <c r="I30" s="4" t="str">
        <f>HYPERLINK("http://141.218.60.56/~jnz1568/getInfo.php?workbook=08_01.xlsx&amp;sheet=A0&amp;row=30&amp;col=9&amp;number=&amp;sourceID=11","")</f>
        <v/>
      </c>
      <c r="J30" s="4" t="str">
        <f>HYPERLINK("http://141.218.60.56/~jnz1568/getInfo.php?workbook=08_01.xlsx&amp;sheet=A0&amp;row=30&amp;col=10&amp;number=212.38&amp;sourceID=11","212.38")</f>
        <v>212.38</v>
      </c>
      <c r="K30" s="4" t="str">
        <f>HYPERLINK("http://141.218.60.56/~jnz1568/getInfo.php?workbook=08_01.xlsx&amp;sheet=A0&amp;row=30&amp;col=11&amp;number=&amp;sourceID=11","")</f>
        <v/>
      </c>
      <c r="L30" s="4" t="str">
        <f>HYPERLINK("http://141.218.60.56/~jnz1568/getInfo.php?workbook=08_01.xlsx&amp;sheet=A0&amp;row=30&amp;col=12&amp;number=662.82&amp;sourceID=11","662.82")</f>
        <v>662.82</v>
      </c>
      <c r="M30" s="4" t="str">
        <f>HYPERLINK("http://141.218.60.56/~jnz1568/getInfo.php?workbook=08_01.xlsx&amp;sheet=A0&amp;row=30&amp;col=13&amp;number=&amp;sourceID=11","")</f>
        <v/>
      </c>
      <c r="N30" s="4" t="str">
        <f>HYPERLINK("http://141.218.60.56/~jnz1568/getInfo.php?workbook=08_01.xlsx&amp;sheet=A0&amp;row=30&amp;col=14&amp;number=875.23&amp;sourceID=12","875.23")</f>
        <v>875.23</v>
      </c>
      <c r="O30" s="4" t="str">
        <f>HYPERLINK("http://141.218.60.56/~jnz1568/getInfo.php?workbook=08_01.xlsx&amp;sheet=A0&amp;row=30&amp;col=15&amp;number=&amp;sourceID=12","")</f>
        <v/>
      </c>
      <c r="P30" s="4" t="str">
        <f>HYPERLINK("http://141.218.60.56/~jnz1568/getInfo.php?workbook=08_01.xlsx&amp;sheet=A0&amp;row=30&amp;col=16&amp;number=&amp;sourceID=12","")</f>
        <v/>
      </c>
      <c r="Q30" s="4" t="str">
        <f>HYPERLINK("http://141.218.60.56/~jnz1568/getInfo.php?workbook=08_01.xlsx&amp;sheet=A0&amp;row=30&amp;col=17&amp;number=212.39&amp;sourceID=12","212.39")</f>
        <v>212.39</v>
      </c>
      <c r="R30" s="4" t="str">
        <f>HYPERLINK("http://141.218.60.56/~jnz1568/getInfo.php?workbook=08_01.xlsx&amp;sheet=A0&amp;row=30&amp;col=18&amp;number=&amp;sourceID=12","")</f>
        <v/>
      </c>
      <c r="S30" s="4" t="str">
        <f>HYPERLINK("http://141.218.60.56/~jnz1568/getInfo.php?workbook=08_01.xlsx&amp;sheet=A0&amp;row=30&amp;col=19&amp;number=662.84&amp;sourceID=12","662.84")</f>
        <v>662.84</v>
      </c>
      <c r="T30" s="4" t="str">
        <f>HYPERLINK("http://141.218.60.56/~jnz1568/getInfo.php?workbook=08_01.xlsx&amp;sheet=A0&amp;row=30&amp;col=20&amp;number=&amp;sourceID=12","")</f>
        <v/>
      </c>
      <c r="U30" s="4" t="str">
        <f>HYPERLINK("http://141.218.60.56/~jnz1568/getInfo.php?workbook=08_01.xlsx&amp;sheet=A0&amp;row=30&amp;col=21&amp;number=662.8&amp;sourceID=30","662.8")</f>
        <v>662.8</v>
      </c>
      <c r="V30" s="4" t="str">
        <f>HYPERLINK("http://141.218.60.56/~jnz1568/getInfo.php?workbook=08_01.xlsx&amp;sheet=A0&amp;row=30&amp;col=22&amp;number=&amp;sourceID=30","")</f>
        <v/>
      </c>
      <c r="W30" s="4" t="str">
        <f>HYPERLINK("http://141.218.60.56/~jnz1568/getInfo.php?workbook=08_01.xlsx&amp;sheet=A0&amp;row=30&amp;col=23&amp;number=&amp;sourceID=30","")</f>
        <v/>
      </c>
      <c r="X30" s="4" t="str">
        <f>HYPERLINK("http://141.218.60.56/~jnz1568/getInfo.php?workbook=08_01.xlsx&amp;sheet=A0&amp;row=30&amp;col=24&amp;number=&amp;sourceID=30","")</f>
        <v/>
      </c>
      <c r="Y30" s="4" t="str">
        <f>HYPERLINK("http://141.218.60.56/~jnz1568/getInfo.php?workbook=08_01.xlsx&amp;sheet=A0&amp;row=30&amp;col=25&amp;number=662.8&amp;sourceID=30","662.8")</f>
        <v>662.8</v>
      </c>
      <c r="Z30" s="4" t="str">
        <f>HYPERLINK("http://141.218.60.56/~jnz1568/getInfo.php?workbook=08_01.xlsx&amp;sheet=A0&amp;row=30&amp;col=26&amp;number==&amp;sourceID=13","=")</f>
        <v>=</v>
      </c>
      <c r="AA30" s="4" t="str">
        <f>HYPERLINK("http://141.218.60.56/~jnz1568/getInfo.php?workbook=08_01.xlsx&amp;sheet=A0&amp;row=30&amp;col=27&amp;number=&amp;sourceID=13","")</f>
        <v/>
      </c>
      <c r="AB30" s="4" t="str">
        <f>HYPERLINK("http://141.218.60.56/~jnz1568/getInfo.php?workbook=08_01.xlsx&amp;sheet=A0&amp;row=30&amp;col=28&amp;number=&amp;sourceID=13","")</f>
        <v/>
      </c>
      <c r="AC30" s="4" t="str">
        <f>HYPERLINK("http://141.218.60.56/~jnz1568/getInfo.php?workbook=08_01.xlsx&amp;sheet=A0&amp;row=30&amp;col=29&amp;number=330&amp;sourceID=13","330")</f>
        <v>330</v>
      </c>
      <c r="AD30" s="4" t="str">
        <f>HYPERLINK("http://141.218.60.56/~jnz1568/getInfo.php?workbook=08_01.xlsx&amp;sheet=A0&amp;row=30&amp;col=30&amp;number=&amp;sourceID=13","")</f>
        <v/>
      </c>
      <c r="AE30" s="4" t="str">
        <f>HYPERLINK("http://141.218.60.56/~jnz1568/getInfo.php?workbook=08_01.xlsx&amp;sheet=A0&amp;row=30&amp;col=31&amp;number=2650&amp;sourceID=13","2650")</f>
        <v>2650</v>
      </c>
      <c r="AF30" s="4" t="str">
        <f>HYPERLINK("http://141.218.60.56/~jnz1568/getInfo.php?workbook=08_01.xlsx&amp;sheet=A0&amp;row=30&amp;col=32&amp;number=875.2&amp;sourceID=20","875.2")</f>
        <v>875.2</v>
      </c>
    </row>
    <row r="31" spans="1:32">
      <c r="A31" s="3">
        <v>8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HYPERLINK("http://141.218.60.56/~jnz1568/getInfo.php?workbook=08_01.xlsx&amp;sheet=A0&amp;row=31&amp;col=6&amp;number=&amp;sourceID=18","")</f>
        <v/>
      </c>
      <c r="G31" s="4" t="str">
        <f>HYPERLINK("http://141.218.60.56/~jnz1568/getInfo.php?workbook=08_01.xlsx&amp;sheet=A0&amp;row=31&amp;col=7&amp;number==&amp;sourceID=11","=")</f>
        <v>=</v>
      </c>
      <c r="H31" s="4" t="str">
        <f>HYPERLINK("http://141.218.60.56/~jnz1568/getInfo.php?workbook=08_01.xlsx&amp;sheet=A0&amp;row=31&amp;col=8&amp;number=&amp;sourceID=11","")</f>
        <v/>
      </c>
      <c r="I31" s="4" t="str">
        <f>HYPERLINK("http://141.218.60.56/~jnz1568/getInfo.php?workbook=08_01.xlsx&amp;sheet=A0&amp;row=31&amp;col=9&amp;number=13437000&amp;sourceID=11","13437000")</f>
        <v>13437000</v>
      </c>
      <c r="J31" s="4" t="str">
        <f>HYPERLINK("http://141.218.60.56/~jnz1568/getInfo.php?workbook=08_01.xlsx&amp;sheet=A0&amp;row=31&amp;col=10&amp;number=&amp;sourceID=11","")</f>
        <v/>
      </c>
      <c r="K31" s="4" t="str">
        <f>HYPERLINK("http://141.218.60.56/~jnz1568/getInfo.php?workbook=08_01.xlsx&amp;sheet=A0&amp;row=31&amp;col=11&amp;number=&amp;sourceID=11","")</f>
        <v/>
      </c>
      <c r="L31" s="4" t="str">
        <f>HYPERLINK("http://141.218.60.56/~jnz1568/getInfo.php?workbook=08_01.xlsx&amp;sheet=A0&amp;row=31&amp;col=12&amp;number=&amp;sourceID=11","")</f>
        <v/>
      </c>
      <c r="M31" s="4" t="str">
        <f>HYPERLINK("http://141.218.60.56/~jnz1568/getInfo.php?workbook=08_01.xlsx&amp;sheet=A0&amp;row=31&amp;col=13&amp;number=0.16786&amp;sourceID=11","0.16786")</f>
        <v>0.16786</v>
      </c>
      <c r="N31" s="4" t="str">
        <f>HYPERLINK("http://141.218.60.56/~jnz1568/getInfo.php?workbook=08_01.xlsx&amp;sheet=A0&amp;row=31&amp;col=14&amp;number=13437000&amp;sourceID=12","13437000")</f>
        <v>13437000</v>
      </c>
      <c r="O31" s="4" t="str">
        <f>HYPERLINK("http://141.218.60.56/~jnz1568/getInfo.php?workbook=08_01.xlsx&amp;sheet=A0&amp;row=31&amp;col=15&amp;number=&amp;sourceID=12","")</f>
        <v/>
      </c>
      <c r="P31" s="4" t="str">
        <f>HYPERLINK("http://141.218.60.56/~jnz1568/getInfo.php?workbook=08_01.xlsx&amp;sheet=A0&amp;row=31&amp;col=16&amp;number=13437000&amp;sourceID=12","13437000")</f>
        <v>13437000</v>
      </c>
      <c r="Q31" s="4" t="str">
        <f>HYPERLINK("http://141.218.60.56/~jnz1568/getInfo.php?workbook=08_01.xlsx&amp;sheet=A0&amp;row=31&amp;col=17&amp;number=&amp;sourceID=12","")</f>
        <v/>
      </c>
      <c r="R31" s="4" t="str">
        <f>HYPERLINK("http://141.218.60.56/~jnz1568/getInfo.php?workbook=08_01.xlsx&amp;sheet=A0&amp;row=31&amp;col=18&amp;number=&amp;sourceID=12","")</f>
        <v/>
      </c>
      <c r="S31" s="4" t="str">
        <f>HYPERLINK("http://141.218.60.56/~jnz1568/getInfo.php?workbook=08_01.xlsx&amp;sheet=A0&amp;row=31&amp;col=19&amp;number=&amp;sourceID=12","")</f>
        <v/>
      </c>
      <c r="T31" s="4" t="str">
        <f>HYPERLINK("http://141.218.60.56/~jnz1568/getInfo.php?workbook=08_01.xlsx&amp;sheet=A0&amp;row=31&amp;col=20&amp;number=0.16787&amp;sourceID=12","0.16787")</f>
        <v>0.16787</v>
      </c>
      <c r="U31" s="4" t="str">
        <f>HYPERLINK("http://141.218.60.56/~jnz1568/getInfo.php?workbook=08_01.xlsx&amp;sheet=A0&amp;row=31&amp;col=21&amp;number=13440000&amp;sourceID=30","13440000")</f>
        <v>13440000</v>
      </c>
      <c r="V31" s="4" t="str">
        <f>HYPERLINK("http://141.218.60.56/~jnz1568/getInfo.php?workbook=08_01.xlsx&amp;sheet=A0&amp;row=31&amp;col=22&amp;number=&amp;sourceID=30","")</f>
        <v/>
      </c>
      <c r="W31" s="4" t="str">
        <f>HYPERLINK("http://141.218.60.56/~jnz1568/getInfo.php?workbook=08_01.xlsx&amp;sheet=A0&amp;row=31&amp;col=23&amp;number=13440000&amp;sourceID=30","13440000")</f>
        <v>13440000</v>
      </c>
      <c r="X31" s="4" t="str">
        <f>HYPERLINK("http://141.218.60.56/~jnz1568/getInfo.php?workbook=08_01.xlsx&amp;sheet=A0&amp;row=31&amp;col=24&amp;number=&amp;sourceID=30","")</f>
        <v/>
      </c>
      <c r="Y31" s="4" t="str">
        <f>HYPERLINK("http://141.218.60.56/~jnz1568/getInfo.php?workbook=08_01.xlsx&amp;sheet=A0&amp;row=31&amp;col=25&amp;number=&amp;sourceID=30","")</f>
        <v/>
      </c>
      <c r="Z31" s="4" t="str">
        <f>HYPERLINK("http://141.218.60.56/~jnz1568/getInfo.php?workbook=08_01.xlsx&amp;sheet=A0&amp;row=31&amp;col=26&amp;number==&amp;sourceID=13","=")</f>
        <v>=</v>
      </c>
      <c r="AA31" s="4" t="str">
        <f>HYPERLINK("http://141.218.60.56/~jnz1568/getInfo.php?workbook=08_01.xlsx&amp;sheet=A0&amp;row=31&amp;col=27&amp;number=&amp;sourceID=13","")</f>
        <v/>
      </c>
      <c r="AB31" s="4" t="str">
        <f>HYPERLINK("http://141.218.60.56/~jnz1568/getInfo.php?workbook=08_01.xlsx&amp;sheet=A0&amp;row=31&amp;col=28&amp;number=13400000&amp;sourceID=13","13400000")</f>
        <v>13400000</v>
      </c>
      <c r="AC31" s="4" t="str">
        <f>HYPERLINK("http://141.218.60.56/~jnz1568/getInfo.php?workbook=08_01.xlsx&amp;sheet=A0&amp;row=31&amp;col=29&amp;number=&amp;sourceID=13","")</f>
        <v/>
      </c>
      <c r="AD31" s="4" t="str">
        <f>HYPERLINK("http://141.218.60.56/~jnz1568/getInfo.php?workbook=08_01.xlsx&amp;sheet=A0&amp;row=31&amp;col=30&amp;number=&amp;sourceID=13","")</f>
        <v/>
      </c>
      <c r="AE31" s="4" t="str">
        <f>HYPERLINK("http://141.218.60.56/~jnz1568/getInfo.php?workbook=08_01.xlsx&amp;sheet=A0&amp;row=31&amp;col=31&amp;number=&amp;sourceID=13","")</f>
        <v/>
      </c>
      <c r="AF31" s="4" t="str">
        <f>HYPERLINK("http://141.218.60.56/~jnz1568/getInfo.php?workbook=08_01.xlsx&amp;sheet=A0&amp;row=31&amp;col=32&amp;number=13437000&amp;sourceID=20","13437000")</f>
        <v>13437000</v>
      </c>
    </row>
    <row r="32" spans="1:32">
      <c r="A32" s="3">
        <v>8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HYPERLINK("http://141.218.60.56/~jnz1568/getInfo.php?workbook=08_01.xlsx&amp;sheet=A0&amp;row=32&amp;col=6&amp;number=&amp;sourceID=18","")</f>
        <v/>
      </c>
      <c r="G32" s="4" t="str">
        <f>HYPERLINK("http://141.218.60.56/~jnz1568/getInfo.php?workbook=08_01.xlsx&amp;sheet=A0&amp;row=32&amp;col=7&amp;number==&amp;sourceID=11","=")</f>
        <v>=</v>
      </c>
      <c r="H32" s="4" t="str">
        <f>HYPERLINK("http://141.218.60.56/~jnz1568/getInfo.php?workbook=08_01.xlsx&amp;sheet=A0&amp;row=32&amp;col=8&amp;number=264910000000&amp;sourceID=11","264910000000")</f>
        <v>264910000000</v>
      </c>
      <c r="I32" s="4" t="str">
        <f>HYPERLINK("http://141.218.60.56/~jnz1568/getInfo.php?workbook=08_01.xlsx&amp;sheet=A0&amp;row=32&amp;col=9&amp;number=&amp;sourceID=11","")</f>
        <v/>
      </c>
      <c r="J32" s="4" t="str">
        <f>HYPERLINK("http://141.218.60.56/~jnz1568/getInfo.php?workbook=08_01.xlsx&amp;sheet=A0&amp;row=32&amp;col=10&amp;number=168.93&amp;sourceID=11","168.93")</f>
        <v>168.93</v>
      </c>
      <c r="K32" s="4" t="str">
        <f>HYPERLINK("http://141.218.60.56/~jnz1568/getInfo.php?workbook=08_01.xlsx&amp;sheet=A0&amp;row=32&amp;col=11&amp;number=&amp;sourceID=11","")</f>
        <v/>
      </c>
      <c r="L32" s="4" t="str">
        <f>HYPERLINK("http://141.218.60.56/~jnz1568/getInfo.php?workbook=08_01.xlsx&amp;sheet=A0&amp;row=32&amp;col=12&amp;number=3607.9&amp;sourceID=11","3607.9")</f>
        <v>3607.9</v>
      </c>
      <c r="M32" s="4" t="str">
        <f>HYPERLINK("http://141.218.60.56/~jnz1568/getInfo.php?workbook=08_01.xlsx&amp;sheet=A0&amp;row=32&amp;col=13&amp;number=&amp;sourceID=11","")</f>
        <v/>
      </c>
      <c r="N32" s="4" t="str">
        <f>HYPERLINK("http://141.218.60.56/~jnz1568/getInfo.php?workbook=08_01.xlsx&amp;sheet=A0&amp;row=32&amp;col=14&amp;number=264920000000&amp;sourceID=12","264920000000")</f>
        <v>264920000000</v>
      </c>
      <c r="O32" s="4" t="str">
        <f>HYPERLINK("http://141.218.60.56/~jnz1568/getInfo.php?workbook=08_01.xlsx&amp;sheet=A0&amp;row=32&amp;col=15&amp;number=264920000000&amp;sourceID=12","264920000000")</f>
        <v>264920000000</v>
      </c>
      <c r="P32" s="4" t="str">
        <f>HYPERLINK("http://141.218.60.56/~jnz1568/getInfo.php?workbook=08_01.xlsx&amp;sheet=A0&amp;row=32&amp;col=16&amp;number=&amp;sourceID=12","")</f>
        <v/>
      </c>
      <c r="Q32" s="4" t="str">
        <f>HYPERLINK("http://141.218.60.56/~jnz1568/getInfo.php?workbook=08_01.xlsx&amp;sheet=A0&amp;row=32&amp;col=17&amp;number=168.93&amp;sourceID=12","168.93")</f>
        <v>168.93</v>
      </c>
      <c r="R32" s="4" t="str">
        <f>HYPERLINK("http://141.218.60.56/~jnz1568/getInfo.php?workbook=08_01.xlsx&amp;sheet=A0&amp;row=32&amp;col=18&amp;number=&amp;sourceID=12","")</f>
        <v/>
      </c>
      <c r="S32" s="4" t="str">
        <f>HYPERLINK("http://141.218.60.56/~jnz1568/getInfo.php?workbook=08_01.xlsx&amp;sheet=A0&amp;row=32&amp;col=19&amp;number=3608.1&amp;sourceID=12","3608.1")</f>
        <v>3608.1</v>
      </c>
      <c r="T32" s="4" t="str">
        <f>HYPERLINK("http://141.218.60.56/~jnz1568/getInfo.php?workbook=08_01.xlsx&amp;sheet=A0&amp;row=32&amp;col=20&amp;number=&amp;sourceID=12","")</f>
        <v/>
      </c>
      <c r="U32" s="4" t="str">
        <f>HYPERLINK("http://141.218.60.56/~jnz1568/getInfo.php?workbook=08_01.xlsx&amp;sheet=A0&amp;row=32&amp;col=21&amp;number=264900003608&amp;sourceID=30","264900003608")</f>
        <v>264900003608</v>
      </c>
      <c r="V32" s="4" t="str">
        <f>HYPERLINK("http://141.218.60.56/~jnz1568/getInfo.php?workbook=08_01.xlsx&amp;sheet=A0&amp;row=32&amp;col=22&amp;number=264900000000&amp;sourceID=30","264900000000")</f>
        <v>264900000000</v>
      </c>
      <c r="W32" s="4" t="str">
        <f>HYPERLINK("http://141.218.60.56/~jnz1568/getInfo.php?workbook=08_01.xlsx&amp;sheet=A0&amp;row=32&amp;col=23&amp;number=&amp;sourceID=30","")</f>
        <v/>
      </c>
      <c r="X32" s="4" t="str">
        <f>HYPERLINK("http://141.218.60.56/~jnz1568/getInfo.php?workbook=08_01.xlsx&amp;sheet=A0&amp;row=32&amp;col=24&amp;number=&amp;sourceID=30","")</f>
        <v/>
      </c>
      <c r="Y32" s="4" t="str">
        <f>HYPERLINK("http://141.218.60.56/~jnz1568/getInfo.php?workbook=08_01.xlsx&amp;sheet=A0&amp;row=32&amp;col=25&amp;number=3608&amp;sourceID=30","3608")</f>
        <v>3608</v>
      </c>
      <c r="Z32" s="4" t="str">
        <f>HYPERLINK("http://141.218.60.56/~jnz1568/getInfo.php?workbook=08_01.xlsx&amp;sheet=A0&amp;row=32&amp;col=26&amp;number==&amp;sourceID=13","=")</f>
        <v>=</v>
      </c>
      <c r="AA32" s="4" t="str">
        <f>HYPERLINK("http://141.218.60.56/~jnz1568/getInfo.php?workbook=08_01.xlsx&amp;sheet=A0&amp;row=32&amp;col=27&amp;number=265000000000&amp;sourceID=13","265000000000")</f>
        <v>265000000000</v>
      </c>
      <c r="AB32" s="4" t="str">
        <f>HYPERLINK("http://141.218.60.56/~jnz1568/getInfo.php?workbook=08_01.xlsx&amp;sheet=A0&amp;row=32&amp;col=28&amp;number=&amp;sourceID=13","")</f>
        <v/>
      </c>
      <c r="AC32" s="4" t="str">
        <f>HYPERLINK("http://141.218.60.56/~jnz1568/getInfo.php?workbook=08_01.xlsx&amp;sheet=A0&amp;row=32&amp;col=29&amp;number=&amp;sourceID=13","")</f>
        <v/>
      </c>
      <c r="AD32" s="4" t="str">
        <f>HYPERLINK("http://141.218.60.56/~jnz1568/getInfo.php?workbook=08_01.xlsx&amp;sheet=A0&amp;row=32&amp;col=30&amp;number=&amp;sourceID=13","")</f>
        <v/>
      </c>
      <c r="AE32" s="4" t="str">
        <f>HYPERLINK("http://141.218.60.56/~jnz1568/getInfo.php?workbook=08_01.xlsx&amp;sheet=A0&amp;row=32&amp;col=31&amp;number=&amp;sourceID=13","")</f>
        <v/>
      </c>
      <c r="AF32" s="4" t="str">
        <f>HYPERLINK("http://141.218.60.56/~jnz1568/getInfo.php?workbook=08_01.xlsx&amp;sheet=A0&amp;row=32&amp;col=32&amp;number=264910000000&amp;sourceID=20","264910000000")</f>
        <v>264910000000</v>
      </c>
    </row>
    <row r="33" spans="1:32">
      <c r="A33" s="3">
        <v>8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HYPERLINK("http://141.218.60.56/~jnz1568/getInfo.php?workbook=08_01.xlsx&amp;sheet=A0&amp;row=33&amp;col=6&amp;number=&amp;sourceID=18","")</f>
        <v/>
      </c>
      <c r="G33" s="4" t="str">
        <f>HYPERLINK("http://141.218.60.56/~jnz1568/getInfo.php?workbook=08_01.xlsx&amp;sheet=A0&amp;row=33&amp;col=7&amp;number==&amp;sourceID=11","=")</f>
        <v>=</v>
      </c>
      <c r="H33" s="4" t="str">
        <f>HYPERLINK("http://141.218.60.56/~jnz1568/getInfo.php?workbook=08_01.xlsx&amp;sheet=A0&amp;row=33&amp;col=8&amp;number=&amp;sourceID=11","")</f>
        <v/>
      </c>
      <c r="I33" s="4" t="str">
        <f>HYPERLINK("http://141.218.60.56/~jnz1568/getInfo.php?workbook=08_01.xlsx&amp;sheet=A0&amp;row=33&amp;col=9&amp;number=&amp;sourceID=11","")</f>
        <v/>
      </c>
      <c r="J33" s="4" t="str">
        <f>HYPERLINK("http://141.218.60.56/~jnz1568/getInfo.php?workbook=08_01.xlsx&amp;sheet=A0&amp;row=33&amp;col=10&amp;number=0&amp;sourceID=11","0")</f>
        <v>0</v>
      </c>
      <c r="K33" s="4" t="str">
        <f>HYPERLINK("http://141.218.60.56/~jnz1568/getInfo.php?workbook=08_01.xlsx&amp;sheet=A0&amp;row=33&amp;col=11&amp;number=&amp;sourceID=11","")</f>
        <v/>
      </c>
      <c r="L33" s="4" t="str">
        <f>HYPERLINK("http://141.218.60.56/~jnz1568/getInfo.php?workbook=08_01.xlsx&amp;sheet=A0&amp;row=33&amp;col=12&amp;number=2.44e-13&amp;sourceID=11","2.44e-13")</f>
        <v>2.44e-13</v>
      </c>
      <c r="M33" s="4" t="str">
        <f>HYPERLINK("http://141.218.60.56/~jnz1568/getInfo.php?workbook=08_01.xlsx&amp;sheet=A0&amp;row=33&amp;col=13&amp;number=&amp;sourceID=11","")</f>
        <v/>
      </c>
      <c r="N33" s="4" t="str">
        <f>HYPERLINK("http://141.218.60.56/~jnz1568/getInfo.php?workbook=08_01.xlsx&amp;sheet=A0&amp;row=33&amp;col=14&amp;number=2.44e-13&amp;sourceID=12","2.44e-13")</f>
        <v>2.44e-13</v>
      </c>
      <c r="O33" s="4" t="str">
        <f>HYPERLINK("http://141.218.60.56/~jnz1568/getInfo.php?workbook=08_01.xlsx&amp;sheet=A0&amp;row=33&amp;col=15&amp;number=&amp;sourceID=12","")</f>
        <v/>
      </c>
      <c r="P33" s="4" t="str">
        <f>HYPERLINK("http://141.218.60.56/~jnz1568/getInfo.php?workbook=08_01.xlsx&amp;sheet=A0&amp;row=33&amp;col=16&amp;number=&amp;sourceID=12","")</f>
        <v/>
      </c>
      <c r="Q33" s="4" t="str">
        <f>HYPERLINK("http://141.218.60.56/~jnz1568/getInfo.php?workbook=08_01.xlsx&amp;sheet=A0&amp;row=33&amp;col=17&amp;number=0&amp;sourceID=12","0")</f>
        <v>0</v>
      </c>
      <c r="R33" s="4" t="str">
        <f>HYPERLINK("http://141.218.60.56/~jnz1568/getInfo.php?workbook=08_01.xlsx&amp;sheet=A0&amp;row=33&amp;col=18&amp;number=&amp;sourceID=12","")</f>
        <v/>
      </c>
      <c r="S33" s="4" t="str">
        <f>HYPERLINK("http://141.218.60.56/~jnz1568/getInfo.php?workbook=08_01.xlsx&amp;sheet=A0&amp;row=33&amp;col=19&amp;number=2.44e-13&amp;sourceID=12","2.44e-13")</f>
        <v>2.44e-13</v>
      </c>
      <c r="T33" s="4" t="str">
        <f>HYPERLINK("http://141.218.60.56/~jnz1568/getInfo.php?workbook=08_01.xlsx&amp;sheet=A0&amp;row=33&amp;col=20&amp;number=&amp;sourceID=12","")</f>
        <v/>
      </c>
      <c r="U33" s="4" t="str">
        <f>HYPERLINK("http://141.218.60.56/~jnz1568/getInfo.php?workbook=08_01.xlsx&amp;sheet=A0&amp;row=33&amp;col=21&amp;number=2.44e-13&amp;sourceID=30","2.44e-13")</f>
        <v>2.44e-13</v>
      </c>
      <c r="V33" s="4" t="str">
        <f>HYPERLINK("http://141.218.60.56/~jnz1568/getInfo.php?workbook=08_01.xlsx&amp;sheet=A0&amp;row=33&amp;col=22&amp;number=&amp;sourceID=30","")</f>
        <v/>
      </c>
      <c r="W33" s="4" t="str">
        <f>HYPERLINK("http://141.218.60.56/~jnz1568/getInfo.php?workbook=08_01.xlsx&amp;sheet=A0&amp;row=33&amp;col=23&amp;number=&amp;sourceID=30","")</f>
        <v/>
      </c>
      <c r="X33" s="4" t="str">
        <f>HYPERLINK("http://141.218.60.56/~jnz1568/getInfo.php?workbook=08_01.xlsx&amp;sheet=A0&amp;row=33&amp;col=24&amp;number=&amp;sourceID=30","")</f>
        <v/>
      </c>
      <c r="Y33" s="4" t="str">
        <f>HYPERLINK("http://141.218.60.56/~jnz1568/getInfo.php?workbook=08_01.xlsx&amp;sheet=A0&amp;row=33&amp;col=25&amp;number=2.44e-13&amp;sourceID=30","2.44e-13")</f>
        <v>2.44e-13</v>
      </c>
      <c r="Z33" s="4" t="str">
        <f>HYPERLINK("http://141.218.60.56/~jnz1568/getInfo.php?workbook=08_01.xlsx&amp;sheet=A0&amp;row=33&amp;col=26&amp;number=&amp;sourceID=13","")</f>
        <v/>
      </c>
      <c r="AA33" s="4" t="str">
        <f>HYPERLINK("http://141.218.60.56/~jnz1568/getInfo.php?workbook=08_01.xlsx&amp;sheet=A0&amp;row=33&amp;col=27&amp;number=&amp;sourceID=13","")</f>
        <v/>
      </c>
      <c r="AB33" s="4" t="str">
        <f>HYPERLINK("http://141.218.60.56/~jnz1568/getInfo.php?workbook=08_01.xlsx&amp;sheet=A0&amp;row=33&amp;col=28&amp;number=&amp;sourceID=13","")</f>
        <v/>
      </c>
      <c r="AC33" s="4" t="str">
        <f>HYPERLINK("http://141.218.60.56/~jnz1568/getInfo.php?workbook=08_01.xlsx&amp;sheet=A0&amp;row=33&amp;col=29&amp;number=&amp;sourceID=13","")</f>
        <v/>
      </c>
      <c r="AD33" s="4" t="str">
        <f>HYPERLINK("http://141.218.60.56/~jnz1568/getInfo.php?workbook=08_01.xlsx&amp;sheet=A0&amp;row=33&amp;col=30&amp;number=&amp;sourceID=13","")</f>
        <v/>
      </c>
      <c r="AE33" s="4" t="str">
        <f>HYPERLINK("http://141.218.60.56/~jnz1568/getInfo.php?workbook=08_01.xlsx&amp;sheet=A0&amp;row=33&amp;col=31&amp;number=&amp;sourceID=13","")</f>
        <v/>
      </c>
      <c r="AF33" s="4" t="str">
        <f>HYPERLINK("http://141.218.60.56/~jnz1568/getInfo.php?workbook=08_01.xlsx&amp;sheet=A0&amp;row=33&amp;col=32&amp;number=&amp;sourceID=20","")</f>
        <v/>
      </c>
    </row>
    <row r="34" spans="1:32">
      <c r="A34" s="3">
        <v>8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HYPERLINK("http://141.218.60.56/~jnz1568/getInfo.php?workbook=08_01.xlsx&amp;sheet=A0&amp;row=34&amp;col=6&amp;number=&amp;sourceID=18","")</f>
        <v/>
      </c>
      <c r="G34" s="4" t="str">
        <f>HYPERLINK("http://141.218.60.56/~jnz1568/getInfo.php?workbook=08_01.xlsx&amp;sheet=A0&amp;row=34&amp;col=7&amp;number==&amp;sourceID=11","=")</f>
        <v>=</v>
      </c>
      <c r="H34" s="4" t="str">
        <f>HYPERLINK("http://141.218.60.56/~jnz1568/getInfo.php?workbook=08_01.xlsx&amp;sheet=A0&amp;row=34&amp;col=8&amp;number=&amp;sourceID=11","")</f>
        <v/>
      </c>
      <c r="I34" s="4" t="str">
        <f>HYPERLINK("http://141.218.60.56/~jnz1568/getInfo.php?workbook=08_01.xlsx&amp;sheet=A0&amp;row=34&amp;col=9&amp;number=8.0489e-09&amp;sourceID=11","8.0489e-09")</f>
        <v>8.0489e-09</v>
      </c>
      <c r="J34" s="4" t="str">
        <f>HYPERLINK("http://141.218.60.56/~jnz1568/getInfo.php?workbook=08_01.xlsx&amp;sheet=A0&amp;row=34&amp;col=10&amp;number=&amp;sourceID=11","")</f>
        <v/>
      </c>
      <c r="K34" s="4" t="str">
        <f>HYPERLINK("http://141.218.60.56/~jnz1568/getInfo.php?workbook=08_01.xlsx&amp;sheet=A0&amp;row=34&amp;col=11&amp;number=&amp;sourceID=11","")</f>
        <v/>
      </c>
      <c r="L34" s="4" t="str">
        <f>HYPERLINK("http://141.218.60.56/~jnz1568/getInfo.php?workbook=08_01.xlsx&amp;sheet=A0&amp;row=34&amp;col=12&amp;number=&amp;sourceID=11","")</f>
        <v/>
      </c>
      <c r="M34" s="4" t="str">
        <f>HYPERLINK("http://141.218.60.56/~jnz1568/getInfo.php?workbook=08_01.xlsx&amp;sheet=A0&amp;row=34&amp;col=13&amp;number=0&amp;sourceID=11","0")</f>
        <v>0</v>
      </c>
      <c r="N34" s="4" t="str">
        <f>HYPERLINK("http://141.218.60.56/~jnz1568/getInfo.php?workbook=08_01.xlsx&amp;sheet=A0&amp;row=34&amp;col=14&amp;number=8.0492e-09&amp;sourceID=12","8.0492e-09")</f>
        <v>8.0492e-09</v>
      </c>
      <c r="O34" s="4" t="str">
        <f>HYPERLINK("http://141.218.60.56/~jnz1568/getInfo.php?workbook=08_01.xlsx&amp;sheet=A0&amp;row=34&amp;col=15&amp;number=&amp;sourceID=12","")</f>
        <v/>
      </c>
      <c r="P34" s="4" t="str">
        <f>HYPERLINK("http://141.218.60.56/~jnz1568/getInfo.php?workbook=08_01.xlsx&amp;sheet=A0&amp;row=34&amp;col=16&amp;number=8.0492e-09&amp;sourceID=12","8.0492e-09")</f>
        <v>8.0492e-09</v>
      </c>
      <c r="Q34" s="4" t="str">
        <f>HYPERLINK("http://141.218.60.56/~jnz1568/getInfo.php?workbook=08_01.xlsx&amp;sheet=A0&amp;row=34&amp;col=17&amp;number=&amp;sourceID=12","")</f>
        <v/>
      </c>
      <c r="R34" s="4" t="str">
        <f>HYPERLINK("http://141.218.60.56/~jnz1568/getInfo.php?workbook=08_01.xlsx&amp;sheet=A0&amp;row=34&amp;col=18&amp;number=&amp;sourceID=12","")</f>
        <v/>
      </c>
      <c r="S34" s="4" t="str">
        <f>HYPERLINK("http://141.218.60.56/~jnz1568/getInfo.php?workbook=08_01.xlsx&amp;sheet=A0&amp;row=34&amp;col=19&amp;number=&amp;sourceID=12","")</f>
        <v/>
      </c>
      <c r="T34" s="4" t="str">
        <f>HYPERLINK("http://141.218.60.56/~jnz1568/getInfo.php?workbook=08_01.xlsx&amp;sheet=A0&amp;row=34&amp;col=20&amp;number=0&amp;sourceID=12","0")</f>
        <v>0</v>
      </c>
      <c r="U34" s="4" t="str">
        <f>HYPERLINK("http://141.218.60.56/~jnz1568/getInfo.php?workbook=08_01.xlsx&amp;sheet=A0&amp;row=34&amp;col=21&amp;number=8.049e-09&amp;sourceID=30","8.049e-09")</f>
        <v>8.049e-09</v>
      </c>
      <c r="V34" s="4" t="str">
        <f>HYPERLINK("http://141.218.60.56/~jnz1568/getInfo.php?workbook=08_01.xlsx&amp;sheet=A0&amp;row=34&amp;col=22&amp;number=&amp;sourceID=30","")</f>
        <v/>
      </c>
      <c r="W34" s="4" t="str">
        <f>HYPERLINK("http://141.218.60.56/~jnz1568/getInfo.php?workbook=08_01.xlsx&amp;sheet=A0&amp;row=34&amp;col=23&amp;number=8.049e-09&amp;sourceID=30","8.049e-09")</f>
        <v>8.049e-09</v>
      </c>
      <c r="X34" s="4" t="str">
        <f>HYPERLINK("http://141.218.60.56/~jnz1568/getInfo.php?workbook=08_01.xlsx&amp;sheet=A0&amp;row=34&amp;col=24&amp;number=&amp;sourceID=30","")</f>
        <v/>
      </c>
      <c r="Y34" s="4" t="str">
        <f>HYPERLINK("http://141.218.60.56/~jnz1568/getInfo.php?workbook=08_01.xlsx&amp;sheet=A0&amp;row=34&amp;col=25&amp;number=&amp;sourceID=30","")</f>
        <v/>
      </c>
      <c r="Z34" s="4" t="str">
        <f>HYPERLINK("http://141.218.60.56/~jnz1568/getInfo.php?workbook=08_01.xlsx&amp;sheet=A0&amp;row=34&amp;col=26&amp;number=&amp;sourceID=13","")</f>
        <v/>
      </c>
      <c r="AA34" s="4" t="str">
        <f>HYPERLINK("http://141.218.60.56/~jnz1568/getInfo.php?workbook=08_01.xlsx&amp;sheet=A0&amp;row=34&amp;col=27&amp;number=&amp;sourceID=13","")</f>
        <v/>
      </c>
      <c r="AB34" s="4" t="str">
        <f>HYPERLINK("http://141.218.60.56/~jnz1568/getInfo.php?workbook=08_01.xlsx&amp;sheet=A0&amp;row=34&amp;col=28&amp;number=&amp;sourceID=13","")</f>
        <v/>
      </c>
      <c r="AC34" s="4" t="str">
        <f>HYPERLINK("http://141.218.60.56/~jnz1568/getInfo.php?workbook=08_01.xlsx&amp;sheet=A0&amp;row=34&amp;col=29&amp;number=&amp;sourceID=13","")</f>
        <v/>
      </c>
      <c r="AD34" s="4" t="str">
        <f>HYPERLINK("http://141.218.60.56/~jnz1568/getInfo.php?workbook=08_01.xlsx&amp;sheet=A0&amp;row=34&amp;col=30&amp;number=&amp;sourceID=13","")</f>
        <v/>
      </c>
      <c r="AE34" s="4" t="str">
        <f>HYPERLINK("http://141.218.60.56/~jnz1568/getInfo.php?workbook=08_01.xlsx&amp;sheet=A0&amp;row=34&amp;col=31&amp;number=&amp;sourceID=13","")</f>
        <v/>
      </c>
      <c r="AF34" s="4" t="str">
        <f>HYPERLINK("http://141.218.60.56/~jnz1568/getInfo.php?workbook=08_01.xlsx&amp;sheet=A0&amp;row=34&amp;col=32&amp;number=&amp;sourceID=20","")</f>
        <v/>
      </c>
    </row>
    <row r="35" spans="1:32">
      <c r="A35" s="3">
        <v>8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HYPERLINK("http://141.218.60.56/~jnz1568/getInfo.php?workbook=08_01.xlsx&amp;sheet=A0&amp;row=35&amp;col=6&amp;number=&amp;sourceID=18","")</f>
        <v/>
      </c>
      <c r="G35" s="4" t="str">
        <f>HYPERLINK("http://141.218.60.56/~jnz1568/getInfo.php?workbook=08_01.xlsx&amp;sheet=A0&amp;row=35&amp;col=7&amp;number==&amp;sourceID=11","=")</f>
        <v>=</v>
      </c>
      <c r="H35" s="4" t="str">
        <f>HYPERLINK("http://141.218.60.56/~jnz1568/getInfo.php?workbook=08_01.xlsx&amp;sheet=A0&amp;row=35&amp;col=8&amp;number=&amp;sourceID=11","")</f>
        <v/>
      </c>
      <c r="I35" s="4" t="str">
        <f>HYPERLINK("http://141.218.60.56/~jnz1568/getInfo.php?workbook=08_01.xlsx&amp;sheet=A0&amp;row=35&amp;col=9&amp;number=1.749e-12&amp;sourceID=11","1.749e-12")</f>
        <v>1.749e-12</v>
      </c>
      <c r="J35" s="4" t="str">
        <f>HYPERLINK("http://141.218.60.56/~jnz1568/getInfo.php?workbook=08_01.xlsx&amp;sheet=A0&amp;row=35&amp;col=10&amp;number=&amp;sourceID=11","")</f>
        <v/>
      </c>
      <c r="K35" s="4" t="str">
        <f>HYPERLINK("http://141.218.60.56/~jnz1568/getInfo.php?workbook=08_01.xlsx&amp;sheet=A0&amp;row=35&amp;col=11&amp;number=3.4855e-05&amp;sourceID=11","3.4855e-05")</f>
        <v>3.4855e-05</v>
      </c>
      <c r="L35" s="4" t="str">
        <f>HYPERLINK("http://141.218.60.56/~jnz1568/getInfo.php?workbook=08_01.xlsx&amp;sheet=A0&amp;row=35&amp;col=12&amp;number=&amp;sourceID=11","")</f>
        <v/>
      </c>
      <c r="M35" s="4" t="str">
        <f>HYPERLINK("http://141.218.60.56/~jnz1568/getInfo.php?workbook=08_01.xlsx&amp;sheet=A0&amp;row=35&amp;col=13&amp;number=0&amp;sourceID=11","0")</f>
        <v>0</v>
      </c>
      <c r="N35" s="4" t="str">
        <f>HYPERLINK("http://141.218.60.56/~jnz1568/getInfo.php?workbook=08_01.xlsx&amp;sheet=A0&amp;row=35&amp;col=14&amp;number=3.4856e-05&amp;sourceID=12","3.4856e-05")</f>
        <v>3.4856e-05</v>
      </c>
      <c r="O35" s="4" t="str">
        <f>HYPERLINK("http://141.218.60.56/~jnz1568/getInfo.php?workbook=08_01.xlsx&amp;sheet=A0&amp;row=35&amp;col=15&amp;number=&amp;sourceID=12","")</f>
        <v/>
      </c>
      <c r="P35" s="4" t="str">
        <f>HYPERLINK("http://141.218.60.56/~jnz1568/getInfo.php?workbook=08_01.xlsx&amp;sheet=A0&amp;row=35&amp;col=16&amp;number=1.75e-12&amp;sourceID=12","1.75e-12")</f>
        <v>1.75e-12</v>
      </c>
      <c r="Q35" s="4" t="str">
        <f>HYPERLINK("http://141.218.60.56/~jnz1568/getInfo.php?workbook=08_01.xlsx&amp;sheet=A0&amp;row=35&amp;col=17&amp;number=&amp;sourceID=12","")</f>
        <v/>
      </c>
      <c r="R35" s="4" t="str">
        <f>HYPERLINK("http://141.218.60.56/~jnz1568/getInfo.php?workbook=08_01.xlsx&amp;sheet=A0&amp;row=35&amp;col=18&amp;number=3.4856e-05&amp;sourceID=12","3.4856e-05")</f>
        <v>3.4856e-05</v>
      </c>
      <c r="S35" s="4" t="str">
        <f>HYPERLINK("http://141.218.60.56/~jnz1568/getInfo.php?workbook=08_01.xlsx&amp;sheet=A0&amp;row=35&amp;col=19&amp;number=&amp;sourceID=12","")</f>
        <v/>
      </c>
      <c r="T35" s="4" t="str">
        <f>HYPERLINK("http://141.218.60.56/~jnz1568/getInfo.php?workbook=08_01.xlsx&amp;sheet=A0&amp;row=35&amp;col=20&amp;number=0&amp;sourceID=12","0")</f>
        <v>0</v>
      </c>
      <c r="U35" s="4" t="str">
        <f>HYPERLINK("http://141.218.60.56/~jnz1568/getInfo.php?workbook=08_01.xlsx&amp;sheet=A0&amp;row=35&amp;col=21&amp;number=3.4860001749e-05&amp;sourceID=30","3.4860001749e-05")</f>
        <v>3.4860001749e-05</v>
      </c>
      <c r="V35" s="4" t="str">
        <f>HYPERLINK("http://141.218.60.56/~jnz1568/getInfo.php?workbook=08_01.xlsx&amp;sheet=A0&amp;row=35&amp;col=22&amp;number=&amp;sourceID=30","")</f>
        <v/>
      </c>
      <c r="W35" s="4" t="str">
        <f>HYPERLINK("http://141.218.60.56/~jnz1568/getInfo.php?workbook=08_01.xlsx&amp;sheet=A0&amp;row=35&amp;col=23&amp;number=1.749e-12&amp;sourceID=30","1.749e-12")</f>
        <v>1.749e-12</v>
      </c>
      <c r="X35" s="4" t="str">
        <f>HYPERLINK("http://141.218.60.56/~jnz1568/getInfo.php?workbook=08_01.xlsx&amp;sheet=A0&amp;row=35&amp;col=24&amp;number=3.486e-05&amp;sourceID=30","3.486e-05")</f>
        <v>3.486e-05</v>
      </c>
      <c r="Y35" s="4" t="str">
        <f>HYPERLINK("http://141.218.60.56/~jnz1568/getInfo.php?workbook=08_01.xlsx&amp;sheet=A0&amp;row=35&amp;col=25&amp;number=&amp;sourceID=30","")</f>
        <v/>
      </c>
      <c r="Z35" s="4" t="str">
        <f>HYPERLINK("http://141.218.60.56/~jnz1568/getInfo.php?workbook=08_01.xlsx&amp;sheet=A0&amp;row=35&amp;col=26&amp;number==SUM(AA35:AE35)&amp;sourceID=13","=SUM(AA35:AE35)")</f>
        <v>=SUM(AA35:AE35)</v>
      </c>
      <c r="AA35" s="4" t="str">
        <f>HYPERLINK("http://141.218.60.56/~jnz1568/getInfo.php?workbook=08_01.xlsx&amp;sheet=A0&amp;row=35&amp;col=27&amp;number=&amp;sourceID=13","")</f>
        <v/>
      </c>
      <c r="AB35" s="4" t="str">
        <f>HYPERLINK("http://141.218.60.56/~jnz1568/getInfo.php?workbook=08_01.xlsx&amp;sheet=A0&amp;row=35&amp;col=28&amp;number=1.75e-12&amp;sourceID=13","1.75e-12")</f>
        <v>1.75e-12</v>
      </c>
      <c r="AC35" s="4" t="str">
        <f>HYPERLINK("http://141.218.60.56/~jnz1568/getInfo.php?workbook=08_01.xlsx&amp;sheet=A0&amp;row=35&amp;col=29&amp;number=&amp;sourceID=13","")</f>
        <v/>
      </c>
      <c r="AD35" s="4" t="str">
        <f>HYPERLINK("http://141.218.60.56/~jnz1568/getInfo.php?workbook=08_01.xlsx&amp;sheet=A0&amp;row=35&amp;col=30&amp;number=3.48e-05&amp;sourceID=13","3.48e-05")</f>
        <v>3.48e-05</v>
      </c>
      <c r="AE35" s="4" t="str">
        <f>HYPERLINK("http://141.218.60.56/~jnz1568/getInfo.php?workbook=08_01.xlsx&amp;sheet=A0&amp;row=35&amp;col=31&amp;number=&amp;sourceID=13","")</f>
        <v/>
      </c>
      <c r="AF35" s="4" t="str">
        <f>HYPERLINK("http://141.218.60.56/~jnz1568/getInfo.php?workbook=08_01.xlsx&amp;sheet=A0&amp;row=35&amp;col=32&amp;number=&amp;sourceID=20","")</f>
        <v/>
      </c>
    </row>
    <row r="36" spans="1:32">
      <c r="A36" s="3">
        <v>8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HYPERLINK("http://141.218.60.56/~jnz1568/getInfo.php?workbook=08_01.xlsx&amp;sheet=A0&amp;row=36&amp;col=6&amp;number=&amp;sourceID=18","")</f>
        <v/>
      </c>
      <c r="G36" s="4" t="str">
        <f>HYPERLINK("http://141.218.60.56/~jnz1568/getInfo.php?workbook=08_01.xlsx&amp;sheet=A0&amp;row=36&amp;col=7&amp;number==&amp;sourceID=11","=")</f>
        <v>=</v>
      </c>
      <c r="H36" s="4" t="str">
        <f>HYPERLINK("http://141.218.60.56/~jnz1568/getInfo.php?workbook=08_01.xlsx&amp;sheet=A0&amp;row=36&amp;col=8&amp;number=4.1413&amp;sourceID=11","4.1413")</f>
        <v>4.1413</v>
      </c>
      <c r="I36" s="4" t="str">
        <f>HYPERLINK("http://141.218.60.56/~jnz1568/getInfo.php?workbook=08_01.xlsx&amp;sheet=A0&amp;row=36&amp;col=9&amp;number=&amp;sourceID=11","")</f>
        <v/>
      </c>
      <c r="J36" s="4" t="str">
        <f>HYPERLINK("http://141.218.60.56/~jnz1568/getInfo.php?workbook=08_01.xlsx&amp;sheet=A0&amp;row=36&amp;col=10&amp;number=0&amp;sourceID=11","0")</f>
        <v>0</v>
      </c>
      <c r="K36" s="4" t="str">
        <f>HYPERLINK("http://141.218.60.56/~jnz1568/getInfo.php?workbook=08_01.xlsx&amp;sheet=A0&amp;row=36&amp;col=11&amp;number=&amp;sourceID=11","")</f>
        <v/>
      </c>
      <c r="L36" s="4" t="str">
        <f>HYPERLINK("http://141.218.60.56/~jnz1568/getInfo.php?workbook=08_01.xlsx&amp;sheet=A0&amp;row=36&amp;col=12&amp;number=1e-15&amp;sourceID=11","1e-15")</f>
        <v>1e-15</v>
      </c>
      <c r="M36" s="4" t="str">
        <f>HYPERLINK("http://141.218.60.56/~jnz1568/getInfo.php?workbook=08_01.xlsx&amp;sheet=A0&amp;row=36&amp;col=13&amp;number=&amp;sourceID=11","")</f>
        <v/>
      </c>
      <c r="N36" s="4" t="str">
        <f>HYPERLINK("http://141.218.60.56/~jnz1568/getInfo.php?workbook=08_01.xlsx&amp;sheet=A0&amp;row=36&amp;col=14&amp;number=4.1415&amp;sourceID=12","4.1415")</f>
        <v>4.1415</v>
      </c>
      <c r="O36" s="4" t="str">
        <f>HYPERLINK("http://141.218.60.56/~jnz1568/getInfo.php?workbook=08_01.xlsx&amp;sheet=A0&amp;row=36&amp;col=15&amp;number=4.1415&amp;sourceID=12","4.1415")</f>
        <v>4.1415</v>
      </c>
      <c r="P36" s="4" t="str">
        <f>HYPERLINK("http://141.218.60.56/~jnz1568/getInfo.php?workbook=08_01.xlsx&amp;sheet=A0&amp;row=36&amp;col=16&amp;number=&amp;sourceID=12","")</f>
        <v/>
      </c>
      <c r="Q36" s="4" t="str">
        <f>HYPERLINK("http://141.218.60.56/~jnz1568/getInfo.php?workbook=08_01.xlsx&amp;sheet=A0&amp;row=36&amp;col=17&amp;number=0&amp;sourceID=12","0")</f>
        <v>0</v>
      </c>
      <c r="R36" s="4" t="str">
        <f>HYPERLINK("http://141.218.60.56/~jnz1568/getInfo.php?workbook=08_01.xlsx&amp;sheet=A0&amp;row=36&amp;col=18&amp;number=&amp;sourceID=12","")</f>
        <v/>
      </c>
      <c r="S36" s="4" t="str">
        <f>HYPERLINK("http://141.218.60.56/~jnz1568/getInfo.php?workbook=08_01.xlsx&amp;sheet=A0&amp;row=36&amp;col=19&amp;number=1e-15&amp;sourceID=12","1e-15")</f>
        <v>1e-15</v>
      </c>
      <c r="T36" s="4" t="str">
        <f>HYPERLINK("http://141.218.60.56/~jnz1568/getInfo.php?workbook=08_01.xlsx&amp;sheet=A0&amp;row=36&amp;col=20&amp;number=&amp;sourceID=12","")</f>
        <v/>
      </c>
      <c r="U36" s="4" t="str">
        <f>HYPERLINK("http://141.218.60.56/~jnz1568/getInfo.php?workbook=08_01.xlsx&amp;sheet=A0&amp;row=36&amp;col=21&amp;number=4.141&amp;sourceID=30","4.141")</f>
        <v>4.141</v>
      </c>
      <c r="V36" s="4" t="str">
        <f>HYPERLINK("http://141.218.60.56/~jnz1568/getInfo.php?workbook=08_01.xlsx&amp;sheet=A0&amp;row=36&amp;col=22&amp;number=4.141&amp;sourceID=30","4.141")</f>
        <v>4.141</v>
      </c>
      <c r="W36" s="4" t="str">
        <f>HYPERLINK("http://141.218.60.56/~jnz1568/getInfo.php?workbook=08_01.xlsx&amp;sheet=A0&amp;row=36&amp;col=23&amp;number=&amp;sourceID=30","")</f>
        <v/>
      </c>
      <c r="X36" s="4" t="str">
        <f>HYPERLINK("http://141.218.60.56/~jnz1568/getInfo.php?workbook=08_01.xlsx&amp;sheet=A0&amp;row=36&amp;col=24&amp;number=&amp;sourceID=30","")</f>
        <v/>
      </c>
      <c r="Y36" s="4" t="str">
        <f>HYPERLINK("http://141.218.60.56/~jnz1568/getInfo.php?workbook=08_01.xlsx&amp;sheet=A0&amp;row=36&amp;col=25&amp;number=1e-15&amp;sourceID=30","1e-15")</f>
        <v>1e-15</v>
      </c>
      <c r="Z36" s="4" t="str">
        <f>HYPERLINK("http://141.218.60.56/~jnz1568/getInfo.php?workbook=08_01.xlsx&amp;sheet=A0&amp;row=36&amp;col=26&amp;number=&amp;sourceID=13","")</f>
        <v/>
      </c>
      <c r="AA36" s="4" t="str">
        <f>HYPERLINK("http://141.218.60.56/~jnz1568/getInfo.php?workbook=08_01.xlsx&amp;sheet=A0&amp;row=36&amp;col=27&amp;number=3.84&amp;sourceID=13","3.84")</f>
        <v>3.84</v>
      </c>
      <c r="AB36" s="4" t="str">
        <f>HYPERLINK("http://141.218.60.56/~jnz1568/getInfo.php?workbook=08_01.xlsx&amp;sheet=A0&amp;row=36&amp;col=28&amp;number=&amp;sourceID=13","")</f>
        <v/>
      </c>
      <c r="AC36" s="4" t="str">
        <f>HYPERLINK("http://141.218.60.56/~jnz1568/getInfo.php?workbook=08_01.xlsx&amp;sheet=A0&amp;row=36&amp;col=29&amp;number=&amp;sourceID=13","")</f>
        <v/>
      </c>
      <c r="AD36" s="4" t="str">
        <f>HYPERLINK("http://141.218.60.56/~jnz1568/getInfo.php?workbook=08_01.xlsx&amp;sheet=A0&amp;row=36&amp;col=30&amp;number=&amp;sourceID=13","")</f>
        <v/>
      </c>
      <c r="AE36" s="4" t="str">
        <f>HYPERLINK("http://141.218.60.56/~jnz1568/getInfo.php?workbook=08_01.xlsx&amp;sheet=A0&amp;row=36&amp;col=31&amp;number=&amp;sourceID=13","")</f>
        <v/>
      </c>
      <c r="AF36" s="4" t="str">
        <f>HYPERLINK("http://141.218.60.56/~jnz1568/getInfo.php?workbook=08_01.xlsx&amp;sheet=A0&amp;row=36&amp;col=32&amp;number=&amp;sourceID=20","")</f>
        <v/>
      </c>
    </row>
    <row r="37" spans="1:32">
      <c r="A37" s="3">
        <v>8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HYPERLINK("http://141.218.60.56/~jnz1568/getInfo.php?workbook=08_01.xlsx&amp;sheet=A0&amp;row=37&amp;col=6&amp;number=&amp;sourceID=18","")</f>
        <v/>
      </c>
      <c r="G37" s="4" t="str">
        <f>HYPERLINK("http://141.218.60.56/~jnz1568/getInfo.php?workbook=08_01.xlsx&amp;sheet=A0&amp;row=37&amp;col=7&amp;number==&amp;sourceID=11","=")</f>
        <v>=</v>
      </c>
      <c r="H37" s="4" t="str">
        <f>HYPERLINK("http://141.218.60.56/~jnz1568/getInfo.php?workbook=08_01.xlsx&amp;sheet=A0&amp;row=37&amp;col=8&amp;number=279160000000&amp;sourceID=11","279160000000")</f>
        <v>279160000000</v>
      </c>
      <c r="I37" s="4" t="str">
        <f>HYPERLINK("http://141.218.60.56/~jnz1568/getInfo.php?workbook=08_01.xlsx&amp;sheet=A0&amp;row=37&amp;col=9&amp;number=&amp;sourceID=11","")</f>
        <v/>
      </c>
      <c r="J37" s="4" t="str">
        <f>HYPERLINK("http://141.218.60.56/~jnz1568/getInfo.php?workbook=08_01.xlsx&amp;sheet=A0&amp;row=37&amp;col=10&amp;number=&amp;sourceID=11","")</f>
        <v/>
      </c>
      <c r="K37" s="4" t="str">
        <f>HYPERLINK("http://141.218.60.56/~jnz1568/getInfo.php?workbook=08_01.xlsx&amp;sheet=A0&amp;row=37&amp;col=11&amp;number=&amp;sourceID=11","")</f>
        <v/>
      </c>
      <c r="L37" s="4" t="str">
        <f>HYPERLINK("http://141.218.60.56/~jnz1568/getInfo.php?workbook=08_01.xlsx&amp;sheet=A0&amp;row=37&amp;col=12&amp;number=&amp;sourceID=11","")</f>
        <v/>
      </c>
      <c r="M37" s="4" t="str">
        <f>HYPERLINK("http://141.218.60.56/~jnz1568/getInfo.php?workbook=08_01.xlsx&amp;sheet=A0&amp;row=37&amp;col=13&amp;number=&amp;sourceID=11","")</f>
        <v/>
      </c>
      <c r="N37" s="4" t="str">
        <f>HYPERLINK("http://141.218.60.56/~jnz1568/getInfo.php?workbook=08_01.xlsx&amp;sheet=A0&amp;row=37&amp;col=14&amp;number=279170000000&amp;sourceID=12","279170000000")</f>
        <v>279170000000</v>
      </c>
      <c r="O37" s="4" t="str">
        <f>HYPERLINK("http://141.218.60.56/~jnz1568/getInfo.php?workbook=08_01.xlsx&amp;sheet=A0&amp;row=37&amp;col=15&amp;number=279170000000&amp;sourceID=12","279170000000")</f>
        <v>279170000000</v>
      </c>
      <c r="P37" s="4" t="str">
        <f>HYPERLINK("http://141.218.60.56/~jnz1568/getInfo.php?workbook=08_01.xlsx&amp;sheet=A0&amp;row=37&amp;col=16&amp;number=&amp;sourceID=12","")</f>
        <v/>
      </c>
      <c r="Q37" s="4" t="str">
        <f>HYPERLINK("http://141.218.60.56/~jnz1568/getInfo.php?workbook=08_01.xlsx&amp;sheet=A0&amp;row=37&amp;col=17&amp;number=&amp;sourceID=12","")</f>
        <v/>
      </c>
      <c r="R37" s="4" t="str">
        <f>HYPERLINK("http://141.218.60.56/~jnz1568/getInfo.php?workbook=08_01.xlsx&amp;sheet=A0&amp;row=37&amp;col=18&amp;number=&amp;sourceID=12","")</f>
        <v/>
      </c>
      <c r="S37" s="4" t="str">
        <f>HYPERLINK("http://141.218.60.56/~jnz1568/getInfo.php?workbook=08_01.xlsx&amp;sheet=A0&amp;row=37&amp;col=19&amp;number=&amp;sourceID=12","")</f>
        <v/>
      </c>
      <c r="T37" s="4" t="str">
        <f>HYPERLINK("http://141.218.60.56/~jnz1568/getInfo.php?workbook=08_01.xlsx&amp;sheet=A0&amp;row=37&amp;col=20&amp;number=&amp;sourceID=12","")</f>
        <v/>
      </c>
      <c r="U37" s="4" t="str">
        <f>HYPERLINK("http://141.218.60.56/~jnz1568/getInfo.php?workbook=08_01.xlsx&amp;sheet=A0&amp;row=37&amp;col=21&amp;number=279200000000&amp;sourceID=30","279200000000")</f>
        <v>279200000000</v>
      </c>
      <c r="V37" s="4" t="str">
        <f>HYPERLINK("http://141.218.60.56/~jnz1568/getInfo.php?workbook=08_01.xlsx&amp;sheet=A0&amp;row=37&amp;col=22&amp;number=279200000000&amp;sourceID=30","279200000000")</f>
        <v>279200000000</v>
      </c>
      <c r="W37" s="4" t="str">
        <f>HYPERLINK("http://141.218.60.56/~jnz1568/getInfo.php?workbook=08_01.xlsx&amp;sheet=A0&amp;row=37&amp;col=23&amp;number=&amp;sourceID=30","")</f>
        <v/>
      </c>
      <c r="X37" s="4" t="str">
        <f>HYPERLINK("http://141.218.60.56/~jnz1568/getInfo.php?workbook=08_01.xlsx&amp;sheet=A0&amp;row=37&amp;col=24&amp;number=&amp;sourceID=30","")</f>
        <v/>
      </c>
      <c r="Y37" s="4" t="str">
        <f>HYPERLINK("http://141.218.60.56/~jnz1568/getInfo.php?workbook=08_01.xlsx&amp;sheet=A0&amp;row=37&amp;col=25&amp;number=&amp;sourceID=30","")</f>
        <v/>
      </c>
      <c r="Z37" s="4" t="str">
        <f>HYPERLINK("http://141.218.60.56/~jnz1568/getInfo.php?workbook=08_01.xlsx&amp;sheet=A0&amp;row=37&amp;col=26&amp;number==SUM(AA37:AE37)&amp;sourceID=13","=SUM(AA37:AE37)")</f>
        <v>=SUM(AA37:AE37)</v>
      </c>
      <c r="AA37" s="4" t="str">
        <f>HYPERLINK("http://141.218.60.56/~jnz1568/getInfo.php?workbook=08_01.xlsx&amp;sheet=A0&amp;row=37&amp;col=27&amp;number=274000000000&amp;sourceID=13","274000000000")</f>
        <v>274000000000</v>
      </c>
      <c r="AB37" s="4" t="str">
        <f>HYPERLINK("http://141.218.60.56/~jnz1568/getInfo.php?workbook=08_01.xlsx&amp;sheet=A0&amp;row=37&amp;col=28&amp;number=&amp;sourceID=13","")</f>
        <v/>
      </c>
      <c r="AC37" s="4" t="str">
        <f>HYPERLINK("http://141.218.60.56/~jnz1568/getInfo.php?workbook=08_01.xlsx&amp;sheet=A0&amp;row=37&amp;col=29&amp;number=&amp;sourceID=13","")</f>
        <v/>
      </c>
      <c r="AD37" s="4" t="str">
        <f>HYPERLINK("http://141.218.60.56/~jnz1568/getInfo.php?workbook=08_01.xlsx&amp;sheet=A0&amp;row=37&amp;col=30&amp;number=&amp;sourceID=13","")</f>
        <v/>
      </c>
      <c r="AE37" s="4" t="str">
        <f>HYPERLINK("http://141.218.60.56/~jnz1568/getInfo.php?workbook=08_01.xlsx&amp;sheet=A0&amp;row=37&amp;col=31&amp;number=&amp;sourceID=13","")</f>
        <v/>
      </c>
      <c r="AF37" s="4" t="str">
        <f>HYPERLINK("http://141.218.60.56/~jnz1568/getInfo.php?workbook=08_01.xlsx&amp;sheet=A0&amp;row=37&amp;col=32&amp;number=279160000000&amp;sourceID=20","279160000000")</f>
        <v>279160000000</v>
      </c>
    </row>
    <row r="38" spans="1:32">
      <c r="A38" s="3">
        <v>8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HYPERLINK("http://141.218.60.56/~jnz1568/getInfo.php?workbook=08_01.xlsx&amp;sheet=A0&amp;row=38&amp;col=6&amp;number=&amp;sourceID=18","")</f>
        <v/>
      </c>
      <c r="G38" s="4" t="str">
        <f>HYPERLINK("http://141.218.60.56/~jnz1568/getInfo.php?workbook=08_01.xlsx&amp;sheet=A0&amp;row=38&amp;col=7&amp;number==&amp;sourceID=11","=")</f>
        <v>=</v>
      </c>
      <c r="H38" s="4" t="str">
        <f>HYPERLINK("http://141.218.60.56/~jnz1568/getInfo.php?workbook=08_01.xlsx&amp;sheet=A0&amp;row=38&amp;col=8&amp;number=&amp;sourceID=11","")</f>
        <v/>
      </c>
      <c r="I38" s="4" t="str">
        <f>HYPERLINK("http://141.218.60.56/~jnz1568/getInfo.php?workbook=08_01.xlsx&amp;sheet=A0&amp;row=38&amp;col=9&amp;number=&amp;sourceID=11","")</f>
        <v/>
      </c>
      <c r="J38" s="4" t="str">
        <f>HYPERLINK("http://141.218.60.56/~jnz1568/getInfo.php?workbook=08_01.xlsx&amp;sheet=A0&amp;row=38&amp;col=10&amp;number=&amp;sourceID=11","")</f>
        <v/>
      </c>
      <c r="K38" s="4" t="str">
        <f>HYPERLINK("http://141.218.60.56/~jnz1568/getInfo.php?workbook=08_01.xlsx&amp;sheet=A0&amp;row=38&amp;col=11&amp;number=0.41566&amp;sourceID=11","0.41566")</f>
        <v>0.41566</v>
      </c>
      <c r="L38" s="4" t="str">
        <f>HYPERLINK("http://141.218.60.56/~jnz1568/getInfo.php?workbook=08_01.xlsx&amp;sheet=A0&amp;row=38&amp;col=12&amp;number=&amp;sourceID=11","")</f>
        <v/>
      </c>
      <c r="M38" s="4" t="str">
        <f>HYPERLINK("http://141.218.60.56/~jnz1568/getInfo.php?workbook=08_01.xlsx&amp;sheet=A0&amp;row=38&amp;col=13&amp;number=&amp;sourceID=11","")</f>
        <v/>
      </c>
      <c r="N38" s="4" t="str">
        <f>HYPERLINK("http://141.218.60.56/~jnz1568/getInfo.php?workbook=08_01.xlsx&amp;sheet=A0&amp;row=38&amp;col=14&amp;number=0.41566&amp;sourceID=12","0.41566")</f>
        <v>0.41566</v>
      </c>
      <c r="O38" s="4" t="str">
        <f>HYPERLINK("http://141.218.60.56/~jnz1568/getInfo.php?workbook=08_01.xlsx&amp;sheet=A0&amp;row=38&amp;col=15&amp;number=&amp;sourceID=12","")</f>
        <v/>
      </c>
      <c r="P38" s="4" t="str">
        <f>HYPERLINK("http://141.218.60.56/~jnz1568/getInfo.php?workbook=08_01.xlsx&amp;sheet=A0&amp;row=38&amp;col=16&amp;number=&amp;sourceID=12","")</f>
        <v/>
      </c>
      <c r="Q38" s="4" t="str">
        <f>HYPERLINK("http://141.218.60.56/~jnz1568/getInfo.php?workbook=08_01.xlsx&amp;sheet=A0&amp;row=38&amp;col=17&amp;number=&amp;sourceID=12","")</f>
        <v/>
      </c>
      <c r="R38" s="4" t="str">
        <f>HYPERLINK("http://141.218.60.56/~jnz1568/getInfo.php?workbook=08_01.xlsx&amp;sheet=A0&amp;row=38&amp;col=18&amp;number=0.41566&amp;sourceID=12","0.41566")</f>
        <v>0.41566</v>
      </c>
      <c r="S38" s="4" t="str">
        <f>HYPERLINK("http://141.218.60.56/~jnz1568/getInfo.php?workbook=08_01.xlsx&amp;sheet=A0&amp;row=38&amp;col=19&amp;number=&amp;sourceID=12","")</f>
        <v/>
      </c>
      <c r="T38" s="4" t="str">
        <f>HYPERLINK("http://141.218.60.56/~jnz1568/getInfo.php?workbook=08_01.xlsx&amp;sheet=A0&amp;row=38&amp;col=20&amp;number=&amp;sourceID=12","")</f>
        <v/>
      </c>
      <c r="U38" s="4" t="str">
        <f>HYPERLINK("http://141.218.60.56/~jnz1568/getInfo.php?workbook=08_01.xlsx&amp;sheet=A0&amp;row=38&amp;col=21&amp;number=0.4158&amp;sourceID=30","0.4158")</f>
        <v>0.4158</v>
      </c>
      <c r="V38" s="4" t="str">
        <f>HYPERLINK("http://141.218.60.56/~jnz1568/getInfo.php?workbook=08_01.xlsx&amp;sheet=A0&amp;row=38&amp;col=22&amp;number=&amp;sourceID=30","")</f>
        <v/>
      </c>
      <c r="W38" s="4" t="str">
        <f>HYPERLINK("http://141.218.60.56/~jnz1568/getInfo.php?workbook=08_01.xlsx&amp;sheet=A0&amp;row=38&amp;col=23&amp;number=&amp;sourceID=30","")</f>
        <v/>
      </c>
      <c r="X38" s="4" t="str">
        <f>HYPERLINK("http://141.218.60.56/~jnz1568/getInfo.php?workbook=08_01.xlsx&amp;sheet=A0&amp;row=38&amp;col=24&amp;number=0.4158&amp;sourceID=30","0.4158")</f>
        <v>0.4158</v>
      </c>
      <c r="Y38" s="4" t="str">
        <f>HYPERLINK("http://141.218.60.56/~jnz1568/getInfo.php?workbook=08_01.xlsx&amp;sheet=A0&amp;row=38&amp;col=25&amp;number=&amp;sourceID=30","")</f>
        <v/>
      </c>
      <c r="Z38" s="4" t="str">
        <f>HYPERLINK("http://141.218.60.56/~jnz1568/getInfo.php?workbook=08_01.xlsx&amp;sheet=A0&amp;row=38&amp;col=26&amp;number==SUM(AA38:AE38)&amp;sourceID=13","=SUM(AA38:AE38)")</f>
        <v>=SUM(AA38:AE38)</v>
      </c>
      <c r="AA38" s="4" t="str">
        <f>HYPERLINK("http://141.218.60.56/~jnz1568/getInfo.php?workbook=08_01.xlsx&amp;sheet=A0&amp;row=38&amp;col=27&amp;number=&amp;sourceID=13","")</f>
        <v/>
      </c>
      <c r="AB38" s="4" t="str">
        <f>HYPERLINK("http://141.218.60.56/~jnz1568/getInfo.php?workbook=08_01.xlsx&amp;sheet=A0&amp;row=38&amp;col=28&amp;number=&amp;sourceID=13","")</f>
        <v/>
      </c>
      <c r="AC38" s="4" t="str">
        <f>HYPERLINK("http://141.218.60.56/~jnz1568/getInfo.php?workbook=08_01.xlsx&amp;sheet=A0&amp;row=38&amp;col=29&amp;number=&amp;sourceID=13","")</f>
        <v/>
      </c>
      <c r="AD38" s="4" t="str">
        <f>HYPERLINK("http://141.218.60.56/~jnz1568/getInfo.php?workbook=08_01.xlsx&amp;sheet=A0&amp;row=38&amp;col=30&amp;number=0.409&amp;sourceID=13","0.409")</f>
        <v>0.409</v>
      </c>
      <c r="AE38" s="4" t="str">
        <f>HYPERLINK("http://141.218.60.56/~jnz1568/getInfo.php?workbook=08_01.xlsx&amp;sheet=A0&amp;row=38&amp;col=31&amp;number=&amp;sourceID=13","")</f>
        <v/>
      </c>
      <c r="AF38" s="4" t="str">
        <f>HYPERLINK("http://141.218.60.56/~jnz1568/getInfo.php?workbook=08_01.xlsx&amp;sheet=A0&amp;row=38&amp;col=32&amp;number=&amp;sourceID=20","")</f>
        <v/>
      </c>
    </row>
    <row r="39" spans="1:32">
      <c r="A39" s="3">
        <v>8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HYPERLINK("http://141.218.60.56/~jnz1568/getInfo.php?workbook=08_01.xlsx&amp;sheet=A0&amp;row=39&amp;col=6&amp;number=&amp;sourceID=18","")</f>
        <v/>
      </c>
      <c r="G39" s="4" t="str">
        <f>HYPERLINK("http://141.218.60.56/~jnz1568/getInfo.php?workbook=08_01.xlsx&amp;sheet=A0&amp;row=39&amp;col=7&amp;number==&amp;sourceID=11","=")</f>
        <v>=</v>
      </c>
      <c r="H39" s="4" t="str">
        <f>HYPERLINK("http://141.218.60.56/~jnz1568/getInfo.php?workbook=08_01.xlsx&amp;sheet=A0&amp;row=39&amp;col=8&amp;number=39694000000&amp;sourceID=11","39694000000")</f>
        <v>39694000000</v>
      </c>
      <c r="I39" s="4" t="str">
        <f>HYPERLINK("http://141.218.60.56/~jnz1568/getInfo.php?workbook=08_01.xlsx&amp;sheet=A0&amp;row=39&amp;col=9&amp;number=&amp;sourceID=11","")</f>
        <v/>
      </c>
      <c r="J39" s="4" t="str">
        <f>HYPERLINK("http://141.218.60.56/~jnz1568/getInfo.php?workbook=08_01.xlsx&amp;sheet=A0&amp;row=39&amp;col=10&amp;number=&amp;sourceID=11","")</f>
        <v/>
      </c>
      <c r="K39" s="4" t="str">
        <f>HYPERLINK("http://141.218.60.56/~jnz1568/getInfo.php?workbook=08_01.xlsx&amp;sheet=A0&amp;row=39&amp;col=11&amp;number=&amp;sourceID=11","")</f>
        <v/>
      </c>
      <c r="L39" s="4" t="str">
        <f>HYPERLINK("http://141.218.60.56/~jnz1568/getInfo.php?workbook=08_01.xlsx&amp;sheet=A0&amp;row=39&amp;col=12&amp;number=&amp;sourceID=11","")</f>
        <v/>
      </c>
      <c r="M39" s="4" t="str">
        <f>HYPERLINK("http://141.218.60.56/~jnz1568/getInfo.php?workbook=08_01.xlsx&amp;sheet=A0&amp;row=39&amp;col=13&amp;number=&amp;sourceID=11","")</f>
        <v/>
      </c>
      <c r="N39" s="4" t="str">
        <f>HYPERLINK("http://141.218.60.56/~jnz1568/getInfo.php?workbook=08_01.xlsx&amp;sheet=A0&amp;row=39&amp;col=14&amp;number=39695000000&amp;sourceID=12","39695000000")</f>
        <v>39695000000</v>
      </c>
      <c r="O39" s="4" t="str">
        <f>HYPERLINK("http://141.218.60.56/~jnz1568/getInfo.php?workbook=08_01.xlsx&amp;sheet=A0&amp;row=39&amp;col=15&amp;number=39695000000&amp;sourceID=12","39695000000")</f>
        <v>39695000000</v>
      </c>
      <c r="P39" s="4" t="str">
        <f>HYPERLINK("http://141.218.60.56/~jnz1568/getInfo.php?workbook=08_01.xlsx&amp;sheet=A0&amp;row=39&amp;col=16&amp;number=&amp;sourceID=12","")</f>
        <v/>
      </c>
      <c r="Q39" s="4" t="str">
        <f>HYPERLINK("http://141.218.60.56/~jnz1568/getInfo.php?workbook=08_01.xlsx&amp;sheet=A0&amp;row=39&amp;col=17&amp;number=&amp;sourceID=12","")</f>
        <v/>
      </c>
      <c r="R39" s="4" t="str">
        <f>HYPERLINK("http://141.218.60.56/~jnz1568/getInfo.php?workbook=08_01.xlsx&amp;sheet=A0&amp;row=39&amp;col=18&amp;number=&amp;sourceID=12","")</f>
        <v/>
      </c>
      <c r="S39" s="4" t="str">
        <f>HYPERLINK("http://141.218.60.56/~jnz1568/getInfo.php?workbook=08_01.xlsx&amp;sheet=A0&amp;row=39&amp;col=19&amp;number=&amp;sourceID=12","")</f>
        <v/>
      </c>
      <c r="T39" s="4" t="str">
        <f>HYPERLINK("http://141.218.60.56/~jnz1568/getInfo.php?workbook=08_01.xlsx&amp;sheet=A0&amp;row=39&amp;col=20&amp;number=&amp;sourceID=12","")</f>
        <v/>
      </c>
      <c r="U39" s="4" t="str">
        <f>HYPERLINK("http://141.218.60.56/~jnz1568/getInfo.php?workbook=08_01.xlsx&amp;sheet=A0&amp;row=39&amp;col=21&amp;number=39690000000&amp;sourceID=30","39690000000")</f>
        <v>39690000000</v>
      </c>
      <c r="V39" s="4" t="str">
        <f>HYPERLINK("http://141.218.60.56/~jnz1568/getInfo.php?workbook=08_01.xlsx&amp;sheet=A0&amp;row=39&amp;col=22&amp;number=39690000000&amp;sourceID=30","39690000000")</f>
        <v>39690000000</v>
      </c>
      <c r="W39" s="4" t="str">
        <f>HYPERLINK("http://141.218.60.56/~jnz1568/getInfo.php?workbook=08_01.xlsx&amp;sheet=A0&amp;row=39&amp;col=23&amp;number=&amp;sourceID=30","")</f>
        <v/>
      </c>
      <c r="X39" s="4" t="str">
        <f>HYPERLINK("http://141.218.60.56/~jnz1568/getInfo.php?workbook=08_01.xlsx&amp;sheet=A0&amp;row=39&amp;col=24&amp;number=&amp;sourceID=30","")</f>
        <v/>
      </c>
      <c r="Y39" s="4" t="str">
        <f>HYPERLINK("http://141.218.60.56/~jnz1568/getInfo.php?workbook=08_01.xlsx&amp;sheet=A0&amp;row=39&amp;col=25&amp;number=&amp;sourceID=30","")</f>
        <v/>
      </c>
      <c r="Z39" s="4" t="str">
        <f>HYPERLINK("http://141.218.60.56/~jnz1568/getInfo.php?workbook=08_01.xlsx&amp;sheet=A0&amp;row=39&amp;col=26&amp;number=&amp;sourceID=13","")</f>
        <v/>
      </c>
      <c r="AA39" s="4" t="str">
        <f>HYPERLINK("http://141.218.60.56/~jnz1568/getInfo.php?workbook=08_01.xlsx&amp;sheet=A0&amp;row=39&amp;col=27&amp;number=39300000000&amp;sourceID=13","39300000000")</f>
        <v>39300000000</v>
      </c>
      <c r="AB39" s="4" t="str">
        <f>HYPERLINK("http://141.218.60.56/~jnz1568/getInfo.php?workbook=08_01.xlsx&amp;sheet=A0&amp;row=39&amp;col=28&amp;number=&amp;sourceID=13","")</f>
        <v/>
      </c>
      <c r="AC39" s="4" t="str">
        <f>HYPERLINK("http://141.218.60.56/~jnz1568/getInfo.php?workbook=08_01.xlsx&amp;sheet=A0&amp;row=39&amp;col=29&amp;number=&amp;sourceID=13","")</f>
        <v/>
      </c>
      <c r="AD39" s="4" t="str">
        <f>HYPERLINK("http://141.218.60.56/~jnz1568/getInfo.php?workbook=08_01.xlsx&amp;sheet=A0&amp;row=39&amp;col=30&amp;number=&amp;sourceID=13","")</f>
        <v/>
      </c>
      <c r="AE39" s="4" t="str">
        <f>HYPERLINK("http://141.218.60.56/~jnz1568/getInfo.php?workbook=08_01.xlsx&amp;sheet=A0&amp;row=39&amp;col=31&amp;number=&amp;sourceID=13","")</f>
        <v/>
      </c>
      <c r="AF39" s="4" t="str">
        <f>HYPERLINK("http://141.218.60.56/~jnz1568/getInfo.php?workbook=08_01.xlsx&amp;sheet=A0&amp;row=39&amp;col=32&amp;number=&amp;sourceID=20","")</f>
        <v/>
      </c>
    </row>
    <row r="40" spans="1:32">
      <c r="A40" s="3">
        <v>8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HYPERLINK("http://141.218.60.56/~jnz1568/getInfo.php?workbook=08_01.xlsx&amp;sheet=A0&amp;row=40&amp;col=6&amp;number=&amp;sourceID=18","")</f>
        <v/>
      </c>
      <c r="G40" s="4" t="str">
        <f>HYPERLINK("http://141.218.60.56/~jnz1568/getInfo.php?workbook=08_01.xlsx&amp;sheet=A0&amp;row=40&amp;col=7&amp;number==&amp;sourceID=11","=")</f>
        <v>=</v>
      </c>
      <c r="H40" s="4" t="str">
        <f>HYPERLINK("http://141.218.60.56/~jnz1568/getInfo.php?workbook=08_01.xlsx&amp;sheet=A0&amp;row=40&amp;col=8&amp;number=&amp;sourceID=11","")</f>
        <v/>
      </c>
      <c r="I40" s="4" t="str">
        <f>HYPERLINK("http://141.218.60.56/~jnz1568/getInfo.php?workbook=08_01.xlsx&amp;sheet=A0&amp;row=40&amp;col=9&amp;number=2696800&amp;sourceID=11","2696800")</f>
        <v>2696800</v>
      </c>
      <c r="J40" s="4" t="str">
        <f>HYPERLINK("http://141.218.60.56/~jnz1568/getInfo.php?workbook=08_01.xlsx&amp;sheet=A0&amp;row=40&amp;col=10&amp;number=&amp;sourceID=11","")</f>
        <v/>
      </c>
      <c r="K40" s="4" t="str">
        <f>HYPERLINK("http://141.218.60.56/~jnz1568/getInfo.php?workbook=08_01.xlsx&amp;sheet=A0&amp;row=40&amp;col=11&amp;number=8.101&amp;sourceID=11","8.101")</f>
        <v>8.101</v>
      </c>
      <c r="L40" s="4" t="str">
        <f>HYPERLINK("http://141.218.60.56/~jnz1568/getInfo.php?workbook=08_01.xlsx&amp;sheet=A0&amp;row=40&amp;col=12&amp;number=&amp;sourceID=11","")</f>
        <v/>
      </c>
      <c r="M40" s="4" t="str">
        <f>HYPERLINK("http://141.218.60.56/~jnz1568/getInfo.php?workbook=08_01.xlsx&amp;sheet=A0&amp;row=40&amp;col=13&amp;number=&amp;sourceID=11","")</f>
        <v/>
      </c>
      <c r="N40" s="4" t="str">
        <f>HYPERLINK("http://141.218.60.56/~jnz1568/getInfo.php?workbook=08_01.xlsx&amp;sheet=A0&amp;row=40&amp;col=14&amp;number=2696900&amp;sourceID=12","2696900")</f>
        <v>2696900</v>
      </c>
      <c r="O40" s="4" t="str">
        <f>HYPERLINK("http://141.218.60.56/~jnz1568/getInfo.php?workbook=08_01.xlsx&amp;sheet=A0&amp;row=40&amp;col=15&amp;number=&amp;sourceID=12","")</f>
        <v/>
      </c>
      <c r="P40" s="4" t="str">
        <f>HYPERLINK("http://141.218.60.56/~jnz1568/getInfo.php?workbook=08_01.xlsx&amp;sheet=A0&amp;row=40&amp;col=16&amp;number=2696900&amp;sourceID=12","2696900")</f>
        <v>2696900</v>
      </c>
      <c r="Q40" s="4" t="str">
        <f>HYPERLINK("http://141.218.60.56/~jnz1568/getInfo.php?workbook=08_01.xlsx&amp;sheet=A0&amp;row=40&amp;col=17&amp;number=&amp;sourceID=12","")</f>
        <v/>
      </c>
      <c r="R40" s="4" t="str">
        <f>HYPERLINK("http://141.218.60.56/~jnz1568/getInfo.php?workbook=08_01.xlsx&amp;sheet=A0&amp;row=40&amp;col=18&amp;number=8.1013&amp;sourceID=12","8.1013")</f>
        <v>8.1013</v>
      </c>
      <c r="S40" s="4" t="str">
        <f>HYPERLINK("http://141.218.60.56/~jnz1568/getInfo.php?workbook=08_01.xlsx&amp;sheet=A0&amp;row=40&amp;col=19&amp;number=&amp;sourceID=12","")</f>
        <v/>
      </c>
      <c r="T40" s="4" t="str">
        <f>HYPERLINK("http://141.218.60.56/~jnz1568/getInfo.php?workbook=08_01.xlsx&amp;sheet=A0&amp;row=40&amp;col=20&amp;number=&amp;sourceID=12","")</f>
        <v/>
      </c>
      <c r="U40" s="4" t="str">
        <f>HYPERLINK("http://141.218.60.56/~jnz1568/getInfo.php?workbook=08_01.xlsx&amp;sheet=A0&amp;row=40&amp;col=21&amp;number=2697008.101&amp;sourceID=30","2697008.101")</f>
        <v>2697008.101</v>
      </c>
      <c r="V40" s="4" t="str">
        <f>HYPERLINK("http://141.218.60.56/~jnz1568/getInfo.php?workbook=08_01.xlsx&amp;sheet=A0&amp;row=40&amp;col=22&amp;number=&amp;sourceID=30","")</f>
        <v/>
      </c>
      <c r="W40" s="4" t="str">
        <f>HYPERLINK("http://141.218.60.56/~jnz1568/getInfo.php?workbook=08_01.xlsx&amp;sheet=A0&amp;row=40&amp;col=23&amp;number=2697000&amp;sourceID=30","2697000")</f>
        <v>2697000</v>
      </c>
      <c r="X40" s="4" t="str">
        <f>HYPERLINK("http://141.218.60.56/~jnz1568/getInfo.php?workbook=08_01.xlsx&amp;sheet=A0&amp;row=40&amp;col=24&amp;number=8.101&amp;sourceID=30","8.101")</f>
        <v>8.101</v>
      </c>
      <c r="Y40" s="4" t="str">
        <f>HYPERLINK("http://141.218.60.56/~jnz1568/getInfo.php?workbook=08_01.xlsx&amp;sheet=A0&amp;row=40&amp;col=25&amp;number=&amp;sourceID=30","")</f>
        <v/>
      </c>
      <c r="Z40" s="4" t="str">
        <f>HYPERLINK("http://141.218.60.56/~jnz1568/getInfo.php?workbook=08_01.xlsx&amp;sheet=A0&amp;row=40&amp;col=26&amp;number==SUM(AA40:AE40)&amp;sourceID=13","=SUM(AA40:AE40)")</f>
        <v>=SUM(AA40:AE40)</v>
      </c>
      <c r="AA40" s="4" t="str">
        <f>HYPERLINK("http://141.218.60.56/~jnz1568/getInfo.php?workbook=08_01.xlsx&amp;sheet=A0&amp;row=40&amp;col=27&amp;number=&amp;sourceID=13","")</f>
        <v/>
      </c>
      <c r="AB40" s="4" t="str">
        <f>HYPERLINK("http://141.218.60.56/~jnz1568/getInfo.php?workbook=08_01.xlsx&amp;sheet=A0&amp;row=40&amp;col=28&amp;number=2650000&amp;sourceID=13","2650000")</f>
        <v>2650000</v>
      </c>
      <c r="AC40" s="4" t="str">
        <f>HYPERLINK("http://141.218.60.56/~jnz1568/getInfo.php?workbook=08_01.xlsx&amp;sheet=A0&amp;row=40&amp;col=29&amp;number=&amp;sourceID=13","")</f>
        <v/>
      </c>
      <c r="AD40" s="4" t="str">
        <f>HYPERLINK("http://141.218.60.56/~jnz1568/getInfo.php?workbook=08_01.xlsx&amp;sheet=A0&amp;row=40&amp;col=30&amp;number=9.03&amp;sourceID=13","9.03")</f>
        <v>9.03</v>
      </c>
      <c r="AE40" s="4" t="str">
        <f>HYPERLINK("http://141.218.60.56/~jnz1568/getInfo.php?workbook=08_01.xlsx&amp;sheet=A0&amp;row=40&amp;col=31&amp;number=&amp;sourceID=13","")</f>
        <v/>
      </c>
      <c r="AF40" s="4" t="str">
        <f>HYPERLINK("http://141.218.60.56/~jnz1568/getInfo.php?workbook=08_01.xlsx&amp;sheet=A0&amp;row=40&amp;col=32&amp;number=&amp;sourceID=20","")</f>
        <v/>
      </c>
    </row>
    <row r="41" spans="1:32">
      <c r="A41" s="3">
        <v>8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HYPERLINK("http://141.218.60.56/~jnz1568/getInfo.php?workbook=08_01.xlsx&amp;sheet=A0&amp;row=41&amp;col=6&amp;number=&amp;sourceID=18","")</f>
        <v/>
      </c>
      <c r="G41" s="4" t="str">
        <f>HYPERLINK("http://141.218.60.56/~jnz1568/getInfo.php?workbook=08_01.xlsx&amp;sheet=A0&amp;row=41&amp;col=7&amp;number==&amp;sourceID=11","=")</f>
        <v>=</v>
      </c>
      <c r="H41" s="4" t="str">
        <f>HYPERLINK("http://141.218.60.56/~jnz1568/getInfo.php?workbook=08_01.xlsx&amp;sheet=A0&amp;row=41&amp;col=8&amp;number=&amp;sourceID=11","")</f>
        <v/>
      </c>
      <c r="I41" s="4" t="str">
        <f>HYPERLINK("http://141.218.60.56/~jnz1568/getInfo.php?workbook=08_01.xlsx&amp;sheet=A0&amp;row=41&amp;col=9&amp;number=&amp;sourceID=11","")</f>
        <v/>
      </c>
      <c r="J41" s="4" t="str">
        <f>HYPERLINK("http://141.218.60.56/~jnz1568/getInfo.php?workbook=08_01.xlsx&amp;sheet=A0&amp;row=41&amp;col=10&amp;number=&amp;sourceID=11","")</f>
        <v/>
      </c>
      <c r="K41" s="4" t="str">
        <f>HYPERLINK("http://141.218.60.56/~jnz1568/getInfo.php?workbook=08_01.xlsx&amp;sheet=A0&amp;row=41&amp;col=11&amp;number=0.0069147&amp;sourceID=11","0.0069147")</f>
        <v>0.0069147</v>
      </c>
      <c r="L41" s="4" t="str">
        <f>HYPERLINK("http://141.218.60.56/~jnz1568/getInfo.php?workbook=08_01.xlsx&amp;sheet=A0&amp;row=41&amp;col=12&amp;number=&amp;sourceID=11","")</f>
        <v/>
      </c>
      <c r="M41" s="4" t="str">
        <f>HYPERLINK("http://141.218.60.56/~jnz1568/getInfo.php?workbook=08_01.xlsx&amp;sheet=A0&amp;row=41&amp;col=13&amp;number=&amp;sourceID=11","")</f>
        <v/>
      </c>
      <c r="N41" s="4" t="str">
        <f>HYPERLINK("http://141.218.60.56/~jnz1568/getInfo.php?workbook=08_01.xlsx&amp;sheet=A0&amp;row=41&amp;col=14&amp;number=0.0069149&amp;sourceID=12","0.0069149")</f>
        <v>0.0069149</v>
      </c>
      <c r="O41" s="4" t="str">
        <f>HYPERLINK("http://141.218.60.56/~jnz1568/getInfo.php?workbook=08_01.xlsx&amp;sheet=A0&amp;row=41&amp;col=15&amp;number=&amp;sourceID=12","")</f>
        <v/>
      </c>
      <c r="P41" s="4" t="str">
        <f>HYPERLINK("http://141.218.60.56/~jnz1568/getInfo.php?workbook=08_01.xlsx&amp;sheet=A0&amp;row=41&amp;col=16&amp;number=&amp;sourceID=12","")</f>
        <v/>
      </c>
      <c r="Q41" s="4" t="str">
        <f>HYPERLINK("http://141.218.60.56/~jnz1568/getInfo.php?workbook=08_01.xlsx&amp;sheet=A0&amp;row=41&amp;col=17&amp;number=&amp;sourceID=12","")</f>
        <v/>
      </c>
      <c r="R41" s="4" t="str">
        <f>HYPERLINK("http://141.218.60.56/~jnz1568/getInfo.php?workbook=08_01.xlsx&amp;sheet=A0&amp;row=41&amp;col=18&amp;number=0.0069149&amp;sourceID=12","0.0069149")</f>
        <v>0.0069149</v>
      </c>
      <c r="S41" s="4" t="str">
        <f>HYPERLINK("http://141.218.60.56/~jnz1568/getInfo.php?workbook=08_01.xlsx&amp;sheet=A0&amp;row=41&amp;col=19&amp;number=&amp;sourceID=12","")</f>
        <v/>
      </c>
      <c r="T41" s="4" t="str">
        <f>HYPERLINK("http://141.218.60.56/~jnz1568/getInfo.php?workbook=08_01.xlsx&amp;sheet=A0&amp;row=41&amp;col=20&amp;number=&amp;sourceID=12","")</f>
        <v/>
      </c>
      <c r="U41" s="4" t="str">
        <f>HYPERLINK("http://141.218.60.56/~jnz1568/getInfo.php?workbook=08_01.xlsx&amp;sheet=A0&amp;row=41&amp;col=21&amp;number=0.006922&amp;sourceID=30","0.006922")</f>
        <v>0.006922</v>
      </c>
      <c r="V41" s="4" t="str">
        <f>HYPERLINK("http://141.218.60.56/~jnz1568/getInfo.php?workbook=08_01.xlsx&amp;sheet=A0&amp;row=41&amp;col=22&amp;number=&amp;sourceID=30","")</f>
        <v/>
      </c>
      <c r="W41" s="4" t="str">
        <f>HYPERLINK("http://141.218.60.56/~jnz1568/getInfo.php?workbook=08_01.xlsx&amp;sheet=A0&amp;row=41&amp;col=23&amp;number=&amp;sourceID=30","")</f>
        <v/>
      </c>
      <c r="X41" s="4" t="str">
        <f>HYPERLINK("http://141.218.60.56/~jnz1568/getInfo.php?workbook=08_01.xlsx&amp;sheet=A0&amp;row=41&amp;col=24&amp;number=0.006922&amp;sourceID=30","0.006922")</f>
        <v>0.006922</v>
      </c>
      <c r="Y41" s="4" t="str">
        <f>HYPERLINK("http://141.218.60.56/~jnz1568/getInfo.php?workbook=08_01.xlsx&amp;sheet=A0&amp;row=41&amp;col=25&amp;number=&amp;sourceID=30","")</f>
        <v/>
      </c>
      <c r="Z41" s="4" t="str">
        <f>HYPERLINK("http://141.218.60.56/~jnz1568/getInfo.php?workbook=08_01.xlsx&amp;sheet=A0&amp;row=41&amp;col=26&amp;number==SUM(AA41:AE41)&amp;sourceID=13","=SUM(AA41:AE41)")</f>
        <v>=SUM(AA41:AE41)</v>
      </c>
      <c r="AA41" s="4" t="str">
        <f>HYPERLINK("http://141.218.60.56/~jnz1568/getInfo.php?workbook=08_01.xlsx&amp;sheet=A0&amp;row=41&amp;col=27&amp;number=&amp;sourceID=13","")</f>
        <v/>
      </c>
      <c r="AB41" s="4" t="str">
        <f>HYPERLINK("http://141.218.60.56/~jnz1568/getInfo.php?workbook=08_01.xlsx&amp;sheet=A0&amp;row=41&amp;col=28&amp;number=&amp;sourceID=13","")</f>
        <v/>
      </c>
      <c r="AC41" s="4" t="str">
        <f>HYPERLINK("http://141.218.60.56/~jnz1568/getInfo.php?workbook=08_01.xlsx&amp;sheet=A0&amp;row=41&amp;col=29&amp;number=&amp;sourceID=13","")</f>
        <v/>
      </c>
      <c r="AD41" s="4" t="str">
        <f>HYPERLINK("http://141.218.60.56/~jnz1568/getInfo.php?workbook=08_01.xlsx&amp;sheet=A0&amp;row=41&amp;col=30&amp;number=0.00685&amp;sourceID=13","0.00685")</f>
        <v>0.00685</v>
      </c>
      <c r="AE41" s="4" t="str">
        <f>HYPERLINK("http://141.218.60.56/~jnz1568/getInfo.php?workbook=08_01.xlsx&amp;sheet=A0&amp;row=41&amp;col=31&amp;number=&amp;sourceID=13","")</f>
        <v/>
      </c>
      <c r="AF41" s="4" t="str">
        <f>HYPERLINK("http://141.218.60.56/~jnz1568/getInfo.php?workbook=08_01.xlsx&amp;sheet=A0&amp;row=41&amp;col=32&amp;number=&amp;sourceID=20","")</f>
        <v/>
      </c>
    </row>
    <row r="42" spans="1:32">
      <c r="A42" s="3">
        <v>8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HYPERLINK("http://141.218.60.56/~jnz1568/getInfo.php?workbook=08_01.xlsx&amp;sheet=A0&amp;row=42&amp;col=6&amp;number=&amp;sourceID=18","")</f>
        <v/>
      </c>
      <c r="G42" s="4" t="str">
        <f>HYPERLINK("http://141.218.60.56/~jnz1568/getInfo.php?workbook=08_01.xlsx&amp;sheet=A0&amp;row=42&amp;col=7&amp;number==&amp;sourceID=11","=")</f>
        <v>=</v>
      </c>
      <c r="H42" s="4" t="str">
        <f>HYPERLINK("http://141.218.60.56/~jnz1568/getInfo.php?workbook=08_01.xlsx&amp;sheet=A0&amp;row=42&amp;col=8&amp;number=12586000000&amp;sourceID=11","12586000000")</f>
        <v>12586000000</v>
      </c>
      <c r="I42" s="4" t="str">
        <f>HYPERLINK("http://141.218.60.56/~jnz1568/getInfo.php?workbook=08_01.xlsx&amp;sheet=A0&amp;row=42&amp;col=9&amp;number=&amp;sourceID=11","")</f>
        <v/>
      </c>
      <c r="J42" s="4" t="str">
        <f>HYPERLINK("http://141.218.60.56/~jnz1568/getInfo.php?workbook=08_01.xlsx&amp;sheet=A0&amp;row=42&amp;col=10&amp;number=&amp;sourceID=11","")</f>
        <v/>
      </c>
      <c r="K42" s="4" t="str">
        <f>HYPERLINK("http://141.218.60.56/~jnz1568/getInfo.php?workbook=08_01.xlsx&amp;sheet=A0&amp;row=42&amp;col=11&amp;number=&amp;sourceID=11","")</f>
        <v/>
      </c>
      <c r="L42" s="4" t="str">
        <f>HYPERLINK("http://141.218.60.56/~jnz1568/getInfo.php?workbook=08_01.xlsx&amp;sheet=A0&amp;row=42&amp;col=12&amp;number=&amp;sourceID=11","")</f>
        <v/>
      </c>
      <c r="M42" s="4" t="str">
        <f>HYPERLINK("http://141.218.60.56/~jnz1568/getInfo.php?workbook=08_01.xlsx&amp;sheet=A0&amp;row=42&amp;col=13&amp;number=&amp;sourceID=11","")</f>
        <v/>
      </c>
      <c r="N42" s="4" t="str">
        <f>HYPERLINK("http://141.218.60.56/~jnz1568/getInfo.php?workbook=08_01.xlsx&amp;sheet=A0&amp;row=42&amp;col=14&amp;number=12587000000&amp;sourceID=12","12587000000")</f>
        <v>12587000000</v>
      </c>
      <c r="O42" s="4" t="str">
        <f>HYPERLINK("http://141.218.60.56/~jnz1568/getInfo.php?workbook=08_01.xlsx&amp;sheet=A0&amp;row=42&amp;col=15&amp;number=12587000000&amp;sourceID=12","12587000000")</f>
        <v>12587000000</v>
      </c>
      <c r="P42" s="4" t="str">
        <f>HYPERLINK("http://141.218.60.56/~jnz1568/getInfo.php?workbook=08_01.xlsx&amp;sheet=A0&amp;row=42&amp;col=16&amp;number=&amp;sourceID=12","")</f>
        <v/>
      </c>
      <c r="Q42" s="4" t="str">
        <f>HYPERLINK("http://141.218.60.56/~jnz1568/getInfo.php?workbook=08_01.xlsx&amp;sheet=A0&amp;row=42&amp;col=17&amp;number=&amp;sourceID=12","")</f>
        <v/>
      </c>
      <c r="R42" s="4" t="str">
        <f>HYPERLINK("http://141.218.60.56/~jnz1568/getInfo.php?workbook=08_01.xlsx&amp;sheet=A0&amp;row=42&amp;col=18&amp;number=&amp;sourceID=12","")</f>
        <v/>
      </c>
      <c r="S42" s="4" t="str">
        <f>HYPERLINK("http://141.218.60.56/~jnz1568/getInfo.php?workbook=08_01.xlsx&amp;sheet=A0&amp;row=42&amp;col=19&amp;number=&amp;sourceID=12","")</f>
        <v/>
      </c>
      <c r="T42" s="4" t="str">
        <f>HYPERLINK("http://141.218.60.56/~jnz1568/getInfo.php?workbook=08_01.xlsx&amp;sheet=A0&amp;row=42&amp;col=20&amp;number=&amp;sourceID=12","")</f>
        <v/>
      </c>
      <c r="U42" s="4" t="str">
        <f>HYPERLINK("http://141.218.60.56/~jnz1568/getInfo.php?workbook=08_01.xlsx&amp;sheet=A0&amp;row=42&amp;col=21&amp;number=12590000000&amp;sourceID=30","12590000000")</f>
        <v>12590000000</v>
      </c>
      <c r="V42" s="4" t="str">
        <f>HYPERLINK("http://141.218.60.56/~jnz1568/getInfo.php?workbook=08_01.xlsx&amp;sheet=A0&amp;row=42&amp;col=22&amp;number=12590000000&amp;sourceID=30","12590000000")</f>
        <v>12590000000</v>
      </c>
      <c r="W42" s="4" t="str">
        <f>HYPERLINK("http://141.218.60.56/~jnz1568/getInfo.php?workbook=08_01.xlsx&amp;sheet=A0&amp;row=42&amp;col=23&amp;number=&amp;sourceID=30","")</f>
        <v/>
      </c>
      <c r="X42" s="4" t="str">
        <f>HYPERLINK("http://141.218.60.56/~jnz1568/getInfo.php?workbook=08_01.xlsx&amp;sheet=A0&amp;row=42&amp;col=24&amp;number=&amp;sourceID=30","")</f>
        <v/>
      </c>
      <c r="Y42" s="4" t="str">
        <f>HYPERLINK("http://141.218.60.56/~jnz1568/getInfo.php?workbook=08_01.xlsx&amp;sheet=A0&amp;row=42&amp;col=25&amp;number=&amp;sourceID=30","")</f>
        <v/>
      </c>
      <c r="Z42" s="4" t="str">
        <f>HYPERLINK("http://141.218.60.56/~jnz1568/getInfo.php?workbook=08_01.xlsx&amp;sheet=A0&amp;row=42&amp;col=26&amp;number=&amp;sourceID=13","")</f>
        <v/>
      </c>
      <c r="AA42" s="4" t="str">
        <f>HYPERLINK("http://141.218.60.56/~jnz1568/getInfo.php?workbook=08_01.xlsx&amp;sheet=A0&amp;row=42&amp;col=27&amp;number=12500000000&amp;sourceID=13","12500000000")</f>
        <v>12500000000</v>
      </c>
      <c r="AB42" s="4" t="str">
        <f>HYPERLINK("http://141.218.60.56/~jnz1568/getInfo.php?workbook=08_01.xlsx&amp;sheet=A0&amp;row=42&amp;col=28&amp;number=&amp;sourceID=13","")</f>
        <v/>
      </c>
      <c r="AC42" s="4" t="str">
        <f>HYPERLINK("http://141.218.60.56/~jnz1568/getInfo.php?workbook=08_01.xlsx&amp;sheet=A0&amp;row=42&amp;col=29&amp;number=&amp;sourceID=13","")</f>
        <v/>
      </c>
      <c r="AD42" s="4" t="str">
        <f>HYPERLINK("http://141.218.60.56/~jnz1568/getInfo.php?workbook=08_01.xlsx&amp;sheet=A0&amp;row=42&amp;col=30&amp;number=&amp;sourceID=13","")</f>
        <v/>
      </c>
      <c r="AE42" s="4" t="str">
        <f>HYPERLINK("http://141.218.60.56/~jnz1568/getInfo.php?workbook=08_01.xlsx&amp;sheet=A0&amp;row=42&amp;col=31&amp;number=&amp;sourceID=13","")</f>
        <v/>
      </c>
      <c r="AF42" s="4" t="str">
        <f>HYPERLINK("http://141.218.60.56/~jnz1568/getInfo.php?workbook=08_01.xlsx&amp;sheet=A0&amp;row=42&amp;col=32&amp;number=&amp;sourceID=20","")</f>
        <v/>
      </c>
    </row>
    <row r="43" spans="1:32">
      <c r="A43" s="3">
        <v>8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HYPERLINK("http://141.218.60.56/~jnz1568/getInfo.php?workbook=08_01.xlsx&amp;sheet=A0&amp;row=43&amp;col=6&amp;number=&amp;sourceID=18","")</f>
        <v/>
      </c>
      <c r="G43" s="4" t="str">
        <f>HYPERLINK("http://141.218.60.56/~jnz1568/getInfo.php?workbook=08_01.xlsx&amp;sheet=A0&amp;row=43&amp;col=7&amp;number==&amp;sourceID=11","=")</f>
        <v>=</v>
      </c>
      <c r="H43" s="4" t="str">
        <f>HYPERLINK("http://141.218.60.56/~jnz1568/getInfo.php?workbook=08_01.xlsx&amp;sheet=A0&amp;row=43&amp;col=8&amp;number=1439100000&amp;sourceID=11","1439100000")</f>
        <v>1439100000</v>
      </c>
      <c r="I43" s="4" t="str">
        <f>HYPERLINK("http://141.218.60.56/~jnz1568/getInfo.php?workbook=08_01.xlsx&amp;sheet=A0&amp;row=43&amp;col=9&amp;number=&amp;sourceID=11","")</f>
        <v/>
      </c>
      <c r="J43" s="4" t="str">
        <f>HYPERLINK("http://141.218.60.56/~jnz1568/getInfo.php?workbook=08_01.xlsx&amp;sheet=A0&amp;row=43&amp;col=10&amp;number=&amp;sourceID=11","")</f>
        <v/>
      </c>
      <c r="K43" s="4" t="str">
        <f>HYPERLINK("http://141.218.60.56/~jnz1568/getInfo.php?workbook=08_01.xlsx&amp;sheet=A0&amp;row=43&amp;col=11&amp;number=&amp;sourceID=11","")</f>
        <v/>
      </c>
      <c r="L43" s="4" t="str">
        <f>HYPERLINK("http://141.218.60.56/~jnz1568/getInfo.php?workbook=08_01.xlsx&amp;sheet=A0&amp;row=43&amp;col=12&amp;number=0.074055&amp;sourceID=11","0.074055")</f>
        <v>0.074055</v>
      </c>
      <c r="M43" s="4" t="str">
        <f>HYPERLINK("http://141.218.60.56/~jnz1568/getInfo.php?workbook=08_01.xlsx&amp;sheet=A0&amp;row=43&amp;col=13&amp;number=&amp;sourceID=11","")</f>
        <v/>
      </c>
      <c r="N43" s="4" t="str">
        <f>HYPERLINK("http://141.218.60.56/~jnz1568/getInfo.php?workbook=08_01.xlsx&amp;sheet=A0&amp;row=43&amp;col=14&amp;number=1439200000&amp;sourceID=12","1439200000")</f>
        <v>1439200000</v>
      </c>
      <c r="O43" s="4" t="str">
        <f>HYPERLINK("http://141.218.60.56/~jnz1568/getInfo.php?workbook=08_01.xlsx&amp;sheet=A0&amp;row=43&amp;col=15&amp;number=1439200000&amp;sourceID=12","1439200000")</f>
        <v>1439200000</v>
      </c>
      <c r="P43" s="4" t="str">
        <f>HYPERLINK("http://141.218.60.56/~jnz1568/getInfo.php?workbook=08_01.xlsx&amp;sheet=A0&amp;row=43&amp;col=16&amp;number=&amp;sourceID=12","")</f>
        <v/>
      </c>
      <c r="Q43" s="4" t="str">
        <f>HYPERLINK("http://141.218.60.56/~jnz1568/getInfo.php?workbook=08_01.xlsx&amp;sheet=A0&amp;row=43&amp;col=17&amp;number=&amp;sourceID=12","")</f>
        <v/>
      </c>
      <c r="R43" s="4" t="str">
        <f>HYPERLINK("http://141.218.60.56/~jnz1568/getInfo.php?workbook=08_01.xlsx&amp;sheet=A0&amp;row=43&amp;col=18&amp;number=&amp;sourceID=12","")</f>
        <v/>
      </c>
      <c r="S43" s="4" t="str">
        <f>HYPERLINK("http://141.218.60.56/~jnz1568/getInfo.php?workbook=08_01.xlsx&amp;sheet=A0&amp;row=43&amp;col=19&amp;number=0.074058&amp;sourceID=12","0.074058")</f>
        <v>0.074058</v>
      </c>
      <c r="T43" s="4" t="str">
        <f>HYPERLINK("http://141.218.60.56/~jnz1568/getInfo.php?workbook=08_01.xlsx&amp;sheet=A0&amp;row=43&amp;col=20&amp;number=&amp;sourceID=12","")</f>
        <v/>
      </c>
      <c r="U43" s="4" t="str">
        <f>HYPERLINK("http://141.218.60.56/~jnz1568/getInfo.php?workbook=08_01.xlsx&amp;sheet=A0&amp;row=43&amp;col=21&amp;number=1439000000.07&amp;sourceID=30","1439000000.07")</f>
        <v>1439000000.07</v>
      </c>
      <c r="V43" s="4" t="str">
        <f>HYPERLINK("http://141.218.60.56/~jnz1568/getInfo.php?workbook=08_01.xlsx&amp;sheet=A0&amp;row=43&amp;col=22&amp;number=1439000000&amp;sourceID=30","1439000000")</f>
        <v>1439000000</v>
      </c>
      <c r="W43" s="4" t="str">
        <f>HYPERLINK("http://141.218.60.56/~jnz1568/getInfo.php?workbook=08_01.xlsx&amp;sheet=A0&amp;row=43&amp;col=23&amp;number=&amp;sourceID=30","")</f>
        <v/>
      </c>
      <c r="X43" s="4" t="str">
        <f>HYPERLINK("http://141.218.60.56/~jnz1568/getInfo.php?workbook=08_01.xlsx&amp;sheet=A0&amp;row=43&amp;col=24&amp;number=&amp;sourceID=30","")</f>
        <v/>
      </c>
      <c r="Y43" s="4" t="str">
        <f>HYPERLINK("http://141.218.60.56/~jnz1568/getInfo.php?workbook=08_01.xlsx&amp;sheet=A0&amp;row=43&amp;col=25&amp;number=0.07406&amp;sourceID=30","0.07406")</f>
        <v>0.07406</v>
      </c>
      <c r="Z43" s="4" t="str">
        <f>HYPERLINK("http://141.218.60.56/~jnz1568/getInfo.php?workbook=08_01.xlsx&amp;sheet=A0&amp;row=43&amp;col=26&amp;number=&amp;sourceID=13","")</f>
        <v/>
      </c>
      <c r="AA43" s="4" t="str">
        <f>HYPERLINK("http://141.218.60.56/~jnz1568/getInfo.php?workbook=08_01.xlsx&amp;sheet=A0&amp;row=43&amp;col=27&amp;number=1430000000&amp;sourceID=13","1430000000")</f>
        <v>1430000000</v>
      </c>
      <c r="AB43" s="4" t="str">
        <f>HYPERLINK("http://141.218.60.56/~jnz1568/getInfo.php?workbook=08_01.xlsx&amp;sheet=A0&amp;row=43&amp;col=28&amp;number=&amp;sourceID=13","")</f>
        <v/>
      </c>
      <c r="AC43" s="4" t="str">
        <f>HYPERLINK("http://141.218.60.56/~jnz1568/getInfo.php?workbook=08_01.xlsx&amp;sheet=A0&amp;row=43&amp;col=29&amp;number=&amp;sourceID=13","")</f>
        <v/>
      </c>
      <c r="AD43" s="4" t="str">
        <f>HYPERLINK("http://141.218.60.56/~jnz1568/getInfo.php?workbook=08_01.xlsx&amp;sheet=A0&amp;row=43&amp;col=30&amp;number=&amp;sourceID=13","")</f>
        <v/>
      </c>
      <c r="AE43" s="4" t="str">
        <f>HYPERLINK("http://141.218.60.56/~jnz1568/getInfo.php?workbook=08_01.xlsx&amp;sheet=A0&amp;row=43&amp;col=31&amp;number=&amp;sourceID=13","")</f>
        <v/>
      </c>
      <c r="AF43" s="4" t="str">
        <f>HYPERLINK("http://141.218.60.56/~jnz1568/getInfo.php?workbook=08_01.xlsx&amp;sheet=A0&amp;row=43&amp;col=32&amp;number=&amp;sourceID=20","")</f>
        <v/>
      </c>
    </row>
    <row r="44" spans="1:32">
      <c r="A44" s="3">
        <v>8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HYPERLINK("http://141.218.60.56/~jnz1568/getInfo.php?workbook=08_01.xlsx&amp;sheet=A0&amp;row=44&amp;col=6&amp;number=&amp;sourceID=18","")</f>
        <v/>
      </c>
      <c r="G44" s="4" t="str">
        <f>HYPERLINK("http://141.218.60.56/~jnz1568/getInfo.php?workbook=08_01.xlsx&amp;sheet=A0&amp;row=44&amp;col=7&amp;number==&amp;sourceID=11","=")</f>
        <v>=</v>
      </c>
      <c r="H44" s="4" t="str">
        <f>HYPERLINK("http://141.218.60.56/~jnz1568/getInfo.php?workbook=08_01.xlsx&amp;sheet=A0&amp;row=44&amp;col=8&amp;number=&amp;sourceID=11","")</f>
        <v/>
      </c>
      <c r="I44" s="4" t="str">
        <f>HYPERLINK("http://141.218.60.56/~jnz1568/getInfo.php?workbook=08_01.xlsx&amp;sheet=A0&amp;row=44&amp;col=9&amp;number=669400&amp;sourceID=11","669400")</f>
        <v>669400</v>
      </c>
      <c r="J44" s="4" t="str">
        <f>HYPERLINK("http://141.218.60.56/~jnz1568/getInfo.php?workbook=08_01.xlsx&amp;sheet=A0&amp;row=44&amp;col=10&amp;number=&amp;sourceID=11","")</f>
        <v/>
      </c>
      <c r="K44" s="4" t="str">
        <f>HYPERLINK("http://141.218.60.56/~jnz1568/getInfo.php?workbook=08_01.xlsx&amp;sheet=A0&amp;row=44&amp;col=11&amp;number=0.57876&amp;sourceID=11","0.57876")</f>
        <v>0.57876</v>
      </c>
      <c r="L44" s="4" t="str">
        <f>HYPERLINK("http://141.218.60.56/~jnz1568/getInfo.php?workbook=08_01.xlsx&amp;sheet=A0&amp;row=44&amp;col=12&amp;number=&amp;sourceID=11","")</f>
        <v/>
      </c>
      <c r="M44" s="4" t="str">
        <f>HYPERLINK("http://141.218.60.56/~jnz1568/getInfo.php?workbook=08_01.xlsx&amp;sheet=A0&amp;row=44&amp;col=13&amp;number=&amp;sourceID=11","")</f>
        <v/>
      </c>
      <c r="N44" s="4" t="str">
        <f>HYPERLINK("http://141.218.60.56/~jnz1568/getInfo.php?workbook=08_01.xlsx&amp;sheet=A0&amp;row=44&amp;col=14&amp;number=669430&amp;sourceID=12","669430")</f>
        <v>669430</v>
      </c>
      <c r="O44" s="4" t="str">
        <f>HYPERLINK("http://141.218.60.56/~jnz1568/getInfo.php?workbook=08_01.xlsx&amp;sheet=A0&amp;row=44&amp;col=15&amp;number=&amp;sourceID=12","")</f>
        <v/>
      </c>
      <c r="P44" s="4" t="str">
        <f>HYPERLINK("http://141.218.60.56/~jnz1568/getInfo.php?workbook=08_01.xlsx&amp;sheet=A0&amp;row=44&amp;col=16&amp;number=669430&amp;sourceID=12","669430")</f>
        <v>669430</v>
      </c>
      <c r="Q44" s="4" t="str">
        <f>HYPERLINK("http://141.218.60.56/~jnz1568/getInfo.php?workbook=08_01.xlsx&amp;sheet=A0&amp;row=44&amp;col=17&amp;number=&amp;sourceID=12","")</f>
        <v/>
      </c>
      <c r="R44" s="4" t="str">
        <f>HYPERLINK("http://141.218.60.56/~jnz1568/getInfo.php?workbook=08_01.xlsx&amp;sheet=A0&amp;row=44&amp;col=18&amp;number=0.57878&amp;sourceID=12","0.57878")</f>
        <v>0.57878</v>
      </c>
      <c r="S44" s="4" t="str">
        <f>HYPERLINK("http://141.218.60.56/~jnz1568/getInfo.php?workbook=08_01.xlsx&amp;sheet=A0&amp;row=44&amp;col=19&amp;number=&amp;sourceID=12","")</f>
        <v/>
      </c>
      <c r="T44" s="4" t="str">
        <f>HYPERLINK("http://141.218.60.56/~jnz1568/getInfo.php?workbook=08_01.xlsx&amp;sheet=A0&amp;row=44&amp;col=20&amp;number=&amp;sourceID=12","")</f>
        <v/>
      </c>
      <c r="U44" s="4" t="str">
        <f>HYPERLINK("http://141.218.60.56/~jnz1568/getInfo.php?workbook=08_01.xlsx&amp;sheet=A0&amp;row=44&amp;col=21&amp;number=669400.5787&amp;sourceID=30","669400.5787")</f>
        <v>669400.5787</v>
      </c>
      <c r="V44" s="4" t="str">
        <f>HYPERLINK("http://141.218.60.56/~jnz1568/getInfo.php?workbook=08_01.xlsx&amp;sheet=A0&amp;row=44&amp;col=22&amp;number=&amp;sourceID=30","")</f>
        <v/>
      </c>
      <c r="W44" s="4" t="str">
        <f>HYPERLINK("http://141.218.60.56/~jnz1568/getInfo.php?workbook=08_01.xlsx&amp;sheet=A0&amp;row=44&amp;col=23&amp;number=669400&amp;sourceID=30","669400")</f>
        <v>669400</v>
      </c>
      <c r="X44" s="4" t="str">
        <f>HYPERLINK("http://141.218.60.56/~jnz1568/getInfo.php?workbook=08_01.xlsx&amp;sheet=A0&amp;row=44&amp;col=24&amp;number=0.5787&amp;sourceID=30","0.5787")</f>
        <v>0.5787</v>
      </c>
      <c r="Y44" s="4" t="str">
        <f>HYPERLINK("http://141.218.60.56/~jnz1568/getInfo.php?workbook=08_01.xlsx&amp;sheet=A0&amp;row=44&amp;col=25&amp;number=&amp;sourceID=30","")</f>
        <v/>
      </c>
      <c r="Z44" s="4" t="str">
        <f>HYPERLINK("http://141.218.60.56/~jnz1568/getInfo.php?workbook=08_01.xlsx&amp;sheet=A0&amp;row=44&amp;col=26&amp;number==SUM(AA44:AE44)&amp;sourceID=13","=SUM(AA44:AE44)")</f>
        <v>=SUM(AA44:AE44)</v>
      </c>
      <c r="AA44" s="4" t="str">
        <f>HYPERLINK("http://141.218.60.56/~jnz1568/getInfo.php?workbook=08_01.xlsx&amp;sheet=A0&amp;row=44&amp;col=27&amp;number=&amp;sourceID=13","")</f>
        <v/>
      </c>
      <c r="AB44" s="4" t="str">
        <f>HYPERLINK("http://141.218.60.56/~jnz1568/getInfo.php?workbook=08_01.xlsx&amp;sheet=A0&amp;row=44&amp;col=28&amp;number=667000&amp;sourceID=13","667000")</f>
        <v>667000</v>
      </c>
      <c r="AC44" s="4" t="str">
        <f>HYPERLINK("http://141.218.60.56/~jnz1568/getInfo.php?workbook=08_01.xlsx&amp;sheet=A0&amp;row=44&amp;col=29&amp;number=&amp;sourceID=13","")</f>
        <v/>
      </c>
      <c r="AD44" s="4" t="str">
        <f>HYPERLINK("http://141.218.60.56/~jnz1568/getInfo.php?workbook=08_01.xlsx&amp;sheet=A0&amp;row=44&amp;col=30&amp;number=0.595&amp;sourceID=13","0.595")</f>
        <v>0.595</v>
      </c>
      <c r="AE44" s="4" t="str">
        <f>HYPERLINK("http://141.218.60.56/~jnz1568/getInfo.php?workbook=08_01.xlsx&amp;sheet=A0&amp;row=44&amp;col=31&amp;number=&amp;sourceID=13","")</f>
        <v/>
      </c>
      <c r="AF44" s="4" t="str">
        <f>HYPERLINK("http://141.218.60.56/~jnz1568/getInfo.php?workbook=08_01.xlsx&amp;sheet=A0&amp;row=44&amp;col=32&amp;number=&amp;sourceID=20","")</f>
        <v/>
      </c>
    </row>
    <row r="45" spans="1:32">
      <c r="A45" s="3">
        <v>8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HYPERLINK("http://141.218.60.56/~jnz1568/getInfo.php?workbook=08_01.xlsx&amp;sheet=A0&amp;row=45&amp;col=6&amp;number=&amp;sourceID=18","")</f>
        <v/>
      </c>
      <c r="G45" s="4" t="str">
        <f>HYPERLINK("http://141.218.60.56/~jnz1568/getInfo.php?workbook=08_01.xlsx&amp;sheet=A0&amp;row=45&amp;col=7&amp;number==&amp;sourceID=11","=")</f>
        <v>=</v>
      </c>
      <c r="H45" s="4" t="str">
        <f>HYPERLINK("http://141.218.60.56/~jnz1568/getInfo.php?workbook=08_01.xlsx&amp;sheet=A0&amp;row=45&amp;col=8&amp;number=&amp;sourceID=11","")</f>
        <v/>
      </c>
      <c r="I45" s="4" t="str">
        <f>HYPERLINK("http://141.218.60.56/~jnz1568/getInfo.php?workbook=08_01.xlsx&amp;sheet=A0&amp;row=45&amp;col=9&amp;number=&amp;sourceID=11","")</f>
        <v/>
      </c>
      <c r="J45" s="4" t="str">
        <f>HYPERLINK("http://141.218.60.56/~jnz1568/getInfo.php?workbook=08_01.xlsx&amp;sheet=A0&amp;row=45&amp;col=10&amp;number=7.8623&amp;sourceID=11","7.8623")</f>
        <v>7.8623</v>
      </c>
      <c r="K45" s="4" t="str">
        <f>HYPERLINK("http://141.218.60.56/~jnz1568/getInfo.php?workbook=08_01.xlsx&amp;sheet=A0&amp;row=45&amp;col=11&amp;number=&amp;sourceID=11","")</f>
        <v/>
      </c>
      <c r="L45" s="4" t="str">
        <f>HYPERLINK("http://141.218.60.56/~jnz1568/getInfo.php?workbook=08_01.xlsx&amp;sheet=A0&amp;row=45&amp;col=12&amp;number=0.79151&amp;sourceID=11","0.79151")</f>
        <v>0.79151</v>
      </c>
      <c r="M45" s="4" t="str">
        <f>HYPERLINK("http://141.218.60.56/~jnz1568/getInfo.php?workbook=08_01.xlsx&amp;sheet=A0&amp;row=45&amp;col=13&amp;number=&amp;sourceID=11","")</f>
        <v/>
      </c>
      <c r="N45" s="4" t="str">
        <f>HYPERLINK("http://141.218.60.56/~jnz1568/getInfo.php?workbook=08_01.xlsx&amp;sheet=A0&amp;row=45&amp;col=14&amp;number=8.6541&amp;sourceID=12","8.6541")</f>
        <v>8.6541</v>
      </c>
      <c r="O45" s="4" t="str">
        <f>HYPERLINK("http://141.218.60.56/~jnz1568/getInfo.php?workbook=08_01.xlsx&amp;sheet=A0&amp;row=45&amp;col=15&amp;number=&amp;sourceID=12","")</f>
        <v/>
      </c>
      <c r="P45" s="4" t="str">
        <f>HYPERLINK("http://141.218.60.56/~jnz1568/getInfo.php?workbook=08_01.xlsx&amp;sheet=A0&amp;row=45&amp;col=16&amp;number=&amp;sourceID=12","")</f>
        <v/>
      </c>
      <c r="Q45" s="4" t="str">
        <f>HYPERLINK("http://141.218.60.56/~jnz1568/getInfo.php?workbook=08_01.xlsx&amp;sheet=A0&amp;row=45&amp;col=17&amp;number=7.8626&amp;sourceID=12","7.8626")</f>
        <v>7.8626</v>
      </c>
      <c r="R45" s="4" t="str">
        <f>HYPERLINK("http://141.218.60.56/~jnz1568/getInfo.php?workbook=08_01.xlsx&amp;sheet=A0&amp;row=45&amp;col=18&amp;number=&amp;sourceID=12","")</f>
        <v/>
      </c>
      <c r="S45" s="4" t="str">
        <f>HYPERLINK("http://141.218.60.56/~jnz1568/getInfo.php?workbook=08_01.xlsx&amp;sheet=A0&amp;row=45&amp;col=19&amp;number=0.79154&amp;sourceID=12","0.79154")</f>
        <v>0.79154</v>
      </c>
      <c r="T45" s="4" t="str">
        <f>HYPERLINK("http://141.218.60.56/~jnz1568/getInfo.php?workbook=08_01.xlsx&amp;sheet=A0&amp;row=45&amp;col=20&amp;number=&amp;sourceID=12","")</f>
        <v/>
      </c>
      <c r="U45" s="4" t="str">
        <f>HYPERLINK("http://141.218.60.56/~jnz1568/getInfo.php?workbook=08_01.xlsx&amp;sheet=A0&amp;row=45&amp;col=21&amp;number=0.7915&amp;sourceID=30","0.7915")</f>
        <v>0.7915</v>
      </c>
      <c r="V45" s="4" t="str">
        <f>HYPERLINK("http://141.218.60.56/~jnz1568/getInfo.php?workbook=08_01.xlsx&amp;sheet=A0&amp;row=45&amp;col=22&amp;number=&amp;sourceID=30","")</f>
        <v/>
      </c>
      <c r="W45" s="4" t="str">
        <f>HYPERLINK("http://141.218.60.56/~jnz1568/getInfo.php?workbook=08_01.xlsx&amp;sheet=A0&amp;row=45&amp;col=23&amp;number=&amp;sourceID=30","")</f>
        <v/>
      </c>
      <c r="X45" s="4" t="str">
        <f>HYPERLINK("http://141.218.60.56/~jnz1568/getInfo.php?workbook=08_01.xlsx&amp;sheet=A0&amp;row=45&amp;col=24&amp;number=&amp;sourceID=30","")</f>
        <v/>
      </c>
      <c r="Y45" s="4" t="str">
        <f>HYPERLINK("http://141.218.60.56/~jnz1568/getInfo.php?workbook=08_01.xlsx&amp;sheet=A0&amp;row=45&amp;col=25&amp;number=0.7915&amp;sourceID=30","0.7915")</f>
        <v>0.7915</v>
      </c>
      <c r="Z45" s="4" t="str">
        <f>HYPERLINK("http://141.218.60.56/~jnz1568/getInfo.php?workbook=08_01.xlsx&amp;sheet=A0&amp;row=45&amp;col=26&amp;number==SUM(AA45:AE45)&amp;sourceID=13","=SUM(AA45:AE45)")</f>
        <v>=SUM(AA45:AE45)</v>
      </c>
      <c r="AA45" s="4" t="str">
        <f>HYPERLINK("http://141.218.60.56/~jnz1568/getInfo.php?workbook=08_01.xlsx&amp;sheet=A0&amp;row=45&amp;col=27&amp;number=&amp;sourceID=13","")</f>
        <v/>
      </c>
      <c r="AB45" s="4" t="str">
        <f>HYPERLINK("http://141.218.60.56/~jnz1568/getInfo.php?workbook=08_01.xlsx&amp;sheet=A0&amp;row=45&amp;col=28&amp;number=&amp;sourceID=13","")</f>
        <v/>
      </c>
      <c r="AC45" s="4" t="str">
        <f>HYPERLINK("http://141.218.60.56/~jnz1568/getInfo.php?workbook=08_01.xlsx&amp;sheet=A0&amp;row=45&amp;col=29&amp;number=12.2&amp;sourceID=13","12.2")</f>
        <v>12.2</v>
      </c>
      <c r="AD45" s="4" t="str">
        <f>HYPERLINK("http://141.218.60.56/~jnz1568/getInfo.php?workbook=08_01.xlsx&amp;sheet=A0&amp;row=45&amp;col=30&amp;number=&amp;sourceID=13","")</f>
        <v/>
      </c>
      <c r="AE45" s="4" t="str">
        <f>HYPERLINK("http://141.218.60.56/~jnz1568/getInfo.php?workbook=08_01.xlsx&amp;sheet=A0&amp;row=45&amp;col=31&amp;number=3.15&amp;sourceID=13","3.15")</f>
        <v>3.15</v>
      </c>
      <c r="AF45" s="4" t="str">
        <f>HYPERLINK("http://141.218.60.56/~jnz1568/getInfo.php?workbook=08_01.xlsx&amp;sheet=A0&amp;row=45&amp;col=32&amp;number=&amp;sourceID=20","")</f>
        <v/>
      </c>
    </row>
    <row r="46" spans="1:32">
      <c r="A46" s="3">
        <v>8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HYPERLINK("http://141.218.60.56/~jnz1568/getInfo.php?workbook=08_01.xlsx&amp;sheet=A0&amp;row=46&amp;col=6&amp;number=&amp;sourceID=18","")</f>
        <v/>
      </c>
      <c r="G46" s="4" t="str">
        <f>HYPERLINK("http://141.218.60.56/~jnz1568/getInfo.php?workbook=08_01.xlsx&amp;sheet=A0&amp;row=46&amp;col=7&amp;number==&amp;sourceID=11","=")</f>
        <v>=</v>
      </c>
      <c r="H46" s="4" t="str">
        <f>HYPERLINK("http://141.218.60.56/~jnz1568/getInfo.php?workbook=08_01.xlsx&amp;sheet=A0&amp;row=46&amp;col=8&amp;number=&amp;sourceID=11","")</f>
        <v/>
      </c>
      <c r="I46" s="4" t="str">
        <f>HYPERLINK("http://141.218.60.56/~jnz1568/getInfo.php?workbook=08_01.xlsx&amp;sheet=A0&amp;row=46&amp;col=9&amp;number=&amp;sourceID=11","")</f>
        <v/>
      </c>
      <c r="J46" s="4" t="str">
        <f>HYPERLINK("http://141.218.60.56/~jnz1568/getInfo.php?workbook=08_01.xlsx&amp;sheet=A0&amp;row=46&amp;col=10&amp;number=&amp;sourceID=11","")</f>
        <v/>
      </c>
      <c r="K46" s="4" t="str">
        <f>HYPERLINK("http://141.218.60.56/~jnz1568/getInfo.php?workbook=08_01.xlsx&amp;sheet=A0&amp;row=46&amp;col=11&amp;number=571.35&amp;sourceID=11","571.35")</f>
        <v>571.35</v>
      </c>
      <c r="L46" s="4" t="str">
        <f>HYPERLINK("http://141.218.60.56/~jnz1568/getInfo.php?workbook=08_01.xlsx&amp;sheet=A0&amp;row=46&amp;col=12&amp;number=&amp;sourceID=11","")</f>
        <v/>
      </c>
      <c r="M46" s="4" t="str">
        <f>HYPERLINK("http://141.218.60.56/~jnz1568/getInfo.php?workbook=08_01.xlsx&amp;sheet=A0&amp;row=46&amp;col=13&amp;number=&amp;sourceID=11","")</f>
        <v/>
      </c>
      <c r="N46" s="4" t="str">
        <f>HYPERLINK("http://141.218.60.56/~jnz1568/getInfo.php?workbook=08_01.xlsx&amp;sheet=A0&amp;row=46&amp;col=14&amp;number=571.32&amp;sourceID=12","571.32")</f>
        <v>571.32</v>
      </c>
      <c r="O46" s="4" t="str">
        <f>HYPERLINK("http://141.218.60.56/~jnz1568/getInfo.php?workbook=08_01.xlsx&amp;sheet=A0&amp;row=46&amp;col=15&amp;number=&amp;sourceID=12","")</f>
        <v/>
      </c>
      <c r="P46" s="4" t="str">
        <f>HYPERLINK("http://141.218.60.56/~jnz1568/getInfo.php?workbook=08_01.xlsx&amp;sheet=A0&amp;row=46&amp;col=16&amp;number=&amp;sourceID=12","")</f>
        <v/>
      </c>
      <c r="Q46" s="4" t="str">
        <f>HYPERLINK("http://141.218.60.56/~jnz1568/getInfo.php?workbook=08_01.xlsx&amp;sheet=A0&amp;row=46&amp;col=17&amp;number=&amp;sourceID=12","")</f>
        <v/>
      </c>
      <c r="R46" s="4" t="str">
        <f>HYPERLINK("http://141.218.60.56/~jnz1568/getInfo.php?workbook=08_01.xlsx&amp;sheet=A0&amp;row=46&amp;col=18&amp;number=571.32&amp;sourceID=12","571.32")</f>
        <v>571.32</v>
      </c>
      <c r="S46" s="4" t="str">
        <f>HYPERLINK("http://141.218.60.56/~jnz1568/getInfo.php?workbook=08_01.xlsx&amp;sheet=A0&amp;row=46&amp;col=19&amp;number=&amp;sourceID=12","")</f>
        <v/>
      </c>
      <c r="T46" s="4" t="str">
        <f>HYPERLINK("http://141.218.60.56/~jnz1568/getInfo.php?workbook=08_01.xlsx&amp;sheet=A0&amp;row=46&amp;col=20&amp;number=&amp;sourceID=12","")</f>
        <v/>
      </c>
      <c r="U46" s="4" t="str">
        <f>HYPERLINK("http://141.218.60.56/~jnz1568/getInfo.php?workbook=08_01.xlsx&amp;sheet=A0&amp;row=46&amp;col=21&amp;number=571.4&amp;sourceID=30","571.4")</f>
        <v>571.4</v>
      </c>
      <c r="V46" s="4" t="str">
        <f>HYPERLINK("http://141.218.60.56/~jnz1568/getInfo.php?workbook=08_01.xlsx&amp;sheet=A0&amp;row=46&amp;col=22&amp;number=&amp;sourceID=30","")</f>
        <v/>
      </c>
      <c r="W46" s="4" t="str">
        <f>HYPERLINK("http://141.218.60.56/~jnz1568/getInfo.php?workbook=08_01.xlsx&amp;sheet=A0&amp;row=46&amp;col=23&amp;number=&amp;sourceID=30","")</f>
        <v/>
      </c>
      <c r="X46" s="4" t="str">
        <f>HYPERLINK("http://141.218.60.56/~jnz1568/getInfo.php?workbook=08_01.xlsx&amp;sheet=A0&amp;row=46&amp;col=24&amp;number=571.4&amp;sourceID=30","571.4")</f>
        <v>571.4</v>
      </c>
      <c r="Y46" s="4" t="str">
        <f>HYPERLINK("http://141.218.60.56/~jnz1568/getInfo.php?workbook=08_01.xlsx&amp;sheet=A0&amp;row=46&amp;col=25&amp;number=&amp;sourceID=30","")</f>
        <v/>
      </c>
      <c r="Z46" s="4" t="str">
        <f>HYPERLINK("http://141.218.60.56/~jnz1568/getInfo.php?workbook=08_01.xlsx&amp;sheet=A0&amp;row=46&amp;col=26&amp;number==SUM(AA46:AE46)&amp;sourceID=13","=SUM(AA46:AE46)")</f>
        <v>=SUM(AA46:AE46)</v>
      </c>
      <c r="AA46" s="4" t="str">
        <f>HYPERLINK("http://141.218.60.56/~jnz1568/getInfo.php?workbook=08_01.xlsx&amp;sheet=A0&amp;row=46&amp;col=27&amp;number=&amp;sourceID=13","")</f>
        <v/>
      </c>
      <c r="AB46" s="4" t="str">
        <f>HYPERLINK("http://141.218.60.56/~jnz1568/getInfo.php?workbook=08_01.xlsx&amp;sheet=A0&amp;row=46&amp;col=28&amp;number=&amp;sourceID=13","")</f>
        <v/>
      </c>
      <c r="AC46" s="4" t="str">
        <f>HYPERLINK("http://141.218.60.56/~jnz1568/getInfo.php?workbook=08_01.xlsx&amp;sheet=A0&amp;row=46&amp;col=29&amp;number=&amp;sourceID=13","")</f>
        <v/>
      </c>
      <c r="AD46" s="4" t="str">
        <f>HYPERLINK("http://141.218.60.56/~jnz1568/getInfo.php?workbook=08_01.xlsx&amp;sheet=A0&amp;row=46&amp;col=30&amp;number=645&amp;sourceID=13","645")</f>
        <v>645</v>
      </c>
      <c r="AE46" s="4" t="str">
        <f>HYPERLINK("http://141.218.60.56/~jnz1568/getInfo.php?workbook=08_01.xlsx&amp;sheet=A0&amp;row=46&amp;col=31&amp;number=&amp;sourceID=13","")</f>
        <v/>
      </c>
      <c r="AF46" s="4" t="str">
        <f>HYPERLINK("http://141.218.60.56/~jnz1568/getInfo.php?workbook=08_01.xlsx&amp;sheet=A0&amp;row=46&amp;col=32&amp;number=&amp;sourceID=20","")</f>
        <v/>
      </c>
    </row>
    <row r="47" spans="1:32">
      <c r="A47" s="3">
        <v>8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HYPERLINK("http://141.218.60.56/~jnz1568/getInfo.php?workbook=08_01.xlsx&amp;sheet=A0&amp;row=47&amp;col=6&amp;number=&amp;sourceID=18","")</f>
        <v/>
      </c>
      <c r="G47" s="4" t="str">
        <f>HYPERLINK("http://141.218.60.56/~jnz1568/getInfo.php?workbook=08_01.xlsx&amp;sheet=A0&amp;row=47&amp;col=7&amp;number==&amp;sourceID=11","=")</f>
        <v>=</v>
      </c>
      <c r="H47" s="4" t="str">
        <f>HYPERLINK("http://141.218.60.56/~jnz1568/getInfo.php?workbook=08_01.xlsx&amp;sheet=A0&amp;row=47&amp;col=8&amp;number=3529100000&amp;sourceID=11","3529100000")</f>
        <v>3529100000</v>
      </c>
      <c r="I47" s="4" t="str">
        <f>HYPERLINK("http://141.218.60.56/~jnz1568/getInfo.php?workbook=08_01.xlsx&amp;sheet=A0&amp;row=47&amp;col=9&amp;number=&amp;sourceID=11","")</f>
        <v/>
      </c>
      <c r="J47" s="4" t="str">
        <f>HYPERLINK("http://141.218.60.56/~jnz1568/getInfo.php?workbook=08_01.xlsx&amp;sheet=A0&amp;row=47&amp;col=10&amp;number=&amp;sourceID=11","")</f>
        <v/>
      </c>
      <c r="K47" s="4" t="str">
        <f>HYPERLINK("http://141.218.60.56/~jnz1568/getInfo.php?workbook=08_01.xlsx&amp;sheet=A0&amp;row=47&amp;col=11&amp;number=&amp;sourceID=11","")</f>
        <v/>
      </c>
      <c r="L47" s="4" t="str">
        <f>HYPERLINK("http://141.218.60.56/~jnz1568/getInfo.php?workbook=08_01.xlsx&amp;sheet=A0&amp;row=47&amp;col=12&amp;number=&amp;sourceID=11","")</f>
        <v/>
      </c>
      <c r="M47" s="4" t="str">
        <f>HYPERLINK("http://141.218.60.56/~jnz1568/getInfo.php?workbook=08_01.xlsx&amp;sheet=A0&amp;row=47&amp;col=13&amp;number=&amp;sourceID=11","")</f>
        <v/>
      </c>
      <c r="N47" s="4" t="str">
        <f>HYPERLINK("http://141.218.60.56/~jnz1568/getInfo.php?workbook=08_01.xlsx&amp;sheet=A0&amp;row=47&amp;col=14&amp;number=3529300000&amp;sourceID=12","3529300000")</f>
        <v>3529300000</v>
      </c>
      <c r="O47" s="4" t="str">
        <f>HYPERLINK("http://141.218.60.56/~jnz1568/getInfo.php?workbook=08_01.xlsx&amp;sheet=A0&amp;row=47&amp;col=15&amp;number=3529300000&amp;sourceID=12","3529300000")</f>
        <v>3529300000</v>
      </c>
      <c r="P47" s="4" t="str">
        <f>HYPERLINK("http://141.218.60.56/~jnz1568/getInfo.php?workbook=08_01.xlsx&amp;sheet=A0&amp;row=47&amp;col=16&amp;number=&amp;sourceID=12","")</f>
        <v/>
      </c>
      <c r="Q47" s="4" t="str">
        <f>HYPERLINK("http://141.218.60.56/~jnz1568/getInfo.php?workbook=08_01.xlsx&amp;sheet=A0&amp;row=47&amp;col=17&amp;number=&amp;sourceID=12","")</f>
        <v/>
      </c>
      <c r="R47" s="4" t="str">
        <f>HYPERLINK("http://141.218.60.56/~jnz1568/getInfo.php?workbook=08_01.xlsx&amp;sheet=A0&amp;row=47&amp;col=18&amp;number=&amp;sourceID=12","")</f>
        <v/>
      </c>
      <c r="S47" s="4" t="str">
        <f>HYPERLINK("http://141.218.60.56/~jnz1568/getInfo.php?workbook=08_01.xlsx&amp;sheet=A0&amp;row=47&amp;col=19&amp;number=&amp;sourceID=12","")</f>
        <v/>
      </c>
      <c r="T47" s="4" t="str">
        <f>HYPERLINK("http://141.218.60.56/~jnz1568/getInfo.php?workbook=08_01.xlsx&amp;sheet=A0&amp;row=47&amp;col=20&amp;number=&amp;sourceID=12","")</f>
        <v/>
      </c>
      <c r="U47" s="4" t="str">
        <f>HYPERLINK("http://141.218.60.56/~jnz1568/getInfo.php?workbook=08_01.xlsx&amp;sheet=A0&amp;row=47&amp;col=21&amp;number=3529000000&amp;sourceID=30","3529000000")</f>
        <v>3529000000</v>
      </c>
      <c r="V47" s="4" t="str">
        <f>HYPERLINK("http://141.218.60.56/~jnz1568/getInfo.php?workbook=08_01.xlsx&amp;sheet=A0&amp;row=47&amp;col=22&amp;number=3529000000&amp;sourceID=30","3529000000")</f>
        <v>3529000000</v>
      </c>
      <c r="W47" s="4" t="str">
        <f>HYPERLINK("http://141.218.60.56/~jnz1568/getInfo.php?workbook=08_01.xlsx&amp;sheet=A0&amp;row=47&amp;col=23&amp;number=&amp;sourceID=30","")</f>
        <v/>
      </c>
      <c r="X47" s="4" t="str">
        <f>HYPERLINK("http://141.218.60.56/~jnz1568/getInfo.php?workbook=08_01.xlsx&amp;sheet=A0&amp;row=47&amp;col=24&amp;number=&amp;sourceID=30","")</f>
        <v/>
      </c>
      <c r="Y47" s="4" t="str">
        <f>HYPERLINK("http://141.218.60.56/~jnz1568/getInfo.php?workbook=08_01.xlsx&amp;sheet=A0&amp;row=47&amp;col=25&amp;number=&amp;sourceID=30","")</f>
        <v/>
      </c>
      <c r="Z47" s="4" t="str">
        <f>HYPERLINK("http://141.218.60.56/~jnz1568/getInfo.php?workbook=08_01.xlsx&amp;sheet=A0&amp;row=47&amp;col=26&amp;number=&amp;sourceID=13","")</f>
        <v/>
      </c>
      <c r="AA47" s="4" t="str">
        <f>HYPERLINK("http://141.218.60.56/~jnz1568/getInfo.php?workbook=08_01.xlsx&amp;sheet=A0&amp;row=47&amp;col=27&amp;number=3380000000&amp;sourceID=13","3380000000")</f>
        <v>3380000000</v>
      </c>
      <c r="AB47" s="4" t="str">
        <f>HYPERLINK("http://141.218.60.56/~jnz1568/getInfo.php?workbook=08_01.xlsx&amp;sheet=A0&amp;row=47&amp;col=28&amp;number=&amp;sourceID=13","")</f>
        <v/>
      </c>
      <c r="AC47" s="4" t="str">
        <f>HYPERLINK("http://141.218.60.56/~jnz1568/getInfo.php?workbook=08_01.xlsx&amp;sheet=A0&amp;row=47&amp;col=29&amp;number=&amp;sourceID=13","")</f>
        <v/>
      </c>
      <c r="AD47" s="4" t="str">
        <f>HYPERLINK("http://141.218.60.56/~jnz1568/getInfo.php?workbook=08_01.xlsx&amp;sheet=A0&amp;row=47&amp;col=30&amp;number=&amp;sourceID=13","")</f>
        <v/>
      </c>
      <c r="AE47" s="4" t="str">
        <f>HYPERLINK("http://141.218.60.56/~jnz1568/getInfo.php?workbook=08_01.xlsx&amp;sheet=A0&amp;row=47&amp;col=31&amp;number=&amp;sourceID=13","")</f>
        <v/>
      </c>
      <c r="AF47" s="4" t="str">
        <f>HYPERLINK("http://141.218.60.56/~jnz1568/getInfo.php?workbook=08_01.xlsx&amp;sheet=A0&amp;row=47&amp;col=32&amp;number=&amp;sourceID=20","")</f>
        <v/>
      </c>
    </row>
    <row r="48" spans="1:32">
      <c r="A48" s="3">
        <v>8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HYPERLINK("http://141.218.60.56/~jnz1568/getInfo.php?workbook=08_01.xlsx&amp;sheet=A0&amp;row=48&amp;col=6&amp;number=&amp;sourceID=18","")</f>
        <v/>
      </c>
      <c r="G48" s="4" t="str">
        <f>HYPERLINK("http://141.218.60.56/~jnz1568/getInfo.php?workbook=08_01.xlsx&amp;sheet=A0&amp;row=48&amp;col=7&amp;number==&amp;sourceID=11","=")</f>
        <v>=</v>
      </c>
      <c r="H48" s="4" t="str">
        <f>HYPERLINK("http://141.218.60.56/~jnz1568/getInfo.php?workbook=08_01.xlsx&amp;sheet=A0&amp;row=48&amp;col=8&amp;number=&amp;sourceID=11","")</f>
        <v/>
      </c>
      <c r="I48" s="4" t="str">
        <f>HYPERLINK("http://141.218.60.56/~jnz1568/getInfo.php?workbook=08_01.xlsx&amp;sheet=A0&amp;row=48&amp;col=9&amp;number=&amp;sourceID=11","")</f>
        <v/>
      </c>
      <c r="J48" s="4" t="str">
        <f>HYPERLINK("http://141.218.60.56/~jnz1568/getInfo.php?workbook=08_01.xlsx&amp;sheet=A0&amp;row=48&amp;col=10&amp;number=&amp;sourceID=11","")</f>
        <v/>
      </c>
      <c r="K48" s="4" t="str">
        <f>HYPERLINK("http://141.218.60.56/~jnz1568/getInfo.php?workbook=08_01.xlsx&amp;sheet=A0&amp;row=48&amp;col=11&amp;number=1.7461&amp;sourceID=11","1.7461")</f>
        <v>1.7461</v>
      </c>
      <c r="L48" s="4" t="str">
        <f>HYPERLINK("http://141.218.60.56/~jnz1568/getInfo.php?workbook=08_01.xlsx&amp;sheet=A0&amp;row=48&amp;col=12&amp;number=&amp;sourceID=11","")</f>
        <v/>
      </c>
      <c r="M48" s="4" t="str">
        <f>HYPERLINK("http://141.218.60.56/~jnz1568/getInfo.php?workbook=08_01.xlsx&amp;sheet=A0&amp;row=48&amp;col=13&amp;number=&amp;sourceID=11","")</f>
        <v/>
      </c>
      <c r="N48" s="4" t="str">
        <f>HYPERLINK("http://141.218.60.56/~jnz1568/getInfo.php?workbook=08_01.xlsx&amp;sheet=A0&amp;row=48&amp;col=14&amp;number=1.7462&amp;sourceID=12","1.7462")</f>
        <v>1.7462</v>
      </c>
      <c r="O48" s="4" t="str">
        <f>HYPERLINK("http://141.218.60.56/~jnz1568/getInfo.php?workbook=08_01.xlsx&amp;sheet=A0&amp;row=48&amp;col=15&amp;number=&amp;sourceID=12","")</f>
        <v/>
      </c>
      <c r="P48" s="4" t="str">
        <f>HYPERLINK("http://141.218.60.56/~jnz1568/getInfo.php?workbook=08_01.xlsx&amp;sheet=A0&amp;row=48&amp;col=16&amp;number=&amp;sourceID=12","")</f>
        <v/>
      </c>
      <c r="Q48" s="4" t="str">
        <f>HYPERLINK("http://141.218.60.56/~jnz1568/getInfo.php?workbook=08_01.xlsx&amp;sheet=A0&amp;row=48&amp;col=17&amp;number=&amp;sourceID=12","")</f>
        <v/>
      </c>
      <c r="R48" s="4" t="str">
        <f>HYPERLINK("http://141.218.60.56/~jnz1568/getInfo.php?workbook=08_01.xlsx&amp;sheet=A0&amp;row=48&amp;col=18&amp;number=1.7462&amp;sourceID=12","1.7462")</f>
        <v>1.7462</v>
      </c>
      <c r="S48" s="4" t="str">
        <f>HYPERLINK("http://141.218.60.56/~jnz1568/getInfo.php?workbook=08_01.xlsx&amp;sheet=A0&amp;row=48&amp;col=19&amp;number=&amp;sourceID=12","")</f>
        <v/>
      </c>
      <c r="T48" s="4" t="str">
        <f>HYPERLINK("http://141.218.60.56/~jnz1568/getInfo.php?workbook=08_01.xlsx&amp;sheet=A0&amp;row=48&amp;col=20&amp;number=&amp;sourceID=12","")</f>
        <v/>
      </c>
      <c r="U48" s="4" t="str">
        <f>HYPERLINK("http://141.218.60.56/~jnz1568/getInfo.php?workbook=08_01.xlsx&amp;sheet=A0&amp;row=48&amp;col=21&amp;number=1.746&amp;sourceID=30","1.746")</f>
        <v>1.746</v>
      </c>
      <c r="V48" s="4" t="str">
        <f>HYPERLINK("http://141.218.60.56/~jnz1568/getInfo.php?workbook=08_01.xlsx&amp;sheet=A0&amp;row=48&amp;col=22&amp;number=&amp;sourceID=30","")</f>
        <v/>
      </c>
      <c r="W48" s="4" t="str">
        <f>HYPERLINK("http://141.218.60.56/~jnz1568/getInfo.php?workbook=08_01.xlsx&amp;sheet=A0&amp;row=48&amp;col=23&amp;number=&amp;sourceID=30","")</f>
        <v/>
      </c>
      <c r="X48" s="4" t="str">
        <f>HYPERLINK("http://141.218.60.56/~jnz1568/getInfo.php?workbook=08_01.xlsx&amp;sheet=A0&amp;row=48&amp;col=24&amp;number=1.746&amp;sourceID=30","1.746")</f>
        <v>1.746</v>
      </c>
      <c r="Y48" s="4" t="str">
        <f>HYPERLINK("http://141.218.60.56/~jnz1568/getInfo.php?workbook=08_01.xlsx&amp;sheet=A0&amp;row=48&amp;col=25&amp;number=&amp;sourceID=30","")</f>
        <v/>
      </c>
      <c r="Z48" s="4" t="str">
        <f>HYPERLINK("http://141.218.60.56/~jnz1568/getInfo.php?workbook=08_01.xlsx&amp;sheet=A0&amp;row=48&amp;col=26&amp;number==SUM(AA48:AE48)&amp;sourceID=13","=SUM(AA48:AE48)")</f>
        <v>=SUM(AA48:AE48)</v>
      </c>
      <c r="AA48" s="4" t="str">
        <f>HYPERLINK("http://141.218.60.56/~jnz1568/getInfo.php?workbook=08_01.xlsx&amp;sheet=A0&amp;row=48&amp;col=27&amp;number=&amp;sourceID=13","")</f>
        <v/>
      </c>
      <c r="AB48" s="4" t="str">
        <f>HYPERLINK("http://141.218.60.56/~jnz1568/getInfo.php?workbook=08_01.xlsx&amp;sheet=A0&amp;row=48&amp;col=28&amp;number=&amp;sourceID=13","")</f>
        <v/>
      </c>
      <c r="AC48" s="4" t="str">
        <f>HYPERLINK("http://141.218.60.56/~jnz1568/getInfo.php?workbook=08_01.xlsx&amp;sheet=A0&amp;row=48&amp;col=29&amp;number=&amp;sourceID=13","")</f>
        <v/>
      </c>
      <c r="AD48" s="4" t="str">
        <f>HYPERLINK("http://141.218.60.56/~jnz1568/getInfo.php?workbook=08_01.xlsx&amp;sheet=A0&amp;row=48&amp;col=30&amp;number=1.76&amp;sourceID=13","1.76")</f>
        <v>1.76</v>
      </c>
      <c r="AE48" s="4" t="str">
        <f>HYPERLINK("http://141.218.60.56/~jnz1568/getInfo.php?workbook=08_01.xlsx&amp;sheet=A0&amp;row=48&amp;col=31&amp;number=&amp;sourceID=13","")</f>
        <v/>
      </c>
      <c r="AF48" s="4" t="str">
        <f>HYPERLINK("http://141.218.60.56/~jnz1568/getInfo.php?workbook=08_01.xlsx&amp;sheet=A0&amp;row=48&amp;col=32&amp;number=&amp;sourceID=20","")</f>
        <v/>
      </c>
    </row>
    <row r="49" spans="1:32">
      <c r="A49" s="3">
        <v>8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HYPERLINK("http://141.218.60.56/~jnz1568/getInfo.php?workbook=08_01.xlsx&amp;sheet=A0&amp;row=49&amp;col=6&amp;number=&amp;sourceID=18","")</f>
        <v/>
      </c>
      <c r="G49" s="4" t="str">
        <f>HYPERLINK("http://141.218.60.56/~jnz1568/getInfo.php?workbook=08_01.xlsx&amp;sheet=A0&amp;row=49&amp;col=7&amp;number==&amp;sourceID=11","=")</f>
        <v>=</v>
      </c>
      <c r="H49" s="4" t="str">
        <f>HYPERLINK("http://141.218.60.56/~jnz1568/getInfo.php?workbook=08_01.xlsx&amp;sheet=A0&amp;row=49&amp;col=8&amp;number=7105200000&amp;sourceID=11","7105200000")</f>
        <v>7105200000</v>
      </c>
      <c r="I49" s="4" t="str">
        <f>HYPERLINK("http://141.218.60.56/~jnz1568/getInfo.php?workbook=08_01.xlsx&amp;sheet=A0&amp;row=49&amp;col=9&amp;number=&amp;sourceID=11","")</f>
        <v/>
      </c>
      <c r="J49" s="4" t="str">
        <f>HYPERLINK("http://141.218.60.56/~jnz1568/getInfo.php?workbook=08_01.xlsx&amp;sheet=A0&amp;row=49&amp;col=10&amp;number=&amp;sourceID=11","")</f>
        <v/>
      </c>
      <c r="K49" s="4" t="str">
        <f>HYPERLINK("http://141.218.60.56/~jnz1568/getInfo.php?workbook=08_01.xlsx&amp;sheet=A0&amp;row=49&amp;col=11&amp;number=&amp;sourceID=11","")</f>
        <v/>
      </c>
      <c r="L49" s="4" t="str">
        <f>HYPERLINK("http://141.218.60.56/~jnz1568/getInfo.php?workbook=08_01.xlsx&amp;sheet=A0&amp;row=49&amp;col=12&amp;number=136.12&amp;sourceID=11","136.12")</f>
        <v>136.12</v>
      </c>
      <c r="M49" s="4" t="str">
        <f>HYPERLINK("http://141.218.60.56/~jnz1568/getInfo.php?workbook=08_01.xlsx&amp;sheet=A0&amp;row=49&amp;col=13&amp;number=&amp;sourceID=11","")</f>
        <v/>
      </c>
      <c r="N49" s="4" t="str">
        <f>HYPERLINK("http://141.218.60.56/~jnz1568/getInfo.php?workbook=08_01.xlsx&amp;sheet=A0&amp;row=49&amp;col=14&amp;number=7105500000&amp;sourceID=12","7105500000")</f>
        <v>7105500000</v>
      </c>
      <c r="O49" s="4" t="str">
        <f>HYPERLINK("http://141.218.60.56/~jnz1568/getInfo.php?workbook=08_01.xlsx&amp;sheet=A0&amp;row=49&amp;col=15&amp;number=7105500000&amp;sourceID=12","7105500000")</f>
        <v>7105500000</v>
      </c>
      <c r="P49" s="4" t="str">
        <f>HYPERLINK("http://141.218.60.56/~jnz1568/getInfo.php?workbook=08_01.xlsx&amp;sheet=A0&amp;row=49&amp;col=16&amp;number=&amp;sourceID=12","")</f>
        <v/>
      </c>
      <c r="Q49" s="4" t="str">
        <f>HYPERLINK("http://141.218.60.56/~jnz1568/getInfo.php?workbook=08_01.xlsx&amp;sheet=A0&amp;row=49&amp;col=17&amp;number=&amp;sourceID=12","")</f>
        <v/>
      </c>
      <c r="R49" s="4" t="str">
        <f>HYPERLINK("http://141.218.60.56/~jnz1568/getInfo.php?workbook=08_01.xlsx&amp;sheet=A0&amp;row=49&amp;col=18&amp;number=&amp;sourceID=12","")</f>
        <v/>
      </c>
      <c r="S49" s="4" t="str">
        <f>HYPERLINK("http://141.218.60.56/~jnz1568/getInfo.php?workbook=08_01.xlsx&amp;sheet=A0&amp;row=49&amp;col=19&amp;number=136.12&amp;sourceID=12","136.12")</f>
        <v>136.12</v>
      </c>
      <c r="T49" s="4" t="str">
        <f>HYPERLINK("http://141.218.60.56/~jnz1568/getInfo.php?workbook=08_01.xlsx&amp;sheet=A0&amp;row=49&amp;col=20&amp;number=&amp;sourceID=12","")</f>
        <v/>
      </c>
      <c r="U49" s="4" t="str">
        <f>HYPERLINK("http://141.218.60.56/~jnz1568/getInfo.php?workbook=08_01.xlsx&amp;sheet=A0&amp;row=49&amp;col=21&amp;number=7106000136.1&amp;sourceID=30","7106000136.1")</f>
        <v>7106000136.1</v>
      </c>
      <c r="V49" s="4" t="str">
        <f>HYPERLINK("http://141.218.60.56/~jnz1568/getInfo.php?workbook=08_01.xlsx&amp;sheet=A0&amp;row=49&amp;col=22&amp;number=7106000000&amp;sourceID=30","7106000000")</f>
        <v>7106000000</v>
      </c>
      <c r="W49" s="4" t="str">
        <f>HYPERLINK("http://141.218.60.56/~jnz1568/getInfo.php?workbook=08_01.xlsx&amp;sheet=A0&amp;row=49&amp;col=23&amp;number=&amp;sourceID=30","")</f>
        <v/>
      </c>
      <c r="X49" s="4" t="str">
        <f>HYPERLINK("http://141.218.60.56/~jnz1568/getInfo.php?workbook=08_01.xlsx&amp;sheet=A0&amp;row=49&amp;col=24&amp;number=&amp;sourceID=30","")</f>
        <v/>
      </c>
      <c r="Y49" s="4" t="str">
        <f>HYPERLINK("http://141.218.60.56/~jnz1568/getInfo.php?workbook=08_01.xlsx&amp;sheet=A0&amp;row=49&amp;col=25&amp;number=136.1&amp;sourceID=30","136.1")</f>
        <v>136.1</v>
      </c>
      <c r="Z49" s="4" t="str">
        <f>HYPERLINK("http://141.218.60.56/~jnz1568/getInfo.php?workbook=08_01.xlsx&amp;sheet=A0&amp;row=49&amp;col=26&amp;number=&amp;sourceID=13","")</f>
        <v/>
      </c>
      <c r="AA49" s="4" t="str">
        <f>HYPERLINK("http://141.218.60.56/~jnz1568/getInfo.php?workbook=08_01.xlsx&amp;sheet=A0&amp;row=49&amp;col=27&amp;number=6990000000&amp;sourceID=13","6990000000")</f>
        <v>6990000000</v>
      </c>
      <c r="AB49" s="4" t="str">
        <f>HYPERLINK("http://141.218.60.56/~jnz1568/getInfo.php?workbook=08_01.xlsx&amp;sheet=A0&amp;row=49&amp;col=28&amp;number=&amp;sourceID=13","")</f>
        <v/>
      </c>
      <c r="AC49" s="4" t="str">
        <f>HYPERLINK("http://141.218.60.56/~jnz1568/getInfo.php?workbook=08_01.xlsx&amp;sheet=A0&amp;row=49&amp;col=29&amp;number=&amp;sourceID=13","")</f>
        <v/>
      </c>
      <c r="AD49" s="4" t="str">
        <f>HYPERLINK("http://141.218.60.56/~jnz1568/getInfo.php?workbook=08_01.xlsx&amp;sheet=A0&amp;row=49&amp;col=30&amp;number=&amp;sourceID=13","")</f>
        <v/>
      </c>
      <c r="AE49" s="4" t="str">
        <f>HYPERLINK("http://141.218.60.56/~jnz1568/getInfo.php?workbook=08_01.xlsx&amp;sheet=A0&amp;row=49&amp;col=31&amp;number=&amp;sourceID=13","")</f>
        <v/>
      </c>
      <c r="AF49" s="4" t="str">
        <f>HYPERLINK("http://141.218.60.56/~jnz1568/getInfo.php?workbook=08_01.xlsx&amp;sheet=A0&amp;row=49&amp;col=32&amp;number=&amp;sourceID=20","")</f>
        <v/>
      </c>
    </row>
    <row r="50" spans="1:32">
      <c r="A50" s="3">
        <v>8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HYPERLINK("http://141.218.60.56/~jnz1568/getInfo.php?workbook=08_01.xlsx&amp;sheet=A0&amp;row=50&amp;col=6&amp;number=&amp;sourceID=18","")</f>
        <v/>
      </c>
      <c r="G50" s="4" t="str">
        <f>HYPERLINK("http://141.218.60.56/~jnz1568/getInfo.php?workbook=08_01.xlsx&amp;sheet=A0&amp;row=50&amp;col=7&amp;number==&amp;sourceID=11","=")</f>
        <v>=</v>
      </c>
      <c r="H50" s="4" t="str">
        <f>HYPERLINK("http://141.218.60.56/~jnz1568/getInfo.php?workbook=08_01.xlsx&amp;sheet=A0&amp;row=50&amp;col=8&amp;number=2511600000&amp;sourceID=11","2511600000")</f>
        <v>2511600000</v>
      </c>
      <c r="I50" s="4" t="str">
        <f>HYPERLINK("http://141.218.60.56/~jnz1568/getInfo.php?workbook=08_01.xlsx&amp;sheet=A0&amp;row=50&amp;col=9&amp;number=&amp;sourceID=11","")</f>
        <v/>
      </c>
      <c r="J50" s="4" t="str">
        <f>HYPERLINK("http://141.218.60.56/~jnz1568/getInfo.php?workbook=08_01.xlsx&amp;sheet=A0&amp;row=50&amp;col=10&amp;number=&amp;sourceID=11","")</f>
        <v/>
      </c>
      <c r="K50" s="4" t="str">
        <f>HYPERLINK("http://141.218.60.56/~jnz1568/getInfo.php?workbook=08_01.xlsx&amp;sheet=A0&amp;row=50&amp;col=11&amp;number=&amp;sourceID=11","")</f>
        <v/>
      </c>
      <c r="L50" s="4" t="str">
        <f>HYPERLINK("http://141.218.60.56/~jnz1568/getInfo.php?workbook=08_01.xlsx&amp;sheet=A0&amp;row=50&amp;col=12&amp;number=&amp;sourceID=11","")</f>
        <v/>
      </c>
      <c r="M50" s="4" t="str">
        <f>HYPERLINK("http://141.218.60.56/~jnz1568/getInfo.php?workbook=08_01.xlsx&amp;sheet=A0&amp;row=50&amp;col=13&amp;number=&amp;sourceID=11","")</f>
        <v/>
      </c>
      <c r="N50" s="4" t="str">
        <f>HYPERLINK("http://141.218.60.56/~jnz1568/getInfo.php?workbook=08_01.xlsx&amp;sheet=A0&amp;row=50&amp;col=14&amp;number=2511700000&amp;sourceID=12","2511700000")</f>
        <v>2511700000</v>
      </c>
      <c r="O50" s="4" t="str">
        <f>HYPERLINK("http://141.218.60.56/~jnz1568/getInfo.php?workbook=08_01.xlsx&amp;sheet=A0&amp;row=50&amp;col=15&amp;number=2511700000&amp;sourceID=12","2511700000")</f>
        <v>2511700000</v>
      </c>
      <c r="P50" s="4" t="str">
        <f>HYPERLINK("http://141.218.60.56/~jnz1568/getInfo.php?workbook=08_01.xlsx&amp;sheet=A0&amp;row=50&amp;col=16&amp;number=&amp;sourceID=12","")</f>
        <v/>
      </c>
      <c r="Q50" s="4" t="str">
        <f>HYPERLINK("http://141.218.60.56/~jnz1568/getInfo.php?workbook=08_01.xlsx&amp;sheet=A0&amp;row=50&amp;col=17&amp;number=&amp;sourceID=12","")</f>
        <v/>
      </c>
      <c r="R50" s="4" t="str">
        <f>HYPERLINK("http://141.218.60.56/~jnz1568/getInfo.php?workbook=08_01.xlsx&amp;sheet=A0&amp;row=50&amp;col=18&amp;number=&amp;sourceID=12","")</f>
        <v/>
      </c>
      <c r="S50" s="4" t="str">
        <f>HYPERLINK("http://141.218.60.56/~jnz1568/getInfo.php?workbook=08_01.xlsx&amp;sheet=A0&amp;row=50&amp;col=19&amp;number=&amp;sourceID=12","")</f>
        <v/>
      </c>
      <c r="T50" s="4" t="str">
        <f>HYPERLINK("http://141.218.60.56/~jnz1568/getInfo.php?workbook=08_01.xlsx&amp;sheet=A0&amp;row=50&amp;col=20&amp;number=&amp;sourceID=12","")</f>
        <v/>
      </c>
      <c r="U50" s="4" t="str">
        <f>HYPERLINK("http://141.218.60.56/~jnz1568/getInfo.php?workbook=08_01.xlsx&amp;sheet=A0&amp;row=50&amp;col=21&amp;number=2512000000&amp;sourceID=30","2512000000")</f>
        <v>2512000000</v>
      </c>
      <c r="V50" s="4" t="str">
        <f>HYPERLINK("http://141.218.60.56/~jnz1568/getInfo.php?workbook=08_01.xlsx&amp;sheet=A0&amp;row=50&amp;col=22&amp;number=2512000000&amp;sourceID=30","2512000000")</f>
        <v>2512000000</v>
      </c>
      <c r="W50" s="4" t="str">
        <f>HYPERLINK("http://141.218.60.56/~jnz1568/getInfo.php?workbook=08_01.xlsx&amp;sheet=A0&amp;row=50&amp;col=23&amp;number=&amp;sourceID=30","")</f>
        <v/>
      </c>
      <c r="X50" s="4" t="str">
        <f>HYPERLINK("http://141.218.60.56/~jnz1568/getInfo.php?workbook=08_01.xlsx&amp;sheet=A0&amp;row=50&amp;col=24&amp;number=&amp;sourceID=30","")</f>
        <v/>
      </c>
      <c r="Y50" s="4" t="str">
        <f>HYPERLINK("http://141.218.60.56/~jnz1568/getInfo.php?workbook=08_01.xlsx&amp;sheet=A0&amp;row=50&amp;col=25&amp;number=&amp;sourceID=30","")</f>
        <v/>
      </c>
      <c r="Z50" s="4" t="str">
        <f>HYPERLINK("http://141.218.60.56/~jnz1568/getInfo.php?workbook=08_01.xlsx&amp;sheet=A0&amp;row=50&amp;col=26&amp;number=&amp;sourceID=13","")</f>
        <v/>
      </c>
      <c r="AA50" s="4" t="str">
        <f>HYPERLINK("http://141.218.60.56/~jnz1568/getInfo.php?workbook=08_01.xlsx&amp;sheet=A0&amp;row=50&amp;col=27&amp;number=2480000000&amp;sourceID=13","2480000000")</f>
        <v>2480000000</v>
      </c>
      <c r="AB50" s="4" t="str">
        <f>HYPERLINK("http://141.218.60.56/~jnz1568/getInfo.php?workbook=08_01.xlsx&amp;sheet=A0&amp;row=50&amp;col=28&amp;number=&amp;sourceID=13","")</f>
        <v/>
      </c>
      <c r="AC50" s="4" t="str">
        <f>HYPERLINK("http://141.218.60.56/~jnz1568/getInfo.php?workbook=08_01.xlsx&amp;sheet=A0&amp;row=50&amp;col=29&amp;number=&amp;sourceID=13","")</f>
        <v/>
      </c>
      <c r="AD50" s="4" t="str">
        <f>HYPERLINK("http://141.218.60.56/~jnz1568/getInfo.php?workbook=08_01.xlsx&amp;sheet=A0&amp;row=50&amp;col=30&amp;number=&amp;sourceID=13","")</f>
        <v/>
      </c>
      <c r="AE50" s="4" t="str">
        <f>HYPERLINK("http://141.218.60.56/~jnz1568/getInfo.php?workbook=08_01.xlsx&amp;sheet=A0&amp;row=50&amp;col=31&amp;number=&amp;sourceID=13","")</f>
        <v/>
      </c>
      <c r="AF50" s="4" t="str">
        <f>HYPERLINK("http://141.218.60.56/~jnz1568/getInfo.php?workbook=08_01.xlsx&amp;sheet=A0&amp;row=50&amp;col=32&amp;number=&amp;sourceID=20","")</f>
        <v/>
      </c>
    </row>
    <row r="51" spans="1:32">
      <c r="A51" s="3">
        <v>8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HYPERLINK("http://141.218.60.56/~jnz1568/getInfo.php?workbook=08_01.xlsx&amp;sheet=A0&amp;row=51&amp;col=6&amp;number=&amp;sourceID=18","")</f>
        <v/>
      </c>
      <c r="G51" s="4" t="str">
        <f>HYPERLINK("http://141.218.60.56/~jnz1568/getInfo.php?workbook=08_01.xlsx&amp;sheet=A0&amp;row=51&amp;col=7&amp;number==&amp;sourceID=11","=")</f>
        <v>=</v>
      </c>
      <c r="H51" s="4" t="str">
        <f>HYPERLINK("http://141.218.60.56/~jnz1568/getInfo.php?workbook=08_01.xlsx&amp;sheet=A0&amp;row=51&amp;col=8&amp;number=&amp;sourceID=11","")</f>
        <v/>
      </c>
      <c r="I51" s="4" t="str">
        <f>HYPERLINK("http://141.218.60.56/~jnz1568/getInfo.php?workbook=08_01.xlsx&amp;sheet=A0&amp;row=51&amp;col=9&amp;number=&amp;sourceID=11","")</f>
        <v/>
      </c>
      <c r="J51" s="4" t="str">
        <f>HYPERLINK("http://141.218.60.56/~jnz1568/getInfo.php?workbook=08_01.xlsx&amp;sheet=A0&amp;row=51&amp;col=10&amp;number=&amp;sourceID=11","")</f>
        <v/>
      </c>
      <c r="K51" s="4" t="str">
        <f>HYPERLINK("http://141.218.60.56/~jnz1568/getInfo.php?workbook=08_01.xlsx&amp;sheet=A0&amp;row=51&amp;col=11&amp;number=0.022077&amp;sourceID=11","0.022077")</f>
        <v>0.022077</v>
      </c>
      <c r="L51" s="4" t="str">
        <f>HYPERLINK("http://141.218.60.56/~jnz1568/getInfo.php?workbook=08_01.xlsx&amp;sheet=A0&amp;row=51&amp;col=12&amp;number=&amp;sourceID=11","")</f>
        <v/>
      </c>
      <c r="M51" s="4" t="str">
        <f>HYPERLINK("http://141.218.60.56/~jnz1568/getInfo.php?workbook=08_01.xlsx&amp;sheet=A0&amp;row=51&amp;col=13&amp;number=&amp;sourceID=11","")</f>
        <v/>
      </c>
      <c r="N51" s="4" t="str">
        <f>HYPERLINK("http://141.218.60.56/~jnz1568/getInfo.php?workbook=08_01.xlsx&amp;sheet=A0&amp;row=51&amp;col=14&amp;number=0.022078&amp;sourceID=12","0.022078")</f>
        <v>0.022078</v>
      </c>
      <c r="O51" s="4" t="str">
        <f>HYPERLINK("http://141.218.60.56/~jnz1568/getInfo.php?workbook=08_01.xlsx&amp;sheet=A0&amp;row=51&amp;col=15&amp;number=&amp;sourceID=12","")</f>
        <v/>
      </c>
      <c r="P51" s="4" t="str">
        <f>HYPERLINK("http://141.218.60.56/~jnz1568/getInfo.php?workbook=08_01.xlsx&amp;sheet=A0&amp;row=51&amp;col=16&amp;number=&amp;sourceID=12","")</f>
        <v/>
      </c>
      <c r="Q51" s="4" t="str">
        <f>HYPERLINK("http://141.218.60.56/~jnz1568/getInfo.php?workbook=08_01.xlsx&amp;sheet=A0&amp;row=51&amp;col=17&amp;number=&amp;sourceID=12","")</f>
        <v/>
      </c>
      <c r="R51" s="4" t="str">
        <f>HYPERLINK("http://141.218.60.56/~jnz1568/getInfo.php?workbook=08_01.xlsx&amp;sheet=A0&amp;row=51&amp;col=18&amp;number=0.022078&amp;sourceID=12","0.022078")</f>
        <v>0.022078</v>
      </c>
      <c r="S51" s="4" t="str">
        <f>HYPERLINK("http://141.218.60.56/~jnz1568/getInfo.php?workbook=08_01.xlsx&amp;sheet=A0&amp;row=51&amp;col=19&amp;number=&amp;sourceID=12","")</f>
        <v/>
      </c>
      <c r="T51" s="4" t="str">
        <f>HYPERLINK("http://141.218.60.56/~jnz1568/getInfo.php?workbook=08_01.xlsx&amp;sheet=A0&amp;row=51&amp;col=20&amp;number=&amp;sourceID=12","")</f>
        <v/>
      </c>
      <c r="U51" s="4" t="str">
        <f>HYPERLINK("http://141.218.60.56/~jnz1568/getInfo.php?workbook=08_01.xlsx&amp;sheet=A0&amp;row=51&amp;col=21&amp;number=0.02206&amp;sourceID=30","0.02206")</f>
        <v>0.02206</v>
      </c>
      <c r="V51" s="4" t="str">
        <f>HYPERLINK("http://141.218.60.56/~jnz1568/getInfo.php?workbook=08_01.xlsx&amp;sheet=A0&amp;row=51&amp;col=22&amp;number=&amp;sourceID=30","")</f>
        <v/>
      </c>
      <c r="W51" s="4" t="str">
        <f>HYPERLINK("http://141.218.60.56/~jnz1568/getInfo.php?workbook=08_01.xlsx&amp;sheet=A0&amp;row=51&amp;col=23&amp;number=&amp;sourceID=30","")</f>
        <v/>
      </c>
      <c r="X51" s="4" t="str">
        <f>HYPERLINK("http://141.218.60.56/~jnz1568/getInfo.php?workbook=08_01.xlsx&amp;sheet=A0&amp;row=51&amp;col=24&amp;number=0.02206&amp;sourceID=30","0.02206")</f>
        <v>0.02206</v>
      </c>
      <c r="Y51" s="4" t="str">
        <f>HYPERLINK("http://141.218.60.56/~jnz1568/getInfo.php?workbook=08_01.xlsx&amp;sheet=A0&amp;row=51&amp;col=25&amp;number=&amp;sourceID=30","")</f>
        <v/>
      </c>
      <c r="Z51" s="4" t="str">
        <f>HYPERLINK("http://141.218.60.56/~jnz1568/getInfo.php?workbook=08_01.xlsx&amp;sheet=A0&amp;row=51&amp;col=26&amp;number==SUM(AA51:AE51)&amp;sourceID=13","=SUM(AA51:AE51)")</f>
        <v>=SUM(AA51:AE51)</v>
      </c>
      <c r="AA51" s="4" t="str">
        <f>HYPERLINK("http://141.218.60.56/~jnz1568/getInfo.php?workbook=08_01.xlsx&amp;sheet=A0&amp;row=51&amp;col=27&amp;number=&amp;sourceID=13","")</f>
        <v/>
      </c>
      <c r="AB51" s="4" t="str">
        <f>HYPERLINK("http://141.218.60.56/~jnz1568/getInfo.php?workbook=08_01.xlsx&amp;sheet=A0&amp;row=51&amp;col=28&amp;number=&amp;sourceID=13","")</f>
        <v/>
      </c>
      <c r="AC51" s="4" t="str">
        <f>HYPERLINK("http://141.218.60.56/~jnz1568/getInfo.php?workbook=08_01.xlsx&amp;sheet=A0&amp;row=51&amp;col=29&amp;number=&amp;sourceID=13","")</f>
        <v/>
      </c>
      <c r="AD51" s="4" t="str">
        <f>HYPERLINK("http://141.218.60.56/~jnz1568/getInfo.php?workbook=08_01.xlsx&amp;sheet=A0&amp;row=51&amp;col=30&amp;number=0.0218&amp;sourceID=13","0.0218")</f>
        <v>0.0218</v>
      </c>
      <c r="AE51" s="4" t="str">
        <f>HYPERLINK("http://141.218.60.56/~jnz1568/getInfo.php?workbook=08_01.xlsx&amp;sheet=A0&amp;row=51&amp;col=31&amp;number=&amp;sourceID=13","")</f>
        <v/>
      </c>
      <c r="AF51" s="4" t="str">
        <f>HYPERLINK("http://141.218.60.56/~jnz1568/getInfo.php?workbook=08_01.xlsx&amp;sheet=A0&amp;row=51&amp;col=32&amp;number=&amp;sourceID=20","")</f>
        <v/>
      </c>
    </row>
    <row r="52" spans="1:32">
      <c r="A52" s="3">
        <v>8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HYPERLINK("http://141.218.60.56/~jnz1568/getInfo.php?workbook=08_01.xlsx&amp;sheet=A0&amp;row=52&amp;col=6&amp;number=&amp;sourceID=18","")</f>
        <v/>
      </c>
      <c r="G52" s="4" t="str">
        <f>HYPERLINK("http://141.218.60.56/~jnz1568/getInfo.php?workbook=08_01.xlsx&amp;sheet=A0&amp;row=52&amp;col=7&amp;number==&amp;sourceID=11","=")</f>
        <v>=</v>
      </c>
      <c r="H52" s="4" t="str">
        <f>HYPERLINK("http://141.218.60.56/~jnz1568/getInfo.php?workbook=08_01.xlsx&amp;sheet=A0&amp;row=52&amp;col=8&amp;number=&amp;sourceID=11","")</f>
        <v/>
      </c>
      <c r="I52" s="4" t="str">
        <f>HYPERLINK("http://141.218.60.56/~jnz1568/getInfo.php?workbook=08_01.xlsx&amp;sheet=A0&amp;row=52&amp;col=9&amp;number=108180&amp;sourceID=11","108180")</f>
        <v>108180</v>
      </c>
      <c r="J52" s="4" t="str">
        <f>HYPERLINK("http://141.218.60.56/~jnz1568/getInfo.php?workbook=08_01.xlsx&amp;sheet=A0&amp;row=52&amp;col=10&amp;number=&amp;sourceID=11","")</f>
        <v/>
      </c>
      <c r="K52" s="4" t="str">
        <f>HYPERLINK("http://141.218.60.56/~jnz1568/getInfo.php?workbook=08_01.xlsx&amp;sheet=A0&amp;row=52&amp;col=11&amp;number=7.3228e-06&amp;sourceID=11","7.3228e-06")</f>
        <v>7.3228e-06</v>
      </c>
      <c r="L52" s="4" t="str">
        <f>HYPERLINK("http://141.218.60.56/~jnz1568/getInfo.php?workbook=08_01.xlsx&amp;sheet=A0&amp;row=52&amp;col=12&amp;number=&amp;sourceID=11","")</f>
        <v/>
      </c>
      <c r="M52" s="4" t="str">
        <f>HYPERLINK("http://141.218.60.56/~jnz1568/getInfo.php?workbook=08_01.xlsx&amp;sheet=A0&amp;row=52&amp;col=13&amp;number=&amp;sourceID=11","")</f>
        <v/>
      </c>
      <c r="N52" s="4" t="str">
        <f>HYPERLINK("http://141.218.60.56/~jnz1568/getInfo.php?workbook=08_01.xlsx&amp;sheet=A0&amp;row=52&amp;col=14&amp;number=108180&amp;sourceID=12","108180")</f>
        <v>108180</v>
      </c>
      <c r="O52" s="4" t="str">
        <f>HYPERLINK("http://141.218.60.56/~jnz1568/getInfo.php?workbook=08_01.xlsx&amp;sheet=A0&amp;row=52&amp;col=15&amp;number=&amp;sourceID=12","")</f>
        <v/>
      </c>
      <c r="P52" s="4" t="str">
        <f>HYPERLINK("http://141.218.60.56/~jnz1568/getInfo.php?workbook=08_01.xlsx&amp;sheet=A0&amp;row=52&amp;col=16&amp;number=108180&amp;sourceID=12","108180")</f>
        <v>108180</v>
      </c>
      <c r="Q52" s="4" t="str">
        <f>HYPERLINK("http://141.218.60.56/~jnz1568/getInfo.php?workbook=08_01.xlsx&amp;sheet=A0&amp;row=52&amp;col=17&amp;number=&amp;sourceID=12","")</f>
        <v/>
      </c>
      <c r="R52" s="4" t="str">
        <f>HYPERLINK("http://141.218.60.56/~jnz1568/getInfo.php?workbook=08_01.xlsx&amp;sheet=A0&amp;row=52&amp;col=18&amp;number=7.3231e-06&amp;sourceID=12","7.3231e-06")</f>
        <v>7.3231e-06</v>
      </c>
      <c r="S52" s="4" t="str">
        <f>HYPERLINK("http://141.218.60.56/~jnz1568/getInfo.php?workbook=08_01.xlsx&amp;sheet=A0&amp;row=52&amp;col=19&amp;number=&amp;sourceID=12","")</f>
        <v/>
      </c>
      <c r="T52" s="4" t="str">
        <f>HYPERLINK("http://141.218.60.56/~jnz1568/getInfo.php?workbook=08_01.xlsx&amp;sheet=A0&amp;row=52&amp;col=20&amp;number=&amp;sourceID=12","")</f>
        <v/>
      </c>
      <c r="U52" s="4" t="str">
        <f>HYPERLINK("http://141.218.60.56/~jnz1568/getInfo.php?workbook=08_01.xlsx&amp;sheet=A0&amp;row=52&amp;col=21&amp;number=108200.000007&amp;sourceID=30","108200.000007")</f>
        <v>108200.000007</v>
      </c>
      <c r="V52" s="4" t="str">
        <f>HYPERLINK("http://141.218.60.56/~jnz1568/getInfo.php?workbook=08_01.xlsx&amp;sheet=A0&amp;row=52&amp;col=22&amp;number=&amp;sourceID=30","")</f>
        <v/>
      </c>
      <c r="W52" s="4" t="str">
        <f>HYPERLINK("http://141.218.60.56/~jnz1568/getInfo.php?workbook=08_01.xlsx&amp;sheet=A0&amp;row=52&amp;col=23&amp;number=108200&amp;sourceID=30","108200")</f>
        <v>108200</v>
      </c>
      <c r="X52" s="4" t="str">
        <f>HYPERLINK("http://141.218.60.56/~jnz1568/getInfo.php?workbook=08_01.xlsx&amp;sheet=A0&amp;row=52&amp;col=24&amp;number=7.438e-06&amp;sourceID=30","7.438e-06")</f>
        <v>7.438e-06</v>
      </c>
      <c r="Y52" s="4" t="str">
        <f>HYPERLINK("http://141.218.60.56/~jnz1568/getInfo.php?workbook=08_01.xlsx&amp;sheet=A0&amp;row=52&amp;col=25&amp;number=&amp;sourceID=30","")</f>
        <v/>
      </c>
      <c r="Z52" s="4" t="str">
        <f>HYPERLINK("http://141.218.60.56/~jnz1568/getInfo.php?workbook=08_01.xlsx&amp;sheet=A0&amp;row=52&amp;col=26&amp;number==SUM(AA52:AE52)&amp;sourceID=13","=SUM(AA52:AE52)")</f>
        <v>=SUM(AA52:AE52)</v>
      </c>
      <c r="AA52" s="4" t="str">
        <f>HYPERLINK("http://141.218.60.56/~jnz1568/getInfo.php?workbook=08_01.xlsx&amp;sheet=A0&amp;row=52&amp;col=27&amp;number=&amp;sourceID=13","")</f>
        <v/>
      </c>
      <c r="AB52" s="4" t="str">
        <f>HYPERLINK("http://141.218.60.56/~jnz1568/getInfo.php?workbook=08_01.xlsx&amp;sheet=A0&amp;row=52&amp;col=28&amp;number=107000&amp;sourceID=13","107000")</f>
        <v>107000</v>
      </c>
      <c r="AC52" s="4" t="str">
        <f>HYPERLINK("http://141.218.60.56/~jnz1568/getInfo.php?workbook=08_01.xlsx&amp;sheet=A0&amp;row=52&amp;col=29&amp;number=&amp;sourceID=13","")</f>
        <v/>
      </c>
      <c r="AD52" s="4" t="str">
        <f>HYPERLINK("http://141.218.60.56/~jnz1568/getInfo.php?workbook=08_01.xlsx&amp;sheet=A0&amp;row=52&amp;col=30&amp;number=2.54e-06&amp;sourceID=13","2.54e-06")</f>
        <v>2.54e-06</v>
      </c>
      <c r="AE52" s="4" t="str">
        <f>HYPERLINK("http://141.218.60.56/~jnz1568/getInfo.php?workbook=08_01.xlsx&amp;sheet=A0&amp;row=52&amp;col=31&amp;number=&amp;sourceID=13","")</f>
        <v/>
      </c>
      <c r="AF52" s="4" t="str">
        <f>HYPERLINK("http://141.218.60.56/~jnz1568/getInfo.php?workbook=08_01.xlsx&amp;sheet=A0&amp;row=52&amp;col=32&amp;number=&amp;sourceID=20","")</f>
        <v/>
      </c>
    </row>
    <row r="53" spans="1:32">
      <c r="A53" s="3">
        <v>8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HYPERLINK("http://141.218.60.56/~jnz1568/getInfo.php?workbook=08_01.xlsx&amp;sheet=A0&amp;row=53&amp;col=6&amp;number=&amp;sourceID=18","")</f>
        <v/>
      </c>
      <c r="G53" s="4" t="str">
        <f>HYPERLINK("http://141.218.60.56/~jnz1568/getInfo.php?workbook=08_01.xlsx&amp;sheet=A0&amp;row=53&amp;col=7&amp;number==&amp;sourceID=11","=")</f>
        <v>=</v>
      </c>
      <c r="H53" s="4" t="str">
        <f>HYPERLINK("http://141.218.60.56/~jnz1568/getInfo.php?workbook=08_01.xlsx&amp;sheet=A0&amp;row=53&amp;col=8&amp;number=5055500000&amp;sourceID=11","5055500000")</f>
        <v>5055500000</v>
      </c>
      <c r="I53" s="4" t="str">
        <f>HYPERLINK("http://141.218.60.56/~jnz1568/getInfo.php?workbook=08_01.xlsx&amp;sheet=A0&amp;row=53&amp;col=9&amp;number=&amp;sourceID=11","")</f>
        <v/>
      </c>
      <c r="J53" s="4" t="str">
        <f>HYPERLINK("http://141.218.60.56/~jnz1568/getInfo.php?workbook=08_01.xlsx&amp;sheet=A0&amp;row=53&amp;col=10&amp;number=&amp;sourceID=11","")</f>
        <v/>
      </c>
      <c r="K53" s="4" t="str">
        <f>HYPERLINK("http://141.218.60.56/~jnz1568/getInfo.php?workbook=08_01.xlsx&amp;sheet=A0&amp;row=53&amp;col=11&amp;number=&amp;sourceID=11","")</f>
        <v/>
      </c>
      <c r="L53" s="4" t="str">
        <f>HYPERLINK("http://141.218.60.56/~jnz1568/getInfo.php?workbook=08_01.xlsx&amp;sheet=A0&amp;row=53&amp;col=12&amp;number=6.503&amp;sourceID=11","6.503")</f>
        <v>6.503</v>
      </c>
      <c r="M53" s="4" t="str">
        <f>HYPERLINK("http://141.218.60.56/~jnz1568/getInfo.php?workbook=08_01.xlsx&amp;sheet=A0&amp;row=53&amp;col=13&amp;number=&amp;sourceID=11","")</f>
        <v/>
      </c>
      <c r="N53" s="4" t="str">
        <f>HYPERLINK("http://141.218.60.56/~jnz1568/getInfo.php?workbook=08_01.xlsx&amp;sheet=A0&amp;row=53&amp;col=14&amp;number=5055700000&amp;sourceID=12","5055700000")</f>
        <v>5055700000</v>
      </c>
      <c r="O53" s="4" t="str">
        <f>HYPERLINK("http://141.218.60.56/~jnz1568/getInfo.php?workbook=08_01.xlsx&amp;sheet=A0&amp;row=53&amp;col=15&amp;number=5055700000&amp;sourceID=12","5055700000")</f>
        <v>5055700000</v>
      </c>
      <c r="P53" s="4" t="str">
        <f>HYPERLINK("http://141.218.60.56/~jnz1568/getInfo.php?workbook=08_01.xlsx&amp;sheet=A0&amp;row=53&amp;col=16&amp;number=&amp;sourceID=12","")</f>
        <v/>
      </c>
      <c r="Q53" s="4" t="str">
        <f>HYPERLINK("http://141.218.60.56/~jnz1568/getInfo.php?workbook=08_01.xlsx&amp;sheet=A0&amp;row=53&amp;col=17&amp;number=&amp;sourceID=12","")</f>
        <v/>
      </c>
      <c r="R53" s="4" t="str">
        <f>HYPERLINK("http://141.218.60.56/~jnz1568/getInfo.php?workbook=08_01.xlsx&amp;sheet=A0&amp;row=53&amp;col=18&amp;number=&amp;sourceID=12","")</f>
        <v/>
      </c>
      <c r="S53" s="4" t="str">
        <f>HYPERLINK("http://141.218.60.56/~jnz1568/getInfo.php?workbook=08_01.xlsx&amp;sheet=A0&amp;row=53&amp;col=19&amp;number=6.5032&amp;sourceID=12","6.5032")</f>
        <v>6.5032</v>
      </c>
      <c r="T53" s="4" t="str">
        <f>HYPERLINK("http://141.218.60.56/~jnz1568/getInfo.php?workbook=08_01.xlsx&amp;sheet=A0&amp;row=53&amp;col=20&amp;number=&amp;sourceID=12","")</f>
        <v/>
      </c>
      <c r="U53" s="4" t="str">
        <f>HYPERLINK("http://141.218.60.56/~jnz1568/getInfo.php?workbook=08_01.xlsx&amp;sheet=A0&amp;row=53&amp;col=21&amp;number=5056000006.5&amp;sourceID=30","5056000006.5")</f>
        <v>5056000006.5</v>
      </c>
      <c r="V53" s="4" t="str">
        <f>HYPERLINK("http://141.218.60.56/~jnz1568/getInfo.php?workbook=08_01.xlsx&amp;sheet=A0&amp;row=53&amp;col=22&amp;number=5056000000&amp;sourceID=30","5056000000")</f>
        <v>5056000000</v>
      </c>
      <c r="W53" s="4" t="str">
        <f>HYPERLINK("http://141.218.60.56/~jnz1568/getInfo.php?workbook=08_01.xlsx&amp;sheet=A0&amp;row=53&amp;col=23&amp;number=&amp;sourceID=30","")</f>
        <v/>
      </c>
      <c r="X53" s="4" t="str">
        <f>HYPERLINK("http://141.218.60.56/~jnz1568/getInfo.php?workbook=08_01.xlsx&amp;sheet=A0&amp;row=53&amp;col=24&amp;number=&amp;sourceID=30","")</f>
        <v/>
      </c>
      <c r="Y53" s="4" t="str">
        <f>HYPERLINK("http://141.218.60.56/~jnz1568/getInfo.php?workbook=08_01.xlsx&amp;sheet=A0&amp;row=53&amp;col=25&amp;number=6.503&amp;sourceID=30","6.503")</f>
        <v>6.503</v>
      </c>
      <c r="Z53" s="4" t="str">
        <f>HYPERLINK("http://141.218.60.56/~jnz1568/getInfo.php?workbook=08_01.xlsx&amp;sheet=A0&amp;row=53&amp;col=26&amp;number=&amp;sourceID=13","")</f>
        <v/>
      </c>
      <c r="AA53" s="4" t="str">
        <f>HYPERLINK("http://141.218.60.56/~jnz1568/getInfo.php?workbook=08_01.xlsx&amp;sheet=A0&amp;row=53&amp;col=27&amp;number=5020000000&amp;sourceID=13","5020000000")</f>
        <v>5020000000</v>
      </c>
      <c r="AB53" s="4" t="str">
        <f>HYPERLINK("http://141.218.60.56/~jnz1568/getInfo.php?workbook=08_01.xlsx&amp;sheet=A0&amp;row=53&amp;col=28&amp;number=&amp;sourceID=13","")</f>
        <v/>
      </c>
      <c r="AC53" s="4" t="str">
        <f>HYPERLINK("http://141.218.60.56/~jnz1568/getInfo.php?workbook=08_01.xlsx&amp;sheet=A0&amp;row=53&amp;col=29&amp;number=&amp;sourceID=13","")</f>
        <v/>
      </c>
      <c r="AD53" s="4" t="str">
        <f>HYPERLINK("http://141.218.60.56/~jnz1568/getInfo.php?workbook=08_01.xlsx&amp;sheet=A0&amp;row=53&amp;col=30&amp;number=&amp;sourceID=13","")</f>
        <v/>
      </c>
      <c r="AE53" s="4" t="str">
        <f>HYPERLINK("http://141.218.60.56/~jnz1568/getInfo.php?workbook=08_01.xlsx&amp;sheet=A0&amp;row=53&amp;col=31&amp;number=&amp;sourceID=13","")</f>
        <v/>
      </c>
      <c r="AF53" s="4" t="str">
        <f>HYPERLINK("http://141.218.60.56/~jnz1568/getInfo.php?workbook=08_01.xlsx&amp;sheet=A0&amp;row=53&amp;col=32&amp;number=&amp;sourceID=20","")</f>
        <v/>
      </c>
    </row>
    <row r="54" spans="1:32">
      <c r="A54" s="3">
        <v>8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HYPERLINK("http://141.218.60.56/~jnz1568/getInfo.php?workbook=08_01.xlsx&amp;sheet=A0&amp;row=54&amp;col=6&amp;number=&amp;sourceID=18","")</f>
        <v/>
      </c>
      <c r="G54" s="4" t="str">
        <f>HYPERLINK("http://141.218.60.56/~jnz1568/getInfo.php?workbook=08_01.xlsx&amp;sheet=A0&amp;row=54&amp;col=7&amp;number==&amp;sourceID=11","=")</f>
        <v>=</v>
      </c>
      <c r="H54" s="4" t="str">
        <f>HYPERLINK("http://141.218.60.56/~jnz1568/getInfo.php?workbook=08_01.xlsx&amp;sheet=A0&amp;row=54&amp;col=8&amp;number=&amp;sourceID=11","")</f>
        <v/>
      </c>
      <c r="I54" s="4" t="str">
        <f>HYPERLINK("http://141.218.60.56/~jnz1568/getInfo.php?workbook=08_01.xlsx&amp;sheet=A0&amp;row=54&amp;col=9&amp;number=162330&amp;sourceID=11","162330")</f>
        <v>162330</v>
      </c>
      <c r="J54" s="4" t="str">
        <f>HYPERLINK("http://141.218.60.56/~jnz1568/getInfo.php?workbook=08_01.xlsx&amp;sheet=A0&amp;row=54&amp;col=10&amp;number=&amp;sourceID=11","")</f>
        <v/>
      </c>
      <c r="K54" s="4" t="str">
        <f>HYPERLINK("http://141.218.60.56/~jnz1568/getInfo.php?workbook=08_01.xlsx&amp;sheet=A0&amp;row=54&amp;col=11&amp;number=&amp;sourceID=11","")</f>
        <v/>
      </c>
      <c r="L54" s="4" t="str">
        <f>HYPERLINK("http://141.218.60.56/~jnz1568/getInfo.php?workbook=08_01.xlsx&amp;sheet=A0&amp;row=54&amp;col=12&amp;number=&amp;sourceID=11","")</f>
        <v/>
      </c>
      <c r="M54" s="4" t="str">
        <f>HYPERLINK("http://141.218.60.56/~jnz1568/getInfo.php?workbook=08_01.xlsx&amp;sheet=A0&amp;row=54&amp;col=13&amp;number=0.00024722&amp;sourceID=11","0.00024722")</f>
        <v>0.00024722</v>
      </c>
      <c r="N54" s="4" t="str">
        <f>HYPERLINK("http://141.218.60.56/~jnz1568/getInfo.php?workbook=08_01.xlsx&amp;sheet=A0&amp;row=54&amp;col=14&amp;number=162340&amp;sourceID=12","162340")</f>
        <v>162340</v>
      </c>
      <c r="O54" s="4" t="str">
        <f>HYPERLINK("http://141.218.60.56/~jnz1568/getInfo.php?workbook=08_01.xlsx&amp;sheet=A0&amp;row=54&amp;col=15&amp;number=&amp;sourceID=12","")</f>
        <v/>
      </c>
      <c r="P54" s="4" t="str">
        <f>HYPERLINK("http://141.218.60.56/~jnz1568/getInfo.php?workbook=08_01.xlsx&amp;sheet=A0&amp;row=54&amp;col=16&amp;number=162340&amp;sourceID=12","162340")</f>
        <v>162340</v>
      </c>
      <c r="Q54" s="4" t="str">
        <f>HYPERLINK("http://141.218.60.56/~jnz1568/getInfo.php?workbook=08_01.xlsx&amp;sheet=A0&amp;row=54&amp;col=17&amp;number=&amp;sourceID=12","")</f>
        <v/>
      </c>
      <c r="R54" s="4" t="str">
        <f>HYPERLINK("http://141.218.60.56/~jnz1568/getInfo.php?workbook=08_01.xlsx&amp;sheet=A0&amp;row=54&amp;col=18&amp;number=&amp;sourceID=12","")</f>
        <v/>
      </c>
      <c r="S54" s="4" t="str">
        <f>HYPERLINK("http://141.218.60.56/~jnz1568/getInfo.php?workbook=08_01.xlsx&amp;sheet=A0&amp;row=54&amp;col=19&amp;number=&amp;sourceID=12","")</f>
        <v/>
      </c>
      <c r="T54" s="4" t="str">
        <f>HYPERLINK("http://141.218.60.56/~jnz1568/getInfo.php?workbook=08_01.xlsx&amp;sheet=A0&amp;row=54&amp;col=20&amp;number=0.00024723&amp;sourceID=12","0.00024723")</f>
        <v>0.00024723</v>
      </c>
      <c r="U54" s="4" t="str">
        <f>HYPERLINK("http://141.218.60.56/~jnz1568/getInfo.php?workbook=08_01.xlsx&amp;sheet=A0&amp;row=54&amp;col=21&amp;number=162300&amp;sourceID=30","162300")</f>
        <v>162300</v>
      </c>
      <c r="V54" s="4" t="str">
        <f>HYPERLINK("http://141.218.60.56/~jnz1568/getInfo.php?workbook=08_01.xlsx&amp;sheet=A0&amp;row=54&amp;col=22&amp;number=&amp;sourceID=30","")</f>
        <v/>
      </c>
      <c r="W54" s="4" t="str">
        <f>HYPERLINK("http://141.218.60.56/~jnz1568/getInfo.php?workbook=08_01.xlsx&amp;sheet=A0&amp;row=54&amp;col=23&amp;number=162300&amp;sourceID=30","162300")</f>
        <v>162300</v>
      </c>
      <c r="X54" s="4" t="str">
        <f>HYPERLINK("http://141.218.60.56/~jnz1568/getInfo.php?workbook=08_01.xlsx&amp;sheet=A0&amp;row=54&amp;col=24&amp;number=&amp;sourceID=30","")</f>
        <v/>
      </c>
      <c r="Y54" s="4" t="str">
        <f>HYPERLINK("http://141.218.60.56/~jnz1568/getInfo.php?workbook=08_01.xlsx&amp;sheet=A0&amp;row=54&amp;col=25&amp;number=&amp;sourceID=30","")</f>
        <v/>
      </c>
      <c r="Z54" s="4" t="str">
        <f>HYPERLINK("http://141.218.60.56/~jnz1568/getInfo.php?workbook=08_01.xlsx&amp;sheet=A0&amp;row=54&amp;col=26&amp;number==SUM(AA54:AE54)&amp;sourceID=13","=SUM(AA54:AE54)")</f>
        <v>=SUM(AA54:AE54)</v>
      </c>
      <c r="AA54" s="4" t="str">
        <f>HYPERLINK("http://141.218.60.56/~jnz1568/getInfo.php?workbook=08_01.xlsx&amp;sheet=A0&amp;row=54&amp;col=27&amp;number=&amp;sourceID=13","")</f>
        <v/>
      </c>
      <c r="AB54" s="4" t="str">
        <f>HYPERLINK("http://141.218.60.56/~jnz1568/getInfo.php?workbook=08_01.xlsx&amp;sheet=A0&amp;row=54&amp;col=28&amp;number=162000&amp;sourceID=13","162000")</f>
        <v>162000</v>
      </c>
      <c r="AC54" s="4" t="str">
        <f>HYPERLINK("http://141.218.60.56/~jnz1568/getInfo.php?workbook=08_01.xlsx&amp;sheet=A0&amp;row=54&amp;col=29&amp;number=&amp;sourceID=13","")</f>
        <v/>
      </c>
      <c r="AD54" s="4" t="str">
        <f>HYPERLINK("http://141.218.60.56/~jnz1568/getInfo.php?workbook=08_01.xlsx&amp;sheet=A0&amp;row=54&amp;col=30&amp;number=&amp;sourceID=13","")</f>
        <v/>
      </c>
      <c r="AE54" s="4" t="str">
        <f>HYPERLINK("http://141.218.60.56/~jnz1568/getInfo.php?workbook=08_01.xlsx&amp;sheet=A0&amp;row=54&amp;col=31&amp;number=&amp;sourceID=13","")</f>
        <v/>
      </c>
      <c r="AF54" s="4" t="str">
        <f>HYPERLINK("http://141.218.60.56/~jnz1568/getInfo.php?workbook=08_01.xlsx&amp;sheet=A0&amp;row=54&amp;col=32&amp;number=&amp;sourceID=20","")</f>
        <v/>
      </c>
    </row>
    <row r="55" spans="1:32">
      <c r="A55" s="3">
        <v>8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HYPERLINK("http://141.218.60.56/~jnz1568/getInfo.php?workbook=08_01.xlsx&amp;sheet=A0&amp;row=55&amp;col=6&amp;number=&amp;sourceID=18","")</f>
        <v/>
      </c>
      <c r="G55" s="4" t="str">
        <f>HYPERLINK("http://141.218.60.56/~jnz1568/getInfo.php?workbook=08_01.xlsx&amp;sheet=A0&amp;row=55&amp;col=7&amp;number==&amp;sourceID=11","=")</f>
        <v>=</v>
      </c>
      <c r="H55" s="4" t="str">
        <f>HYPERLINK("http://141.218.60.56/~jnz1568/getInfo.php?workbook=08_01.xlsx&amp;sheet=A0&amp;row=55&amp;col=8&amp;number=&amp;sourceID=11","")</f>
        <v/>
      </c>
      <c r="I55" s="4" t="str">
        <f>HYPERLINK("http://141.218.60.56/~jnz1568/getInfo.php?workbook=08_01.xlsx&amp;sheet=A0&amp;row=55&amp;col=9&amp;number=85621000&amp;sourceID=11","85621000")</f>
        <v>85621000</v>
      </c>
      <c r="J55" s="4" t="str">
        <f>HYPERLINK("http://141.218.60.56/~jnz1568/getInfo.php?workbook=08_01.xlsx&amp;sheet=A0&amp;row=55&amp;col=10&amp;number=&amp;sourceID=11","")</f>
        <v/>
      </c>
      <c r="K55" s="4" t="str">
        <f>HYPERLINK("http://141.218.60.56/~jnz1568/getInfo.php?workbook=08_01.xlsx&amp;sheet=A0&amp;row=55&amp;col=11&amp;number=4.6459&amp;sourceID=11","4.6459")</f>
        <v>4.6459</v>
      </c>
      <c r="L55" s="4" t="str">
        <f>HYPERLINK("http://141.218.60.56/~jnz1568/getInfo.php?workbook=08_01.xlsx&amp;sheet=A0&amp;row=55&amp;col=12&amp;number=&amp;sourceID=11","")</f>
        <v/>
      </c>
      <c r="M55" s="4" t="str">
        <f>HYPERLINK("http://141.218.60.56/~jnz1568/getInfo.php?workbook=08_01.xlsx&amp;sheet=A0&amp;row=55&amp;col=13&amp;number=&amp;sourceID=11","")</f>
        <v/>
      </c>
      <c r="N55" s="4" t="str">
        <f>HYPERLINK("http://141.218.60.56/~jnz1568/getInfo.php?workbook=08_01.xlsx&amp;sheet=A0&amp;row=55&amp;col=14&amp;number=85624000&amp;sourceID=12","85624000")</f>
        <v>85624000</v>
      </c>
      <c r="O55" s="4" t="str">
        <f>HYPERLINK("http://141.218.60.56/~jnz1568/getInfo.php?workbook=08_01.xlsx&amp;sheet=A0&amp;row=55&amp;col=15&amp;number=&amp;sourceID=12","")</f>
        <v/>
      </c>
      <c r="P55" s="4" t="str">
        <f>HYPERLINK("http://141.218.60.56/~jnz1568/getInfo.php?workbook=08_01.xlsx&amp;sheet=A0&amp;row=55&amp;col=16&amp;number=85624000&amp;sourceID=12","85624000")</f>
        <v>85624000</v>
      </c>
      <c r="Q55" s="4" t="str">
        <f>HYPERLINK("http://141.218.60.56/~jnz1568/getInfo.php?workbook=08_01.xlsx&amp;sheet=A0&amp;row=55&amp;col=17&amp;number=&amp;sourceID=12","")</f>
        <v/>
      </c>
      <c r="R55" s="4" t="str">
        <f>HYPERLINK("http://141.218.60.56/~jnz1568/getInfo.php?workbook=08_01.xlsx&amp;sheet=A0&amp;row=55&amp;col=18&amp;number=4.648&amp;sourceID=12","4.648")</f>
        <v>4.648</v>
      </c>
      <c r="S55" s="4" t="str">
        <f>HYPERLINK("http://141.218.60.56/~jnz1568/getInfo.php?workbook=08_01.xlsx&amp;sheet=A0&amp;row=55&amp;col=19&amp;number=&amp;sourceID=12","")</f>
        <v/>
      </c>
      <c r="T55" s="4" t="str">
        <f>HYPERLINK("http://141.218.60.56/~jnz1568/getInfo.php?workbook=08_01.xlsx&amp;sheet=A0&amp;row=55&amp;col=20&amp;number=&amp;sourceID=12","")</f>
        <v/>
      </c>
      <c r="U55" s="4" t="str">
        <f>HYPERLINK("http://141.218.60.56/~jnz1568/getInfo.php?workbook=08_01.xlsx&amp;sheet=A0&amp;row=55&amp;col=21&amp;number=85620004.646&amp;sourceID=30","85620004.646")</f>
        <v>85620004.646</v>
      </c>
      <c r="V55" s="4" t="str">
        <f>HYPERLINK("http://141.218.60.56/~jnz1568/getInfo.php?workbook=08_01.xlsx&amp;sheet=A0&amp;row=55&amp;col=22&amp;number=&amp;sourceID=30","")</f>
        <v/>
      </c>
      <c r="W55" s="4" t="str">
        <f>HYPERLINK("http://141.218.60.56/~jnz1568/getInfo.php?workbook=08_01.xlsx&amp;sheet=A0&amp;row=55&amp;col=23&amp;number=85620000&amp;sourceID=30","85620000")</f>
        <v>85620000</v>
      </c>
      <c r="X55" s="4" t="str">
        <f>HYPERLINK("http://141.218.60.56/~jnz1568/getInfo.php?workbook=08_01.xlsx&amp;sheet=A0&amp;row=55&amp;col=24&amp;number=4.646&amp;sourceID=30","4.646")</f>
        <v>4.646</v>
      </c>
      <c r="Y55" s="4" t="str">
        <f>HYPERLINK("http://141.218.60.56/~jnz1568/getInfo.php?workbook=08_01.xlsx&amp;sheet=A0&amp;row=55&amp;col=25&amp;number=&amp;sourceID=30","")</f>
        <v/>
      </c>
      <c r="Z55" s="4" t="str">
        <f>HYPERLINK("http://141.218.60.56/~jnz1568/getInfo.php?workbook=08_01.xlsx&amp;sheet=A0&amp;row=55&amp;col=26&amp;number==SUM(AA55:AE55)&amp;sourceID=13","=SUM(AA55:AE55)")</f>
        <v>=SUM(AA55:AE55)</v>
      </c>
      <c r="AA55" s="4" t="str">
        <f>HYPERLINK("http://141.218.60.56/~jnz1568/getInfo.php?workbook=08_01.xlsx&amp;sheet=A0&amp;row=55&amp;col=27&amp;number=&amp;sourceID=13","")</f>
        <v/>
      </c>
      <c r="AB55" s="4" t="str">
        <f>HYPERLINK("http://141.218.60.56/~jnz1568/getInfo.php?workbook=08_01.xlsx&amp;sheet=A0&amp;row=55&amp;col=28&amp;number=92200000&amp;sourceID=13","92200000")</f>
        <v>92200000</v>
      </c>
      <c r="AC55" s="4" t="str">
        <f>HYPERLINK("http://141.218.60.56/~jnz1568/getInfo.php?workbook=08_01.xlsx&amp;sheet=A0&amp;row=55&amp;col=29&amp;number=&amp;sourceID=13","")</f>
        <v/>
      </c>
      <c r="AD55" s="4" t="str">
        <f>HYPERLINK("http://141.218.60.56/~jnz1568/getInfo.php?workbook=08_01.xlsx&amp;sheet=A0&amp;row=55&amp;col=30&amp;number=12.1&amp;sourceID=13","12.1")</f>
        <v>12.1</v>
      </c>
      <c r="AE55" s="4" t="str">
        <f>HYPERLINK("http://141.218.60.56/~jnz1568/getInfo.php?workbook=08_01.xlsx&amp;sheet=A0&amp;row=55&amp;col=31&amp;number=&amp;sourceID=13","")</f>
        <v/>
      </c>
      <c r="AF55" s="4" t="str">
        <f>HYPERLINK("http://141.218.60.56/~jnz1568/getInfo.php?workbook=08_01.xlsx&amp;sheet=A0&amp;row=55&amp;col=32&amp;number=&amp;sourceID=20","")</f>
        <v/>
      </c>
    </row>
    <row r="56" spans="1:32">
      <c r="A56" s="3">
        <v>8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HYPERLINK("http://141.218.60.56/~jnz1568/getInfo.php?workbook=08_01.xlsx&amp;sheet=A0&amp;row=56&amp;col=6&amp;number=&amp;sourceID=18","")</f>
        <v/>
      </c>
      <c r="G56" s="4" t="str">
        <f>HYPERLINK("http://141.218.60.56/~jnz1568/getInfo.php?workbook=08_01.xlsx&amp;sheet=A0&amp;row=56&amp;col=7&amp;number==&amp;sourceID=11","=")</f>
        <v>=</v>
      </c>
      <c r="H56" s="4" t="str">
        <f>HYPERLINK("http://141.218.60.56/~jnz1568/getInfo.php?workbook=08_01.xlsx&amp;sheet=A0&amp;row=56&amp;col=8&amp;number=70598000000&amp;sourceID=11","70598000000")</f>
        <v>70598000000</v>
      </c>
      <c r="I56" s="4" t="str">
        <f>HYPERLINK("http://141.218.60.56/~jnz1568/getInfo.php?workbook=08_01.xlsx&amp;sheet=A0&amp;row=56&amp;col=9&amp;number=&amp;sourceID=11","")</f>
        <v/>
      </c>
      <c r="J56" s="4" t="str">
        <f>HYPERLINK("http://141.218.60.56/~jnz1568/getInfo.php?workbook=08_01.xlsx&amp;sheet=A0&amp;row=56&amp;col=10&amp;number=&amp;sourceID=11","")</f>
        <v/>
      </c>
      <c r="K56" s="4" t="str">
        <f>HYPERLINK("http://141.218.60.56/~jnz1568/getInfo.php?workbook=08_01.xlsx&amp;sheet=A0&amp;row=56&amp;col=11&amp;number=&amp;sourceID=11","")</f>
        <v/>
      </c>
      <c r="L56" s="4" t="str">
        <f>HYPERLINK("http://141.218.60.56/~jnz1568/getInfo.php?workbook=08_01.xlsx&amp;sheet=A0&amp;row=56&amp;col=12&amp;number=54.137&amp;sourceID=11","54.137")</f>
        <v>54.137</v>
      </c>
      <c r="M56" s="4" t="str">
        <f>HYPERLINK("http://141.218.60.56/~jnz1568/getInfo.php?workbook=08_01.xlsx&amp;sheet=A0&amp;row=56&amp;col=13&amp;number=&amp;sourceID=11","")</f>
        <v/>
      </c>
      <c r="N56" s="4" t="str">
        <f>HYPERLINK("http://141.218.60.56/~jnz1568/getInfo.php?workbook=08_01.xlsx&amp;sheet=A0&amp;row=56&amp;col=14&amp;number=70601000000&amp;sourceID=12","70601000000")</f>
        <v>70601000000</v>
      </c>
      <c r="O56" s="4" t="str">
        <f>HYPERLINK("http://141.218.60.56/~jnz1568/getInfo.php?workbook=08_01.xlsx&amp;sheet=A0&amp;row=56&amp;col=15&amp;number=70601000000&amp;sourceID=12","70601000000")</f>
        <v>70601000000</v>
      </c>
      <c r="P56" s="4" t="str">
        <f>HYPERLINK("http://141.218.60.56/~jnz1568/getInfo.php?workbook=08_01.xlsx&amp;sheet=A0&amp;row=56&amp;col=16&amp;number=&amp;sourceID=12","")</f>
        <v/>
      </c>
      <c r="Q56" s="4" t="str">
        <f>HYPERLINK("http://141.218.60.56/~jnz1568/getInfo.php?workbook=08_01.xlsx&amp;sheet=A0&amp;row=56&amp;col=17&amp;number=&amp;sourceID=12","")</f>
        <v/>
      </c>
      <c r="R56" s="4" t="str">
        <f>HYPERLINK("http://141.218.60.56/~jnz1568/getInfo.php?workbook=08_01.xlsx&amp;sheet=A0&amp;row=56&amp;col=18&amp;number=&amp;sourceID=12","")</f>
        <v/>
      </c>
      <c r="S56" s="4" t="str">
        <f>HYPERLINK("http://141.218.60.56/~jnz1568/getInfo.php?workbook=08_01.xlsx&amp;sheet=A0&amp;row=56&amp;col=19&amp;number=54.139&amp;sourceID=12","54.139")</f>
        <v>54.139</v>
      </c>
      <c r="T56" s="4" t="str">
        <f>HYPERLINK("http://141.218.60.56/~jnz1568/getInfo.php?workbook=08_01.xlsx&amp;sheet=A0&amp;row=56&amp;col=20&amp;number=&amp;sourceID=12","")</f>
        <v/>
      </c>
      <c r="U56" s="4" t="str">
        <f>HYPERLINK("http://141.218.60.56/~jnz1568/getInfo.php?workbook=08_01.xlsx&amp;sheet=A0&amp;row=56&amp;col=21&amp;number=70600000054.1&amp;sourceID=30","70600000054.1")</f>
        <v>70600000054.1</v>
      </c>
      <c r="V56" s="4" t="str">
        <f>HYPERLINK("http://141.218.60.56/~jnz1568/getInfo.php?workbook=08_01.xlsx&amp;sheet=A0&amp;row=56&amp;col=22&amp;number=70600000000&amp;sourceID=30","70600000000")</f>
        <v>70600000000</v>
      </c>
      <c r="W56" s="4" t="str">
        <f>HYPERLINK("http://141.218.60.56/~jnz1568/getInfo.php?workbook=08_01.xlsx&amp;sheet=A0&amp;row=56&amp;col=23&amp;number=&amp;sourceID=30","")</f>
        <v/>
      </c>
      <c r="X56" s="4" t="str">
        <f>HYPERLINK("http://141.218.60.56/~jnz1568/getInfo.php?workbook=08_01.xlsx&amp;sheet=A0&amp;row=56&amp;col=24&amp;number=&amp;sourceID=30","")</f>
        <v/>
      </c>
      <c r="Y56" s="4" t="str">
        <f>HYPERLINK("http://141.218.60.56/~jnz1568/getInfo.php?workbook=08_01.xlsx&amp;sheet=A0&amp;row=56&amp;col=25&amp;number=54.14&amp;sourceID=30","54.14")</f>
        <v>54.14</v>
      </c>
      <c r="Z56" s="4" t="str">
        <f>HYPERLINK("http://141.218.60.56/~jnz1568/getInfo.php?workbook=08_01.xlsx&amp;sheet=A0&amp;row=56&amp;col=26&amp;number=&amp;sourceID=13","")</f>
        <v/>
      </c>
      <c r="AA56" s="4" t="str">
        <f>HYPERLINK("http://141.218.60.56/~jnz1568/getInfo.php?workbook=08_01.xlsx&amp;sheet=A0&amp;row=56&amp;col=27&amp;number=70300000000&amp;sourceID=13","70300000000")</f>
        <v>70300000000</v>
      </c>
      <c r="AB56" s="4" t="str">
        <f>HYPERLINK("http://141.218.60.56/~jnz1568/getInfo.php?workbook=08_01.xlsx&amp;sheet=A0&amp;row=56&amp;col=28&amp;number=&amp;sourceID=13","")</f>
        <v/>
      </c>
      <c r="AC56" s="4" t="str">
        <f>HYPERLINK("http://141.218.60.56/~jnz1568/getInfo.php?workbook=08_01.xlsx&amp;sheet=A0&amp;row=56&amp;col=29&amp;number=&amp;sourceID=13","")</f>
        <v/>
      </c>
      <c r="AD56" s="4" t="str">
        <f>HYPERLINK("http://141.218.60.56/~jnz1568/getInfo.php?workbook=08_01.xlsx&amp;sheet=A0&amp;row=56&amp;col=30&amp;number=&amp;sourceID=13","")</f>
        <v/>
      </c>
      <c r="AE56" s="4" t="str">
        <f>HYPERLINK("http://141.218.60.56/~jnz1568/getInfo.php?workbook=08_01.xlsx&amp;sheet=A0&amp;row=56&amp;col=31&amp;number=&amp;sourceID=13","")</f>
        <v/>
      </c>
      <c r="AF56" s="4" t="str">
        <f>HYPERLINK("http://141.218.60.56/~jnz1568/getInfo.php?workbook=08_01.xlsx&amp;sheet=A0&amp;row=56&amp;col=32&amp;number=&amp;sourceID=20","")</f>
        <v/>
      </c>
    </row>
    <row r="57" spans="1:32">
      <c r="A57" s="3">
        <v>8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HYPERLINK("http://141.218.60.56/~jnz1568/getInfo.php?workbook=08_01.xlsx&amp;sheet=A0&amp;row=57&amp;col=6&amp;number=&amp;sourceID=18","")</f>
        <v/>
      </c>
      <c r="G57" s="4" t="str">
        <f>HYPERLINK("http://141.218.60.56/~jnz1568/getInfo.php?workbook=08_01.xlsx&amp;sheet=A0&amp;row=57&amp;col=7&amp;number==&amp;sourceID=11","=")</f>
        <v>=</v>
      </c>
      <c r="H57" s="4" t="str">
        <f>HYPERLINK("http://141.218.60.56/~jnz1568/getInfo.php?workbook=08_01.xlsx&amp;sheet=A0&amp;row=57&amp;col=8&amp;number=&amp;sourceID=11","")</f>
        <v/>
      </c>
      <c r="I57" s="4" t="str">
        <f>HYPERLINK("http://141.218.60.56/~jnz1568/getInfo.php?workbook=08_01.xlsx&amp;sheet=A0&amp;row=57&amp;col=9&amp;number=1361800&amp;sourceID=11","1361800")</f>
        <v>1361800</v>
      </c>
      <c r="J57" s="4" t="str">
        <f>HYPERLINK("http://141.218.60.56/~jnz1568/getInfo.php?workbook=08_01.xlsx&amp;sheet=A0&amp;row=57&amp;col=10&amp;number=&amp;sourceID=11","")</f>
        <v/>
      </c>
      <c r="K57" s="4" t="str">
        <f>HYPERLINK("http://141.218.60.56/~jnz1568/getInfo.php?workbook=08_01.xlsx&amp;sheet=A0&amp;row=57&amp;col=11&amp;number=0.065158&amp;sourceID=11","0.065158")</f>
        <v>0.065158</v>
      </c>
      <c r="L57" s="4" t="str">
        <f>HYPERLINK("http://141.218.60.56/~jnz1568/getInfo.php?workbook=08_01.xlsx&amp;sheet=A0&amp;row=57&amp;col=12&amp;number=&amp;sourceID=11","")</f>
        <v/>
      </c>
      <c r="M57" s="4" t="str">
        <f>HYPERLINK("http://141.218.60.56/~jnz1568/getInfo.php?workbook=08_01.xlsx&amp;sheet=A0&amp;row=57&amp;col=13&amp;number=&amp;sourceID=11","")</f>
        <v/>
      </c>
      <c r="N57" s="4" t="str">
        <f>HYPERLINK("http://141.218.60.56/~jnz1568/getInfo.php?workbook=08_01.xlsx&amp;sheet=A0&amp;row=57&amp;col=14&amp;number=1361900&amp;sourceID=12","1361900")</f>
        <v>1361900</v>
      </c>
      <c r="O57" s="4" t="str">
        <f>HYPERLINK("http://141.218.60.56/~jnz1568/getInfo.php?workbook=08_01.xlsx&amp;sheet=A0&amp;row=57&amp;col=15&amp;number=&amp;sourceID=12","")</f>
        <v/>
      </c>
      <c r="P57" s="4" t="str">
        <f>HYPERLINK("http://141.218.60.56/~jnz1568/getInfo.php?workbook=08_01.xlsx&amp;sheet=A0&amp;row=57&amp;col=16&amp;number=1361900&amp;sourceID=12","1361900")</f>
        <v>1361900</v>
      </c>
      <c r="Q57" s="4" t="str">
        <f>HYPERLINK("http://141.218.60.56/~jnz1568/getInfo.php?workbook=08_01.xlsx&amp;sheet=A0&amp;row=57&amp;col=17&amp;number=&amp;sourceID=12","")</f>
        <v/>
      </c>
      <c r="R57" s="4" t="str">
        <f>HYPERLINK("http://141.218.60.56/~jnz1568/getInfo.php?workbook=08_01.xlsx&amp;sheet=A0&amp;row=57&amp;col=18&amp;number=0.065162&amp;sourceID=12","0.065162")</f>
        <v>0.065162</v>
      </c>
      <c r="S57" s="4" t="str">
        <f>HYPERLINK("http://141.218.60.56/~jnz1568/getInfo.php?workbook=08_01.xlsx&amp;sheet=A0&amp;row=57&amp;col=19&amp;number=&amp;sourceID=12","")</f>
        <v/>
      </c>
      <c r="T57" s="4" t="str">
        <f>HYPERLINK("http://141.218.60.56/~jnz1568/getInfo.php?workbook=08_01.xlsx&amp;sheet=A0&amp;row=57&amp;col=20&amp;number=&amp;sourceID=12","")</f>
        <v/>
      </c>
      <c r="U57" s="4" t="str">
        <f>HYPERLINK("http://141.218.60.56/~jnz1568/getInfo.php?workbook=08_01.xlsx&amp;sheet=A0&amp;row=57&amp;col=21&amp;number=1362000.06515&amp;sourceID=30","1362000.06515")</f>
        <v>1362000.06515</v>
      </c>
      <c r="V57" s="4" t="str">
        <f>HYPERLINK("http://141.218.60.56/~jnz1568/getInfo.php?workbook=08_01.xlsx&amp;sheet=A0&amp;row=57&amp;col=22&amp;number=&amp;sourceID=30","")</f>
        <v/>
      </c>
      <c r="W57" s="4" t="str">
        <f>HYPERLINK("http://141.218.60.56/~jnz1568/getInfo.php?workbook=08_01.xlsx&amp;sheet=A0&amp;row=57&amp;col=23&amp;number=1362000&amp;sourceID=30","1362000")</f>
        <v>1362000</v>
      </c>
      <c r="X57" s="4" t="str">
        <f>HYPERLINK("http://141.218.60.56/~jnz1568/getInfo.php?workbook=08_01.xlsx&amp;sheet=A0&amp;row=57&amp;col=24&amp;number=0.06515&amp;sourceID=30","0.06515")</f>
        <v>0.06515</v>
      </c>
      <c r="Y57" s="4" t="str">
        <f>HYPERLINK("http://141.218.60.56/~jnz1568/getInfo.php?workbook=08_01.xlsx&amp;sheet=A0&amp;row=57&amp;col=25&amp;number=&amp;sourceID=30","")</f>
        <v/>
      </c>
      <c r="Z57" s="4" t="str">
        <f>HYPERLINK("http://141.218.60.56/~jnz1568/getInfo.php?workbook=08_01.xlsx&amp;sheet=A0&amp;row=57&amp;col=26&amp;number==SUM(AA57:AE57)&amp;sourceID=13","=SUM(AA57:AE57)")</f>
        <v>=SUM(AA57:AE57)</v>
      </c>
      <c r="AA57" s="4" t="str">
        <f>HYPERLINK("http://141.218.60.56/~jnz1568/getInfo.php?workbook=08_01.xlsx&amp;sheet=A0&amp;row=57&amp;col=27&amp;number=&amp;sourceID=13","")</f>
        <v/>
      </c>
      <c r="AB57" s="4" t="str">
        <f>HYPERLINK("http://141.218.60.56/~jnz1568/getInfo.php?workbook=08_01.xlsx&amp;sheet=A0&amp;row=57&amp;col=28&amp;number=1330000&amp;sourceID=13","1330000")</f>
        <v>1330000</v>
      </c>
      <c r="AC57" s="4" t="str">
        <f>HYPERLINK("http://141.218.60.56/~jnz1568/getInfo.php?workbook=08_01.xlsx&amp;sheet=A0&amp;row=57&amp;col=29&amp;number=&amp;sourceID=13","")</f>
        <v/>
      </c>
      <c r="AD57" s="4" t="str">
        <f>HYPERLINK("http://141.218.60.56/~jnz1568/getInfo.php?workbook=08_01.xlsx&amp;sheet=A0&amp;row=57&amp;col=30&amp;number=0.142&amp;sourceID=13","0.142")</f>
        <v>0.142</v>
      </c>
      <c r="AE57" s="4" t="str">
        <f>HYPERLINK("http://141.218.60.56/~jnz1568/getInfo.php?workbook=08_01.xlsx&amp;sheet=A0&amp;row=57&amp;col=31&amp;number=&amp;sourceID=13","")</f>
        <v/>
      </c>
      <c r="AF57" s="4" t="str">
        <f>HYPERLINK("http://141.218.60.56/~jnz1568/getInfo.php?workbook=08_01.xlsx&amp;sheet=A0&amp;row=57&amp;col=32&amp;number=&amp;sourceID=20","")</f>
        <v/>
      </c>
    </row>
    <row r="58" spans="1:32">
      <c r="A58" s="3">
        <v>8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HYPERLINK("http://141.218.60.56/~jnz1568/getInfo.php?workbook=08_01.xlsx&amp;sheet=A0&amp;row=58&amp;col=6&amp;number=&amp;sourceID=18","")</f>
        <v/>
      </c>
      <c r="G58" s="4" t="str">
        <f>HYPERLINK("http://141.218.60.56/~jnz1568/getInfo.php?workbook=08_01.xlsx&amp;sheet=A0&amp;row=58&amp;col=7&amp;number==&amp;sourceID=11","=")</f>
        <v>=</v>
      </c>
      <c r="H58" s="4" t="str">
        <f>HYPERLINK("http://141.218.60.56/~jnz1568/getInfo.php?workbook=08_01.xlsx&amp;sheet=A0&amp;row=58&amp;col=8&amp;number=14078000000&amp;sourceID=11","14078000000")</f>
        <v>14078000000</v>
      </c>
      <c r="I58" s="4" t="str">
        <f>HYPERLINK("http://141.218.60.56/~jnz1568/getInfo.php?workbook=08_01.xlsx&amp;sheet=A0&amp;row=58&amp;col=9&amp;number=&amp;sourceID=11","")</f>
        <v/>
      </c>
      <c r="J58" s="4" t="str">
        <f>HYPERLINK("http://141.218.60.56/~jnz1568/getInfo.php?workbook=08_01.xlsx&amp;sheet=A0&amp;row=58&amp;col=10&amp;number=0.00021063&amp;sourceID=11","0.00021063")</f>
        <v>0.00021063</v>
      </c>
      <c r="K58" s="4" t="str">
        <f>HYPERLINK("http://141.218.60.56/~jnz1568/getInfo.php?workbook=08_01.xlsx&amp;sheet=A0&amp;row=58&amp;col=11&amp;number=&amp;sourceID=11","")</f>
        <v/>
      </c>
      <c r="L58" s="4" t="str">
        <f>HYPERLINK("http://141.218.60.56/~jnz1568/getInfo.php?workbook=08_01.xlsx&amp;sheet=A0&amp;row=58&amp;col=12&amp;number=&amp;sourceID=11","")</f>
        <v/>
      </c>
      <c r="M58" s="4" t="str">
        <f>HYPERLINK("http://141.218.60.56/~jnz1568/getInfo.php?workbook=08_01.xlsx&amp;sheet=A0&amp;row=58&amp;col=13&amp;number=&amp;sourceID=11","")</f>
        <v/>
      </c>
      <c r="N58" s="4" t="str">
        <f>HYPERLINK("http://141.218.60.56/~jnz1568/getInfo.php?workbook=08_01.xlsx&amp;sheet=A0&amp;row=58&amp;col=14&amp;number=14078000000&amp;sourceID=12","14078000000")</f>
        <v>14078000000</v>
      </c>
      <c r="O58" s="4" t="str">
        <f>HYPERLINK("http://141.218.60.56/~jnz1568/getInfo.php?workbook=08_01.xlsx&amp;sheet=A0&amp;row=58&amp;col=15&amp;number=14078000000&amp;sourceID=12","14078000000")</f>
        <v>14078000000</v>
      </c>
      <c r="P58" s="4" t="str">
        <f>HYPERLINK("http://141.218.60.56/~jnz1568/getInfo.php?workbook=08_01.xlsx&amp;sheet=A0&amp;row=58&amp;col=16&amp;number=&amp;sourceID=12","")</f>
        <v/>
      </c>
      <c r="Q58" s="4" t="str">
        <f>HYPERLINK("http://141.218.60.56/~jnz1568/getInfo.php?workbook=08_01.xlsx&amp;sheet=A0&amp;row=58&amp;col=17&amp;number=0.00021058&amp;sourceID=12","0.00021058")</f>
        <v>0.00021058</v>
      </c>
      <c r="R58" s="4" t="str">
        <f>HYPERLINK("http://141.218.60.56/~jnz1568/getInfo.php?workbook=08_01.xlsx&amp;sheet=A0&amp;row=58&amp;col=18&amp;number=&amp;sourceID=12","")</f>
        <v/>
      </c>
      <c r="S58" s="4" t="str">
        <f>HYPERLINK("http://141.218.60.56/~jnz1568/getInfo.php?workbook=08_01.xlsx&amp;sheet=A0&amp;row=58&amp;col=19&amp;number=&amp;sourceID=12","")</f>
        <v/>
      </c>
      <c r="T58" s="4" t="str">
        <f>HYPERLINK("http://141.218.60.56/~jnz1568/getInfo.php?workbook=08_01.xlsx&amp;sheet=A0&amp;row=58&amp;col=20&amp;number=&amp;sourceID=12","")</f>
        <v/>
      </c>
      <c r="U58" s="4" t="str">
        <f>HYPERLINK("http://141.218.60.56/~jnz1568/getInfo.php?workbook=08_01.xlsx&amp;sheet=A0&amp;row=58&amp;col=21&amp;number=14080000000&amp;sourceID=30","14080000000")</f>
        <v>14080000000</v>
      </c>
      <c r="V58" s="4" t="str">
        <f>HYPERLINK("http://141.218.60.56/~jnz1568/getInfo.php?workbook=08_01.xlsx&amp;sheet=A0&amp;row=58&amp;col=22&amp;number=14080000000&amp;sourceID=30","14080000000")</f>
        <v>14080000000</v>
      </c>
      <c r="W58" s="4" t="str">
        <f>HYPERLINK("http://141.218.60.56/~jnz1568/getInfo.php?workbook=08_01.xlsx&amp;sheet=A0&amp;row=58&amp;col=23&amp;number=&amp;sourceID=30","")</f>
        <v/>
      </c>
      <c r="X58" s="4" t="str">
        <f>HYPERLINK("http://141.218.60.56/~jnz1568/getInfo.php?workbook=08_01.xlsx&amp;sheet=A0&amp;row=58&amp;col=24&amp;number=&amp;sourceID=30","")</f>
        <v/>
      </c>
      <c r="Y58" s="4" t="str">
        <f>HYPERLINK("http://141.218.60.56/~jnz1568/getInfo.php?workbook=08_01.xlsx&amp;sheet=A0&amp;row=58&amp;col=25&amp;number=&amp;sourceID=30","")</f>
        <v/>
      </c>
      <c r="Z58" s="4" t="str">
        <f>HYPERLINK("http://141.218.60.56/~jnz1568/getInfo.php?workbook=08_01.xlsx&amp;sheet=A0&amp;row=58&amp;col=26&amp;number=&amp;sourceID=13","")</f>
        <v/>
      </c>
      <c r="AA58" s="4" t="str">
        <f>HYPERLINK("http://141.218.60.56/~jnz1568/getInfo.php?workbook=08_01.xlsx&amp;sheet=A0&amp;row=58&amp;col=27&amp;number=14000000000&amp;sourceID=13","14000000000")</f>
        <v>14000000000</v>
      </c>
      <c r="AB58" s="4" t="str">
        <f>HYPERLINK("http://141.218.60.56/~jnz1568/getInfo.php?workbook=08_01.xlsx&amp;sheet=A0&amp;row=58&amp;col=28&amp;number=&amp;sourceID=13","")</f>
        <v/>
      </c>
      <c r="AC58" s="4" t="str">
        <f>HYPERLINK("http://141.218.60.56/~jnz1568/getInfo.php?workbook=08_01.xlsx&amp;sheet=A0&amp;row=58&amp;col=29&amp;number=&amp;sourceID=13","")</f>
        <v/>
      </c>
      <c r="AD58" s="4" t="str">
        <f>HYPERLINK("http://141.218.60.56/~jnz1568/getInfo.php?workbook=08_01.xlsx&amp;sheet=A0&amp;row=58&amp;col=30&amp;number=&amp;sourceID=13","")</f>
        <v/>
      </c>
      <c r="AE58" s="4" t="str">
        <f>HYPERLINK("http://141.218.60.56/~jnz1568/getInfo.php?workbook=08_01.xlsx&amp;sheet=A0&amp;row=58&amp;col=31&amp;number=&amp;sourceID=13","")</f>
        <v/>
      </c>
      <c r="AF58" s="4" t="str">
        <f>HYPERLINK("http://141.218.60.56/~jnz1568/getInfo.php?workbook=08_01.xlsx&amp;sheet=A0&amp;row=58&amp;col=32&amp;number=&amp;sourceID=20","")</f>
        <v/>
      </c>
    </row>
    <row r="59" spans="1:32">
      <c r="A59" s="3">
        <v>8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HYPERLINK("http://141.218.60.56/~jnz1568/getInfo.php?workbook=08_01.xlsx&amp;sheet=A0&amp;row=59&amp;col=6&amp;number=&amp;sourceID=18","")</f>
        <v/>
      </c>
      <c r="G59" s="4" t="str">
        <f>HYPERLINK("http://141.218.60.56/~jnz1568/getInfo.php?workbook=08_01.xlsx&amp;sheet=A0&amp;row=59&amp;col=7&amp;number==&amp;sourceID=11","=")</f>
        <v>=</v>
      </c>
      <c r="H59" s="4" t="str">
        <f>HYPERLINK("http://141.218.60.56/~jnz1568/getInfo.php?workbook=08_01.xlsx&amp;sheet=A0&amp;row=59&amp;col=8&amp;number=24035000000&amp;sourceID=11","24035000000")</f>
        <v>24035000000</v>
      </c>
      <c r="I59" s="4" t="str">
        <f>HYPERLINK("http://141.218.60.56/~jnz1568/getInfo.php?workbook=08_01.xlsx&amp;sheet=A0&amp;row=59&amp;col=9&amp;number=&amp;sourceID=11","")</f>
        <v/>
      </c>
      <c r="J59" s="4" t="str">
        <f>HYPERLINK("http://141.218.60.56/~jnz1568/getInfo.php?workbook=08_01.xlsx&amp;sheet=A0&amp;row=59&amp;col=10&amp;number=&amp;sourceID=11","")</f>
        <v/>
      </c>
      <c r="K59" s="4" t="str">
        <f>HYPERLINK("http://141.218.60.56/~jnz1568/getInfo.php?workbook=08_01.xlsx&amp;sheet=A0&amp;row=59&amp;col=11&amp;number=&amp;sourceID=11","")</f>
        <v/>
      </c>
      <c r="L59" s="4" t="str">
        <f>HYPERLINK("http://141.218.60.56/~jnz1568/getInfo.php?workbook=08_01.xlsx&amp;sheet=A0&amp;row=59&amp;col=12&amp;number=1.2406&amp;sourceID=11","1.2406")</f>
        <v>1.2406</v>
      </c>
      <c r="M59" s="4" t="str">
        <f>HYPERLINK("http://141.218.60.56/~jnz1568/getInfo.php?workbook=08_01.xlsx&amp;sheet=A0&amp;row=59&amp;col=13&amp;number=&amp;sourceID=11","")</f>
        <v/>
      </c>
      <c r="N59" s="4" t="str">
        <f>HYPERLINK("http://141.218.60.56/~jnz1568/getInfo.php?workbook=08_01.xlsx&amp;sheet=A0&amp;row=59&amp;col=14&amp;number=24036000000&amp;sourceID=12","24036000000")</f>
        <v>24036000000</v>
      </c>
      <c r="O59" s="4" t="str">
        <f>HYPERLINK("http://141.218.60.56/~jnz1568/getInfo.php?workbook=08_01.xlsx&amp;sheet=A0&amp;row=59&amp;col=15&amp;number=24036000000&amp;sourceID=12","24036000000")</f>
        <v>24036000000</v>
      </c>
      <c r="P59" s="4" t="str">
        <f>HYPERLINK("http://141.218.60.56/~jnz1568/getInfo.php?workbook=08_01.xlsx&amp;sheet=A0&amp;row=59&amp;col=16&amp;number=&amp;sourceID=12","")</f>
        <v/>
      </c>
      <c r="Q59" s="4" t="str">
        <f>HYPERLINK("http://141.218.60.56/~jnz1568/getInfo.php?workbook=08_01.xlsx&amp;sheet=A0&amp;row=59&amp;col=17&amp;number=&amp;sourceID=12","")</f>
        <v/>
      </c>
      <c r="R59" s="4" t="str">
        <f>HYPERLINK("http://141.218.60.56/~jnz1568/getInfo.php?workbook=08_01.xlsx&amp;sheet=A0&amp;row=59&amp;col=18&amp;number=&amp;sourceID=12","")</f>
        <v/>
      </c>
      <c r="S59" s="4" t="str">
        <f>HYPERLINK("http://141.218.60.56/~jnz1568/getInfo.php?workbook=08_01.xlsx&amp;sheet=A0&amp;row=59&amp;col=19&amp;number=1.2406&amp;sourceID=12","1.2406")</f>
        <v>1.2406</v>
      </c>
      <c r="T59" s="4" t="str">
        <f>HYPERLINK("http://141.218.60.56/~jnz1568/getInfo.php?workbook=08_01.xlsx&amp;sheet=A0&amp;row=59&amp;col=20&amp;number=&amp;sourceID=12","")</f>
        <v/>
      </c>
      <c r="U59" s="4" t="str">
        <f>HYPERLINK("http://141.218.60.56/~jnz1568/getInfo.php?workbook=08_01.xlsx&amp;sheet=A0&amp;row=59&amp;col=21&amp;number=24040000001.2&amp;sourceID=30","24040000001.2")</f>
        <v>24040000001.2</v>
      </c>
      <c r="V59" s="4" t="str">
        <f>HYPERLINK("http://141.218.60.56/~jnz1568/getInfo.php?workbook=08_01.xlsx&amp;sheet=A0&amp;row=59&amp;col=22&amp;number=24040000000&amp;sourceID=30","24040000000")</f>
        <v>24040000000</v>
      </c>
      <c r="W59" s="4" t="str">
        <f>HYPERLINK("http://141.218.60.56/~jnz1568/getInfo.php?workbook=08_01.xlsx&amp;sheet=A0&amp;row=59&amp;col=23&amp;number=&amp;sourceID=30","")</f>
        <v/>
      </c>
      <c r="X59" s="4" t="str">
        <f>HYPERLINK("http://141.218.60.56/~jnz1568/getInfo.php?workbook=08_01.xlsx&amp;sheet=A0&amp;row=59&amp;col=24&amp;number=&amp;sourceID=30","")</f>
        <v/>
      </c>
      <c r="Y59" s="4" t="str">
        <f>HYPERLINK("http://141.218.60.56/~jnz1568/getInfo.php?workbook=08_01.xlsx&amp;sheet=A0&amp;row=59&amp;col=25&amp;number=1.241&amp;sourceID=30","1.241")</f>
        <v>1.241</v>
      </c>
      <c r="Z59" s="4" t="str">
        <f>HYPERLINK("http://141.218.60.56/~jnz1568/getInfo.php?workbook=08_01.xlsx&amp;sheet=A0&amp;row=59&amp;col=26&amp;number=&amp;sourceID=13","")</f>
        <v/>
      </c>
      <c r="AA59" s="4" t="str">
        <f>HYPERLINK("http://141.218.60.56/~jnz1568/getInfo.php?workbook=08_01.xlsx&amp;sheet=A0&amp;row=59&amp;col=27&amp;number=24000000000&amp;sourceID=13","24000000000")</f>
        <v>24000000000</v>
      </c>
      <c r="AB59" s="4" t="str">
        <f>HYPERLINK("http://141.218.60.56/~jnz1568/getInfo.php?workbook=08_01.xlsx&amp;sheet=A0&amp;row=59&amp;col=28&amp;number=&amp;sourceID=13","")</f>
        <v/>
      </c>
      <c r="AC59" s="4" t="str">
        <f>HYPERLINK("http://141.218.60.56/~jnz1568/getInfo.php?workbook=08_01.xlsx&amp;sheet=A0&amp;row=59&amp;col=29&amp;number=&amp;sourceID=13","")</f>
        <v/>
      </c>
      <c r="AD59" s="4" t="str">
        <f>HYPERLINK("http://141.218.60.56/~jnz1568/getInfo.php?workbook=08_01.xlsx&amp;sheet=A0&amp;row=59&amp;col=30&amp;number=&amp;sourceID=13","")</f>
        <v/>
      </c>
      <c r="AE59" s="4" t="str">
        <f>HYPERLINK("http://141.218.60.56/~jnz1568/getInfo.php?workbook=08_01.xlsx&amp;sheet=A0&amp;row=59&amp;col=31&amp;number=&amp;sourceID=13","")</f>
        <v/>
      </c>
      <c r="AF59" s="4" t="str">
        <f>HYPERLINK("http://141.218.60.56/~jnz1568/getInfo.php?workbook=08_01.xlsx&amp;sheet=A0&amp;row=59&amp;col=32&amp;number=&amp;sourceID=20","")</f>
        <v/>
      </c>
    </row>
    <row r="60" spans="1:32">
      <c r="A60" s="3">
        <v>8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HYPERLINK("http://141.218.60.56/~jnz1568/getInfo.php?workbook=08_01.xlsx&amp;sheet=A0&amp;row=60&amp;col=6&amp;number=&amp;sourceID=18","")</f>
        <v/>
      </c>
      <c r="G60" s="4" t="str">
        <f>HYPERLINK("http://141.218.60.56/~jnz1568/getInfo.php?workbook=08_01.xlsx&amp;sheet=A0&amp;row=60&amp;col=7&amp;number==&amp;sourceID=11","=")</f>
        <v>=</v>
      </c>
      <c r="H60" s="4" t="str">
        <f>HYPERLINK("http://141.218.60.56/~jnz1568/getInfo.php?workbook=08_01.xlsx&amp;sheet=A0&amp;row=60&amp;col=8&amp;number=&amp;sourceID=11","")</f>
        <v/>
      </c>
      <c r="I60" s="4" t="str">
        <f>HYPERLINK("http://141.218.60.56/~jnz1568/getInfo.php?workbook=08_01.xlsx&amp;sheet=A0&amp;row=60&amp;col=9&amp;number=989360&amp;sourceID=11","989360")</f>
        <v>989360</v>
      </c>
      <c r="J60" s="4" t="str">
        <f>HYPERLINK("http://141.218.60.56/~jnz1568/getInfo.php?workbook=08_01.xlsx&amp;sheet=A0&amp;row=60&amp;col=10&amp;number=&amp;sourceID=11","")</f>
        <v/>
      </c>
      <c r="K60" s="4" t="str">
        <f>HYPERLINK("http://141.218.60.56/~jnz1568/getInfo.php?workbook=08_01.xlsx&amp;sheet=A0&amp;row=60&amp;col=11&amp;number=0.00058193&amp;sourceID=11","0.00058193")</f>
        <v>0.00058193</v>
      </c>
      <c r="L60" s="4" t="str">
        <f>HYPERLINK("http://141.218.60.56/~jnz1568/getInfo.php?workbook=08_01.xlsx&amp;sheet=A0&amp;row=60&amp;col=12&amp;number=&amp;sourceID=11","")</f>
        <v/>
      </c>
      <c r="M60" s="4" t="str">
        <f>HYPERLINK("http://141.218.60.56/~jnz1568/getInfo.php?workbook=08_01.xlsx&amp;sheet=A0&amp;row=60&amp;col=13&amp;number=&amp;sourceID=11","")</f>
        <v/>
      </c>
      <c r="N60" s="4" t="str">
        <f>HYPERLINK("http://141.218.60.56/~jnz1568/getInfo.php?workbook=08_01.xlsx&amp;sheet=A0&amp;row=60&amp;col=14&amp;number=989390&amp;sourceID=12","989390")</f>
        <v>989390</v>
      </c>
      <c r="O60" s="4" t="str">
        <f>HYPERLINK("http://141.218.60.56/~jnz1568/getInfo.php?workbook=08_01.xlsx&amp;sheet=A0&amp;row=60&amp;col=15&amp;number=&amp;sourceID=12","")</f>
        <v/>
      </c>
      <c r="P60" s="4" t="str">
        <f>HYPERLINK("http://141.218.60.56/~jnz1568/getInfo.php?workbook=08_01.xlsx&amp;sheet=A0&amp;row=60&amp;col=16&amp;number=989390&amp;sourceID=12","989390")</f>
        <v>989390</v>
      </c>
      <c r="Q60" s="4" t="str">
        <f>HYPERLINK("http://141.218.60.56/~jnz1568/getInfo.php?workbook=08_01.xlsx&amp;sheet=A0&amp;row=60&amp;col=17&amp;number=&amp;sourceID=12","")</f>
        <v/>
      </c>
      <c r="R60" s="4" t="str">
        <f>HYPERLINK("http://141.218.60.56/~jnz1568/getInfo.php?workbook=08_01.xlsx&amp;sheet=A0&amp;row=60&amp;col=18&amp;number=0.00058195&amp;sourceID=12","0.00058195")</f>
        <v>0.00058195</v>
      </c>
      <c r="S60" s="4" t="str">
        <f>HYPERLINK("http://141.218.60.56/~jnz1568/getInfo.php?workbook=08_01.xlsx&amp;sheet=A0&amp;row=60&amp;col=19&amp;number=&amp;sourceID=12","")</f>
        <v/>
      </c>
      <c r="T60" s="4" t="str">
        <f>HYPERLINK("http://141.218.60.56/~jnz1568/getInfo.php?workbook=08_01.xlsx&amp;sheet=A0&amp;row=60&amp;col=20&amp;number=&amp;sourceID=12","")</f>
        <v/>
      </c>
      <c r="U60" s="4" t="str">
        <f>HYPERLINK("http://141.218.60.56/~jnz1568/getInfo.php?workbook=08_01.xlsx&amp;sheet=A0&amp;row=60&amp;col=21&amp;number=989400.000581&amp;sourceID=30","989400.000581")</f>
        <v>989400.000581</v>
      </c>
      <c r="V60" s="4" t="str">
        <f>HYPERLINK("http://141.218.60.56/~jnz1568/getInfo.php?workbook=08_01.xlsx&amp;sheet=A0&amp;row=60&amp;col=22&amp;number=&amp;sourceID=30","")</f>
        <v/>
      </c>
      <c r="W60" s="4" t="str">
        <f>HYPERLINK("http://141.218.60.56/~jnz1568/getInfo.php?workbook=08_01.xlsx&amp;sheet=A0&amp;row=60&amp;col=23&amp;number=989400&amp;sourceID=30","989400")</f>
        <v>989400</v>
      </c>
      <c r="X60" s="4" t="str">
        <f>HYPERLINK("http://141.218.60.56/~jnz1568/getInfo.php?workbook=08_01.xlsx&amp;sheet=A0&amp;row=60&amp;col=24&amp;number=0.0005814&amp;sourceID=30","0.0005814")</f>
        <v>0.0005814</v>
      </c>
      <c r="Y60" s="4" t="str">
        <f>HYPERLINK("http://141.218.60.56/~jnz1568/getInfo.php?workbook=08_01.xlsx&amp;sheet=A0&amp;row=60&amp;col=25&amp;number=&amp;sourceID=30","")</f>
        <v/>
      </c>
      <c r="Z60" s="4" t="str">
        <f>HYPERLINK("http://141.218.60.56/~jnz1568/getInfo.php?workbook=08_01.xlsx&amp;sheet=A0&amp;row=60&amp;col=26&amp;number==SUM(AA60:AE60)&amp;sourceID=13","=SUM(AA60:AE60)")</f>
        <v>=SUM(AA60:AE60)</v>
      </c>
      <c r="AA60" s="4" t="str">
        <f>HYPERLINK("http://141.218.60.56/~jnz1568/getInfo.php?workbook=08_01.xlsx&amp;sheet=A0&amp;row=60&amp;col=27&amp;number=&amp;sourceID=13","")</f>
        <v/>
      </c>
      <c r="AB60" s="4" t="str">
        <f>HYPERLINK("http://141.218.60.56/~jnz1568/getInfo.php?workbook=08_01.xlsx&amp;sheet=A0&amp;row=60&amp;col=28&amp;number=987000&amp;sourceID=13","987000")</f>
        <v>987000</v>
      </c>
      <c r="AC60" s="4" t="str">
        <f>HYPERLINK("http://141.218.60.56/~jnz1568/getInfo.php?workbook=08_01.xlsx&amp;sheet=A0&amp;row=60&amp;col=29&amp;number=&amp;sourceID=13","")</f>
        <v/>
      </c>
      <c r="AD60" s="4" t="str">
        <f>HYPERLINK("http://141.218.60.56/~jnz1568/getInfo.php?workbook=08_01.xlsx&amp;sheet=A0&amp;row=60&amp;col=30&amp;number=0.000924&amp;sourceID=13","0.000924")</f>
        <v>0.000924</v>
      </c>
      <c r="AE60" s="4" t="str">
        <f>HYPERLINK("http://141.218.60.56/~jnz1568/getInfo.php?workbook=08_01.xlsx&amp;sheet=A0&amp;row=60&amp;col=31&amp;number=&amp;sourceID=13","")</f>
        <v/>
      </c>
      <c r="AF60" s="4" t="str">
        <f>HYPERLINK("http://141.218.60.56/~jnz1568/getInfo.php?workbook=08_01.xlsx&amp;sheet=A0&amp;row=60&amp;col=32&amp;number=&amp;sourceID=20","")</f>
        <v/>
      </c>
    </row>
    <row r="61" spans="1:32">
      <c r="A61" s="3">
        <v>8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HYPERLINK("http://141.218.60.56/~jnz1568/getInfo.php?workbook=08_01.xlsx&amp;sheet=A0&amp;row=61&amp;col=6&amp;number=&amp;sourceID=18","")</f>
        <v/>
      </c>
      <c r="G61" s="4" t="str">
        <f>HYPERLINK("http://141.218.60.56/~jnz1568/getInfo.php?workbook=08_01.xlsx&amp;sheet=A0&amp;row=61&amp;col=7&amp;number==&amp;sourceID=11","=")</f>
        <v>=</v>
      </c>
      <c r="H61" s="4" t="str">
        <f>HYPERLINK("http://141.218.60.56/~jnz1568/getInfo.php?workbook=08_01.xlsx&amp;sheet=A0&amp;row=61&amp;col=8&amp;number=&amp;sourceID=11","")</f>
        <v/>
      </c>
      <c r="I61" s="4" t="str">
        <f>HYPERLINK("http://141.218.60.56/~jnz1568/getInfo.php?workbook=08_01.xlsx&amp;sheet=A0&amp;row=61&amp;col=9&amp;number=218500&amp;sourceID=11","218500")</f>
        <v>218500</v>
      </c>
      <c r="J61" s="4" t="str">
        <f>HYPERLINK("http://141.218.60.56/~jnz1568/getInfo.php?workbook=08_01.xlsx&amp;sheet=A0&amp;row=61&amp;col=10&amp;number=&amp;sourceID=11","")</f>
        <v/>
      </c>
      <c r="K61" s="4" t="str">
        <f>HYPERLINK("http://141.218.60.56/~jnz1568/getInfo.php?workbook=08_01.xlsx&amp;sheet=A0&amp;row=61&amp;col=11&amp;number=0.01961&amp;sourceID=11","0.01961")</f>
        <v>0.01961</v>
      </c>
      <c r="L61" s="4" t="str">
        <f>HYPERLINK("http://141.218.60.56/~jnz1568/getInfo.php?workbook=08_01.xlsx&amp;sheet=A0&amp;row=61&amp;col=12&amp;number=&amp;sourceID=11","")</f>
        <v/>
      </c>
      <c r="M61" s="4" t="str">
        <f>HYPERLINK("http://141.218.60.56/~jnz1568/getInfo.php?workbook=08_01.xlsx&amp;sheet=A0&amp;row=61&amp;col=13&amp;number=1.2245e-05&amp;sourceID=11","1.2245e-05")</f>
        <v>1.2245e-05</v>
      </c>
      <c r="N61" s="4" t="str">
        <f>HYPERLINK("http://141.218.60.56/~jnz1568/getInfo.php?workbook=08_01.xlsx&amp;sheet=A0&amp;row=61&amp;col=14&amp;number=218510&amp;sourceID=12","218510")</f>
        <v>218510</v>
      </c>
      <c r="O61" s="4" t="str">
        <f>HYPERLINK("http://141.218.60.56/~jnz1568/getInfo.php?workbook=08_01.xlsx&amp;sheet=A0&amp;row=61&amp;col=15&amp;number=&amp;sourceID=12","")</f>
        <v/>
      </c>
      <c r="P61" s="4" t="str">
        <f>HYPERLINK("http://141.218.60.56/~jnz1568/getInfo.php?workbook=08_01.xlsx&amp;sheet=A0&amp;row=61&amp;col=16&amp;number=218510&amp;sourceID=12","218510")</f>
        <v>218510</v>
      </c>
      <c r="Q61" s="4" t="str">
        <f>HYPERLINK("http://141.218.60.56/~jnz1568/getInfo.php?workbook=08_01.xlsx&amp;sheet=A0&amp;row=61&amp;col=17&amp;number=&amp;sourceID=12","")</f>
        <v/>
      </c>
      <c r="R61" s="4" t="str">
        <f>HYPERLINK("http://141.218.60.56/~jnz1568/getInfo.php?workbook=08_01.xlsx&amp;sheet=A0&amp;row=61&amp;col=18&amp;number=0.019611&amp;sourceID=12","0.019611")</f>
        <v>0.019611</v>
      </c>
      <c r="S61" s="4" t="str">
        <f>HYPERLINK("http://141.218.60.56/~jnz1568/getInfo.php?workbook=08_01.xlsx&amp;sheet=A0&amp;row=61&amp;col=19&amp;number=&amp;sourceID=12","")</f>
        <v/>
      </c>
      <c r="T61" s="4" t="str">
        <f>HYPERLINK("http://141.218.60.56/~jnz1568/getInfo.php?workbook=08_01.xlsx&amp;sheet=A0&amp;row=61&amp;col=20&amp;number=1.2245e-05&amp;sourceID=12","1.2245e-05")</f>
        <v>1.2245e-05</v>
      </c>
      <c r="U61" s="4" t="str">
        <f>HYPERLINK("http://141.218.60.56/~jnz1568/getInfo.php?workbook=08_01.xlsx&amp;sheet=A0&amp;row=61&amp;col=21&amp;number=218500.01962&amp;sourceID=30","218500.01962")</f>
        <v>218500.01962</v>
      </c>
      <c r="V61" s="4" t="str">
        <f>HYPERLINK("http://141.218.60.56/~jnz1568/getInfo.php?workbook=08_01.xlsx&amp;sheet=A0&amp;row=61&amp;col=22&amp;number=&amp;sourceID=30","")</f>
        <v/>
      </c>
      <c r="W61" s="4" t="str">
        <f>HYPERLINK("http://141.218.60.56/~jnz1568/getInfo.php?workbook=08_01.xlsx&amp;sheet=A0&amp;row=61&amp;col=23&amp;number=218500&amp;sourceID=30","218500")</f>
        <v>218500</v>
      </c>
      <c r="X61" s="4" t="str">
        <f>HYPERLINK("http://141.218.60.56/~jnz1568/getInfo.php?workbook=08_01.xlsx&amp;sheet=A0&amp;row=61&amp;col=24&amp;number=0.01962&amp;sourceID=30","0.01962")</f>
        <v>0.01962</v>
      </c>
      <c r="Y61" s="4" t="str">
        <f>HYPERLINK("http://141.218.60.56/~jnz1568/getInfo.php?workbook=08_01.xlsx&amp;sheet=A0&amp;row=61&amp;col=25&amp;number=&amp;sourceID=30","")</f>
        <v/>
      </c>
      <c r="Z61" s="4" t="str">
        <f>HYPERLINK("http://141.218.60.56/~jnz1568/getInfo.php?workbook=08_01.xlsx&amp;sheet=A0&amp;row=61&amp;col=26&amp;number==SUM(AA61:AE61)&amp;sourceID=13","=SUM(AA61:AE61)")</f>
        <v>=SUM(AA61:AE61)</v>
      </c>
      <c r="AA61" s="4" t="str">
        <f>HYPERLINK("http://141.218.60.56/~jnz1568/getInfo.php?workbook=08_01.xlsx&amp;sheet=A0&amp;row=61&amp;col=27&amp;number=&amp;sourceID=13","")</f>
        <v/>
      </c>
      <c r="AB61" s="4" t="str">
        <f>HYPERLINK("http://141.218.60.56/~jnz1568/getInfo.php?workbook=08_01.xlsx&amp;sheet=A0&amp;row=61&amp;col=28&amp;number=218000&amp;sourceID=13","218000")</f>
        <v>218000</v>
      </c>
      <c r="AC61" s="4" t="str">
        <f>HYPERLINK("http://141.218.60.56/~jnz1568/getInfo.php?workbook=08_01.xlsx&amp;sheet=A0&amp;row=61&amp;col=29&amp;number=&amp;sourceID=13","")</f>
        <v/>
      </c>
      <c r="AD61" s="4" t="str">
        <f>HYPERLINK("http://141.218.60.56/~jnz1568/getInfo.php?workbook=08_01.xlsx&amp;sheet=A0&amp;row=61&amp;col=30&amp;number=0.0196&amp;sourceID=13","0.0196")</f>
        <v>0.0196</v>
      </c>
      <c r="AE61" s="4" t="str">
        <f>HYPERLINK("http://141.218.60.56/~jnz1568/getInfo.php?workbook=08_01.xlsx&amp;sheet=A0&amp;row=61&amp;col=31&amp;number=&amp;sourceID=13","")</f>
        <v/>
      </c>
      <c r="AF61" s="4" t="str">
        <f>HYPERLINK("http://141.218.60.56/~jnz1568/getInfo.php?workbook=08_01.xlsx&amp;sheet=A0&amp;row=61&amp;col=32&amp;number=&amp;sourceID=20","")</f>
        <v/>
      </c>
    </row>
    <row r="62" spans="1:32">
      <c r="A62" s="3">
        <v>8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HYPERLINK("http://141.218.60.56/~jnz1568/getInfo.php?workbook=08_01.xlsx&amp;sheet=A0&amp;row=62&amp;col=6&amp;number=&amp;sourceID=18","")</f>
        <v/>
      </c>
      <c r="G62" s="4" t="str">
        <f>HYPERLINK("http://141.218.60.56/~jnz1568/getInfo.php?workbook=08_01.xlsx&amp;sheet=A0&amp;row=62&amp;col=7&amp;number==&amp;sourceID=11","=")</f>
        <v>=</v>
      </c>
      <c r="H62" s="4" t="str">
        <f>HYPERLINK("http://141.218.60.56/~jnz1568/getInfo.php?workbook=08_01.xlsx&amp;sheet=A0&amp;row=62&amp;col=8&amp;number=4809100000&amp;sourceID=11","4809100000")</f>
        <v>4809100000</v>
      </c>
      <c r="I62" s="4" t="str">
        <f>HYPERLINK("http://141.218.60.56/~jnz1568/getInfo.php?workbook=08_01.xlsx&amp;sheet=A0&amp;row=62&amp;col=9&amp;number=&amp;sourceID=11","")</f>
        <v/>
      </c>
      <c r="J62" s="4" t="str">
        <f>HYPERLINK("http://141.218.60.56/~jnz1568/getInfo.php?workbook=08_01.xlsx&amp;sheet=A0&amp;row=62&amp;col=10&amp;number=21.108&amp;sourceID=11","21.108")</f>
        <v>21.108</v>
      </c>
      <c r="K62" s="4" t="str">
        <f>HYPERLINK("http://141.218.60.56/~jnz1568/getInfo.php?workbook=08_01.xlsx&amp;sheet=A0&amp;row=62&amp;col=11&amp;number=&amp;sourceID=11","")</f>
        <v/>
      </c>
      <c r="L62" s="4" t="str">
        <f>HYPERLINK("http://141.218.60.56/~jnz1568/getInfo.php?workbook=08_01.xlsx&amp;sheet=A0&amp;row=62&amp;col=12&amp;number=&amp;sourceID=11","")</f>
        <v/>
      </c>
      <c r="M62" s="4" t="str">
        <f>HYPERLINK("http://141.218.60.56/~jnz1568/getInfo.php?workbook=08_01.xlsx&amp;sheet=A0&amp;row=62&amp;col=13&amp;number=&amp;sourceID=11","")</f>
        <v/>
      </c>
      <c r="N62" s="4" t="str">
        <f>HYPERLINK("http://141.218.60.56/~jnz1568/getInfo.php?workbook=08_01.xlsx&amp;sheet=A0&amp;row=62&amp;col=14&amp;number=4809300000&amp;sourceID=12","4809300000")</f>
        <v>4809300000</v>
      </c>
      <c r="O62" s="4" t="str">
        <f>HYPERLINK("http://141.218.60.56/~jnz1568/getInfo.php?workbook=08_01.xlsx&amp;sheet=A0&amp;row=62&amp;col=15&amp;number=4809300000&amp;sourceID=12","4809300000")</f>
        <v>4809300000</v>
      </c>
      <c r="P62" s="4" t="str">
        <f>HYPERLINK("http://141.218.60.56/~jnz1568/getInfo.php?workbook=08_01.xlsx&amp;sheet=A0&amp;row=62&amp;col=16&amp;number=&amp;sourceID=12","")</f>
        <v/>
      </c>
      <c r="Q62" s="4" t="str">
        <f>HYPERLINK("http://141.218.60.56/~jnz1568/getInfo.php?workbook=08_01.xlsx&amp;sheet=A0&amp;row=62&amp;col=17&amp;number=21.109&amp;sourceID=12","21.109")</f>
        <v>21.109</v>
      </c>
      <c r="R62" s="4" t="str">
        <f>HYPERLINK("http://141.218.60.56/~jnz1568/getInfo.php?workbook=08_01.xlsx&amp;sheet=A0&amp;row=62&amp;col=18&amp;number=&amp;sourceID=12","")</f>
        <v/>
      </c>
      <c r="S62" s="4" t="str">
        <f>HYPERLINK("http://141.218.60.56/~jnz1568/getInfo.php?workbook=08_01.xlsx&amp;sheet=A0&amp;row=62&amp;col=19&amp;number=&amp;sourceID=12","")</f>
        <v/>
      </c>
      <c r="T62" s="4" t="str">
        <f>HYPERLINK("http://141.218.60.56/~jnz1568/getInfo.php?workbook=08_01.xlsx&amp;sheet=A0&amp;row=62&amp;col=20&amp;number=&amp;sourceID=12","")</f>
        <v/>
      </c>
      <c r="U62" s="4" t="str">
        <f>HYPERLINK("http://141.218.60.56/~jnz1568/getInfo.php?workbook=08_01.xlsx&amp;sheet=A0&amp;row=62&amp;col=21&amp;number=4809000000&amp;sourceID=30","4809000000")</f>
        <v>4809000000</v>
      </c>
      <c r="V62" s="4" t="str">
        <f>HYPERLINK("http://141.218.60.56/~jnz1568/getInfo.php?workbook=08_01.xlsx&amp;sheet=A0&amp;row=62&amp;col=22&amp;number=4809000000&amp;sourceID=30","4809000000")</f>
        <v>4809000000</v>
      </c>
      <c r="W62" s="4" t="str">
        <f>HYPERLINK("http://141.218.60.56/~jnz1568/getInfo.php?workbook=08_01.xlsx&amp;sheet=A0&amp;row=62&amp;col=23&amp;number=&amp;sourceID=30","")</f>
        <v/>
      </c>
      <c r="X62" s="4" t="str">
        <f>HYPERLINK("http://141.218.60.56/~jnz1568/getInfo.php?workbook=08_01.xlsx&amp;sheet=A0&amp;row=62&amp;col=24&amp;number=&amp;sourceID=30","")</f>
        <v/>
      </c>
      <c r="Y62" s="4" t="str">
        <f>HYPERLINK("http://141.218.60.56/~jnz1568/getInfo.php?workbook=08_01.xlsx&amp;sheet=A0&amp;row=62&amp;col=25&amp;number=&amp;sourceID=30","")</f>
        <v/>
      </c>
      <c r="Z62" s="4" t="str">
        <f>HYPERLINK("http://141.218.60.56/~jnz1568/getInfo.php?workbook=08_01.xlsx&amp;sheet=A0&amp;row=62&amp;col=26&amp;number=&amp;sourceID=13","")</f>
        <v/>
      </c>
      <c r="AA62" s="4" t="str">
        <f>HYPERLINK("http://141.218.60.56/~jnz1568/getInfo.php?workbook=08_01.xlsx&amp;sheet=A0&amp;row=62&amp;col=27&amp;number=4800000000&amp;sourceID=13","4800000000")</f>
        <v>4800000000</v>
      </c>
      <c r="AB62" s="4" t="str">
        <f>HYPERLINK("http://141.218.60.56/~jnz1568/getInfo.php?workbook=08_01.xlsx&amp;sheet=A0&amp;row=62&amp;col=28&amp;number=&amp;sourceID=13","")</f>
        <v/>
      </c>
      <c r="AC62" s="4" t="str">
        <f>HYPERLINK("http://141.218.60.56/~jnz1568/getInfo.php?workbook=08_01.xlsx&amp;sheet=A0&amp;row=62&amp;col=29&amp;number=&amp;sourceID=13","")</f>
        <v/>
      </c>
      <c r="AD62" s="4" t="str">
        <f>HYPERLINK("http://141.218.60.56/~jnz1568/getInfo.php?workbook=08_01.xlsx&amp;sheet=A0&amp;row=62&amp;col=30&amp;number=&amp;sourceID=13","")</f>
        <v/>
      </c>
      <c r="AE62" s="4" t="str">
        <f>HYPERLINK("http://141.218.60.56/~jnz1568/getInfo.php?workbook=08_01.xlsx&amp;sheet=A0&amp;row=62&amp;col=31&amp;number=&amp;sourceID=13","")</f>
        <v/>
      </c>
      <c r="AF62" s="4" t="str">
        <f>HYPERLINK("http://141.218.60.56/~jnz1568/getInfo.php?workbook=08_01.xlsx&amp;sheet=A0&amp;row=62&amp;col=32&amp;number=&amp;sourceID=20","")</f>
        <v/>
      </c>
    </row>
    <row r="63" spans="1:32">
      <c r="A63" s="3">
        <v>8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HYPERLINK("http://141.218.60.56/~jnz1568/getInfo.php?workbook=08_01.xlsx&amp;sheet=A0&amp;row=63&amp;col=6&amp;number=&amp;sourceID=18","")</f>
        <v/>
      </c>
      <c r="G63" s="4" t="str">
        <f>HYPERLINK("http://141.218.60.56/~jnz1568/getInfo.php?workbook=08_01.xlsx&amp;sheet=A0&amp;row=63&amp;col=7&amp;number==&amp;sourceID=11","=")</f>
        <v>=</v>
      </c>
      <c r="H63" s="4" t="str">
        <f>HYPERLINK("http://141.218.60.56/~jnz1568/getInfo.php?workbook=08_01.xlsx&amp;sheet=A0&amp;row=63&amp;col=8&amp;number=&amp;sourceID=11","")</f>
        <v/>
      </c>
      <c r="I63" s="4" t="str">
        <f>HYPERLINK("http://141.218.60.56/~jnz1568/getInfo.php?workbook=08_01.xlsx&amp;sheet=A0&amp;row=63&amp;col=9&amp;number=93597&amp;sourceID=11","93597")</f>
        <v>93597</v>
      </c>
      <c r="J63" s="4" t="str">
        <f>HYPERLINK("http://141.218.60.56/~jnz1568/getInfo.php?workbook=08_01.xlsx&amp;sheet=A0&amp;row=63&amp;col=10&amp;number=&amp;sourceID=11","")</f>
        <v/>
      </c>
      <c r="K63" s="4" t="str">
        <f>HYPERLINK("http://141.218.60.56/~jnz1568/getInfo.php?workbook=08_01.xlsx&amp;sheet=A0&amp;row=63&amp;col=11&amp;number=0.058497&amp;sourceID=11","0.058497")</f>
        <v>0.058497</v>
      </c>
      <c r="L63" s="4" t="str">
        <f>HYPERLINK("http://141.218.60.56/~jnz1568/getInfo.php?workbook=08_01.xlsx&amp;sheet=A0&amp;row=63&amp;col=12&amp;number=&amp;sourceID=11","")</f>
        <v/>
      </c>
      <c r="M63" s="4" t="str">
        <f>HYPERLINK("http://141.218.60.56/~jnz1568/getInfo.php?workbook=08_01.xlsx&amp;sheet=A0&amp;row=63&amp;col=13&amp;number=8.1538e-06&amp;sourceID=11","8.1538e-06")</f>
        <v>8.1538e-06</v>
      </c>
      <c r="N63" s="4" t="str">
        <f>HYPERLINK("http://141.218.60.56/~jnz1568/getInfo.php?workbook=08_01.xlsx&amp;sheet=A0&amp;row=63&amp;col=14&amp;number=93600&amp;sourceID=12","93600")</f>
        <v>93600</v>
      </c>
      <c r="O63" s="4" t="str">
        <f>HYPERLINK("http://141.218.60.56/~jnz1568/getInfo.php?workbook=08_01.xlsx&amp;sheet=A0&amp;row=63&amp;col=15&amp;number=&amp;sourceID=12","")</f>
        <v/>
      </c>
      <c r="P63" s="4" t="str">
        <f>HYPERLINK("http://141.218.60.56/~jnz1568/getInfo.php?workbook=08_01.xlsx&amp;sheet=A0&amp;row=63&amp;col=16&amp;number=93600&amp;sourceID=12","93600")</f>
        <v>93600</v>
      </c>
      <c r="Q63" s="4" t="str">
        <f>HYPERLINK("http://141.218.60.56/~jnz1568/getInfo.php?workbook=08_01.xlsx&amp;sheet=A0&amp;row=63&amp;col=17&amp;number=&amp;sourceID=12","")</f>
        <v/>
      </c>
      <c r="R63" s="4" t="str">
        <f>HYPERLINK("http://141.218.60.56/~jnz1568/getInfo.php?workbook=08_01.xlsx&amp;sheet=A0&amp;row=63&amp;col=18&amp;number=0.058499&amp;sourceID=12","0.058499")</f>
        <v>0.058499</v>
      </c>
      <c r="S63" s="4" t="str">
        <f>HYPERLINK("http://141.218.60.56/~jnz1568/getInfo.php?workbook=08_01.xlsx&amp;sheet=A0&amp;row=63&amp;col=19&amp;number=&amp;sourceID=12","")</f>
        <v/>
      </c>
      <c r="T63" s="4" t="str">
        <f>HYPERLINK("http://141.218.60.56/~jnz1568/getInfo.php?workbook=08_01.xlsx&amp;sheet=A0&amp;row=63&amp;col=20&amp;number=8.154e-06&amp;sourceID=12","8.154e-06")</f>
        <v>8.154e-06</v>
      </c>
      <c r="U63" s="4" t="str">
        <f>HYPERLINK("http://141.218.60.56/~jnz1568/getInfo.php?workbook=08_01.xlsx&amp;sheet=A0&amp;row=63&amp;col=21&amp;number=93600.05849&amp;sourceID=30","93600.05849")</f>
        <v>93600.05849</v>
      </c>
      <c r="V63" s="4" t="str">
        <f>HYPERLINK("http://141.218.60.56/~jnz1568/getInfo.php?workbook=08_01.xlsx&amp;sheet=A0&amp;row=63&amp;col=22&amp;number=&amp;sourceID=30","")</f>
        <v/>
      </c>
      <c r="W63" s="4" t="str">
        <f>HYPERLINK("http://141.218.60.56/~jnz1568/getInfo.php?workbook=08_01.xlsx&amp;sheet=A0&amp;row=63&amp;col=23&amp;number=93600&amp;sourceID=30","93600")</f>
        <v>93600</v>
      </c>
      <c r="X63" s="4" t="str">
        <f>HYPERLINK("http://141.218.60.56/~jnz1568/getInfo.php?workbook=08_01.xlsx&amp;sheet=A0&amp;row=63&amp;col=24&amp;number=0.05849&amp;sourceID=30","0.05849")</f>
        <v>0.05849</v>
      </c>
      <c r="Y63" s="4" t="str">
        <f>HYPERLINK("http://141.218.60.56/~jnz1568/getInfo.php?workbook=08_01.xlsx&amp;sheet=A0&amp;row=63&amp;col=25&amp;number=&amp;sourceID=30","")</f>
        <v/>
      </c>
      <c r="Z63" s="4" t="str">
        <f>HYPERLINK("http://141.218.60.56/~jnz1568/getInfo.php?workbook=08_01.xlsx&amp;sheet=A0&amp;row=63&amp;col=26&amp;number==SUM(AA63:AE63)&amp;sourceID=13","=SUM(AA63:AE63)")</f>
        <v>=SUM(AA63:AE63)</v>
      </c>
      <c r="AA63" s="4" t="str">
        <f>HYPERLINK("http://141.218.60.56/~jnz1568/getInfo.php?workbook=08_01.xlsx&amp;sheet=A0&amp;row=63&amp;col=27&amp;number=&amp;sourceID=13","")</f>
        <v/>
      </c>
      <c r="AB63" s="4" t="str">
        <f>HYPERLINK("http://141.218.60.56/~jnz1568/getInfo.php?workbook=08_01.xlsx&amp;sheet=A0&amp;row=63&amp;col=28&amp;number=93500&amp;sourceID=13","93500")</f>
        <v>93500</v>
      </c>
      <c r="AC63" s="4" t="str">
        <f>HYPERLINK("http://141.218.60.56/~jnz1568/getInfo.php?workbook=08_01.xlsx&amp;sheet=A0&amp;row=63&amp;col=29&amp;number=&amp;sourceID=13","")</f>
        <v/>
      </c>
      <c r="AD63" s="4" t="str">
        <f>HYPERLINK("http://141.218.60.56/~jnz1568/getInfo.php?workbook=08_01.xlsx&amp;sheet=A0&amp;row=63&amp;col=30&amp;number=0.0638&amp;sourceID=13","0.0638")</f>
        <v>0.0638</v>
      </c>
      <c r="AE63" s="4" t="str">
        <f>HYPERLINK("http://141.218.60.56/~jnz1568/getInfo.php?workbook=08_01.xlsx&amp;sheet=A0&amp;row=63&amp;col=31&amp;number=&amp;sourceID=13","")</f>
        <v/>
      </c>
      <c r="AF63" s="4" t="str">
        <f>HYPERLINK("http://141.218.60.56/~jnz1568/getInfo.php?workbook=08_01.xlsx&amp;sheet=A0&amp;row=63&amp;col=32&amp;number=&amp;sourceID=20","")</f>
        <v/>
      </c>
    </row>
    <row r="64" spans="1:32">
      <c r="A64" s="3">
        <v>8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HYPERLINK("http://141.218.60.56/~jnz1568/getInfo.php?workbook=08_01.xlsx&amp;sheet=A0&amp;row=64&amp;col=6&amp;number=&amp;sourceID=18","")</f>
        <v/>
      </c>
      <c r="G64" s="4" t="str">
        <f>HYPERLINK("http://141.218.60.56/~jnz1568/getInfo.php?workbook=08_01.xlsx&amp;sheet=A0&amp;row=64&amp;col=7&amp;number==&amp;sourceID=11","=")</f>
        <v>=</v>
      </c>
      <c r="H64" s="4" t="str">
        <f>HYPERLINK("http://141.218.60.56/~jnz1568/getInfo.php?workbook=08_01.xlsx&amp;sheet=A0&amp;row=64&amp;col=8&amp;number=29.987&amp;sourceID=11","29.987")</f>
        <v>29.987</v>
      </c>
      <c r="I64" s="4" t="str">
        <f>HYPERLINK("http://141.218.60.56/~jnz1568/getInfo.php?workbook=08_01.xlsx&amp;sheet=A0&amp;row=64&amp;col=9&amp;number=&amp;sourceID=11","")</f>
        <v/>
      </c>
      <c r="J64" s="4" t="str">
        <f>HYPERLINK("http://141.218.60.56/~jnz1568/getInfo.php?workbook=08_01.xlsx&amp;sheet=A0&amp;row=64&amp;col=10&amp;number=&amp;sourceID=11","")</f>
        <v/>
      </c>
      <c r="K64" s="4" t="str">
        <f>HYPERLINK("http://141.218.60.56/~jnz1568/getInfo.php?workbook=08_01.xlsx&amp;sheet=A0&amp;row=64&amp;col=11&amp;number=&amp;sourceID=11","")</f>
        <v/>
      </c>
      <c r="L64" s="4" t="str">
        <f>HYPERLINK("http://141.218.60.56/~jnz1568/getInfo.php?workbook=08_01.xlsx&amp;sheet=A0&amp;row=64&amp;col=12&amp;number=0&amp;sourceID=11","0")</f>
        <v>0</v>
      </c>
      <c r="M64" s="4" t="str">
        <f>HYPERLINK("http://141.218.60.56/~jnz1568/getInfo.php?workbook=08_01.xlsx&amp;sheet=A0&amp;row=64&amp;col=13&amp;number=&amp;sourceID=11","")</f>
        <v/>
      </c>
      <c r="N64" s="4" t="str">
        <f>HYPERLINK("http://141.218.60.56/~jnz1568/getInfo.php?workbook=08_01.xlsx&amp;sheet=A0&amp;row=64&amp;col=14&amp;number=29.989&amp;sourceID=12","29.989")</f>
        <v>29.989</v>
      </c>
      <c r="O64" s="4" t="str">
        <f>HYPERLINK("http://141.218.60.56/~jnz1568/getInfo.php?workbook=08_01.xlsx&amp;sheet=A0&amp;row=64&amp;col=15&amp;number=29.989&amp;sourceID=12","29.989")</f>
        <v>29.989</v>
      </c>
      <c r="P64" s="4" t="str">
        <f>HYPERLINK("http://141.218.60.56/~jnz1568/getInfo.php?workbook=08_01.xlsx&amp;sheet=A0&amp;row=64&amp;col=16&amp;number=&amp;sourceID=12","")</f>
        <v/>
      </c>
      <c r="Q64" s="4" t="str">
        <f>HYPERLINK("http://141.218.60.56/~jnz1568/getInfo.php?workbook=08_01.xlsx&amp;sheet=A0&amp;row=64&amp;col=17&amp;number=&amp;sourceID=12","")</f>
        <v/>
      </c>
      <c r="R64" s="4" t="str">
        <f>HYPERLINK("http://141.218.60.56/~jnz1568/getInfo.php?workbook=08_01.xlsx&amp;sheet=A0&amp;row=64&amp;col=18&amp;number=&amp;sourceID=12","")</f>
        <v/>
      </c>
      <c r="S64" s="4" t="str">
        <f>HYPERLINK("http://141.218.60.56/~jnz1568/getInfo.php?workbook=08_01.xlsx&amp;sheet=A0&amp;row=64&amp;col=19&amp;number=0&amp;sourceID=12","0")</f>
        <v>0</v>
      </c>
      <c r="T64" s="4" t="str">
        <f>HYPERLINK("http://141.218.60.56/~jnz1568/getInfo.php?workbook=08_01.xlsx&amp;sheet=A0&amp;row=64&amp;col=20&amp;number=&amp;sourceID=12","")</f>
        <v/>
      </c>
      <c r="U64" s="4" t="str">
        <f>HYPERLINK("http://141.218.60.56/~jnz1568/getInfo.php?workbook=08_01.xlsx&amp;sheet=A0&amp;row=64&amp;col=21&amp;number=29.99&amp;sourceID=30","29.99")</f>
        <v>29.99</v>
      </c>
      <c r="V64" s="4" t="str">
        <f>HYPERLINK("http://141.218.60.56/~jnz1568/getInfo.php?workbook=08_01.xlsx&amp;sheet=A0&amp;row=64&amp;col=22&amp;number=29.99&amp;sourceID=30","29.99")</f>
        <v>29.99</v>
      </c>
      <c r="W64" s="4" t="str">
        <f>HYPERLINK("http://141.218.60.56/~jnz1568/getInfo.php?workbook=08_01.xlsx&amp;sheet=A0&amp;row=64&amp;col=23&amp;number=&amp;sourceID=30","")</f>
        <v/>
      </c>
      <c r="X64" s="4" t="str">
        <f>HYPERLINK("http://141.218.60.56/~jnz1568/getInfo.php?workbook=08_01.xlsx&amp;sheet=A0&amp;row=64&amp;col=24&amp;number=&amp;sourceID=30","")</f>
        <v/>
      </c>
      <c r="Y64" s="4" t="str">
        <f>HYPERLINK("http://141.218.60.56/~jnz1568/getInfo.php?workbook=08_01.xlsx&amp;sheet=A0&amp;row=64&amp;col=25&amp;number=0&amp;sourceID=30","0")</f>
        <v>0</v>
      </c>
      <c r="Z64" s="4" t="str">
        <f>HYPERLINK("http://141.218.60.56/~jnz1568/getInfo.php?workbook=08_01.xlsx&amp;sheet=A0&amp;row=64&amp;col=26&amp;number=&amp;sourceID=13","")</f>
        <v/>
      </c>
      <c r="AA64" s="4" t="str">
        <f>HYPERLINK("http://141.218.60.56/~jnz1568/getInfo.php?workbook=08_01.xlsx&amp;sheet=A0&amp;row=64&amp;col=27&amp;number=29.3&amp;sourceID=13","29.3")</f>
        <v>29.3</v>
      </c>
      <c r="AB64" s="4" t="str">
        <f>HYPERLINK("http://141.218.60.56/~jnz1568/getInfo.php?workbook=08_01.xlsx&amp;sheet=A0&amp;row=64&amp;col=28&amp;number=&amp;sourceID=13","")</f>
        <v/>
      </c>
      <c r="AC64" s="4" t="str">
        <f>HYPERLINK("http://141.218.60.56/~jnz1568/getInfo.php?workbook=08_01.xlsx&amp;sheet=A0&amp;row=64&amp;col=29&amp;number=&amp;sourceID=13","")</f>
        <v/>
      </c>
      <c r="AD64" s="4" t="str">
        <f>HYPERLINK("http://141.218.60.56/~jnz1568/getInfo.php?workbook=08_01.xlsx&amp;sheet=A0&amp;row=64&amp;col=30&amp;number=&amp;sourceID=13","")</f>
        <v/>
      </c>
      <c r="AE64" s="4" t="str">
        <f>HYPERLINK("http://141.218.60.56/~jnz1568/getInfo.php?workbook=08_01.xlsx&amp;sheet=A0&amp;row=64&amp;col=31&amp;number=&amp;sourceID=13","")</f>
        <v/>
      </c>
      <c r="AF64" s="4" t="str">
        <f>HYPERLINK("http://141.218.60.56/~jnz1568/getInfo.php?workbook=08_01.xlsx&amp;sheet=A0&amp;row=64&amp;col=32&amp;number=&amp;sourceID=20","")</f>
        <v/>
      </c>
    </row>
    <row r="65" spans="1:32">
      <c r="A65" s="3">
        <v>8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HYPERLINK("http://141.218.60.56/~jnz1568/getInfo.php?workbook=08_01.xlsx&amp;sheet=A0&amp;row=65&amp;col=6&amp;number=&amp;sourceID=18","")</f>
        <v/>
      </c>
      <c r="G65" s="4" t="str">
        <f>HYPERLINK("http://141.218.60.56/~jnz1568/getInfo.php?workbook=08_01.xlsx&amp;sheet=A0&amp;row=65&amp;col=7&amp;number==&amp;sourceID=11","=")</f>
        <v>=</v>
      </c>
      <c r="H65" s="4" t="str">
        <f>HYPERLINK("http://141.218.60.56/~jnz1568/getInfo.php?workbook=08_01.xlsx&amp;sheet=A0&amp;row=65&amp;col=8&amp;number=&amp;sourceID=11","")</f>
        <v/>
      </c>
      <c r="I65" s="4" t="str">
        <f>HYPERLINK("http://141.218.60.56/~jnz1568/getInfo.php?workbook=08_01.xlsx&amp;sheet=A0&amp;row=65&amp;col=9&amp;number=3.6345e-10&amp;sourceID=11","3.6345e-10")</f>
        <v>3.6345e-10</v>
      </c>
      <c r="J65" s="4" t="str">
        <f>HYPERLINK("http://141.218.60.56/~jnz1568/getInfo.php?workbook=08_01.xlsx&amp;sheet=A0&amp;row=65&amp;col=10&amp;number=&amp;sourceID=11","")</f>
        <v/>
      </c>
      <c r="K65" s="4" t="str">
        <f>HYPERLINK("http://141.218.60.56/~jnz1568/getInfo.php?workbook=08_01.xlsx&amp;sheet=A0&amp;row=65&amp;col=11&amp;number=3.4e-14&amp;sourceID=11","3.4e-14")</f>
        <v>3.4e-14</v>
      </c>
      <c r="L65" s="4" t="str">
        <f>HYPERLINK("http://141.218.60.56/~jnz1568/getInfo.php?workbook=08_01.xlsx&amp;sheet=A0&amp;row=65&amp;col=12&amp;number=&amp;sourceID=11","")</f>
        <v/>
      </c>
      <c r="M65" s="4" t="str">
        <f>HYPERLINK("http://141.218.60.56/~jnz1568/getInfo.php?workbook=08_01.xlsx&amp;sheet=A0&amp;row=65&amp;col=13&amp;number=&amp;sourceID=11","")</f>
        <v/>
      </c>
      <c r="N65" s="4" t="str">
        <f>HYPERLINK("http://141.218.60.56/~jnz1568/getInfo.php?workbook=08_01.xlsx&amp;sheet=A0&amp;row=65&amp;col=14&amp;number=3.635e-10&amp;sourceID=12","3.635e-10")</f>
        <v>3.635e-10</v>
      </c>
      <c r="O65" s="4" t="str">
        <f>HYPERLINK("http://141.218.60.56/~jnz1568/getInfo.php?workbook=08_01.xlsx&amp;sheet=A0&amp;row=65&amp;col=15&amp;number=&amp;sourceID=12","")</f>
        <v/>
      </c>
      <c r="P65" s="4" t="str">
        <f>HYPERLINK("http://141.218.60.56/~jnz1568/getInfo.php?workbook=08_01.xlsx&amp;sheet=A0&amp;row=65&amp;col=16&amp;number=3.6347e-10&amp;sourceID=12","3.6347e-10")</f>
        <v>3.6347e-10</v>
      </c>
      <c r="Q65" s="4" t="str">
        <f>HYPERLINK("http://141.218.60.56/~jnz1568/getInfo.php?workbook=08_01.xlsx&amp;sheet=A0&amp;row=65&amp;col=17&amp;number=&amp;sourceID=12","")</f>
        <v/>
      </c>
      <c r="R65" s="4" t="str">
        <f>HYPERLINK("http://141.218.60.56/~jnz1568/getInfo.php?workbook=08_01.xlsx&amp;sheet=A0&amp;row=65&amp;col=18&amp;number=3.4e-14&amp;sourceID=12","3.4e-14")</f>
        <v>3.4e-14</v>
      </c>
      <c r="S65" s="4" t="str">
        <f>HYPERLINK("http://141.218.60.56/~jnz1568/getInfo.php?workbook=08_01.xlsx&amp;sheet=A0&amp;row=65&amp;col=19&amp;number=&amp;sourceID=12","")</f>
        <v/>
      </c>
      <c r="T65" s="4" t="str">
        <f>HYPERLINK("http://141.218.60.56/~jnz1568/getInfo.php?workbook=08_01.xlsx&amp;sheet=A0&amp;row=65&amp;col=20&amp;number=&amp;sourceID=12","")</f>
        <v/>
      </c>
      <c r="U65" s="4" t="str">
        <f>HYPERLINK("http://141.218.60.56/~jnz1568/getInfo.php?workbook=08_01.xlsx&amp;sheet=A0&amp;row=65&amp;col=21&amp;number=3.63534e-10&amp;sourceID=30","3.63534e-10")</f>
        <v>3.63534e-10</v>
      </c>
      <c r="V65" s="4" t="str">
        <f>HYPERLINK("http://141.218.60.56/~jnz1568/getInfo.php?workbook=08_01.xlsx&amp;sheet=A0&amp;row=65&amp;col=22&amp;number=&amp;sourceID=30","")</f>
        <v/>
      </c>
      <c r="W65" s="4" t="str">
        <f>HYPERLINK("http://141.218.60.56/~jnz1568/getInfo.php?workbook=08_01.xlsx&amp;sheet=A0&amp;row=65&amp;col=23&amp;number=3.635e-10&amp;sourceID=30","3.635e-10")</f>
        <v>3.635e-10</v>
      </c>
      <c r="X65" s="4" t="str">
        <f>HYPERLINK("http://141.218.60.56/~jnz1568/getInfo.php?workbook=08_01.xlsx&amp;sheet=A0&amp;row=65&amp;col=24&amp;number=3.4e-14&amp;sourceID=30","3.4e-14")</f>
        <v>3.4e-14</v>
      </c>
      <c r="Y65" s="4" t="str">
        <f>HYPERLINK("http://141.218.60.56/~jnz1568/getInfo.php?workbook=08_01.xlsx&amp;sheet=A0&amp;row=65&amp;col=25&amp;number=&amp;sourceID=30","")</f>
        <v/>
      </c>
      <c r="Z65" s="4" t="str">
        <f>HYPERLINK("http://141.218.60.56/~jnz1568/getInfo.php?workbook=08_01.xlsx&amp;sheet=A0&amp;row=65&amp;col=26&amp;number=&amp;sourceID=13","")</f>
        <v/>
      </c>
      <c r="AA65" s="4" t="str">
        <f>HYPERLINK("http://141.218.60.56/~jnz1568/getInfo.php?workbook=08_01.xlsx&amp;sheet=A0&amp;row=65&amp;col=27&amp;number=&amp;sourceID=13","")</f>
        <v/>
      </c>
      <c r="AB65" s="4" t="str">
        <f>HYPERLINK("http://141.218.60.56/~jnz1568/getInfo.php?workbook=08_01.xlsx&amp;sheet=A0&amp;row=65&amp;col=28&amp;number=&amp;sourceID=13","")</f>
        <v/>
      </c>
      <c r="AC65" s="4" t="str">
        <f>HYPERLINK("http://141.218.60.56/~jnz1568/getInfo.php?workbook=08_01.xlsx&amp;sheet=A0&amp;row=65&amp;col=29&amp;number=&amp;sourceID=13","")</f>
        <v/>
      </c>
      <c r="AD65" s="4" t="str">
        <f>HYPERLINK("http://141.218.60.56/~jnz1568/getInfo.php?workbook=08_01.xlsx&amp;sheet=A0&amp;row=65&amp;col=30&amp;number=&amp;sourceID=13","")</f>
        <v/>
      </c>
      <c r="AE65" s="4" t="str">
        <f>HYPERLINK("http://141.218.60.56/~jnz1568/getInfo.php?workbook=08_01.xlsx&amp;sheet=A0&amp;row=65&amp;col=31&amp;number=&amp;sourceID=13","")</f>
        <v/>
      </c>
      <c r="AF65" s="4" t="str">
        <f>HYPERLINK("http://141.218.60.56/~jnz1568/getInfo.php?workbook=08_01.xlsx&amp;sheet=A0&amp;row=65&amp;col=32&amp;number=&amp;sourceID=20","")</f>
        <v/>
      </c>
    </row>
    <row r="66" spans="1:32">
      <c r="A66" s="3">
        <v>8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HYPERLINK("http://141.218.60.56/~jnz1568/getInfo.php?workbook=08_01.xlsx&amp;sheet=A0&amp;row=66&amp;col=6&amp;number=&amp;sourceID=18","")</f>
        <v/>
      </c>
      <c r="G66" s="4" t="str">
        <f>HYPERLINK("http://141.218.60.56/~jnz1568/getInfo.php?workbook=08_01.xlsx&amp;sheet=A0&amp;row=66&amp;col=7&amp;number==&amp;sourceID=11","=")</f>
        <v>=</v>
      </c>
      <c r="H66" s="4" t="str">
        <f>HYPERLINK("http://141.218.60.56/~jnz1568/getInfo.php?workbook=08_01.xlsx&amp;sheet=A0&amp;row=66&amp;col=8&amp;number=279350000000&amp;sourceID=11","279350000000")</f>
        <v>279350000000</v>
      </c>
      <c r="I66" s="4" t="str">
        <f>HYPERLINK("http://141.218.60.56/~jnz1568/getInfo.php?workbook=08_01.xlsx&amp;sheet=A0&amp;row=66&amp;col=9&amp;number=&amp;sourceID=11","")</f>
        <v/>
      </c>
      <c r="J66" s="4" t="str">
        <f>HYPERLINK("http://141.218.60.56/~jnz1568/getInfo.php?workbook=08_01.xlsx&amp;sheet=A0&amp;row=66&amp;col=10&amp;number=&amp;sourceID=11","")</f>
        <v/>
      </c>
      <c r="K66" s="4" t="str">
        <f>HYPERLINK("http://141.218.60.56/~jnz1568/getInfo.php?workbook=08_01.xlsx&amp;sheet=A0&amp;row=66&amp;col=11&amp;number=&amp;sourceID=11","")</f>
        <v/>
      </c>
      <c r="L66" s="4" t="str">
        <f>HYPERLINK("http://141.218.60.56/~jnz1568/getInfo.php?workbook=08_01.xlsx&amp;sheet=A0&amp;row=66&amp;col=12&amp;number=133780&amp;sourceID=11","133780")</f>
        <v>133780</v>
      </c>
      <c r="M66" s="4" t="str">
        <f>HYPERLINK("http://141.218.60.56/~jnz1568/getInfo.php?workbook=08_01.xlsx&amp;sheet=A0&amp;row=66&amp;col=13&amp;number=&amp;sourceID=11","")</f>
        <v/>
      </c>
      <c r="N66" s="4" t="str">
        <f>HYPERLINK("http://141.218.60.56/~jnz1568/getInfo.php?workbook=08_01.xlsx&amp;sheet=A0&amp;row=66&amp;col=14&amp;number=279360000000&amp;sourceID=12","279360000000")</f>
        <v>279360000000</v>
      </c>
      <c r="O66" s="4" t="str">
        <f>HYPERLINK("http://141.218.60.56/~jnz1568/getInfo.php?workbook=08_01.xlsx&amp;sheet=A0&amp;row=66&amp;col=15&amp;number=279360000000&amp;sourceID=12","279360000000")</f>
        <v>279360000000</v>
      </c>
      <c r="P66" s="4" t="str">
        <f>HYPERLINK("http://141.218.60.56/~jnz1568/getInfo.php?workbook=08_01.xlsx&amp;sheet=A0&amp;row=66&amp;col=16&amp;number=&amp;sourceID=12","")</f>
        <v/>
      </c>
      <c r="Q66" s="4" t="str">
        <f>HYPERLINK("http://141.218.60.56/~jnz1568/getInfo.php?workbook=08_01.xlsx&amp;sheet=A0&amp;row=66&amp;col=17&amp;number=&amp;sourceID=12","")</f>
        <v/>
      </c>
      <c r="R66" s="4" t="str">
        <f>HYPERLINK("http://141.218.60.56/~jnz1568/getInfo.php?workbook=08_01.xlsx&amp;sheet=A0&amp;row=66&amp;col=18&amp;number=&amp;sourceID=12","")</f>
        <v/>
      </c>
      <c r="S66" s="4" t="str">
        <f>HYPERLINK("http://141.218.60.56/~jnz1568/getInfo.php?workbook=08_01.xlsx&amp;sheet=A0&amp;row=66&amp;col=19&amp;number=133790&amp;sourceID=12","133790")</f>
        <v>133790</v>
      </c>
      <c r="T66" s="4" t="str">
        <f>HYPERLINK("http://141.218.60.56/~jnz1568/getInfo.php?workbook=08_01.xlsx&amp;sheet=A0&amp;row=66&amp;col=20&amp;number=&amp;sourceID=12","")</f>
        <v/>
      </c>
      <c r="U66" s="4" t="str">
        <f>HYPERLINK("http://141.218.60.56/~jnz1568/getInfo.php?workbook=08_01.xlsx&amp;sheet=A0&amp;row=66&amp;col=21&amp;number=279400133800&amp;sourceID=30","279400133800")</f>
        <v>279400133800</v>
      </c>
      <c r="V66" s="4" t="str">
        <f>HYPERLINK("http://141.218.60.56/~jnz1568/getInfo.php?workbook=08_01.xlsx&amp;sheet=A0&amp;row=66&amp;col=22&amp;number=279400000000&amp;sourceID=30","279400000000")</f>
        <v>279400000000</v>
      </c>
      <c r="W66" s="4" t="str">
        <f>HYPERLINK("http://141.218.60.56/~jnz1568/getInfo.php?workbook=08_01.xlsx&amp;sheet=A0&amp;row=66&amp;col=23&amp;number=&amp;sourceID=30","")</f>
        <v/>
      </c>
      <c r="X66" s="4" t="str">
        <f>HYPERLINK("http://141.218.60.56/~jnz1568/getInfo.php?workbook=08_01.xlsx&amp;sheet=A0&amp;row=66&amp;col=24&amp;number=&amp;sourceID=30","")</f>
        <v/>
      </c>
      <c r="Y66" s="4" t="str">
        <f>HYPERLINK("http://141.218.60.56/~jnz1568/getInfo.php?workbook=08_01.xlsx&amp;sheet=A0&amp;row=66&amp;col=25&amp;number=133800&amp;sourceID=30","133800")</f>
        <v>133800</v>
      </c>
      <c r="Z66" s="4" t="str">
        <f>HYPERLINK("http://141.218.60.56/~jnz1568/getInfo.php?workbook=08_01.xlsx&amp;sheet=A0&amp;row=66&amp;col=26&amp;number==SUM(AA66:AE66)&amp;sourceID=13","=SUM(AA66:AE66)")</f>
        <v>=SUM(AA66:AE66)</v>
      </c>
      <c r="AA66" s="4" t="str">
        <f>HYPERLINK("http://141.218.60.56/~jnz1568/getInfo.php?workbook=08_01.xlsx&amp;sheet=A0&amp;row=66&amp;col=27&amp;number=276000000000&amp;sourceID=13","276000000000")</f>
        <v>276000000000</v>
      </c>
      <c r="AB66" s="4" t="str">
        <f>HYPERLINK("http://141.218.60.56/~jnz1568/getInfo.php?workbook=08_01.xlsx&amp;sheet=A0&amp;row=66&amp;col=28&amp;number=&amp;sourceID=13","")</f>
        <v/>
      </c>
      <c r="AC66" s="4" t="str">
        <f>HYPERLINK("http://141.218.60.56/~jnz1568/getInfo.php?workbook=08_01.xlsx&amp;sheet=A0&amp;row=66&amp;col=29&amp;number=&amp;sourceID=13","")</f>
        <v/>
      </c>
      <c r="AD66" s="4" t="str">
        <f>HYPERLINK("http://141.218.60.56/~jnz1568/getInfo.php?workbook=08_01.xlsx&amp;sheet=A0&amp;row=66&amp;col=30&amp;number=&amp;sourceID=13","")</f>
        <v/>
      </c>
      <c r="AE66" s="4" t="str">
        <f>HYPERLINK("http://141.218.60.56/~jnz1568/getInfo.php?workbook=08_01.xlsx&amp;sheet=A0&amp;row=66&amp;col=31&amp;number=&amp;sourceID=13","")</f>
        <v/>
      </c>
      <c r="AF66" s="4" t="str">
        <f>HYPERLINK("http://141.218.60.56/~jnz1568/getInfo.php?workbook=08_01.xlsx&amp;sheet=A0&amp;row=66&amp;col=32&amp;number=279350000000&amp;sourceID=20","279350000000")</f>
        <v>279350000000</v>
      </c>
    </row>
    <row r="67" spans="1:32">
      <c r="A67" s="3">
        <v>8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HYPERLINK("http://141.218.60.56/~jnz1568/getInfo.php?workbook=08_01.xlsx&amp;sheet=A0&amp;row=67&amp;col=6&amp;number=&amp;sourceID=18","")</f>
        <v/>
      </c>
      <c r="G67" s="4" t="str">
        <f>HYPERLINK("http://141.218.60.56/~jnz1568/getInfo.php?workbook=08_01.xlsx&amp;sheet=A0&amp;row=67&amp;col=7&amp;number==&amp;sourceID=11","=")</f>
        <v>=</v>
      </c>
      <c r="H67" s="4" t="str">
        <f>HYPERLINK("http://141.218.60.56/~jnz1568/getInfo.php?workbook=08_01.xlsx&amp;sheet=A0&amp;row=67&amp;col=8&amp;number=&amp;sourceID=11","")</f>
        <v/>
      </c>
      <c r="I67" s="4" t="str">
        <f>HYPERLINK("http://141.218.60.56/~jnz1568/getInfo.php?workbook=08_01.xlsx&amp;sheet=A0&amp;row=67&amp;col=9&amp;number=1353300&amp;sourceID=11","1353300")</f>
        <v>1353300</v>
      </c>
      <c r="J67" s="4" t="str">
        <f>HYPERLINK("http://141.218.60.56/~jnz1568/getInfo.php?workbook=08_01.xlsx&amp;sheet=A0&amp;row=67&amp;col=10&amp;number=&amp;sourceID=11","")</f>
        <v/>
      </c>
      <c r="K67" s="4" t="str">
        <f>HYPERLINK("http://141.218.60.56/~jnz1568/getInfo.php?workbook=08_01.xlsx&amp;sheet=A0&amp;row=67&amp;col=11&amp;number=1.8785&amp;sourceID=11","1.8785")</f>
        <v>1.8785</v>
      </c>
      <c r="L67" s="4" t="str">
        <f>HYPERLINK("http://141.218.60.56/~jnz1568/getInfo.php?workbook=08_01.xlsx&amp;sheet=A0&amp;row=67&amp;col=12&amp;number=&amp;sourceID=11","")</f>
        <v/>
      </c>
      <c r="M67" s="4" t="str">
        <f>HYPERLINK("http://141.218.60.56/~jnz1568/getInfo.php?workbook=08_01.xlsx&amp;sheet=A0&amp;row=67&amp;col=13&amp;number=&amp;sourceID=11","")</f>
        <v/>
      </c>
      <c r="N67" s="4" t="str">
        <f>HYPERLINK("http://141.218.60.56/~jnz1568/getInfo.php?workbook=08_01.xlsx&amp;sheet=A0&amp;row=67&amp;col=14&amp;number=1353300&amp;sourceID=12","1353300")</f>
        <v>1353300</v>
      </c>
      <c r="O67" s="4" t="str">
        <f>HYPERLINK("http://141.218.60.56/~jnz1568/getInfo.php?workbook=08_01.xlsx&amp;sheet=A0&amp;row=67&amp;col=15&amp;number=&amp;sourceID=12","")</f>
        <v/>
      </c>
      <c r="P67" s="4" t="str">
        <f>HYPERLINK("http://141.218.60.56/~jnz1568/getInfo.php?workbook=08_01.xlsx&amp;sheet=A0&amp;row=67&amp;col=16&amp;number=1353300&amp;sourceID=12","1353300")</f>
        <v>1353300</v>
      </c>
      <c r="Q67" s="4" t="str">
        <f>HYPERLINK("http://141.218.60.56/~jnz1568/getInfo.php?workbook=08_01.xlsx&amp;sheet=A0&amp;row=67&amp;col=17&amp;number=&amp;sourceID=12","")</f>
        <v/>
      </c>
      <c r="R67" s="4" t="str">
        <f>HYPERLINK("http://141.218.60.56/~jnz1568/getInfo.php?workbook=08_01.xlsx&amp;sheet=A0&amp;row=67&amp;col=18&amp;number=1.8786&amp;sourceID=12","1.8786")</f>
        <v>1.8786</v>
      </c>
      <c r="S67" s="4" t="str">
        <f>HYPERLINK("http://141.218.60.56/~jnz1568/getInfo.php?workbook=08_01.xlsx&amp;sheet=A0&amp;row=67&amp;col=19&amp;number=&amp;sourceID=12","")</f>
        <v/>
      </c>
      <c r="T67" s="4" t="str">
        <f>HYPERLINK("http://141.218.60.56/~jnz1568/getInfo.php?workbook=08_01.xlsx&amp;sheet=A0&amp;row=67&amp;col=20&amp;number=&amp;sourceID=12","")</f>
        <v/>
      </c>
      <c r="U67" s="4" t="str">
        <f>HYPERLINK("http://141.218.60.56/~jnz1568/getInfo.php?workbook=08_01.xlsx&amp;sheet=A0&amp;row=67&amp;col=21&amp;number=1353001.879&amp;sourceID=30","1353001.879")</f>
        <v>1353001.879</v>
      </c>
      <c r="V67" s="4" t="str">
        <f>HYPERLINK("http://141.218.60.56/~jnz1568/getInfo.php?workbook=08_01.xlsx&amp;sheet=A0&amp;row=67&amp;col=22&amp;number=&amp;sourceID=30","")</f>
        <v/>
      </c>
      <c r="W67" s="4" t="str">
        <f>HYPERLINK("http://141.218.60.56/~jnz1568/getInfo.php?workbook=08_01.xlsx&amp;sheet=A0&amp;row=67&amp;col=23&amp;number=1353000&amp;sourceID=30","1353000")</f>
        <v>1353000</v>
      </c>
      <c r="X67" s="4" t="str">
        <f>HYPERLINK("http://141.218.60.56/~jnz1568/getInfo.php?workbook=08_01.xlsx&amp;sheet=A0&amp;row=67&amp;col=24&amp;number=1.879&amp;sourceID=30","1.879")</f>
        <v>1.879</v>
      </c>
      <c r="Y67" s="4" t="str">
        <f>HYPERLINK("http://141.218.60.56/~jnz1568/getInfo.php?workbook=08_01.xlsx&amp;sheet=A0&amp;row=67&amp;col=25&amp;number=&amp;sourceID=30","")</f>
        <v/>
      </c>
      <c r="Z67" s="4" t="str">
        <f>HYPERLINK("http://141.218.60.56/~jnz1568/getInfo.php?workbook=08_01.xlsx&amp;sheet=A0&amp;row=67&amp;col=26&amp;number=&amp;sourceID=13","")</f>
        <v/>
      </c>
      <c r="AA67" s="4" t="str">
        <f>HYPERLINK("http://141.218.60.56/~jnz1568/getInfo.php?workbook=08_01.xlsx&amp;sheet=A0&amp;row=67&amp;col=27&amp;number=&amp;sourceID=13","")</f>
        <v/>
      </c>
      <c r="AB67" s="4" t="str">
        <f>HYPERLINK("http://141.218.60.56/~jnz1568/getInfo.php?workbook=08_01.xlsx&amp;sheet=A0&amp;row=67&amp;col=28&amp;number=1290000&amp;sourceID=13","1290000")</f>
        <v>1290000</v>
      </c>
      <c r="AC67" s="4" t="str">
        <f>HYPERLINK("http://141.218.60.56/~jnz1568/getInfo.php?workbook=08_01.xlsx&amp;sheet=A0&amp;row=67&amp;col=29&amp;number=&amp;sourceID=13","")</f>
        <v/>
      </c>
      <c r="AD67" s="4" t="str">
        <f>HYPERLINK("http://141.218.60.56/~jnz1568/getInfo.php?workbook=08_01.xlsx&amp;sheet=A0&amp;row=67&amp;col=30&amp;number=1.54&amp;sourceID=13","1.54")</f>
        <v>1.54</v>
      </c>
      <c r="AE67" s="4" t="str">
        <f>HYPERLINK("http://141.218.60.56/~jnz1568/getInfo.php?workbook=08_01.xlsx&amp;sheet=A0&amp;row=67&amp;col=31&amp;number=&amp;sourceID=13","")</f>
        <v/>
      </c>
      <c r="AF67" s="4" t="str">
        <f>HYPERLINK("http://141.218.60.56/~jnz1568/getInfo.php?workbook=08_01.xlsx&amp;sheet=A0&amp;row=67&amp;col=32&amp;number=&amp;sourceID=20","")</f>
        <v/>
      </c>
    </row>
    <row r="68" spans="1:32">
      <c r="A68" s="3">
        <v>8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HYPERLINK("http://141.218.60.56/~jnz1568/getInfo.php?workbook=08_01.xlsx&amp;sheet=A0&amp;row=68&amp;col=6&amp;number=&amp;sourceID=18","")</f>
        <v/>
      </c>
      <c r="G68" s="4" t="str">
        <f>HYPERLINK("http://141.218.60.56/~jnz1568/getInfo.php?workbook=08_01.xlsx&amp;sheet=A0&amp;row=68&amp;col=7&amp;number==&amp;sourceID=11","=")</f>
        <v>=</v>
      </c>
      <c r="H68" s="4" t="str">
        <f>HYPERLINK("http://141.218.60.56/~jnz1568/getInfo.php?workbook=08_01.xlsx&amp;sheet=A0&amp;row=68&amp;col=8&amp;number=39617000000&amp;sourceID=11","39617000000")</f>
        <v>39617000000</v>
      </c>
      <c r="I68" s="4" t="str">
        <f>HYPERLINK("http://141.218.60.56/~jnz1568/getInfo.php?workbook=08_01.xlsx&amp;sheet=A0&amp;row=68&amp;col=9&amp;number=&amp;sourceID=11","")</f>
        <v/>
      </c>
      <c r="J68" s="4" t="str">
        <f>HYPERLINK("http://141.218.60.56/~jnz1568/getInfo.php?workbook=08_01.xlsx&amp;sheet=A0&amp;row=68&amp;col=10&amp;number=&amp;sourceID=11","")</f>
        <v/>
      </c>
      <c r="K68" s="4" t="str">
        <f>HYPERLINK("http://141.218.60.56/~jnz1568/getInfo.php?workbook=08_01.xlsx&amp;sheet=A0&amp;row=68&amp;col=11&amp;number=&amp;sourceID=11","")</f>
        <v/>
      </c>
      <c r="L68" s="4" t="str">
        <f>HYPERLINK("http://141.218.60.56/~jnz1568/getInfo.php?workbook=08_01.xlsx&amp;sheet=A0&amp;row=68&amp;col=12&amp;number=760.26&amp;sourceID=11","760.26")</f>
        <v>760.26</v>
      </c>
      <c r="M68" s="4" t="str">
        <f>HYPERLINK("http://141.218.60.56/~jnz1568/getInfo.php?workbook=08_01.xlsx&amp;sheet=A0&amp;row=68&amp;col=13&amp;number=&amp;sourceID=11","")</f>
        <v/>
      </c>
      <c r="N68" s="4" t="str">
        <f>HYPERLINK("http://141.218.60.56/~jnz1568/getInfo.php?workbook=08_01.xlsx&amp;sheet=A0&amp;row=68&amp;col=14&amp;number=39618000000&amp;sourceID=12","39618000000")</f>
        <v>39618000000</v>
      </c>
      <c r="O68" s="4" t="str">
        <f>HYPERLINK("http://141.218.60.56/~jnz1568/getInfo.php?workbook=08_01.xlsx&amp;sheet=A0&amp;row=68&amp;col=15&amp;number=39618000000&amp;sourceID=12","39618000000")</f>
        <v>39618000000</v>
      </c>
      <c r="P68" s="4" t="str">
        <f>HYPERLINK("http://141.218.60.56/~jnz1568/getInfo.php?workbook=08_01.xlsx&amp;sheet=A0&amp;row=68&amp;col=16&amp;number=&amp;sourceID=12","")</f>
        <v/>
      </c>
      <c r="Q68" s="4" t="str">
        <f>HYPERLINK("http://141.218.60.56/~jnz1568/getInfo.php?workbook=08_01.xlsx&amp;sheet=A0&amp;row=68&amp;col=17&amp;number=&amp;sourceID=12","")</f>
        <v/>
      </c>
      <c r="R68" s="4" t="str">
        <f>HYPERLINK("http://141.218.60.56/~jnz1568/getInfo.php?workbook=08_01.xlsx&amp;sheet=A0&amp;row=68&amp;col=18&amp;number=&amp;sourceID=12","")</f>
        <v/>
      </c>
      <c r="S68" s="4" t="str">
        <f>HYPERLINK("http://141.218.60.56/~jnz1568/getInfo.php?workbook=08_01.xlsx&amp;sheet=A0&amp;row=68&amp;col=19&amp;number=760.28&amp;sourceID=12","760.28")</f>
        <v>760.28</v>
      </c>
      <c r="T68" s="4" t="str">
        <f>HYPERLINK("http://141.218.60.56/~jnz1568/getInfo.php?workbook=08_01.xlsx&amp;sheet=A0&amp;row=68&amp;col=20&amp;number=&amp;sourceID=12","")</f>
        <v/>
      </c>
      <c r="U68" s="4" t="str">
        <f>HYPERLINK("http://141.218.60.56/~jnz1568/getInfo.php?workbook=08_01.xlsx&amp;sheet=A0&amp;row=68&amp;col=21&amp;number=39620000760.3&amp;sourceID=30","39620000760.3")</f>
        <v>39620000760.3</v>
      </c>
      <c r="V68" s="4" t="str">
        <f>HYPERLINK("http://141.218.60.56/~jnz1568/getInfo.php?workbook=08_01.xlsx&amp;sheet=A0&amp;row=68&amp;col=22&amp;number=39620000000&amp;sourceID=30","39620000000")</f>
        <v>39620000000</v>
      </c>
      <c r="W68" s="4" t="str">
        <f>HYPERLINK("http://141.218.60.56/~jnz1568/getInfo.php?workbook=08_01.xlsx&amp;sheet=A0&amp;row=68&amp;col=23&amp;number=&amp;sourceID=30","")</f>
        <v/>
      </c>
      <c r="X68" s="4" t="str">
        <f>HYPERLINK("http://141.218.60.56/~jnz1568/getInfo.php?workbook=08_01.xlsx&amp;sheet=A0&amp;row=68&amp;col=24&amp;number=&amp;sourceID=30","")</f>
        <v/>
      </c>
      <c r="Y68" s="4" t="str">
        <f>HYPERLINK("http://141.218.60.56/~jnz1568/getInfo.php?workbook=08_01.xlsx&amp;sheet=A0&amp;row=68&amp;col=25&amp;number=760.3&amp;sourceID=30","760.3")</f>
        <v>760.3</v>
      </c>
      <c r="Z68" s="4" t="str">
        <f>HYPERLINK("http://141.218.60.56/~jnz1568/getInfo.php?workbook=08_01.xlsx&amp;sheet=A0&amp;row=68&amp;col=26&amp;number==SUM(AA68:AE68)&amp;sourceID=13","=SUM(AA68:AE68)")</f>
        <v>=SUM(AA68:AE68)</v>
      </c>
      <c r="AA68" s="4" t="str">
        <f>HYPERLINK("http://141.218.60.56/~jnz1568/getInfo.php?workbook=08_01.xlsx&amp;sheet=A0&amp;row=68&amp;col=27&amp;number=39300000000&amp;sourceID=13","39300000000")</f>
        <v>39300000000</v>
      </c>
      <c r="AB68" s="4" t="str">
        <f>HYPERLINK("http://141.218.60.56/~jnz1568/getInfo.php?workbook=08_01.xlsx&amp;sheet=A0&amp;row=68&amp;col=28&amp;number=&amp;sourceID=13","")</f>
        <v/>
      </c>
      <c r="AC68" s="4" t="str">
        <f>HYPERLINK("http://141.218.60.56/~jnz1568/getInfo.php?workbook=08_01.xlsx&amp;sheet=A0&amp;row=68&amp;col=29&amp;number=&amp;sourceID=13","")</f>
        <v/>
      </c>
      <c r="AD68" s="4" t="str">
        <f>HYPERLINK("http://141.218.60.56/~jnz1568/getInfo.php?workbook=08_01.xlsx&amp;sheet=A0&amp;row=68&amp;col=30&amp;number=&amp;sourceID=13","")</f>
        <v/>
      </c>
      <c r="AE68" s="4" t="str">
        <f>HYPERLINK("http://141.218.60.56/~jnz1568/getInfo.php?workbook=08_01.xlsx&amp;sheet=A0&amp;row=68&amp;col=31&amp;number=&amp;sourceID=13","")</f>
        <v/>
      </c>
      <c r="AF68" s="4" t="str">
        <f>HYPERLINK("http://141.218.60.56/~jnz1568/getInfo.php?workbook=08_01.xlsx&amp;sheet=A0&amp;row=68&amp;col=32&amp;number=&amp;sourceID=20","")</f>
        <v/>
      </c>
    </row>
    <row r="69" spans="1:32">
      <c r="A69" s="3">
        <v>8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HYPERLINK("http://141.218.60.56/~jnz1568/getInfo.php?workbook=08_01.xlsx&amp;sheet=A0&amp;row=69&amp;col=6&amp;number=&amp;sourceID=18","")</f>
        <v/>
      </c>
      <c r="G69" s="4" t="str">
        <f>HYPERLINK("http://141.218.60.56/~jnz1568/getInfo.php?workbook=08_01.xlsx&amp;sheet=A0&amp;row=69&amp;col=7&amp;number==&amp;sourceID=11","=")</f>
        <v>=</v>
      </c>
      <c r="H69" s="4" t="str">
        <f>HYPERLINK("http://141.218.60.56/~jnz1568/getInfo.php?workbook=08_01.xlsx&amp;sheet=A0&amp;row=69&amp;col=8&amp;number=&amp;sourceID=11","")</f>
        <v/>
      </c>
      <c r="I69" s="4" t="str">
        <f>HYPERLINK("http://141.218.60.56/~jnz1568/getInfo.php?workbook=08_01.xlsx&amp;sheet=A0&amp;row=69&amp;col=9&amp;number=1349400&amp;sourceID=11","1349400")</f>
        <v>1349400</v>
      </c>
      <c r="J69" s="4" t="str">
        <f>HYPERLINK("http://141.218.60.56/~jnz1568/getInfo.php?workbook=08_01.xlsx&amp;sheet=A0&amp;row=69&amp;col=10&amp;number=&amp;sourceID=11","")</f>
        <v/>
      </c>
      <c r="K69" s="4" t="str">
        <f>HYPERLINK("http://141.218.60.56/~jnz1568/getInfo.php?workbook=08_01.xlsx&amp;sheet=A0&amp;row=69&amp;col=11&amp;number=2.9793&amp;sourceID=11","2.9793")</f>
        <v>2.9793</v>
      </c>
      <c r="L69" s="4" t="str">
        <f>HYPERLINK("http://141.218.60.56/~jnz1568/getInfo.php?workbook=08_01.xlsx&amp;sheet=A0&amp;row=69&amp;col=12&amp;number=&amp;sourceID=11","")</f>
        <v/>
      </c>
      <c r="M69" s="4" t="str">
        <f>HYPERLINK("http://141.218.60.56/~jnz1568/getInfo.php?workbook=08_01.xlsx&amp;sheet=A0&amp;row=69&amp;col=13&amp;number=0.055122&amp;sourceID=11","0.055122")</f>
        <v>0.055122</v>
      </c>
      <c r="N69" s="4" t="str">
        <f>HYPERLINK("http://141.218.60.56/~jnz1568/getInfo.php?workbook=08_01.xlsx&amp;sheet=A0&amp;row=69&amp;col=14&amp;number=1349500&amp;sourceID=12","1349500")</f>
        <v>1349500</v>
      </c>
      <c r="O69" s="4" t="str">
        <f>HYPERLINK("http://141.218.60.56/~jnz1568/getInfo.php?workbook=08_01.xlsx&amp;sheet=A0&amp;row=69&amp;col=15&amp;number=&amp;sourceID=12","")</f>
        <v/>
      </c>
      <c r="P69" s="4" t="str">
        <f>HYPERLINK("http://141.218.60.56/~jnz1568/getInfo.php?workbook=08_01.xlsx&amp;sheet=A0&amp;row=69&amp;col=16&amp;number=1349500&amp;sourceID=12","1349500")</f>
        <v>1349500</v>
      </c>
      <c r="Q69" s="4" t="str">
        <f>HYPERLINK("http://141.218.60.56/~jnz1568/getInfo.php?workbook=08_01.xlsx&amp;sheet=A0&amp;row=69&amp;col=17&amp;number=&amp;sourceID=12","")</f>
        <v/>
      </c>
      <c r="R69" s="4" t="str">
        <f>HYPERLINK("http://141.218.60.56/~jnz1568/getInfo.php?workbook=08_01.xlsx&amp;sheet=A0&amp;row=69&amp;col=18&amp;number=2.9794&amp;sourceID=12","2.9794")</f>
        <v>2.9794</v>
      </c>
      <c r="S69" s="4" t="str">
        <f>HYPERLINK("http://141.218.60.56/~jnz1568/getInfo.php?workbook=08_01.xlsx&amp;sheet=A0&amp;row=69&amp;col=19&amp;number=&amp;sourceID=12","")</f>
        <v/>
      </c>
      <c r="T69" s="4" t="str">
        <f>HYPERLINK("http://141.218.60.56/~jnz1568/getInfo.php?workbook=08_01.xlsx&amp;sheet=A0&amp;row=69&amp;col=20&amp;number=0.055123&amp;sourceID=12","0.055123")</f>
        <v>0.055123</v>
      </c>
      <c r="U69" s="4" t="str">
        <f>HYPERLINK("http://141.218.60.56/~jnz1568/getInfo.php?workbook=08_01.xlsx&amp;sheet=A0&amp;row=69&amp;col=21&amp;number=1350002.979&amp;sourceID=30","1350002.979")</f>
        <v>1350002.979</v>
      </c>
      <c r="V69" s="4" t="str">
        <f>HYPERLINK("http://141.218.60.56/~jnz1568/getInfo.php?workbook=08_01.xlsx&amp;sheet=A0&amp;row=69&amp;col=22&amp;number=&amp;sourceID=30","")</f>
        <v/>
      </c>
      <c r="W69" s="4" t="str">
        <f>HYPERLINK("http://141.218.60.56/~jnz1568/getInfo.php?workbook=08_01.xlsx&amp;sheet=A0&amp;row=69&amp;col=23&amp;number=1350000&amp;sourceID=30","1350000")</f>
        <v>1350000</v>
      </c>
      <c r="X69" s="4" t="str">
        <f>HYPERLINK("http://141.218.60.56/~jnz1568/getInfo.php?workbook=08_01.xlsx&amp;sheet=A0&amp;row=69&amp;col=24&amp;number=2.979&amp;sourceID=30","2.979")</f>
        <v>2.979</v>
      </c>
      <c r="Y69" s="4" t="str">
        <f>HYPERLINK("http://141.218.60.56/~jnz1568/getInfo.php?workbook=08_01.xlsx&amp;sheet=A0&amp;row=69&amp;col=25&amp;number=&amp;sourceID=30","")</f>
        <v/>
      </c>
      <c r="Z69" s="4" t="str">
        <f>HYPERLINK("http://141.218.60.56/~jnz1568/getInfo.php?workbook=08_01.xlsx&amp;sheet=A0&amp;row=69&amp;col=26&amp;number==&amp;sourceID=13","=")</f>
        <v>=</v>
      </c>
      <c r="AA69" s="4" t="str">
        <f>HYPERLINK("http://141.218.60.56/~jnz1568/getInfo.php?workbook=08_01.xlsx&amp;sheet=A0&amp;row=69&amp;col=27&amp;number=&amp;sourceID=13","")</f>
        <v/>
      </c>
      <c r="AB69" s="4" t="str">
        <f>HYPERLINK("http://141.218.60.56/~jnz1568/getInfo.php?workbook=08_01.xlsx&amp;sheet=A0&amp;row=69&amp;col=28&amp;number=1330000&amp;sourceID=13","1330000")</f>
        <v>1330000</v>
      </c>
      <c r="AC69" s="4" t="str">
        <f>HYPERLINK("http://141.218.60.56/~jnz1568/getInfo.php?workbook=08_01.xlsx&amp;sheet=A0&amp;row=69&amp;col=29&amp;number=&amp;sourceID=13","")</f>
        <v/>
      </c>
      <c r="AD69" s="4" t="str">
        <f>HYPERLINK("http://141.218.60.56/~jnz1568/getInfo.php?workbook=08_01.xlsx&amp;sheet=A0&amp;row=69&amp;col=30&amp;number=2.99&amp;sourceID=13","2.99")</f>
        <v>2.99</v>
      </c>
      <c r="AE69" s="4" t="str">
        <f>HYPERLINK("http://141.218.60.56/~jnz1568/getInfo.php?workbook=08_01.xlsx&amp;sheet=A0&amp;row=69&amp;col=31&amp;number=&amp;sourceID=13","")</f>
        <v/>
      </c>
      <c r="AF69" s="4" t="str">
        <f>HYPERLINK("http://141.218.60.56/~jnz1568/getInfo.php?workbook=08_01.xlsx&amp;sheet=A0&amp;row=69&amp;col=32&amp;number=&amp;sourceID=20","")</f>
        <v/>
      </c>
    </row>
    <row r="70" spans="1:32">
      <c r="A70" s="3">
        <v>8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HYPERLINK("http://141.218.60.56/~jnz1568/getInfo.php?workbook=08_01.xlsx&amp;sheet=A0&amp;row=70&amp;col=6&amp;number=&amp;sourceID=18","")</f>
        <v/>
      </c>
      <c r="G70" s="4" t="str">
        <f>HYPERLINK("http://141.218.60.56/~jnz1568/getInfo.php?workbook=08_01.xlsx&amp;sheet=A0&amp;row=70&amp;col=7&amp;number==SUM(H70:M70)&amp;sourceID=11","=SUM(H70:M70)")</f>
        <v>=SUM(H70:M70)</v>
      </c>
      <c r="H70" s="4" t="str">
        <f>HYPERLINK("http://141.218.60.56/~jnz1568/getInfo.php?workbook=08_01.xlsx&amp;sheet=A0&amp;row=70&amp;col=8&amp;number=&amp;sourceID=11","")</f>
        <v/>
      </c>
      <c r="I70" s="4" t="str">
        <f>HYPERLINK("http://141.218.60.56/~jnz1568/getInfo.php?workbook=08_01.xlsx&amp;sheet=A0&amp;row=70&amp;col=9&amp;number=334860&amp;sourceID=11","334860")</f>
        <v>334860</v>
      </c>
      <c r="J70" s="4" t="str">
        <f>HYPERLINK("http://141.218.60.56/~jnz1568/getInfo.php?workbook=08_01.xlsx&amp;sheet=A0&amp;row=70&amp;col=10&amp;number=&amp;sourceID=11","")</f>
        <v/>
      </c>
      <c r="K70" s="4" t="str">
        <f>HYPERLINK("http://141.218.60.56/~jnz1568/getInfo.php?workbook=08_01.xlsx&amp;sheet=A0&amp;row=70&amp;col=11&amp;number=0.2074&amp;sourceID=11","0.2074")</f>
        <v>0.2074</v>
      </c>
      <c r="L70" s="4" t="str">
        <f>HYPERLINK("http://141.218.60.56/~jnz1568/getInfo.php?workbook=08_01.xlsx&amp;sheet=A0&amp;row=70&amp;col=12&amp;number=&amp;sourceID=11","")</f>
        <v/>
      </c>
      <c r="M70" s="4" t="str">
        <f>HYPERLINK("http://141.218.60.56/~jnz1568/getInfo.php?workbook=08_01.xlsx&amp;sheet=A0&amp;row=70&amp;col=13&amp;number=&amp;sourceID=11","")</f>
        <v/>
      </c>
      <c r="N70" s="4" t="str">
        <f>HYPERLINK("http://141.218.60.56/~jnz1568/getInfo.php?workbook=08_01.xlsx&amp;sheet=A0&amp;row=70&amp;col=14&amp;number=334870&amp;sourceID=12","334870")</f>
        <v>334870</v>
      </c>
      <c r="O70" s="4" t="str">
        <f>HYPERLINK("http://141.218.60.56/~jnz1568/getInfo.php?workbook=08_01.xlsx&amp;sheet=A0&amp;row=70&amp;col=15&amp;number=&amp;sourceID=12","")</f>
        <v/>
      </c>
      <c r="P70" s="4" t="str">
        <f>HYPERLINK("http://141.218.60.56/~jnz1568/getInfo.php?workbook=08_01.xlsx&amp;sheet=A0&amp;row=70&amp;col=16&amp;number=334870&amp;sourceID=12","334870")</f>
        <v>334870</v>
      </c>
      <c r="Q70" s="4" t="str">
        <f>HYPERLINK("http://141.218.60.56/~jnz1568/getInfo.php?workbook=08_01.xlsx&amp;sheet=A0&amp;row=70&amp;col=17&amp;number=&amp;sourceID=12","")</f>
        <v/>
      </c>
      <c r="R70" s="4" t="str">
        <f>HYPERLINK("http://141.218.60.56/~jnz1568/getInfo.php?workbook=08_01.xlsx&amp;sheet=A0&amp;row=70&amp;col=18&amp;number=0.20741&amp;sourceID=12","0.20741")</f>
        <v>0.20741</v>
      </c>
      <c r="S70" s="4" t="str">
        <f>HYPERLINK("http://141.218.60.56/~jnz1568/getInfo.php?workbook=08_01.xlsx&amp;sheet=A0&amp;row=70&amp;col=19&amp;number=&amp;sourceID=12","")</f>
        <v/>
      </c>
      <c r="T70" s="4" t="str">
        <f>HYPERLINK("http://141.218.60.56/~jnz1568/getInfo.php?workbook=08_01.xlsx&amp;sheet=A0&amp;row=70&amp;col=20&amp;number=&amp;sourceID=12","")</f>
        <v/>
      </c>
      <c r="U70" s="4" t="str">
        <f>HYPERLINK("http://141.218.60.56/~jnz1568/getInfo.php?workbook=08_01.xlsx&amp;sheet=A0&amp;row=70&amp;col=21&amp;number=334900.2074&amp;sourceID=30","334900.2074")</f>
        <v>334900.2074</v>
      </c>
      <c r="V70" s="4" t="str">
        <f>HYPERLINK("http://141.218.60.56/~jnz1568/getInfo.php?workbook=08_01.xlsx&amp;sheet=A0&amp;row=70&amp;col=22&amp;number=&amp;sourceID=30","")</f>
        <v/>
      </c>
      <c r="W70" s="4" t="str">
        <f>HYPERLINK("http://141.218.60.56/~jnz1568/getInfo.php?workbook=08_01.xlsx&amp;sheet=A0&amp;row=70&amp;col=23&amp;number=334900&amp;sourceID=30","334900")</f>
        <v>334900</v>
      </c>
      <c r="X70" s="4" t="str">
        <f>HYPERLINK("http://141.218.60.56/~jnz1568/getInfo.php?workbook=08_01.xlsx&amp;sheet=A0&amp;row=70&amp;col=24&amp;number=0.2074&amp;sourceID=30","0.2074")</f>
        <v>0.2074</v>
      </c>
      <c r="Y70" s="4" t="str">
        <f>HYPERLINK("http://141.218.60.56/~jnz1568/getInfo.php?workbook=08_01.xlsx&amp;sheet=A0&amp;row=70&amp;col=25&amp;number=&amp;sourceID=30","")</f>
        <v/>
      </c>
      <c r="Z70" s="4" t="str">
        <f>HYPERLINK("http://141.218.60.56/~jnz1568/getInfo.php?workbook=08_01.xlsx&amp;sheet=A0&amp;row=70&amp;col=26&amp;number==&amp;sourceID=13","=")</f>
        <v>=</v>
      </c>
      <c r="AA70" s="4" t="str">
        <f>HYPERLINK("http://141.218.60.56/~jnz1568/getInfo.php?workbook=08_01.xlsx&amp;sheet=A0&amp;row=70&amp;col=27&amp;number=&amp;sourceID=13","")</f>
        <v/>
      </c>
      <c r="AB70" s="4" t="str">
        <f>HYPERLINK("http://141.218.60.56/~jnz1568/getInfo.php?workbook=08_01.xlsx&amp;sheet=A0&amp;row=70&amp;col=28&amp;number=333000&amp;sourceID=13","333000")</f>
        <v>333000</v>
      </c>
      <c r="AC70" s="4" t="str">
        <f>HYPERLINK("http://141.218.60.56/~jnz1568/getInfo.php?workbook=08_01.xlsx&amp;sheet=A0&amp;row=70&amp;col=29&amp;number=&amp;sourceID=13","")</f>
        <v/>
      </c>
      <c r="AD70" s="4" t="str">
        <f>HYPERLINK("http://141.218.60.56/~jnz1568/getInfo.php?workbook=08_01.xlsx&amp;sheet=A0&amp;row=70&amp;col=30&amp;number=0.196&amp;sourceID=13","0.196")</f>
        <v>0.196</v>
      </c>
      <c r="AE70" s="4" t="str">
        <f>HYPERLINK("http://141.218.60.56/~jnz1568/getInfo.php?workbook=08_01.xlsx&amp;sheet=A0&amp;row=70&amp;col=31&amp;number=&amp;sourceID=13","")</f>
        <v/>
      </c>
      <c r="AF70" s="4" t="str">
        <f>HYPERLINK("http://141.218.60.56/~jnz1568/getInfo.php?workbook=08_01.xlsx&amp;sheet=A0&amp;row=70&amp;col=32&amp;number=&amp;sourceID=20","")</f>
        <v/>
      </c>
    </row>
    <row r="71" spans="1:32">
      <c r="A71" s="3">
        <v>8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HYPERLINK("http://141.218.60.56/~jnz1568/getInfo.php?workbook=08_01.xlsx&amp;sheet=A0&amp;row=71&amp;col=6&amp;number=&amp;sourceID=18","")</f>
        <v/>
      </c>
      <c r="G71" s="4" t="str">
        <f>HYPERLINK("http://141.218.60.56/~jnz1568/getInfo.php?workbook=08_01.xlsx&amp;sheet=A0&amp;row=71&amp;col=7&amp;number==&amp;sourceID=11","=")</f>
        <v>=</v>
      </c>
      <c r="H71" s="4" t="str">
        <f>HYPERLINK("http://141.218.60.56/~jnz1568/getInfo.php?workbook=08_01.xlsx&amp;sheet=A0&amp;row=71&amp;col=8&amp;number=12540000000&amp;sourceID=11","12540000000")</f>
        <v>12540000000</v>
      </c>
      <c r="I71" s="4" t="str">
        <f>HYPERLINK("http://141.218.60.56/~jnz1568/getInfo.php?workbook=08_01.xlsx&amp;sheet=A0&amp;row=71&amp;col=9&amp;number=&amp;sourceID=11","")</f>
        <v/>
      </c>
      <c r="J71" s="4" t="str">
        <f>HYPERLINK("http://141.218.60.56/~jnz1568/getInfo.php?workbook=08_01.xlsx&amp;sheet=A0&amp;row=71&amp;col=10&amp;number=&amp;sourceID=11","")</f>
        <v/>
      </c>
      <c r="K71" s="4" t="str">
        <f>HYPERLINK("http://141.218.60.56/~jnz1568/getInfo.php?workbook=08_01.xlsx&amp;sheet=A0&amp;row=71&amp;col=11&amp;number=&amp;sourceID=11","")</f>
        <v/>
      </c>
      <c r="L71" s="4" t="str">
        <f>HYPERLINK("http://141.218.60.56/~jnz1568/getInfo.php?workbook=08_01.xlsx&amp;sheet=A0&amp;row=71&amp;col=12&amp;number=16.186&amp;sourceID=11","16.186")</f>
        <v>16.186</v>
      </c>
      <c r="M71" s="4" t="str">
        <f>HYPERLINK("http://141.218.60.56/~jnz1568/getInfo.php?workbook=08_01.xlsx&amp;sheet=A0&amp;row=71&amp;col=13&amp;number=&amp;sourceID=11","")</f>
        <v/>
      </c>
      <c r="N71" s="4" t="str">
        <f>HYPERLINK("http://141.218.60.56/~jnz1568/getInfo.php?workbook=08_01.xlsx&amp;sheet=A0&amp;row=71&amp;col=14&amp;number=12540000000&amp;sourceID=12","12540000000")</f>
        <v>12540000000</v>
      </c>
      <c r="O71" s="4" t="str">
        <f>HYPERLINK("http://141.218.60.56/~jnz1568/getInfo.php?workbook=08_01.xlsx&amp;sheet=A0&amp;row=71&amp;col=15&amp;number=12540000000&amp;sourceID=12","12540000000")</f>
        <v>12540000000</v>
      </c>
      <c r="P71" s="4" t="str">
        <f>HYPERLINK("http://141.218.60.56/~jnz1568/getInfo.php?workbook=08_01.xlsx&amp;sheet=A0&amp;row=71&amp;col=16&amp;number=&amp;sourceID=12","")</f>
        <v/>
      </c>
      <c r="Q71" s="4" t="str">
        <f>HYPERLINK("http://141.218.60.56/~jnz1568/getInfo.php?workbook=08_01.xlsx&amp;sheet=A0&amp;row=71&amp;col=17&amp;number=&amp;sourceID=12","")</f>
        <v/>
      </c>
      <c r="R71" s="4" t="str">
        <f>HYPERLINK("http://141.218.60.56/~jnz1568/getInfo.php?workbook=08_01.xlsx&amp;sheet=A0&amp;row=71&amp;col=18&amp;number=&amp;sourceID=12","")</f>
        <v/>
      </c>
      <c r="S71" s="4" t="str">
        <f>HYPERLINK("http://141.218.60.56/~jnz1568/getInfo.php?workbook=08_01.xlsx&amp;sheet=A0&amp;row=71&amp;col=19&amp;number=16.187&amp;sourceID=12","16.187")</f>
        <v>16.187</v>
      </c>
      <c r="T71" s="4" t="str">
        <f>HYPERLINK("http://141.218.60.56/~jnz1568/getInfo.php?workbook=08_01.xlsx&amp;sheet=A0&amp;row=71&amp;col=20&amp;number=&amp;sourceID=12","")</f>
        <v/>
      </c>
      <c r="U71" s="4" t="str">
        <f>HYPERLINK("http://141.218.60.56/~jnz1568/getInfo.php?workbook=08_01.xlsx&amp;sheet=A0&amp;row=71&amp;col=21&amp;number=12540000016.2&amp;sourceID=30","12540000016.2")</f>
        <v>12540000016.2</v>
      </c>
      <c r="V71" s="4" t="str">
        <f>HYPERLINK("http://141.218.60.56/~jnz1568/getInfo.php?workbook=08_01.xlsx&amp;sheet=A0&amp;row=71&amp;col=22&amp;number=12540000000&amp;sourceID=30","12540000000")</f>
        <v>12540000000</v>
      </c>
      <c r="W71" s="4" t="str">
        <f>HYPERLINK("http://141.218.60.56/~jnz1568/getInfo.php?workbook=08_01.xlsx&amp;sheet=A0&amp;row=71&amp;col=23&amp;number=&amp;sourceID=30","")</f>
        <v/>
      </c>
      <c r="X71" s="4" t="str">
        <f>HYPERLINK("http://141.218.60.56/~jnz1568/getInfo.php?workbook=08_01.xlsx&amp;sheet=A0&amp;row=71&amp;col=24&amp;number=&amp;sourceID=30","")</f>
        <v/>
      </c>
      <c r="Y71" s="4" t="str">
        <f>HYPERLINK("http://141.218.60.56/~jnz1568/getInfo.php?workbook=08_01.xlsx&amp;sheet=A0&amp;row=71&amp;col=25&amp;number=16.19&amp;sourceID=30","16.19")</f>
        <v>16.19</v>
      </c>
      <c r="Z71" s="4" t="str">
        <f>HYPERLINK("http://141.218.60.56/~jnz1568/getInfo.php?workbook=08_01.xlsx&amp;sheet=A0&amp;row=71&amp;col=26&amp;number==&amp;sourceID=13","=")</f>
        <v>=</v>
      </c>
      <c r="AA71" s="4" t="str">
        <f>HYPERLINK("http://141.218.60.56/~jnz1568/getInfo.php?workbook=08_01.xlsx&amp;sheet=A0&amp;row=71&amp;col=27&amp;number=12500000000&amp;sourceID=13","12500000000")</f>
        <v>12500000000</v>
      </c>
      <c r="AB71" s="4" t="str">
        <f>HYPERLINK("http://141.218.60.56/~jnz1568/getInfo.php?workbook=08_01.xlsx&amp;sheet=A0&amp;row=71&amp;col=28&amp;number=&amp;sourceID=13","")</f>
        <v/>
      </c>
      <c r="AC71" s="4" t="str">
        <f>HYPERLINK("http://141.218.60.56/~jnz1568/getInfo.php?workbook=08_01.xlsx&amp;sheet=A0&amp;row=71&amp;col=29&amp;number=&amp;sourceID=13","")</f>
        <v/>
      </c>
      <c r="AD71" s="4" t="str">
        <f>HYPERLINK("http://141.218.60.56/~jnz1568/getInfo.php?workbook=08_01.xlsx&amp;sheet=A0&amp;row=71&amp;col=30&amp;number=&amp;sourceID=13","")</f>
        <v/>
      </c>
      <c r="AE71" s="4" t="str">
        <f>HYPERLINK("http://141.218.60.56/~jnz1568/getInfo.php?workbook=08_01.xlsx&amp;sheet=A0&amp;row=71&amp;col=31&amp;number=&amp;sourceID=13","")</f>
        <v/>
      </c>
      <c r="AF71" s="4" t="str">
        <f>HYPERLINK("http://141.218.60.56/~jnz1568/getInfo.php?workbook=08_01.xlsx&amp;sheet=A0&amp;row=71&amp;col=32&amp;number=&amp;sourceID=20","")</f>
        <v/>
      </c>
    </row>
    <row r="72" spans="1:32">
      <c r="A72" s="3">
        <v>8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HYPERLINK("http://141.218.60.56/~jnz1568/getInfo.php?workbook=08_01.xlsx&amp;sheet=A0&amp;row=72&amp;col=6&amp;number=&amp;sourceID=18","")</f>
        <v/>
      </c>
      <c r="G72" s="4" t="str">
        <f>HYPERLINK("http://141.218.60.56/~jnz1568/getInfo.php?workbook=08_01.xlsx&amp;sheet=A0&amp;row=72&amp;col=7&amp;number==&amp;sourceID=11","=")</f>
        <v>=</v>
      </c>
      <c r="H72" s="4" t="str">
        <f>HYPERLINK("http://141.218.60.56/~jnz1568/getInfo.php?workbook=08_01.xlsx&amp;sheet=A0&amp;row=72&amp;col=8&amp;number=142520000&amp;sourceID=11","142520000")</f>
        <v>142520000</v>
      </c>
      <c r="I72" s="4" t="str">
        <f>HYPERLINK("http://141.218.60.56/~jnz1568/getInfo.php?workbook=08_01.xlsx&amp;sheet=A0&amp;row=72&amp;col=9&amp;number=&amp;sourceID=11","")</f>
        <v/>
      </c>
      <c r="J72" s="4" t="str">
        <f>HYPERLINK("http://141.218.60.56/~jnz1568/getInfo.php?workbook=08_01.xlsx&amp;sheet=A0&amp;row=72&amp;col=10&amp;number=4.7295&amp;sourceID=11","4.7295")</f>
        <v>4.7295</v>
      </c>
      <c r="K72" s="4" t="str">
        <f>HYPERLINK("http://141.218.60.56/~jnz1568/getInfo.php?workbook=08_01.xlsx&amp;sheet=A0&amp;row=72&amp;col=11&amp;number=&amp;sourceID=11","")</f>
        <v/>
      </c>
      <c r="L72" s="4" t="str">
        <f>HYPERLINK("http://141.218.60.56/~jnz1568/getInfo.php?workbook=08_01.xlsx&amp;sheet=A0&amp;row=72&amp;col=12&amp;number=&amp;sourceID=11","")</f>
        <v/>
      </c>
      <c r="M72" s="4" t="str">
        <f>HYPERLINK("http://141.218.60.56/~jnz1568/getInfo.php?workbook=08_01.xlsx&amp;sheet=A0&amp;row=72&amp;col=13&amp;number=&amp;sourceID=11","")</f>
        <v/>
      </c>
      <c r="N72" s="4" t="str">
        <f>HYPERLINK("http://141.218.60.56/~jnz1568/getInfo.php?workbook=08_01.xlsx&amp;sheet=A0&amp;row=72&amp;col=14&amp;number=142530000&amp;sourceID=12","142530000")</f>
        <v>142530000</v>
      </c>
      <c r="O72" s="4" t="str">
        <f>HYPERLINK("http://141.218.60.56/~jnz1568/getInfo.php?workbook=08_01.xlsx&amp;sheet=A0&amp;row=72&amp;col=15&amp;number=142530000&amp;sourceID=12","142530000")</f>
        <v>142530000</v>
      </c>
      <c r="P72" s="4" t="str">
        <f>HYPERLINK("http://141.218.60.56/~jnz1568/getInfo.php?workbook=08_01.xlsx&amp;sheet=A0&amp;row=72&amp;col=16&amp;number=&amp;sourceID=12","")</f>
        <v/>
      </c>
      <c r="Q72" s="4" t="str">
        <f>HYPERLINK("http://141.218.60.56/~jnz1568/getInfo.php?workbook=08_01.xlsx&amp;sheet=A0&amp;row=72&amp;col=17&amp;number=4.7297&amp;sourceID=12","4.7297")</f>
        <v>4.7297</v>
      </c>
      <c r="R72" s="4" t="str">
        <f>HYPERLINK("http://141.218.60.56/~jnz1568/getInfo.php?workbook=08_01.xlsx&amp;sheet=A0&amp;row=72&amp;col=18&amp;number=&amp;sourceID=12","")</f>
        <v/>
      </c>
      <c r="S72" s="4" t="str">
        <f>HYPERLINK("http://141.218.60.56/~jnz1568/getInfo.php?workbook=08_01.xlsx&amp;sheet=A0&amp;row=72&amp;col=19&amp;number=&amp;sourceID=12","")</f>
        <v/>
      </c>
      <c r="T72" s="4" t="str">
        <f>HYPERLINK("http://141.218.60.56/~jnz1568/getInfo.php?workbook=08_01.xlsx&amp;sheet=A0&amp;row=72&amp;col=20&amp;number=&amp;sourceID=12","")</f>
        <v/>
      </c>
      <c r="U72" s="4" t="str">
        <f>HYPERLINK("http://141.218.60.56/~jnz1568/getInfo.php?workbook=08_01.xlsx&amp;sheet=A0&amp;row=72&amp;col=21&amp;number=142500000&amp;sourceID=30","142500000")</f>
        <v>142500000</v>
      </c>
      <c r="V72" s="4" t="str">
        <f>HYPERLINK("http://141.218.60.56/~jnz1568/getInfo.php?workbook=08_01.xlsx&amp;sheet=A0&amp;row=72&amp;col=22&amp;number=142500000&amp;sourceID=30","142500000")</f>
        <v>142500000</v>
      </c>
      <c r="W72" s="4" t="str">
        <f>HYPERLINK("http://141.218.60.56/~jnz1568/getInfo.php?workbook=08_01.xlsx&amp;sheet=A0&amp;row=72&amp;col=23&amp;number=&amp;sourceID=30","")</f>
        <v/>
      </c>
      <c r="X72" s="4" t="str">
        <f>HYPERLINK("http://141.218.60.56/~jnz1568/getInfo.php?workbook=08_01.xlsx&amp;sheet=A0&amp;row=72&amp;col=24&amp;number=&amp;sourceID=30","")</f>
        <v/>
      </c>
      <c r="Y72" s="4" t="str">
        <f>HYPERLINK("http://141.218.60.56/~jnz1568/getInfo.php?workbook=08_01.xlsx&amp;sheet=A0&amp;row=72&amp;col=25&amp;number=&amp;sourceID=30","")</f>
        <v/>
      </c>
      <c r="Z72" s="4" t="str">
        <f>HYPERLINK("http://141.218.60.56/~jnz1568/getInfo.php?workbook=08_01.xlsx&amp;sheet=A0&amp;row=72&amp;col=26&amp;number==&amp;sourceID=13","=")</f>
        <v>=</v>
      </c>
      <c r="AA72" s="4" t="str">
        <f>HYPERLINK("http://141.218.60.56/~jnz1568/getInfo.php?workbook=08_01.xlsx&amp;sheet=A0&amp;row=72&amp;col=27&amp;number=142000000&amp;sourceID=13","142000000")</f>
        <v>142000000</v>
      </c>
      <c r="AB72" s="4" t="str">
        <f>HYPERLINK("http://141.218.60.56/~jnz1568/getInfo.php?workbook=08_01.xlsx&amp;sheet=A0&amp;row=72&amp;col=28&amp;number=&amp;sourceID=13","")</f>
        <v/>
      </c>
      <c r="AC72" s="4" t="str">
        <f>HYPERLINK("http://141.218.60.56/~jnz1568/getInfo.php?workbook=08_01.xlsx&amp;sheet=A0&amp;row=72&amp;col=29&amp;number=&amp;sourceID=13","")</f>
        <v/>
      </c>
      <c r="AD72" s="4" t="str">
        <f>HYPERLINK("http://141.218.60.56/~jnz1568/getInfo.php?workbook=08_01.xlsx&amp;sheet=A0&amp;row=72&amp;col=30&amp;number=&amp;sourceID=13","")</f>
        <v/>
      </c>
      <c r="AE72" s="4" t="str">
        <f>HYPERLINK("http://141.218.60.56/~jnz1568/getInfo.php?workbook=08_01.xlsx&amp;sheet=A0&amp;row=72&amp;col=31&amp;number=&amp;sourceID=13","")</f>
        <v/>
      </c>
      <c r="AF72" s="4" t="str">
        <f>HYPERLINK("http://141.218.60.56/~jnz1568/getInfo.php?workbook=08_01.xlsx&amp;sheet=A0&amp;row=72&amp;col=32&amp;number=&amp;sourceID=20","")</f>
        <v/>
      </c>
    </row>
    <row r="73" spans="1:32">
      <c r="A73" s="3">
        <v>8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HYPERLINK("http://141.218.60.56/~jnz1568/getInfo.php?workbook=08_01.xlsx&amp;sheet=A0&amp;row=73&amp;col=6&amp;number=&amp;sourceID=18","")</f>
        <v/>
      </c>
      <c r="G73" s="4" t="str">
        <f>HYPERLINK("http://141.218.60.56/~jnz1568/getInfo.php?workbook=08_01.xlsx&amp;sheet=A0&amp;row=73&amp;col=7&amp;number==&amp;sourceID=11","=")</f>
        <v>=</v>
      </c>
      <c r="H73" s="4" t="str">
        <f>HYPERLINK("http://141.218.60.56/~jnz1568/getInfo.php?workbook=08_01.xlsx&amp;sheet=A0&amp;row=73&amp;col=8&amp;number=&amp;sourceID=11","")</f>
        <v/>
      </c>
      <c r="I73" s="4" t="str">
        <f>HYPERLINK("http://141.218.60.56/~jnz1568/getInfo.php?workbook=08_01.xlsx&amp;sheet=A0&amp;row=73&amp;col=9&amp;number=334500&amp;sourceID=11","334500")</f>
        <v>334500</v>
      </c>
      <c r="J73" s="4" t="str">
        <f>HYPERLINK("http://141.218.60.56/~jnz1568/getInfo.php?workbook=08_01.xlsx&amp;sheet=A0&amp;row=73&amp;col=10&amp;number=&amp;sourceID=11","")</f>
        <v/>
      </c>
      <c r="K73" s="4" t="str">
        <f>HYPERLINK("http://141.218.60.56/~jnz1568/getInfo.php?workbook=08_01.xlsx&amp;sheet=A0&amp;row=73&amp;col=11&amp;number=0.04962&amp;sourceID=11","0.04962")</f>
        <v>0.04962</v>
      </c>
      <c r="L73" s="4" t="str">
        <f>HYPERLINK("http://141.218.60.56/~jnz1568/getInfo.php?workbook=08_01.xlsx&amp;sheet=A0&amp;row=73&amp;col=12&amp;number=&amp;sourceID=11","")</f>
        <v/>
      </c>
      <c r="M73" s="4" t="str">
        <f>HYPERLINK("http://141.218.60.56/~jnz1568/getInfo.php?workbook=08_01.xlsx&amp;sheet=A0&amp;row=73&amp;col=13&amp;number=0.0009187&amp;sourceID=11","0.0009187")</f>
        <v>0.0009187</v>
      </c>
      <c r="N73" s="4" t="str">
        <f>HYPERLINK("http://141.218.60.56/~jnz1568/getInfo.php?workbook=08_01.xlsx&amp;sheet=A0&amp;row=73&amp;col=14&amp;number=334510&amp;sourceID=12","334510")</f>
        <v>334510</v>
      </c>
      <c r="O73" s="4" t="str">
        <f>HYPERLINK("http://141.218.60.56/~jnz1568/getInfo.php?workbook=08_01.xlsx&amp;sheet=A0&amp;row=73&amp;col=15&amp;number=&amp;sourceID=12","")</f>
        <v/>
      </c>
      <c r="P73" s="4" t="str">
        <f>HYPERLINK("http://141.218.60.56/~jnz1568/getInfo.php?workbook=08_01.xlsx&amp;sheet=A0&amp;row=73&amp;col=16&amp;number=334510&amp;sourceID=12","334510")</f>
        <v>334510</v>
      </c>
      <c r="Q73" s="4" t="str">
        <f>HYPERLINK("http://141.218.60.56/~jnz1568/getInfo.php?workbook=08_01.xlsx&amp;sheet=A0&amp;row=73&amp;col=17&amp;number=&amp;sourceID=12","")</f>
        <v/>
      </c>
      <c r="R73" s="4" t="str">
        <f>HYPERLINK("http://141.218.60.56/~jnz1568/getInfo.php?workbook=08_01.xlsx&amp;sheet=A0&amp;row=73&amp;col=18&amp;number=0.049622&amp;sourceID=12","0.049622")</f>
        <v>0.049622</v>
      </c>
      <c r="S73" s="4" t="str">
        <f>HYPERLINK("http://141.218.60.56/~jnz1568/getInfo.php?workbook=08_01.xlsx&amp;sheet=A0&amp;row=73&amp;col=19&amp;number=&amp;sourceID=12","")</f>
        <v/>
      </c>
      <c r="T73" s="4" t="str">
        <f>HYPERLINK("http://141.218.60.56/~jnz1568/getInfo.php?workbook=08_01.xlsx&amp;sheet=A0&amp;row=73&amp;col=20&amp;number=0.00091873&amp;sourceID=12","0.00091873")</f>
        <v>0.00091873</v>
      </c>
      <c r="U73" s="4" t="str">
        <f>HYPERLINK("http://141.218.60.56/~jnz1568/getInfo.php?workbook=08_01.xlsx&amp;sheet=A0&amp;row=73&amp;col=21&amp;number=334500.0496&amp;sourceID=30","334500.0496")</f>
        <v>334500.0496</v>
      </c>
      <c r="V73" s="4" t="str">
        <f>HYPERLINK("http://141.218.60.56/~jnz1568/getInfo.php?workbook=08_01.xlsx&amp;sheet=A0&amp;row=73&amp;col=22&amp;number=&amp;sourceID=30","")</f>
        <v/>
      </c>
      <c r="W73" s="4" t="str">
        <f>HYPERLINK("http://141.218.60.56/~jnz1568/getInfo.php?workbook=08_01.xlsx&amp;sheet=A0&amp;row=73&amp;col=23&amp;number=334500&amp;sourceID=30","334500")</f>
        <v>334500</v>
      </c>
      <c r="X73" s="4" t="str">
        <f>HYPERLINK("http://141.218.60.56/~jnz1568/getInfo.php?workbook=08_01.xlsx&amp;sheet=A0&amp;row=73&amp;col=24&amp;number=0.0496&amp;sourceID=30","0.0496")</f>
        <v>0.0496</v>
      </c>
      <c r="Y73" s="4" t="str">
        <f>HYPERLINK("http://141.218.60.56/~jnz1568/getInfo.php?workbook=08_01.xlsx&amp;sheet=A0&amp;row=73&amp;col=25&amp;number=&amp;sourceID=30","")</f>
        <v/>
      </c>
      <c r="Z73" s="4" t="str">
        <f>HYPERLINK("http://141.218.60.56/~jnz1568/getInfo.php?workbook=08_01.xlsx&amp;sheet=A0&amp;row=73&amp;col=26&amp;number==&amp;sourceID=13","=")</f>
        <v>=</v>
      </c>
      <c r="AA73" s="4" t="str">
        <f>HYPERLINK("http://141.218.60.56/~jnz1568/getInfo.php?workbook=08_01.xlsx&amp;sheet=A0&amp;row=73&amp;col=27&amp;number=&amp;sourceID=13","")</f>
        <v/>
      </c>
      <c r="AB73" s="4" t="str">
        <f>HYPERLINK("http://141.218.60.56/~jnz1568/getInfo.php?workbook=08_01.xlsx&amp;sheet=A0&amp;row=73&amp;col=28&amp;number=334000&amp;sourceID=13","334000")</f>
        <v>334000</v>
      </c>
      <c r="AC73" s="4" t="str">
        <f>HYPERLINK("http://141.218.60.56/~jnz1568/getInfo.php?workbook=08_01.xlsx&amp;sheet=A0&amp;row=73&amp;col=29&amp;number=&amp;sourceID=13","")</f>
        <v/>
      </c>
      <c r="AD73" s="4" t="str">
        <f>HYPERLINK("http://141.218.60.56/~jnz1568/getInfo.php?workbook=08_01.xlsx&amp;sheet=A0&amp;row=73&amp;col=30&amp;number=0.0495&amp;sourceID=13","0.0495")</f>
        <v>0.0495</v>
      </c>
      <c r="AE73" s="4" t="str">
        <f>HYPERLINK("http://141.218.60.56/~jnz1568/getInfo.php?workbook=08_01.xlsx&amp;sheet=A0&amp;row=73&amp;col=31&amp;number=&amp;sourceID=13","")</f>
        <v/>
      </c>
      <c r="AF73" s="4" t="str">
        <f>HYPERLINK("http://141.218.60.56/~jnz1568/getInfo.php?workbook=08_01.xlsx&amp;sheet=A0&amp;row=73&amp;col=32&amp;number=&amp;sourceID=20","")</f>
        <v/>
      </c>
    </row>
    <row r="74" spans="1:32">
      <c r="A74" s="3">
        <v>8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HYPERLINK("http://141.218.60.56/~jnz1568/getInfo.php?workbook=08_01.xlsx&amp;sheet=A0&amp;row=74&amp;col=6&amp;number=&amp;sourceID=18","")</f>
        <v/>
      </c>
      <c r="G74" s="4" t="str">
        <f>HYPERLINK("http://141.218.60.56/~jnz1568/getInfo.php?workbook=08_01.xlsx&amp;sheet=A0&amp;row=74&amp;col=7&amp;number==&amp;sourceID=11","=")</f>
        <v>=</v>
      </c>
      <c r="H74" s="4" t="str">
        <f>HYPERLINK("http://141.218.60.56/~jnz1568/getInfo.php?workbook=08_01.xlsx&amp;sheet=A0&amp;row=74&amp;col=8&amp;number=1286400000&amp;sourceID=11","1286400000")</f>
        <v>1286400000</v>
      </c>
      <c r="I74" s="4" t="str">
        <f>HYPERLINK("http://141.218.60.56/~jnz1568/getInfo.php?workbook=08_01.xlsx&amp;sheet=A0&amp;row=74&amp;col=9&amp;number=&amp;sourceID=11","")</f>
        <v/>
      </c>
      <c r="J74" s="4" t="str">
        <f>HYPERLINK("http://141.218.60.56/~jnz1568/getInfo.php?workbook=08_01.xlsx&amp;sheet=A0&amp;row=74&amp;col=10&amp;number=3.1495&amp;sourceID=11","3.1495")</f>
        <v>3.1495</v>
      </c>
      <c r="K74" s="4" t="str">
        <f>HYPERLINK("http://141.218.60.56/~jnz1568/getInfo.php?workbook=08_01.xlsx&amp;sheet=A0&amp;row=74&amp;col=11&amp;number=&amp;sourceID=11","")</f>
        <v/>
      </c>
      <c r="L74" s="4" t="str">
        <f>HYPERLINK("http://141.218.60.56/~jnz1568/getInfo.php?workbook=08_01.xlsx&amp;sheet=A0&amp;row=74&amp;col=12&amp;number=2.1457&amp;sourceID=11","2.1457")</f>
        <v>2.1457</v>
      </c>
      <c r="M74" s="4" t="str">
        <f>HYPERLINK("http://141.218.60.56/~jnz1568/getInfo.php?workbook=08_01.xlsx&amp;sheet=A0&amp;row=74&amp;col=13&amp;number=&amp;sourceID=11","")</f>
        <v/>
      </c>
      <c r="N74" s="4" t="str">
        <f>HYPERLINK("http://141.218.60.56/~jnz1568/getInfo.php?workbook=08_01.xlsx&amp;sheet=A0&amp;row=74&amp;col=14&amp;number=1286400000&amp;sourceID=12","1286400000")</f>
        <v>1286400000</v>
      </c>
      <c r="O74" s="4" t="str">
        <f>HYPERLINK("http://141.218.60.56/~jnz1568/getInfo.php?workbook=08_01.xlsx&amp;sheet=A0&amp;row=74&amp;col=15&amp;number=1286400000&amp;sourceID=12","1286400000")</f>
        <v>1286400000</v>
      </c>
      <c r="P74" s="4" t="str">
        <f>HYPERLINK("http://141.218.60.56/~jnz1568/getInfo.php?workbook=08_01.xlsx&amp;sheet=A0&amp;row=74&amp;col=16&amp;number=&amp;sourceID=12","")</f>
        <v/>
      </c>
      <c r="Q74" s="4" t="str">
        <f>HYPERLINK("http://141.218.60.56/~jnz1568/getInfo.php?workbook=08_01.xlsx&amp;sheet=A0&amp;row=74&amp;col=17&amp;number=3.1496&amp;sourceID=12","3.1496")</f>
        <v>3.1496</v>
      </c>
      <c r="R74" s="4" t="str">
        <f>HYPERLINK("http://141.218.60.56/~jnz1568/getInfo.php?workbook=08_01.xlsx&amp;sheet=A0&amp;row=74&amp;col=18&amp;number=&amp;sourceID=12","")</f>
        <v/>
      </c>
      <c r="S74" s="4" t="str">
        <f>HYPERLINK("http://141.218.60.56/~jnz1568/getInfo.php?workbook=08_01.xlsx&amp;sheet=A0&amp;row=74&amp;col=19&amp;number=2.1458&amp;sourceID=12","2.1458")</f>
        <v>2.1458</v>
      </c>
      <c r="T74" s="4" t="str">
        <f>HYPERLINK("http://141.218.60.56/~jnz1568/getInfo.php?workbook=08_01.xlsx&amp;sheet=A0&amp;row=74&amp;col=20&amp;number=&amp;sourceID=12","")</f>
        <v/>
      </c>
      <c r="U74" s="4" t="str">
        <f>HYPERLINK("http://141.218.60.56/~jnz1568/getInfo.php?workbook=08_01.xlsx&amp;sheet=A0&amp;row=74&amp;col=21&amp;number=1286000002.15&amp;sourceID=30","1286000002.15")</f>
        <v>1286000002.15</v>
      </c>
      <c r="V74" s="4" t="str">
        <f>HYPERLINK("http://141.218.60.56/~jnz1568/getInfo.php?workbook=08_01.xlsx&amp;sheet=A0&amp;row=74&amp;col=22&amp;number=1286000000&amp;sourceID=30","1286000000")</f>
        <v>1286000000</v>
      </c>
      <c r="W74" s="4" t="str">
        <f>HYPERLINK("http://141.218.60.56/~jnz1568/getInfo.php?workbook=08_01.xlsx&amp;sheet=A0&amp;row=74&amp;col=23&amp;number=&amp;sourceID=30","")</f>
        <v/>
      </c>
      <c r="X74" s="4" t="str">
        <f>HYPERLINK("http://141.218.60.56/~jnz1568/getInfo.php?workbook=08_01.xlsx&amp;sheet=A0&amp;row=74&amp;col=24&amp;number=&amp;sourceID=30","")</f>
        <v/>
      </c>
      <c r="Y74" s="4" t="str">
        <f>HYPERLINK("http://141.218.60.56/~jnz1568/getInfo.php?workbook=08_01.xlsx&amp;sheet=A0&amp;row=74&amp;col=25&amp;number=2.146&amp;sourceID=30","2.146")</f>
        <v>2.146</v>
      </c>
      <c r="Z74" s="4" t="str">
        <f>HYPERLINK("http://141.218.60.56/~jnz1568/getInfo.php?workbook=08_01.xlsx&amp;sheet=A0&amp;row=74&amp;col=26&amp;number==&amp;sourceID=13","=")</f>
        <v>=</v>
      </c>
      <c r="AA74" s="4" t="str">
        <f>HYPERLINK("http://141.218.60.56/~jnz1568/getInfo.php?workbook=08_01.xlsx&amp;sheet=A0&amp;row=74&amp;col=27&amp;number=1280000000&amp;sourceID=13","1280000000")</f>
        <v>1280000000</v>
      </c>
      <c r="AB74" s="4" t="str">
        <f>HYPERLINK("http://141.218.60.56/~jnz1568/getInfo.php?workbook=08_01.xlsx&amp;sheet=A0&amp;row=74&amp;col=28&amp;number=&amp;sourceID=13","")</f>
        <v/>
      </c>
      <c r="AC74" s="4" t="str">
        <f>HYPERLINK("http://141.218.60.56/~jnz1568/getInfo.php?workbook=08_01.xlsx&amp;sheet=A0&amp;row=74&amp;col=29&amp;number=&amp;sourceID=13","")</f>
        <v/>
      </c>
      <c r="AD74" s="4" t="str">
        <f>HYPERLINK("http://141.218.60.56/~jnz1568/getInfo.php?workbook=08_01.xlsx&amp;sheet=A0&amp;row=74&amp;col=30&amp;number=&amp;sourceID=13","")</f>
        <v/>
      </c>
      <c r="AE74" s="4" t="str">
        <f>HYPERLINK("http://141.218.60.56/~jnz1568/getInfo.php?workbook=08_01.xlsx&amp;sheet=A0&amp;row=74&amp;col=31&amp;number=&amp;sourceID=13","")</f>
        <v/>
      </c>
      <c r="AF74" s="4" t="str">
        <f>HYPERLINK("http://141.218.60.56/~jnz1568/getInfo.php?workbook=08_01.xlsx&amp;sheet=A0&amp;row=74&amp;col=32&amp;number=&amp;sourceID=20","")</f>
        <v/>
      </c>
    </row>
    <row r="75" spans="1:32">
      <c r="A75" s="3">
        <v>8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HYPERLINK("http://141.218.60.56/~jnz1568/getInfo.php?workbook=08_01.xlsx&amp;sheet=A0&amp;row=75&amp;col=6&amp;number=&amp;sourceID=18","")</f>
        <v/>
      </c>
      <c r="G75" s="4" t="str">
        <f>HYPERLINK("http://141.218.60.56/~jnz1568/getInfo.php?workbook=08_01.xlsx&amp;sheet=A0&amp;row=75&amp;col=7&amp;number==&amp;sourceID=11","=")</f>
        <v>=</v>
      </c>
      <c r="H75" s="4" t="str">
        <f>HYPERLINK("http://141.218.60.56/~jnz1568/getInfo.php?workbook=08_01.xlsx&amp;sheet=A0&amp;row=75&amp;col=8&amp;number=&amp;sourceID=11","")</f>
        <v/>
      </c>
      <c r="I75" s="4" t="str">
        <f>HYPERLINK("http://141.218.60.56/~jnz1568/getInfo.php?workbook=08_01.xlsx&amp;sheet=A0&amp;row=75&amp;col=9&amp;number=4.5399e-10&amp;sourceID=11","4.5399e-10")</f>
        <v>4.5399e-10</v>
      </c>
      <c r="J75" s="4" t="str">
        <f>HYPERLINK("http://141.218.60.56/~jnz1568/getInfo.php?workbook=08_01.xlsx&amp;sheet=A0&amp;row=75&amp;col=10&amp;number=&amp;sourceID=11","")</f>
        <v/>
      </c>
      <c r="K75" s="4" t="str">
        <f>HYPERLINK("http://141.218.60.56/~jnz1568/getInfo.php?workbook=08_01.xlsx&amp;sheet=A0&amp;row=75&amp;col=11&amp;number=5.9161e-05&amp;sourceID=11","5.9161e-05")</f>
        <v>5.9161e-05</v>
      </c>
      <c r="L75" s="4" t="str">
        <f>HYPERLINK("http://141.218.60.56/~jnz1568/getInfo.php?workbook=08_01.xlsx&amp;sheet=A0&amp;row=75&amp;col=12&amp;number=&amp;sourceID=11","")</f>
        <v/>
      </c>
      <c r="M75" s="4" t="str">
        <f>HYPERLINK("http://141.218.60.56/~jnz1568/getInfo.php?workbook=08_01.xlsx&amp;sheet=A0&amp;row=75&amp;col=13&amp;number=&amp;sourceID=11","")</f>
        <v/>
      </c>
      <c r="N75" s="4" t="str">
        <f>HYPERLINK("http://141.218.60.56/~jnz1568/getInfo.php?workbook=08_01.xlsx&amp;sheet=A0&amp;row=75&amp;col=14&amp;number=5.9164e-05&amp;sourceID=12","5.9164e-05")</f>
        <v>5.9164e-05</v>
      </c>
      <c r="O75" s="4" t="str">
        <f>HYPERLINK("http://141.218.60.56/~jnz1568/getInfo.php?workbook=08_01.xlsx&amp;sheet=A0&amp;row=75&amp;col=15&amp;number=&amp;sourceID=12","")</f>
        <v/>
      </c>
      <c r="P75" s="4" t="str">
        <f>HYPERLINK("http://141.218.60.56/~jnz1568/getInfo.php?workbook=08_01.xlsx&amp;sheet=A0&amp;row=75&amp;col=16&amp;number=4.5401e-10&amp;sourceID=12","4.5401e-10")</f>
        <v>4.5401e-10</v>
      </c>
      <c r="Q75" s="4" t="str">
        <f>HYPERLINK("http://141.218.60.56/~jnz1568/getInfo.php?workbook=08_01.xlsx&amp;sheet=A0&amp;row=75&amp;col=17&amp;number=&amp;sourceID=12","")</f>
        <v/>
      </c>
      <c r="R75" s="4" t="str">
        <f>HYPERLINK("http://141.218.60.56/~jnz1568/getInfo.php?workbook=08_01.xlsx&amp;sheet=A0&amp;row=75&amp;col=18&amp;number=5.9164e-05&amp;sourceID=12","5.9164e-05")</f>
        <v>5.9164e-05</v>
      </c>
      <c r="S75" s="4" t="str">
        <f>HYPERLINK("http://141.218.60.56/~jnz1568/getInfo.php?workbook=08_01.xlsx&amp;sheet=A0&amp;row=75&amp;col=19&amp;number=&amp;sourceID=12","")</f>
        <v/>
      </c>
      <c r="T75" s="4" t="str">
        <f>HYPERLINK("http://141.218.60.56/~jnz1568/getInfo.php?workbook=08_01.xlsx&amp;sheet=A0&amp;row=75&amp;col=20&amp;number=&amp;sourceID=12","")</f>
        <v/>
      </c>
      <c r="U75" s="4" t="str">
        <f>HYPERLINK("http://141.218.60.56/~jnz1568/getInfo.php?workbook=08_01.xlsx&amp;sheet=A0&amp;row=75&amp;col=21&amp;number=5.9160454e-05&amp;sourceID=30","5.9160454e-05")</f>
        <v>5.9160454e-05</v>
      </c>
      <c r="V75" s="4" t="str">
        <f>HYPERLINK("http://141.218.60.56/~jnz1568/getInfo.php?workbook=08_01.xlsx&amp;sheet=A0&amp;row=75&amp;col=22&amp;number=&amp;sourceID=30","")</f>
        <v/>
      </c>
      <c r="W75" s="4" t="str">
        <f>HYPERLINK("http://141.218.60.56/~jnz1568/getInfo.php?workbook=08_01.xlsx&amp;sheet=A0&amp;row=75&amp;col=23&amp;number=4.54e-10&amp;sourceID=30","4.54e-10")</f>
        <v>4.54e-10</v>
      </c>
      <c r="X75" s="4" t="str">
        <f>HYPERLINK("http://141.218.60.56/~jnz1568/getInfo.php?workbook=08_01.xlsx&amp;sheet=A0&amp;row=75&amp;col=24&amp;number=5.916e-05&amp;sourceID=30","5.916e-05")</f>
        <v>5.916e-05</v>
      </c>
      <c r="Y75" s="4" t="str">
        <f>HYPERLINK("http://141.218.60.56/~jnz1568/getInfo.php?workbook=08_01.xlsx&amp;sheet=A0&amp;row=75&amp;col=25&amp;number=&amp;sourceID=30","")</f>
        <v/>
      </c>
      <c r="Z75" s="4" t="str">
        <f>HYPERLINK("http://141.218.60.56/~jnz1568/getInfo.php?workbook=08_01.xlsx&amp;sheet=A0&amp;row=75&amp;col=26&amp;number==&amp;sourceID=13","=")</f>
        <v>=</v>
      </c>
      <c r="AA75" s="4" t="str">
        <f>HYPERLINK("http://141.218.60.56/~jnz1568/getInfo.php?workbook=08_01.xlsx&amp;sheet=A0&amp;row=75&amp;col=27&amp;number=&amp;sourceID=13","")</f>
        <v/>
      </c>
      <c r="AB75" s="4" t="str">
        <f>HYPERLINK("http://141.218.60.56/~jnz1568/getInfo.php?workbook=08_01.xlsx&amp;sheet=A0&amp;row=75&amp;col=28&amp;number=4.4e-10&amp;sourceID=13","4.4e-10")</f>
        <v>4.4e-10</v>
      </c>
      <c r="AC75" s="4" t="str">
        <f>HYPERLINK("http://141.218.60.56/~jnz1568/getInfo.php?workbook=08_01.xlsx&amp;sheet=A0&amp;row=75&amp;col=29&amp;number=&amp;sourceID=13","")</f>
        <v/>
      </c>
      <c r="AD75" s="4" t="str">
        <f>HYPERLINK("http://141.218.60.56/~jnz1568/getInfo.php?workbook=08_01.xlsx&amp;sheet=A0&amp;row=75&amp;col=30&amp;number=5.8e-05&amp;sourceID=13","5.8e-05")</f>
        <v>5.8e-05</v>
      </c>
      <c r="AE75" s="4" t="str">
        <f>HYPERLINK("http://141.218.60.56/~jnz1568/getInfo.php?workbook=08_01.xlsx&amp;sheet=A0&amp;row=75&amp;col=31&amp;number=&amp;sourceID=13","")</f>
        <v/>
      </c>
      <c r="AF75" s="4" t="str">
        <f>HYPERLINK("http://141.218.60.56/~jnz1568/getInfo.php?workbook=08_01.xlsx&amp;sheet=A0&amp;row=75&amp;col=32&amp;number=&amp;sourceID=20","")</f>
        <v/>
      </c>
    </row>
    <row r="76" spans="1:32">
      <c r="A76" s="3">
        <v>8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HYPERLINK("http://141.218.60.56/~jnz1568/getInfo.php?workbook=08_01.xlsx&amp;sheet=A0&amp;row=76&amp;col=6&amp;number=&amp;sourceID=18","")</f>
        <v/>
      </c>
      <c r="G76" s="4" t="str">
        <f>HYPERLINK("http://141.218.60.56/~jnz1568/getInfo.php?workbook=08_01.xlsx&amp;sheet=A0&amp;row=76&amp;col=7&amp;number==&amp;sourceID=11","=")</f>
        <v>=</v>
      </c>
      <c r="H76" s="4" t="str">
        <f>HYPERLINK("http://141.218.60.56/~jnz1568/getInfo.php?workbook=08_01.xlsx&amp;sheet=A0&amp;row=76&amp;col=8&amp;number=37.472&amp;sourceID=11","37.472")</f>
        <v>37.472</v>
      </c>
      <c r="I76" s="4" t="str">
        <f>HYPERLINK("http://141.218.60.56/~jnz1568/getInfo.php?workbook=08_01.xlsx&amp;sheet=A0&amp;row=76&amp;col=9&amp;number=&amp;sourceID=11","")</f>
        <v/>
      </c>
      <c r="J76" s="4" t="str">
        <f>HYPERLINK("http://141.218.60.56/~jnz1568/getInfo.php?workbook=08_01.xlsx&amp;sheet=A0&amp;row=76&amp;col=10&amp;number=&amp;sourceID=11","")</f>
        <v/>
      </c>
      <c r="K76" s="4" t="str">
        <f>HYPERLINK("http://141.218.60.56/~jnz1568/getInfo.php?workbook=08_01.xlsx&amp;sheet=A0&amp;row=76&amp;col=11&amp;number=&amp;sourceID=11","")</f>
        <v/>
      </c>
      <c r="L76" s="4" t="str">
        <f>HYPERLINK("http://141.218.60.56/~jnz1568/getInfo.php?workbook=08_01.xlsx&amp;sheet=A0&amp;row=76&amp;col=12&amp;number=1.5e-14&amp;sourceID=11","1.5e-14")</f>
        <v>1.5e-14</v>
      </c>
      <c r="M76" s="4" t="str">
        <f>HYPERLINK("http://141.218.60.56/~jnz1568/getInfo.php?workbook=08_01.xlsx&amp;sheet=A0&amp;row=76&amp;col=13&amp;number=&amp;sourceID=11","")</f>
        <v/>
      </c>
      <c r="N76" s="4" t="str">
        <f>HYPERLINK("http://141.218.60.56/~jnz1568/getInfo.php?workbook=08_01.xlsx&amp;sheet=A0&amp;row=76&amp;col=14&amp;number=37.474&amp;sourceID=12","37.474")</f>
        <v>37.474</v>
      </c>
      <c r="O76" s="4" t="str">
        <f>HYPERLINK("http://141.218.60.56/~jnz1568/getInfo.php?workbook=08_01.xlsx&amp;sheet=A0&amp;row=76&amp;col=15&amp;number=37.474&amp;sourceID=12","37.474")</f>
        <v>37.474</v>
      </c>
      <c r="P76" s="4" t="str">
        <f>HYPERLINK("http://141.218.60.56/~jnz1568/getInfo.php?workbook=08_01.xlsx&amp;sheet=A0&amp;row=76&amp;col=16&amp;number=&amp;sourceID=12","")</f>
        <v/>
      </c>
      <c r="Q76" s="4" t="str">
        <f>HYPERLINK("http://141.218.60.56/~jnz1568/getInfo.php?workbook=08_01.xlsx&amp;sheet=A0&amp;row=76&amp;col=17&amp;number=&amp;sourceID=12","")</f>
        <v/>
      </c>
      <c r="R76" s="4" t="str">
        <f>HYPERLINK("http://141.218.60.56/~jnz1568/getInfo.php?workbook=08_01.xlsx&amp;sheet=A0&amp;row=76&amp;col=18&amp;number=&amp;sourceID=12","")</f>
        <v/>
      </c>
      <c r="S76" s="4" t="str">
        <f>HYPERLINK("http://141.218.60.56/~jnz1568/getInfo.php?workbook=08_01.xlsx&amp;sheet=A0&amp;row=76&amp;col=19&amp;number=1.5e-14&amp;sourceID=12","1.5e-14")</f>
        <v>1.5e-14</v>
      </c>
      <c r="T76" s="4" t="str">
        <f>HYPERLINK("http://141.218.60.56/~jnz1568/getInfo.php?workbook=08_01.xlsx&amp;sheet=A0&amp;row=76&amp;col=20&amp;number=&amp;sourceID=12","")</f>
        <v/>
      </c>
      <c r="U76" s="4" t="str">
        <f>HYPERLINK("http://141.218.60.56/~jnz1568/getInfo.php?workbook=08_01.xlsx&amp;sheet=A0&amp;row=76&amp;col=21&amp;number=37.47&amp;sourceID=30","37.47")</f>
        <v>37.47</v>
      </c>
      <c r="V76" s="4" t="str">
        <f>HYPERLINK("http://141.218.60.56/~jnz1568/getInfo.php?workbook=08_01.xlsx&amp;sheet=A0&amp;row=76&amp;col=22&amp;number=37.47&amp;sourceID=30","37.47")</f>
        <v>37.47</v>
      </c>
      <c r="W76" s="4" t="str">
        <f>HYPERLINK("http://141.218.60.56/~jnz1568/getInfo.php?workbook=08_01.xlsx&amp;sheet=A0&amp;row=76&amp;col=23&amp;number=&amp;sourceID=30","")</f>
        <v/>
      </c>
      <c r="X76" s="4" t="str">
        <f>HYPERLINK("http://141.218.60.56/~jnz1568/getInfo.php?workbook=08_01.xlsx&amp;sheet=A0&amp;row=76&amp;col=24&amp;number=&amp;sourceID=30","")</f>
        <v/>
      </c>
      <c r="Y76" s="4" t="str">
        <f>HYPERLINK("http://141.218.60.56/~jnz1568/getInfo.php?workbook=08_01.xlsx&amp;sheet=A0&amp;row=76&amp;col=25&amp;number=1.5e-14&amp;sourceID=30","1.5e-14")</f>
        <v>1.5e-14</v>
      </c>
      <c r="Z76" s="4" t="str">
        <f>HYPERLINK("http://141.218.60.56/~jnz1568/getInfo.php?workbook=08_01.xlsx&amp;sheet=A0&amp;row=76&amp;col=26&amp;number==&amp;sourceID=13","=")</f>
        <v>=</v>
      </c>
      <c r="AA76" s="4" t="str">
        <f>HYPERLINK("http://141.218.60.56/~jnz1568/getInfo.php?workbook=08_01.xlsx&amp;sheet=A0&amp;row=76&amp;col=27&amp;number=36.5&amp;sourceID=13","36.5")</f>
        <v>36.5</v>
      </c>
      <c r="AB76" s="4" t="str">
        <f>HYPERLINK("http://141.218.60.56/~jnz1568/getInfo.php?workbook=08_01.xlsx&amp;sheet=A0&amp;row=76&amp;col=28&amp;number=&amp;sourceID=13","")</f>
        <v/>
      </c>
      <c r="AC76" s="4" t="str">
        <f>HYPERLINK("http://141.218.60.56/~jnz1568/getInfo.php?workbook=08_01.xlsx&amp;sheet=A0&amp;row=76&amp;col=29&amp;number=&amp;sourceID=13","")</f>
        <v/>
      </c>
      <c r="AD76" s="4" t="str">
        <f>HYPERLINK("http://141.218.60.56/~jnz1568/getInfo.php?workbook=08_01.xlsx&amp;sheet=A0&amp;row=76&amp;col=30&amp;number=&amp;sourceID=13","")</f>
        <v/>
      </c>
      <c r="AE76" s="4" t="str">
        <f>HYPERLINK("http://141.218.60.56/~jnz1568/getInfo.php?workbook=08_01.xlsx&amp;sheet=A0&amp;row=76&amp;col=31&amp;number=&amp;sourceID=13","")</f>
        <v/>
      </c>
      <c r="AF76" s="4" t="str">
        <f>HYPERLINK("http://141.218.60.56/~jnz1568/getInfo.php?workbook=08_01.xlsx&amp;sheet=A0&amp;row=76&amp;col=32&amp;number=&amp;sourceID=20","")</f>
        <v/>
      </c>
    </row>
    <row r="77" spans="1:32">
      <c r="A77" s="3">
        <v>8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HYPERLINK("http://141.218.60.56/~jnz1568/getInfo.php?workbook=08_01.xlsx&amp;sheet=A0&amp;row=77&amp;col=6&amp;number=&amp;sourceID=18","")</f>
        <v/>
      </c>
      <c r="G77" s="4" t="str">
        <f>HYPERLINK("http://141.218.60.56/~jnz1568/getInfo.php?workbook=08_01.xlsx&amp;sheet=A0&amp;row=77&amp;col=7&amp;number==&amp;sourceID=11","=")</f>
        <v>=</v>
      </c>
      <c r="H77" s="4" t="str">
        <f>HYPERLINK("http://141.218.60.56/~jnz1568/getInfo.php?workbook=08_01.xlsx&amp;sheet=A0&amp;row=77&amp;col=8&amp;number=&amp;sourceID=11","")</f>
        <v/>
      </c>
      <c r="I77" s="4" t="str">
        <f>HYPERLINK("http://141.218.60.56/~jnz1568/getInfo.php?workbook=08_01.xlsx&amp;sheet=A0&amp;row=77&amp;col=9&amp;number=&amp;sourceID=11","")</f>
        <v/>
      </c>
      <c r="J77" s="4" t="str">
        <f>HYPERLINK("http://141.218.60.56/~jnz1568/getInfo.php?workbook=08_01.xlsx&amp;sheet=A0&amp;row=77&amp;col=10&amp;number=5203.6&amp;sourceID=11","5203.6")</f>
        <v>5203.6</v>
      </c>
      <c r="K77" s="4" t="str">
        <f>HYPERLINK("http://141.218.60.56/~jnz1568/getInfo.php?workbook=08_01.xlsx&amp;sheet=A0&amp;row=77&amp;col=11&amp;number=&amp;sourceID=11","")</f>
        <v/>
      </c>
      <c r="L77" s="4" t="str">
        <f>HYPERLINK("http://141.218.60.56/~jnz1568/getInfo.php?workbook=08_01.xlsx&amp;sheet=A0&amp;row=77&amp;col=12&amp;number=0.00011178&amp;sourceID=11","0.00011178")</f>
        <v>0.00011178</v>
      </c>
      <c r="M77" s="4" t="str">
        <f>HYPERLINK("http://141.218.60.56/~jnz1568/getInfo.php?workbook=08_01.xlsx&amp;sheet=A0&amp;row=77&amp;col=13&amp;number=&amp;sourceID=11","")</f>
        <v/>
      </c>
      <c r="N77" s="4" t="str">
        <f>HYPERLINK("http://141.218.60.56/~jnz1568/getInfo.php?workbook=08_01.xlsx&amp;sheet=A0&amp;row=77&amp;col=14&amp;number=5203.7&amp;sourceID=12","5203.7")</f>
        <v>5203.7</v>
      </c>
      <c r="O77" s="4" t="str">
        <f>HYPERLINK("http://141.218.60.56/~jnz1568/getInfo.php?workbook=08_01.xlsx&amp;sheet=A0&amp;row=77&amp;col=15&amp;number=&amp;sourceID=12","")</f>
        <v/>
      </c>
      <c r="P77" s="4" t="str">
        <f>HYPERLINK("http://141.218.60.56/~jnz1568/getInfo.php?workbook=08_01.xlsx&amp;sheet=A0&amp;row=77&amp;col=16&amp;number=&amp;sourceID=12","")</f>
        <v/>
      </c>
      <c r="Q77" s="4" t="str">
        <f>HYPERLINK("http://141.218.60.56/~jnz1568/getInfo.php?workbook=08_01.xlsx&amp;sheet=A0&amp;row=77&amp;col=17&amp;number=5203.7&amp;sourceID=12","5203.7")</f>
        <v>5203.7</v>
      </c>
      <c r="R77" s="4" t="str">
        <f>HYPERLINK("http://141.218.60.56/~jnz1568/getInfo.php?workbook=08_01.xlsx&amp;sheet=A0&amp;row=77&amp;col=18&amp;number=&amp;sourceID=12","")</f>
        <v/>
      </c>
      <c r="S77" s="4" t="str">
        <f>HYPERLINK("http://141.218.60.56/~jnz1568/getInfo.php?workbook=08_01.xlsx&amp;sheet=A0&amp;row=77&amp;col=19&amp;number=0.00011067&amp;sourceID=12","0.00011067")</f>
        <v>0.00011067</v>
      </c>
      <c r="T77" s="4" t="str">
        <f>HYPERLINK("http://141.218.60.56/~jnz1568/getInfo.php?workbook=08_01.xlsx&amp;sheet=A0&amp;row=77&amp;col=20&amp;number=&amp;sourceID=12","")</f>
        <v/>
      </c>
      <c r="U77" s="4" t="str">
        <f>HYPERLINK("http://141.218.60.56/~jnz1568/getInfo.php?workbook=08_01.xlsx&amp;sheet=A0&amp;row=77&amp;col=21&amp;number=0.0001118&amp;sourceID=30","0.0001118")</f>
        <v>0.0001118</v>
      </c>
      <c r="V77" s="4" t="str">
        <f>HYPERLINK("http://141.218.60.56/~jnz1568/getInfo.php?workbook=08_01.xlsx&amp;sheet=A0&amp;row=77&amp;col=22&amp;number=&amp;sourceID=30","")</f>
        <v/>
      </c>
      <c r="W77" s="4" t="str">
        <f>HYPERLINK("http://141.218.60.56/~jnz1568/getInfo.php?workbook=08_01.xlsx&amp;sheet=A0&amp;row=77&amp;col=23&amp;number=&amp;sourceID=30","")</f>
        <v/>
      </c>
      <c r="X77" s="4" t="str">
        <f>HYPERLINK("http://141.218.60.56/~jnz1568/getInfo.php?workbook=08_01.xlsx&amp;sheet=A0&amp;row=77&amp;col=24&amp;number=&amp;sourceID=30","")</f>
        <v/>
      </c>
      <c r="Y77" s="4" t="str">
        <f>HYPERLINK("http://141.218.60.56/~jnz1568/getInfo.php?workbook=08_01.xlsx&amp;sheet=A0&amp;row=77&amp;col=25&amp;number=0.0001118&amp;sourceID=30","0.0001118")</f>
        <v>0.0001118</v>
      </c>
      <c r="Z77" s="4" t="str">
        <f>HYPERLINK("http://141.218.60.56/~jnz1568/getInfo.php?workbook=08_01.xlsx&amp;sheet=A0&amp;row=77&amp;col=26&amp;number==&amp;sourceID=13","=")</f>
        <v>=</v>
      </c>
      <c r="AA77" s="4" t="str">
        <f>HYPERLINK("http://141.218.60.56/~jnz1568/getInfo.php?workbook=08_01.xlsx&amp;sheet=A0&amp;row=77&amp;col=27&amp;number=&amp;sourceID=13","")</f>
        <v/>
      </c>
      <c r="AB77" s="4" t="str">
        <f>HYPERLINK("http://141.218.60.56/~jnz1568/getInfo.php?workbook=08_01.xlsx&amp;sheet=A0&amp;row=77&amp;col=28&amp;number=&amp;sourceID=13","")</f>
        <v/>
      </c>
      <c r="AC77" s="4" t="str">
        <f>HYPERLINK("http://141.218.60.56/~jnz1568/getInfo.php?workbook=08_01.xlsx&amp;sheet=A0&amp;row=77&amp;col=29&amp;number=2200&amp;sourceID=13","2200")</f>
        <v>2200</v>
      </c>
      <c r="AD77" s="4" t="str">
        <f>HYPERLINK("http://141.218.60.56/~jnz1568/getInfo.php?workbook=08_01.xlsx&amp;sheet=A0&amp;row=77&amp;col=30&amp;number=&amp;sourceID=13","")</f>
        <v/>
      </c>
      <c r="AE77" s="4" t="str">
        <f>HYPERLINK("http://141.218.60.56/~jnz1568/getInfo.php?workbook=08_01.xlsx&amp;sheet=A0&amp;row=77&amp;col=31&amp;number=&amp;sourceID=13","")</f>
        <v/>
      </c>
      <c r="AF77" s="4" t="str">
        <f>HYPERLINK("http://141.218.60.56/~jnz1568/getInfo.php?workbook=08_01.xlsx&amp;sheet=A0&amp;row=77&amp;col=32&amp;number=&amp;sourceID=20","")</f>
        <v/>
      </c>
    </row>
    <row r="78" spans="1:32">
      <c r="A78" s="3">
        <v>8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HYPERLINK("http://141.218.60.56/~jnz1568/getInfo.php?workbook=08_01.xlsx&amp;sheet=A0&amp;row=78&amp;col=6&amp;number=&amp;sourceID=18","")</f>
        <v/>
      </c>
      <c r="G78" s="4" t="str">
        <f>HYPERLINK("http://141.218.60.56/~jnz1568/getInfo.php?workbook=08_01.xlsx&amp;sheet=A0&amp;row=78&amp;col=7&amp;number==&amp;sourceID=11","=")</f>
        <v>=</v>
      </c>
      <c r="H78" s="4" t="str">
        <f>HYPERLINK("http://141.218.60.56/~jnz1568/getInfo.php?workbook=08_01.xlsx&amp;sheet=A0&amp;row=78&amp;col=8&amp;number=&amp;sourceID=11","")</f>
        <v/>
      </c>
      <c r="I78" s="4" t="str">
        <f>HYPERLINK("http://141.218.60.56/~jnz1568/getInfo.php?workbook=08_01.xlsx&amp;sheet=A0&amp;row=78&amp;col=9&amp;number=12601000&amp;sourceID=11","12601000")</f>
        <v>12601000</v>
      </c>
      <c r="J78" s="4" t="str">
        <f>HYPERLINK("http://141.218.60.56/~jnz1568/getInfo.php?workbook=08_01.xlsx&amp;sheet=A0&amp;row=78&amp;col=10&amp;number=&amp;sourceID=11","")</f>
        <v/>
      </c>
      <c r="K78" s="4" t="str">
        <f>HYPERLINK("http://141.218.60.56/~jnz1568/getInfo.php?workbook=08_01.xlsx&amp;sheet=A0&amp;row=78&amp;col=11&amp;number=&amp;sourceID=11","")</f>
        <v/>
      </c>
      <c r="L78" s="4" t="str">
        <f>HYPERLINK("http://141.218.60.56/~jnz1568/getInfo.php?workbook=08_01.xlsx&amp;sheet=A0&amp;row=78&amp;col=12&amp;number=&amp;sourceID=11","")</f>
        <v/>
      </c>
      <c r="M78" s="4" t="str">
        <f>HYPERLINK("http://141.218.60.56/~jnz1568/getInfo.php?workbook=08_01.xlsx&amp;sheet=A0&amp;row=78&amp;col=13&amp;number=0.0058476&amp;sourceID=11","0.0058476")</f>
        <v>0.0058476</v>
      </c>
      <c r="N78" s="4" t="str">
        <f>HYPERLINK("http://141.218.60.56/~jnz1568/getInfo.php?workbook=08_01.xlsx&amp;sheet=A0&amp;row=78&amp;col=14&amp;number=12602000&amp;sourceID=12","12602000")</f>
        <v>12602000</v>
      </c>
      <c r="O78" s="4" t="str">
        <f>HYPERLINK("http://141.218.60.56/~jnz1568/getInfo.php?workbook=08_01.xlsx&amp;sheet=A0&amp;row=78&amp;col=15&amp;number=&amp;sourceID=12","")</f>
        <v/>
      </c>
      <c r="P78" s="4" t="str">
        <f>HYPERLINK("http://141.218.60.56/~jnz1568/getInfo.php?workbook=08_01.xlsx&amp;sheet=A0&amp;row=78&amp;col=16&amp;number=12602000&amp;sourceID=12","12602000")</f>
        <v>12602000</v>
      </c>
      <c r="Q78" s="4" t="str">
        <f>HYPERLINK("http://141.218.60.56/~jnz1568/getInfo.php?workbook=08_01.xlsx&amp;sheet=A0&amp;row=78&amp;col=17&amp;number=&amp;sourceID=12","")</f>
        <v/>
      </c>
      <c r="R78" s="4" t="str">
        <f>HYPERLINK("http://141.218.60.56/~jnz1568/getInfo.php?workbook=08_01.xlsx&amp;sheet=A0&amp;row=78&amp;col=18&amp;number=&amp;sourceID=12","")</f>
        <v/>
      </c>
      <c r="S78" s="4" t="str">
        <f>HYPERLINK("http://141.218.60.56/~jnz1568/getInfo.php?workbook=08_01.xlsx&amp;sheet=A0&amp;row=78&amp;col=19&amp;number=&amp;sourceID=12","")</f>
        <v/>
      </c>
      <c r="T78" s="4" t="str">
        <f>HYPERLINK("http://141.218.60.56/~jnz1568/getInfo.php?workbook=08_01.xlsx&amp;sheet=A0&amp;row=78&amp;col=20&amp;number=0.0058478&amp;sourceID=12","0.0058478")</f>
        <v>0.0058478</v>
      </c>
      <c r="U78" s="4" t="str">
        <f>HYPERLINK("http://141.218.60.56/~jnz1568/getInfo.php?workbook=08_01.xlsx&amp;sheet=A0&amp;row=78&amp;col=21&amp;number=12600000&amp;sourceID=30","12600000")</f>
        <v>12600000</v>
      </c>
      <c r="V78" s="4" t="str">
        <f>HYPERLINK("http://141.218.60.56/~jnz1568/getInfo.php?workbook=08_01.xlsx&amp;sheet=A0&amp;row=78&amp;col=22&amp;number=&amp;sourceID=30","")</f>
        <v/>
      </c>
      <c r="W78" s="4" t="str">
        <f>HYPERLINK("http://141.218.60.56/~jnz1568/getInfo.php?workbook=08_01.xlsx&amp;sheet=A0&amp;row=78&amp;col=23&amp;number=12600000&amp;sourceID=30","12600000")</f>
        <v>12600000</v>
      </c>
      <c r="X78" s="4" t="str">
        <f>HYPERLINK("http://141.218.60.56/~jnz1568/getInfo.php?workbook=08_01.xlsx&amp;sheet=A0&amp;row=78&amp;col=24&amp;number=&amp;sourceID=30","")</f>
        <v/>
      </c>
      <c r="Y78" s="4" t="str">
        <f>HYPERLINK("http://141.218.60.56/~jnz1568/getInfo.php?workbook=08_01.xlsx&amp;sheet=A0&amp;row=78&amp;col=25&amp;number=&amp;sourceID=30","")</f>
        <v/>
      </c>
      <c r="Z78" s="4" t="str">
        <f>HYPERLINK("http://141.218.60.56/~jnz1568/getInfo.php?workbook=08_01.xlsx&amp;sheet=A0&amp;row=78&amp;col=26&amp;number==&amp;sourceID=13","=")</f>
        <v>=</v>
      </c>
      <c r="AA78" s="4" t="str">
        <f>HYPERLINK("http://141.218.60.56/~jnz1568/getInfo.php?workbook=08_01.xlsx&amp;sheet=A0&amp;row=78&amp;col=27&amp;number=&amp;sourceID=13","")</f>
        <v/>
      </c>
      <c r="AB78" s="4" t="str">
        <f>HYPERLINK("http://141.218.60.56/~jnz1568/getInfo.php?workbook=08_01.xlsx&amp;sheet=A0&amp;row=78&amp;col=28&amp;number=12600000&amp;sourceID=13","12600000")</f>
        <v>12600000</v>
      </c>
      <c r="AC78" s="4" t="str">
        <f>HYPERLINK("http://141.218.60.56/~jnz1568/getInfo.php?workbook=08_01.xlsx&amp;sheet=A0&amp;row=78&amp;col=29&amp;number=&amp;sourceID=13","")</f>
        <v/>
      </c>
      <c r="AD78" s="4" t="str">
        <f>HYPERLINK("http://141.218.60.56/~jnz1568/getInfo.php?workbook=08_01.xlsx&amp;sheet=A0&amp;row=78&amp;col=30&amp;number=&amp;sourceID=13","")</f>
        <v/>
      </c>
      <c r="AE78" s="4" t="str">
        <f>HYPERLINK("http://141.218.60.56/~jnz1568/getInfo.php?workbook=08_01.xlsx&amp;sheet=A0&amp;row=78&amp;col=31&amp;number=&amp;sourceID=13","")</f>
        <v/>
      </c>
      <c r="AF78" s="4" t="str">
        <f>HYPERLINK("http://141.218.60.56/~jnz1568/getInfo.php?workbook=08_01.xlsx&amp;sheet=A0&amp;row=78&amp;col=32&amp;number=&amp;sourceID=20","")</f>
        <v/>
      </c>
    </row>
    <row r="79" spans="1:32">
      <c r="A79" s="3">
        <v>8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HYPERLINK("http://141.218.60.56/~jnz1568/getInfo.php?workbook=08_01.xlsx&amp;sheet=A0&amp;row=79&amp;col=6&amp;number=&amp;sourceID=18","")</f>
        <v/>
      </c>
      <c r="G79" s="4" t="str">
        <f>HYPERLINK("http://141.218.60.56/~jnz1568/getInfo.php?workbook=08_01.xlsx&amp;sheet=A0&amp;row=79&amp;col=7&amp;number==&amp;sourceID=11","=")</f>
        <v>=</v>
      </c>
      <c r="H79" s="4" t="str">
        <f>HYPERLINK("http://141.218.60.56/~jnz1568/getInfo.php?workbook=08_01.xlsx&amp;sheet=A0&amp;row=79&amp;col=8&amp;number=&amp;sourceID=11","")</f>
        <v/>
      </c>
      <c r="I79" s="4" t="str">
        <f>HYPERLINK("http://141.218.60.56/~jnz1568/getInfo.php?workbook=08_01.xlsx&amp;sheet=A0&amp;row=79&amp;col=9&amp;number=&amp;sourceID=11","")</f>
        <v/>
      </c>
      <c r="J79" s="4" t="str">
        <f>HYPERLINK("http://141.218.60.56/~jnz1568/getInfo.php?workbook=08_01.xlsx&amp;sheet=A0&amp;row=79&amp;col=10&amp;number=2058.7&amp;sourceID=11","2058.7")</f>
        <v>2058.7</v>
      </c>
      <c r="K79" s="4" t="str">
        <f>HYPERLINK("http://141.218.60.56/~jnz1568/getInfo.php?workbook=08_01.xlsx&amp;sheet=A0&amp;row=79&amp;col=11&amp;number=&amp;sourceID=11","")</f>
        <v/>
      </c>
      <c r="L79" s="4" t="str">
        <f>HYPERLINK("http://141.218.60.56/~jnz1568/getInfo.php?workbook=08_01.xlsx&amp;sheet=A0&amp;row=79&amp;col=12&amp;number=5.7303e-06&amp;sourceID=11","5.7303e-06")</f>
        <v>5.7303e-06</v>
      </c>
      <c r="M79" s="4" t="str">
        <f>HYPERLINK("http://141.218.60.56/~jnz1568/getInfo.php?workbook=08_01.xlsx&amp;sheet=A0&amp;row=79&amp;col=13&amp;number=&amp;sourceID=11","")</f>
        <v/>
      </c>
      <c r="N79" s="4" t="str">
        <f>HYPERLINK("http://141.218.60.56/~jnz1568/getInfo.php?workbook=08_01.xlsx&amp;sheet=A0&amp;row=79&amp;col=14&amp;number=2058.8&amp;sourceID=12","2058.8")</f>
        <v>2058.8</v>
      </c>
      <c r="O79" s="4" t="str">
        <f>HYPERLINK("http://141.218.60.56/~jnz1568/getInfo.php?workbook=08_01.xlsx&amp;sheet=A0&amp;row=79&amp;col=15&amp;number=&amp;sourceID=12","")</f>
        <v/>
      </c>
      <c r="P79" s="4" t="str">
        <f>HYPERLINK("http://141.218.60.56/~jnz1568/getInfo.php?workbook=08_01.xlsx&amp;sheet=A0&amp;row=79&amp;col=16&amp;number=&amp;sourceID=12","")</f>
        <v/>
      </c>
      <c r="Q79" s="4" t="str">
        <f>HYPERLINK("http://141.218.60.56/~jnz1568/getInfo.php?workbook=08_01.xlsx&amp;sheet=A0&amp;row=79&amp;col=17&amp;number=2058.8&amp;sourceID=12","2058.8")</f>
        <v>2058.8</v>
      </c>
      <c r="R79" s="4" t="str">
        <f>HYPERLINK("http://141.218.60.56/~jnz1568/getInfo.php?workbook=08_01.xlsx&amp;sheet=A0&amp;row=79&amp;col=18&amp;number=&amp;sourceID=12","")</f>
        <v/>
      </c>
      <c r="S79" s="4" t="str">
        <f>HYPERLINK("http://141.218.60.56/~jnz1568/getInfo.php?workbook=08_01.xlsx&amp;sheet=A0&amp;row=79&amp;col=19&amp;number=5.7299e-06&amp;sourceID=12","5.7299e-06")</f>
        <v>5.7299e-06</v>
      </c>
      <c r="T79" s="4" t="str">
        <f>HYPERLINK("http://141.218.60.56/~jnz1568/getInfo.php?workbook=08_01.xlsx&amp;sheet=A0&amp;row=79&amp;col=20&amp;number=&amp;sourceID=12","")</f>
        <v/>
      </c>
      <c r="U79" s="4" t="str">
        <f>HYPERLINK("http://141.218.60.56/~jnz1568/getInfo.php?workbook=08_01.xlsx&amp;sheet=A0&amp;row=79&amp;col=21&amp;number=5.73e-06&amp;sourceID=30","5.73e-06")</f>
        <v>5.73e-06</v>
      </c>
      <c r="V79" s="4" t="str">
        <f>HYPERLINK("http://141.218.60.56/~jnz1568/getInfo.php?workbook=08_01.xlsx&amp;sheet=A0&amp;row=79&amp;col=22&amp;number=&amp;sourceID=30","")</f>
        <v/>
      </c>
      <c r="W79" s="4" t="str">
        <f>HYPERLINK("http://141.218.60.56/~jnz1568/getInfo.php?workbook=08_01.xlsx&amp;sheet=A0&amp;row=79&amp;col=23&amp;number=&amp;sourceID=30","")</f>
        <v/>
      </c>
      <c r="X79" s="4" t="str">
        <f>HYPERLINK("http://141.218.60.56/~jnz1568/getInfo.php?workbook=08_01.xlsx&amp;sheet=A0&amp;row=79&amp;col=24&amp;number=&amp;sourceID=30","")</f>
        <v/>
      </c>
      <c r="Y79" s="4" t="str">
        <f>HYPERLINK("http://141.218.60.56/~jnz1568/getInfo.php?workbook=08_01.xlsx&amp;sheet=A0&amp;row=79&amp;col=25&amp;number=5.73e-06&amp;sourceID=30","5.73e-06")</f>
        <v>5.73e-06</v>
      </c>
      <c r="Z79" s="4" t="str">
        <f>HYPERLINK("http://141.218.60.56/~jnz1568/getInfo.php?workbook=08_01.xlsx&amp;sheet=A0&amp;row=79&amp;col=26&amp;number==&amp;sourceID=13","=")</f>
        <v>=</v>
      </c>
      <c r="AA79" s="4" t="str">
        <f>HYPERLINK("http://141.218.60.56/~jnz1568/getInfo.php?workbook=08_01.xlsx&amp;sheet=A0&amp;row=79&amp;col=27&amp;number=&amp;sourceID=13","")</f>
        <v/>
      </c>
      <c r="AB79" s="4" t="str">
        <f>HYPERLINK("http://141.218.60.56/~jnz1568/getInfo.php?workbook=08_01.xlsx&amp;sheet=A0&amp;row=79&amp;col=28&amp;number=&amp;sourceID=13","")</f>
        <v/>
      </c>
      <c r="AC79" s="4" t="str">
        <f>HYPERLINK("http://141.218.60.56/~jnz1568/getInfo.php?workbook=08_01.xlsx&amp;sheet=A0&amp;row=79&amp;col=29&amp;number=2080&amp;sourceID=13","2080")</f>
        <v>2080</v>
      </c>
      <c r="AD79" s="4" t="str">
        <f>HYPERLINK("http://141.218.60.56/~jnz1568/getInfo.php?workbook=08_01.xlsx&amp;sheet=A0&amp;row=79&amp;col=30&amp;number=&amp;sourceID=13","")</f>
        <v/>
      </c>
      <c r="AE79" s="4" t="str">
        <f>HYPERLINK("http://141.218.60.56/~jnz1568/getInfo.php?workbook=08_01.xlsx&amp;sheet=A0&amp;row=79&amp;col=31&amp;number=&amp;sourceID=13","")</f>
        <v/>
      </c>
      <c r="AF79" s="4" t="str">
        <f>HYPERLINK("http://141.218.60.56/~jnz1568/getInfo.php?workbook=08_01.xlsx&amp;sheet=A0&amp;row=79&amp;col=32&amp;number=&amp;sourceID=20","")</f>
        <v/>
      </c>
    </row>
    <row r="80" spans="1:32">
      <c r="A80" s="3">
        <v>8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HYPERLINK("http://141.218.60.56/~jnz1568/getInfo.php?workbook=08_01.xlsx&amp;sheet=A0&amp;row=80&amp;col=6&amp;number=&amp;sourceID=18","")</f>
        <v/>
      </c>
      <c r="G80" s="4" t="str">
        <f>HYPERLINK("http://141.218.60.56/~jnz1568/getInfo.php?workbook=08_01.xlsx&amp;sheet=A0&amp;row=80&amp;col=7&amp;number==&amp;sourceID=11","=")</f>
        <v>=</v>
      </c>
      <c r="H80" s="4" t="str">
        <f>HYPERLINK("http://141.218.60.56/~jnz1568/getInfo.php?workbook=08_01.xlsx&amp;sheet=A0&amp;row=80&amp;col=8&amp;number=&amp;sourceID=11","")</f>
        <v/>
      </c>
      <c r="I80" s="4" t="str">
        <f>HYPERLINK("http://141.218.60.56/~jnz1568/getInfo.php?workbook=08_01.xlsx&amp;sheet=A0&amp;row=80&amp;col=9&amp;number=3599500&amp;sourceID=11","3599500")</f>
        <v>3599500</v>
      </c>
      <c r="J80" s="4" t="str">
        <f>HYPERLINK("http://141.218.60.56/~jnz1568/getInfo.php?workbook=08_01.xlsx&amp;sheet=A0&amp;row=80&amp;col=10&amp;number=&amp;sourceID=11","")</f>
        <v/>
      </c>
      <c r="K80" s="4" t="str">
        <f>HYPERLINK("http://141.218.60.56/~jnz1568/getInfo.php?workbook=08_01.xlsx&amp;sheet=A0&amp;row=80&amp;col=11&amp;number=0.047439&amp;sourceID=11","0.047439")</f>
        <v>0.047439</v>
      </c>
      <c r="L80" s="4" t="str">
        <f>HYPERLINK("http://141.218.60.56/~jnz1568/getInfo.php?workbook=08_01.xlsx&amp;sheet=A0&amp;row=80&amp;col=12&amp;number=&amp;sourceID=11","")</f>
        <v/>
      </c>
      <c r="M80" s="4" t="str">
        <f>HYPERLINK("http://141.218.60.56/~jnz1568/getInfo.php?workbook=08_01.xlsx&amp;sheet=A0&amp;row=80&amp;col=13&amp;number=0.0011674&amp;sourceID=11","0.0011674")</f>
        <v>0.0011674</v>
      </c>
      <c r="N80" s="4" t="str">
        <f>HYPERLINK("http://141.218.60.56/~jnz1568/getInfo.php?workbook=08_01.xlsx&amp;sheet=A0&amp;row=80&amp;col=14&amp;number=3599700&amp;sourceID=12","3599700")</f>
        <v>3599700</v>
      </c>
      <c r="O80" s="4" t="str">
        <f>HYPERLINK("http://141.218.60.56/~jnz1568/getInfo.php?workbook=08_01.xlsx&amp;sheet=A0&amp;row=80&amp;col=15&amp;number=&amp;sourceID=12","")</f>
        <v/>
      </c>
      <c r="P80" s="4" t="str">
        <f>HYPERLINK("http://141.218.60.56/~jnz1568/getInfo.php?workbook=08_01.xlsx&amp;sheet=A0&amp;row=80&amp;col=16&amp;number=3599700&amp;sourceID=12","3599700")</f>
        <v>3599700</v>
      </c>
      <c r="Q80" s="4" t="str">
        <f>HYPERLINK("http://141.218.60.56/~jnz1568/getInfo.php?workbook=08_01.xlsx&amp;sheet=A0&amp;row=80&amp;col=17&amp;number=&amp;sourceID=12","")</f>
        <v/>
      </c>
      <c r="R80" s="4" t="str">
        <f>HYPERLINK("http://141.218.60.56/~jnz1568/getInfo.php?workbook=08_01.xlsx&amp;sheet=A0&amp;row=80&amp;col=18&amp;number=0.04744&amp;sourceID=12","0.04744")</f>
        <v>0.04744</v>
      </c>
      <c r="S80" s="4" t="str">
        <f>HYPERLINK("http://141.218.60.56/~jnz1568/getInfo.php?workbook=08_01.xlsx&amp;sheet=A0&amp;row=80&amp;col=19&amp;number=&amp;sourceID=12","")</f>
        <v/>
      </c>
      <c r="T80" s="4" t="str">
        <f>HYPERLINK("http://141.218.60.56/~jnz1568/getInfo.php?workbook=08_01.xlsx&amp;sheet=A0&amp;row=80&amp;col=20&amp;number=0.0011675&amp;sourceID=12","0.0011675")</f>
        <v>0.0011675</v>
      </c>
      <c r="U80" s="4" t="str">
        <f>HYPERLINK("http://141.218.60.56/~jnz1568/getInfo.php?workbook=08_01.xlsx&amp;sheet=A0&amp;row=80&amp;col=21&amp;number=3600000.04744&amp;sourceID=30","3600000.04744")</f>
        <v>3600000.04744</v>
      </c>
      <c r="V80" s="4" t="str">
        <f>HYPERLINK("http://141.218.60.56/~jnz1568/getInfo.php?workbook=08_01.xlsx&amp;sheet=A0&amp;row=80&amp;col=22&amp;number=&amp;sourceID=30","")</f>
        <v/>
      </c>
      <c r="W80" s="4" t="str">
        <f>HYPERLINK("http://141.218.60.56/~jnz1568/getInfo.php?workbook=08_01.xlsx&amp;sheet=A0&amp;row=80&amp;col=23&amp;number=3600000&amp;sourceID=30","3600000")</f>
        <v>3600000</v>
      </c>
      <c r="X80" s="4" t="str">
        <f>HYPERLINK("http://141.218.60.56/~jnz1568/getInfo.php?workbook=08_01.xlsx&amp;sheet=A0&amp;row=80&amp;col=24&amp;number=0.04744&amp;sourceID=30","0.04744")</f>
        <v>0.04744</v>
      </c>
      <c r="Y80" s="4" t="str">
        <f>HYPERLINK("http://141.218.60.56/~jnz1568/getInfo.php?workbook=08_01.xlsx&amp;sheet=A0&amp;row=80&amp;col=25&amp;number=&amp;sourceID=30","")</f>
        <v/>
      </c>
      <c r="Z80" s="4" t="str">
        <f>HYPERLINK("http://141.218.60.56/~jnz1568/getInfo.php?workbook=08_01.xlsx&amp;sheet=A0&amp;row=80&amp;col=26&amp;number==&amp;sourceID=13","=")</f>
        <v>=</v>
      </c>
      <c r="AA80" s="4" t="str">
        <f>HYPERLINK("http://141.218.60.56/~jnz1568/getInfo.php?workbook=08_01.xlsx&amp;sheet=A0&amp;row=80&amp;col=27&amp;number=&amp;sourceID=13","")</f>
        <v/>
      </c>
      <c r="AB80" s="4" t="str">
        <f>HYPERLINK("http://141.218.60.56/~jnz1568/getInfo.php?workbook=08_01.xlsx&amp;sheet=A0&amp;row=80&amp;col=28&amp;number=3600000&amp;sourceID=13","3600000")</f>
        <v>3600000</v>
      </c>
      <c r="AC80" s="4" t="str">
        <f>HYPERLINK("http://141.218.60.56/~jnz1568/getInfo.php?workbook=08_01.xlsx&amp;sheet=A0&amp;row=80&amp;col=29&amp;number=&amp;sourceID=13","")</f>
        <v/>
      </c>
      <c r="AD80" s="4" t="str">
        <f>HYPERLINK("http://141.218.60.56/~jnz1568/getInfo.php?workbook=08_01.xlsx&amp;sheet=A0&amp;row=80&amp;col=30&amp;number=0.0984&amp;sourceID=13","0.0984")</f>
        <v>0.0984</v>
      </c>
      <c r="AE80" s="4" t="str">
        <f>HYPERLINK("http://141.218.60.56/~jnz1568/getInfo.php?workbook=08_01.xlsx&amp;sheet=A0&amp;row=80&amp;col=31&amp;number=&amp;sourceID=13","")</f>
        <v/>
      </c>
      <c r="AF80" s="4" t="str">
        <f>HYPERLINK("http://141.218.60.56/~jnz1568/getInfo.php?workbook=08_01.xlsx&amp;sheet=A0&amp;row=80&amp;col=32&amp;number=&amp;sourceID=20","")</f>
        <v/>
      </c>
    </row>
    <row r="81" spans="1:32">
      <c r="A81" s="3">
        <v>8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HYPERLINK("http://141.218.60.56/~jnz1568/getInfo.php?workbook=08_01.xlsx&amp;sheet=A0&amp;row=81&amp;col=6&amp;number=&amp;sourceID=18","")</f>
        <v/>
      </c>
      <c r="G81" s="4" t="str">
        <f>HYPERLINK("http://141.218.60.56/~jnz1568/getInfo.php?workbook=08_01.xlsx&amp;sheet=A0&amp;row=81&amp;col=7&amp;number==&amp;sourceID=11","=")</f>
        <v>=</v>
      </c>
      <c r="H81" s="4" t="str">
        <f>HYPERLINK("http://141.218.60.56/~jnz1568/getInfo.php?workbook=08_01.xlsx&amp;sheet=A0&amp;row=81&amp;col=8&amp;number=&amp;sourceID=11","")</f>
        <v/>
      </c>
      <c r="I81" s="4" t="str">
        <f>HYPERLINK("http://141.218.60.56/~jnz1568/getInfo.php?workbook=08_01.xlsx&amp;sheet=A0&amp;row=81&amp;col=9&amp;number=1186200&amp;sourceID=11","1186200")</f>
        <v>1186200</v>
      </c>
      <c r="J81" s="4" t="str">
        <f>HYPERLINK("http://141.218.60.56/~jnz1568/getInfo.php?workbook=08_01.xlsx&amp;sheet=A0&amp;row=81&amp;col=10&amp;number=&amp;sourceID=11","")</f>
        <v/>
      </c>
      <c r="K81" s="4" t="str">
        <f>HYPERLINK("http://141.218.60.56/~jnz1568/getInfo.php?workbook=08_01.xlsx&amp;sheet=A0&amp;row=81&amp;col=11&amp;number=&amp;sourceID=11","")</f>
        <v/>
      </c>
      <c r="L81" s="4" t="str">
        <f>HYPERLINK("http://141.218.60.56/~jnz1568/getInfo.php?workbook=08_01.xlsx&amp;sheet=A0&amp;row=81&amp;col=12&amp;number=&amp;sourceID=11","")</f>
        <v/>
      </c>
      <c r="M81" s="4" t="str">
        <f>HYPERLINK("http://141.218.60.56/~jnz1568/getInfo.php?workbook=08_01.xlsx&amp;sheet=A0&amp;row=81&amp;col=13&amp;number=3.7036e-05&amp;sourceID=11","3.7036e-05")</f>
        <v>3.7036e-05</v>
      </c>
      <c r="N81" s="4" t="str">
        <f>HYPERLINK("http://141.218.60.56/~jnz1568/getInfo.php?workbook=08_01.xlsx&amp;sheet=A0&amp;row=81&amp;col=14&amp;number=1186300&amp;sourceID=12","1186300")</f>
        <v>1186300</v>
      </c>
      <c r="O81" s="4" t="str">
        <f>HYPERLINK("http://141.218.60.56/~jnz1568/getInfo.php?workbook=08_01.xlsx&amp;sheet=A0&amp;row=81&amp;col=15&amp;number=&amp;sourceID=12","")</f>
        <v/>
      </c>
      <c r="P81" s="4" t="str">
        <f>HYPERLINK("http://141.218.60.56/~jnz1568/getInfo.php?workbook=08_01.xlsx&amp;sheet=A0&amp;row=81&amp;col=16&amp;number=1186300&amp;sourceID=12","1186300")</f>
        <v>1186300</v>
      </c>
      <c r="Q81" s="4" t="str">
        <f>HYPERLINK("http://141.218.60.56/~jnz1568/getInfo.php?workbook=08_01.xlsx&amp;sheet=A0&amp;row=81&amp;col=17&amp;number=&amp;sourceID=12","")</f>
        <v/>
      </c>
      <c r="R81" s="4" t="str">
        <f>HYPERLINK("http://141.218.60.56/~jnz1568/getInfo.php?workbook=08_01.xlsx&amp;sheet=A0&amp;row=81&amp;col=18&amp;number=&amp;sourceID=12","")</f>
        <v/>
      </c>
      <c r="S81" s="4" t="str">
        <f>HYPERLINK("http://141.218.60.56/~jnz1568/getInfo.php?workbook=08_01.xlsx&amp;sheet=A0&amp;row=81&amp;col=19&amp;number=&amp;sourceID=12","")</f>
        <v/>
      </c>
      <c r="T81" s="4" t="str">
        <f>HYPERLINK("http://141.218.60.56/~jnz1568/getInfo.php?workbook=08_01.xlsx&amp;sheet=A0&amp;row=81&amp;col=20&amp;number=3.7037e-05&amp;sourceID=12","3.7037e-05")</f>
        <v>3.7037e-05</v>
      </c>
      <c r="U81" s="4" t="str">
        <f>HYPERLINK("http://141.218.60.56/~jnz1568/getInfo.php?workbook=08_01.xlsx&amp;sheet=A0&amp;row=81&amp;col=21&amp;number=1186000&amp;sourceID=30","1186000")</f>
        <v>1186000</v>
      </c>
      <c r="V81" s="4" t="str">
        <f>HYPERLINK("http://141.218.60.56/~jnz1568/getInfo.php?workbook=08_01.xlsx&amp;sheet=A0&amp;row=81&amp;col=22&amp;number=&amp;sourceID=30","")</f>
        <v/>
      </c>
      <c r="W81" s="4" t="str">
        <f>HYPERLINK("http://141.218.60.56/~jnz1568/getInfo.php?workbook=08_01.xlsx&amp;sheet=A0&amp;row=81&amp;col=23&amp;number=1186000&amp;sourceID=30","1186000")</f>
        <v>1186000</v>
      </c>
      <c r="X81" s="4" t="str">
        <f>HYPERLINK("http://141.218.60.56/~jnz1568/getInfo.php?workbook=08_01.xlsx&amp;sheet=A0&amp;row=81&amp;col=24&amp;number=&amp;sourceID=30","")</f>
        <v/>
      </c>
      <c r="Y81" s="4" t="str">
        <f>HYPERLINK("http://141.218.60.56/~jnz1568/getInfo.php?workbook=08_01.xlsx&amp;sheet=A0&amp;row=81&amp;col=25&amp;number=&amp;sourceID=30","")</f>
        <v/>
      </c>
      <c r="Z81" s="4" t="str">
        <f>HYPERLINK("http://141.218.60.56/~jnz1568/getInfo.php?workbook=08_01.xlsx&amp;sheet=A0&amp;row=81&amp;col=26&amp;number==&amp;sourceID=13","=")</f>
        <v>=</v>
      </c>
      <c r="AA81" s="4" t="str">
        <f>HYPERLINK("http://141.218.60.56/~jnz1568/getInfo.php?workbook=08_01.xlsx&amp;sheet=A0&amp;row=81&amp;col=27&amp;number=&amp;sourceID=13","")</f>
        <v/>
      </c>
      <c r="AB81" s="4" t="str">
        <f>HYPERLINK("http://141.218.60.56/~jnz1568/getInfo.php?workbook=08_01.xlsx&amp;sheet=A0&amp;row=81&amp;col=28&amp;number=1180000&amp;sourceID=13","1180000")</f>
        <v>1180000</v>
      </c>
      <c r="AC81" s="4" t="str">
        <f>HYPERLINK("http://141.218.60.56/~jnz1568/getInfo.php?workbook=08_01.xlsx&amp;sheet=A0&amp;row=81&amp;col=29&amp;number=&amp;sourceID=13","")</f>
        <v/>
      </c>
      <c r="AD81" s="4" t="str">
        <f>HYPERLINK("http://141.218.60.56/~jnz1568/getInfo.php?workbook=08_01.xlsx&amp;sheet=A0&amp;row=81&amp;col=30&amp;number=&amp;sourceID=13","")</f>
        <v/>
      </c>
      <c r="AE81" s="4" t="str">
        <f>HYPERLINK("http://141.218.60.56/~jnz1568/getInfo.php?workbook=08_01.xlsx&amp;sheet=A0&amp;row=81&amp;col=31&amp;number=&amp;sourceID=13","")</f>
        <v/>
      </c>
      <c r="AF81" s="4" t="str">
        <f>HYPERLINK("http://141.218.60.56/~jnz1568/getInfo.php?workbook=08_01.xlsx&amp;sheet=A0&amp;row=81&amp;col=32&amp;number=&amp;sourceID=20","")</f>
        <v/>
      </c>
    </row>
    <row r="82" spans="1:32">
      <c r="A82" s="3">
        <v>8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HYPERLINK("http://141.218.60.56/~jnz1568/getInfo.php?workbook=08_01.xlsx&amp;sheet=A0&amp;row=82&amp;col=6&amp;number=&amp;sourceID=18","")</f>
        <v/>
      </c>
      <c r="G82" s="4" t="str">
        <f>HYPERLINK("http://141.218.60.56/~jnz1568/getInfo.php?workbook=08_01.xlsx&amp;sheet=A0&amp;row=82&amp;col=7&amp;number==&amp;sourceID=11","=")</f>
        <v>=</v>
      </c>
      <c r="H82" s="4" t="str">
        <f>HYPERLINK("http://141.218.60.56/~jnz1568/getInfo.php?workbook=08_01.xlsx&amp;sheet=A0&amp;row=82&amp;col=8&amp;number=&amp;sourceID=11","")</f>
        <v/>
      </c>
      <c r="I82" s="4" t="str">
        <f>HYPERLINK("http://141.218.60.56/~jnz1568/getInfo.php?workbook=08_01.xlsx&amp;sheet=A0&amp;row=82&amp;col=9&amp;number=&amp;sourceID=11","")</f>
        <v/>
      </c>
      <c r="J82" s="4" t="str">
        <f>HYPERLINK("http://141.218.60.56/~jnz1568/getInfo.php?workbook=08_01.xlsx&amp;sheet=A0&amp;row=82&amp;col=10&amp;number=18.922&amp;sourceID=11","18.922")</f>
        <v>18.922</v>
      </c>
      <c r="K82" s="4" t="str">
        <f>HYPERLINK("http://141.218.60.56/~jnz1568/getInfo.php?workbook=08_01.xlsx&amp;sheet=A0&amp;row=82&amp;col=11&amp;number=&amp;sourceID=11","")</f>
        <v/>
      </c>
      <c r="L82" s="4" t="str">
        <f>HYPERLINK("http://141.218.60.56/~jnz1568/getInfo.php?workbook=08_01.xlsx&amp;sheet=A0&amp;row=82&amp;col=12&amp;number=2.6708e-08&amp;sourceID=11","2.6708e-08")</f>
        <v>2.6708e-08</v>
      </c>
      <c r="M82" s="4" t="str">
        <f>HYPERLINK("http://141.218.60.56/~jnz1568/getInfo.php?workbook=08_01.xlsx&amp;sheet=A0&amp;row=82&amp;col=13&amp;number=&amp;sourceID=11","")</f>
        <v/>
      </c>
      <c r="N82" s="4" t="str">
        <f>HYPERLINK("http://141.218.60.56/~jnz1568/getInfo.php?workbook=08_01.xlsx&amp;sheet=A0&amp;row=82&amp;col=14&amp;number=18.922&amp;sourceID=12","18.922")</f>
        <v>18.922</v>
      </c>
      <c r="O82" s="4" t="str">
        <f>HYPERLINK("http://141.218.60.56/~jnz1568/getInfo.php?workbook=08_01.xlsx&amp;sheet=A0&amp;row=82&amp;col=15&amp;number=&amp;sourceID=12","")</f>
        <v/>
      </c>
      <c r="P82" s="4" t="str">
        <f>HYPERLINK("http://141.218.60.56/~jnz1568/getInfo.php?workbook=08_01.xlsx&amp;sheet=A0&amp;row=82&amp;col=16&amp;number=&amp;sourceID=12","")</f>
        <v/>
      </c>
      <c r="Q82" s="4" t="str">
        <f>HYPERLINK("http://141.218.60.56/~jnz1568/getInfo.php?workbook=08_01.xlsx&amp;sheet=A0&amp;row=82&amp;col=17&amp;number=18.922&amp;sourceID=12","18.922")</f>
        <v>18.922</v>
      </c>
      <c r="R82" s="4" t="str">
        <f>HYPERLINK("http://141.218.60.56/~jnz1568/getInfo.php?workbook=08_01.xlsx&amp;sheet=A0&amp;row=82&amp;col=18&amp;number=&amp;sourceID=12","")</f>
        <v/>
      </c>
      <c r="S82" s="4" t="str">
        <f>HYPERLINK("http://141.218.60.56/~jnz1568/getInfo.php?workbook=08_01.xlsx&amp;sheet=A0&amp;row=82&amp;col=19&amp;number=2.6709e-08&amp;sourceID=12","2.6709e-08")</f>
        <v>2.6709e-08</v>
      </c>
      <c r="T82" s="4" t="str">
        <f>HYPERLINK("http://141.218.60.56/~jnz1568/getInfo.php?workbook=08_01.xlsx&amp;sheet=A0&amp;row=82&amp;col=20&amp;number=&amp;sourceID=12","")</f>
        <v/>
      </c>
      <c r="U82" s="4" t="str">
        <f>HYPERLINK("http://141.218.60.56/~jnz1568/getInfo.php?workbook=08_01.xlsx&amp;sheet=A0&amp;row=82&amp;col=21&amp;number=2.671e-08&amp;sourceID=30","2.671e-08")</f>
        <v>2.671e-08</v>
      </c>
      <c r="V82" s="4" t="str">
        <f>HYPERLINK("http://141.218.60.56/~jnz1568/getInfo.php?workbook=08_01.xlsx&amp;sheet=A0&amp;row=82&amp;col=22&amp;number=&amp;sourceID=30","")</f>
        <v/>
      </c>
      <c r="W82" s="4" t="str">
        <f>HYPERLINK("http://141.218.60.56/~jnz1568/getInfo.php?workbook=08_01.xlsx&amp;sheet=A0&amp;row=82&amp;col=23&amp;number=&amp;sourceID=30","")</f>
        <v/>
      </c>
      <c r="X82" s="4" t="str">
        <f>HYPERLINK("http://141.218.60.56/~jnz1568/getInfo.php?workbook=08_01.xlsx&amp;sheet=A0&amp;row=82&amp;col=24&amp;number=&amp;sourceID=30","")</f>
        <v/>
      </c>
      <c r="Y82" s="4" t="str">
        <f>HYPERLINK("http://141.218.60.56/~jnz1568/getInfo.php?workbook=08_01.xlsx&amp;sheet=A0&amp;row=82&amp;col=25&amp;number=2.671e-08&amp;sourceID=30","2.671e-08")</f>
        <v>2.671e-08</v>
      </c>
      <c r="Z82" s="4" t="str">
        <f>HYPERLINK("http://141.218.60.56/~jnz1568/getInfo.php?workbook=08_01.xlsx&amp;sheet=A0&amp;row=82&amp;col=26&amp;number==&amp;sourceID=13","=")</f>
        <v>=</v>
      </c>
      <c r="AA82" s="4" t="str">
        <f>HYPERLINK("http://141.218.60.56/~jnz1568/getInfo.php?workbook=08_01.xlsx&amp;sheet=A0&amp;row=82&amp;col=27&amp;number=&amp;sourceID=13","")</f>
        <v/>
      </c>
      <c r="AB82" s="4" t="str">
        <f>HYPERLINK("http://141.218.60.56/~jnz1568/getInfo.php?workbook=08_01.xlsx&amp;sheet=A0&amp;row=82&amp;col=28&amp;number=&amp;sourceID=13","")</f>
        <v/>
      </c>
      <c r="AC82" s="4" t="str">
        <f>HYPERLINK("http://141.218.60.56/~jnz1568/getInfo.php?workbook=08_01.xlsx&amp;sheet=A0&amp;row=82&amp;col=29&amp;number=18.9&amp;sourceID=13","18.9")</f>
        <v>18.9</v>
      </c>
      <c r="AD82" s="4" t="str">
        <f>HYPERLINK("http://141.218.60.56/~jnz1568/getInfo.php?workbook=08_01.xlsx&amp;sheet=A0&amp;row=82&amp;col=30&amp;number=&amp;sourceID=13","")</f>
        <v/>
      </c>
      <c r="AE82" s="4" t="str">
        <f>HYPERLINK("http://141.218.60.56/~jnz1568/getInfo.php?workbook=08_01.xlsx&amp;sheet=A0&amp;row=82&amp;col=31&amp;number=&amp;sourceID=13","")</f>
        <v/>
      </c>
      <c r="AF82" s="4" t="str">
        <f>HYPERLINK("http://141.218.60.56/~jnz1568/getInfo.php?workbook=08_01.xlsx&amp;sheet=A0&amp;row=82&amp;col=32&amp;number=&amp;sourceID=20","")</f>
        <v/>
      </c>
    </row>
    <row r="83" spans="1:32">
      <c r="A83" s="3">
        <v>8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HYPERLINK("http://141.218.60.56/~jnz1568/getInfo.php?workbook=08_01.xlsx&amp;sheet=A0&amp;row=83&amp;col=6&amp;number=&amp;sourceID=18","")</f>
        <v/>
      </c>
      <c r="G83" s="4" t="str">
        <f>HYPERLINK("http://141.218.60.56/~jnz1568/getInfo.php?workbook=08_01.xlsx&amp;sheet=A0&amp;row=83&amp;col=7&amp;number==&amp;sourceID=11","=")</f>
        <v>=</v>
      </c>
      <c r="H83" s="4" t="str">
        <f>HYPERLINK("http://141.218.60.56/~jnz1568/getInfo.php?workbook=08_01.xlsx&amp;sheet=A0&amp;row=83&amp;col=8&amp;number=52759000000&amp;sourceID=11","52759000000")</f>
        <v>52759000000</v>
      </c>
      <c r="I83" s="4" t="str">
        <f>HYPERLINK("http://141.218.60.56/~jnz1568/getInfo.php?workbook=08_01.xlsx&amp;sheet=A0&amp;row=83&amp;col=9&amp;number=&amp;sourceID=11","")</f>
        <v/>
      </c>
      <c r="J83" s="4" t="str">
        <f>HYPERLINK("http://141.218.60.56/~jnz1568/getInfo.php?workbook=08_01.xlsx&amp;sheet=A0&amp;row=83&amp;col=10&amp;number=5.433&amp;sourceID=11","5.433")</f>
        <v>5.433</v>
      </c>
      <c r="K83" s="4" t="str">
        <f>HYPERLINK("http://141.218.60.56/~jnz1568/getInfo.php?workbook=08_01.xlsx&amp;sheet=A0&amp;row=83&amp;col=11&amp;number=&amp;sourceID=11","")</f>
        <v/>
      </c>
      <c r="L83" s="4" t="str">
        <f>HYPERLINK("http://141.218.60.56/~jnz1568/getInfo.php?workbook=08_01.xlsx&amp;sheet=A0&amp;row=83&amp;col=12&amp;number=16.173&amp;sourceID=11","16.173")</f>
        <v>16.173</v>
      </c>
      <c r="M83" s="4" t="str">
        <f>HYPERLINK("http://141.218.60.56/~jnz1568/getInfo.php?workbook=08_01.xlsx&amp;sheet=A0&amp;row=83&amp;col=13&amp;number=&amp;sourceID=11","")</f>
        <v/>
      </c>
      <c r="N83" s="4" t="str">
        <f>HYPERLINK("http://141.218.60.56/~jnz1568/getInfo.php?workbook=08_01.xlsx&amp;sheet=A0&amp;row=83&amp;col=14&amp;number=52761000000&amp;sourceID=12","52761000000")</f>
        <v>52761000000</v>
      </c>
      <c r="O83" s="4" t="str">
        <f>HYPERLINK("http://141.218.60.56/~jnz1568/getInfo.php?workbook=08_01.xlsx&amp;sheet=A0&amp;row=83&amp;col=15&amp;number=52761000000&amp;sourceID=12","52761000000")</f>
        <v>52761000000</v>
      </c>
      <c r="P83" s="4" t="str">
        <f>HYPERLINK("http://141.218.60.56/~jnz1568/getInfo.php?workbook=08_01.xlsx&amp;sheet=A0&amp;row=83&amp;col=16&amp;number=&amp;sourceID=12","")</f>
        <v/>
      </c>
      <c r="Q83" s="4" t="str">
        <f>HYPERLINK("http://141.218.60.56/~jnz1568/getInfo.php?workbook=08_01.xlsx&amp;sheet=A0&amp;row=83&amp;col=17&amp;number=5.4332&amp;sourceID=12","5.4332")</f>
        <v>5.4332</v>
      </c>
      <c r="R83" s="4" t="str">
        <f>HYPERLINK("http://141.218.60.56/~jnz1568/getInfo.php?workbook=08_01.xlsx&amp;sheet=A0&amp;row=83&amp;col=18&amp;number=&amp;sourceID=12","")</f>
        <v/>
      </c>
      <c r="S83" s="4" t="str">
        <f>HYPERLINK("http://141.218.60.56/~jnz1568/getInfo.php?workbook=08_01.xlsx&amp;sheet=A0&amp;row=83&amp;col=19&amp;number=16.174&amp;sourceID=12","16.174")</f>
        <v>16.174</v>
      </c>
      <c r="T83" s="4" t="str">
        <f>HYPERLINK("http://141.218.60.56/~jnz1568/getInfo.php?workbook=08_01.xlsx&amp;sheet=A0&amp;row=83&amp;col=20&amp;number=&amp;sourceID=12","")</f>
        <v/>
      </c>
      <c r="U83" s="4" t="str">
        <f>HYPERLINK("http://141.218.60.56/~jnz1568/getInfo.php?workbook=08_01.xlsx&amp;sheet=A0&amp;row=83&amp;col=21&amp;number=52760000016.2&amp;sourceID=30","52760000016.2")</f>
        <v>52760000016.2</v>
      </c>
      <c r="V83" s="4" t="str">
        <f>HYPERLINK("http://141.218.60.56/~jnz1568/getInfo.php?workbook=08_01.xlsx&amp;sheet=A0&amp;row=83&amp;col=22&amp;number=52760000000&amp;sourceID=30","52760000000")</f>
        <v>52760000000</v>
      </c>
      <c r="W83" s="4" t="str">
        <f>HYPERLINK("http://141.218.60.56/~jnz1568/getInfo.php?workbook=08_01.xlsx&amp;sheet=A0&amp;row=83&amp;col=23&amp;number=&amp;sourceID=30","")</f>
        <v/>
      </c>
      <c r="X83" s="4" t="str">
        <f>HYPERLINK("http://141.218.60.56/~jnz1568/getInfo.php?workbook=08_01.xlsx&amp;sheet=A0&amp;row=83&amp;col=24&amp;number=&amp;sourceID=30","")</f>
        <v/>
      </c>
      <c r="Y83" s="4" t="str">
        <f>HYPERLINK("http://141.218.60.56/~jnz1568/getInfo.php?workbook=08_01.xlsx&amp;sheet=A0&amp;row=83&amp;col=25&amp;number=16.17&amp;sourceID=30","16.17")</f>
        <v>16.17</v>
      </c>
      <c r="Z83" s="4" t="str">
        <f>HYPERLINK("http://141.218.60.56/~jnz1568/getInfo.php?workbook=08_01.xlsx&amp;sheet=A0&amp;row=83&amp;col=26&amp;number==&amp;sourceID=13","=")</f>
        <v>=</v>
      </c>
      <c r="AA83" s="4" t="str">
        <f>HYPERLINK("http://141.218.60.56/~jnz1568/getInfo.php?workbook=08_01.xlsx&amp;sheet=A0&amp;row=83&amp;col=27&amp;number=52700000000&amp;sourceID=13","52700000000")</f>
        <v>52700000000</v>
      </c>
      <c r="AB83" s="4" t="str">
        <f>HYPERLINK("http://141.218.60.56/~jnz1568/getInfo.php?workbook=08_01.xlsx&amp;sheet=A0&amp;row=83&amp;col=28&amp;number=&amp;sourceID=13","")</f>
        <v/>
      </c>
      <c r="AC83" s="4" t="str">
        <f>HYPERLINK("http://141.218.60.56/~jnz1568/getInfo.php?workbook=08_01.xlsx&amp;sheet=A0&amp;row=83&amp;col=29&amp;number=&amp;sourceID=13","")</f>
        <v/>
      </c>
      <c r="AD83" s="4" t="str">
        <f>HYPERLINK("http://141.218.60.56/~jnz1568/getInfo.php?workbook=08_01.xlsx&amp;sheet=A0&amp;row=83&amp;col=30&amp;number=&amp;sourceID=13","")</f>
        <v/>
      </c>
      <c r="AE83" s="4" t="str">
        <f>HYPERLINK("http://141.218.60.56/~jnz1568/getInfo.php?workbook=08_01.xlsx&amp;sheet=A0&amp;row=83&amp;col=31&amp;number=&amp;sourceID=13","")</f>
        <v/>
      </c>
      <c r="AF83" s="4" t="str">
        <f>HYPERLINK("http://141.218.60.56/~jnz1568/getInfo.php?workbook=08_01.xlsx&amp;sheet=A0&amp;row=83&amp;col=32&amp;number=&amp;sourceID=20","")</f>
        <v/>
      </c>
    </row>
    <row r="84" spans="1:32">
      <c r="A84" s="3">
        <v>8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HYPERLINK("http://141.218.60.56/~jnz1568/getInfo.php?workbook=08_01.xlsx&amp;sheet=A0&amp;row=84&amp;col=6&amp;number=&amp;sourceID=18","")</f>
        <v/>
      </c>
      <c r="G84" s="4" t="str">
        <f>HYPERLINK("http://141.218.60.56/~jnz1568/getInfo.php?workbook=08_01.xlsx&amp;sheet=A0&amp;row=84&amp;col=7&amp;number==&amp;sourceID=11","=")</f>
        <v>=</v>
      </c>
      <c r="H84" s="4" t="str">
        <f>HYPERLINK("http://141.218.60.56/~jnz1568/getInfo.php?workbook=08_01.xlsx&amp;sheet=A0&amp;row=84&amp;col=8&amp;number=&amp;sourceID=11","")</f>
        <v/>
      </c>
      <c r="I84" s="4" t="str">
        <f>HYPERLINK("http://141.218.60.56/~jnz1568/getInfo.php?workbook=08_01.xlsx&amp;sheet=A0&amp;row=84&amp;col=9&amp;number=337470&amp;sourceID=11","337470")</f>
        <v>337470</v>
      </c>
      <c r="J84" s="4" t="str">
        <f>HYPERLINK("http://141.218.60.56/~jnz1568/getInfo.php?workbook=08_01.xlsx&amp;sheet=A0&amp;row=84&amp;col=10&amp;number=&amp;sourceID=11","")</f>
        <v/>
      </c>
      <c r="K84" s="4" t="str">
        <f>HYPERLINK("http://141.218.60.56/~jnz1568/getInfo.php?workbook=08_01.xlsx&amp;sheet=A0&amp;row=84&amp;col=11&amp;number=0.0015587&amp;sourceID=11","0.0015587")</f>
        <v>0.0015587</v>
      </c>
      <c r="L84" s="4" t="str">
        <f>HYPERLINK("http://141.218.60.56/~jnz1568/getInfo.php?workbook=08_01.xlsx&amp;sheet=A0&amp;row=84&amp;col=12&amp;number=&amp;sourceID=11","")</f>
        <v/>
      </c>
      <c r="M84" s="4" t="str">
        <f>HYPERLINK("http://141.218.60.56/~jnz1568/getInfo.php?workbook=08_01.xlsx&amp;sheet=A0&amp;row=84&amp;col=13&amp;number=7.3588e-06&amp;sourceID=11","7.3588e-06")</f>
        <v>7.3588e-06</v>
      </c>
      <c r="N84" s="4" t="str">
        <f>HYPERLINK("http://141.218.60.56/~jnz1568/getInfo.php?workbook=08_01.xlsx&amp;sheet=A0&amp;row=84&amp;col=14&amp;number=337480&amp;sourceID=12","337480")</f>
        <v>337480</v>
      </c>
      <c r="O84" s="4" t="str">
        <f>HYPERLINK("http://141.218.60.56/~jnz1568/getInfo.php?workbook=08_01.xlsx&amp;sheet=A0&amp;row=84&amp;col=15&amp;number=&amp;sourceID=12","")</f>
        <v/>
      </c>
      <c r="P84" s="4" t="str">
        <f>HYPERLINK("http://141.218.60.56/~jnz1568/getInfo.php?workbook=08_01.xlsx&amp;sheet=A0&amp;row=84&amp;col=16&amp;number=337480&amp;sourceID=12","337480")</f>
        <v>337480</v>
      </c>
      <c r="Q84" s="4" t="str">
        <f>HYPERLINK("http://141.218.60.56/~jnz1568/getInfo.php?workbook=08_01.xlsx&amp;sheet=A0&amp;row=84&amp;col=17&amp;number=&amp;sourceID=12","")</f>
        <v/>
      </c>
      <c r="R84" s="4" t="str">
        <f>HYPERLINK("http://141.218.60.56/~jnz1568/getInfo.php?workbook=08_01.xlsx&amp;sheet=A0&amp;row=84&amp;col=18&amp;number=0.0015587&amp;sourceID=12","0.0015587")</f>
        <v>0.0015587</v>
      </c>
      <c r="S84" s="4" t="str">
        <f>HYPERLINK("http://141.218.60.56/~jnz1568/getInfo.php?workbook=08_01.xlsx&amp;sheet=A0&amp;row=84&amp;col=19&amp;number=&amp;sourceID=12","")</f>
        <v/>
      </c>
      <c r="T84" s="4" t="str">
        <f>HYPERLINK("http://141.218.60.56/~jnz1568/getInfo.php?workbook=08_01.xlsx&amp;sheet=A0&amp;row=84&amp;col=20&amp;number=7.3591e-06&amp;sourceID=12","7.3591e-06")</f>
        <v>7.3591e-06</v>
      </c>
      <c r="U84" s="4" t="str">
        <f>HYPERLINK("http://141.218.60.56/~jnz1568/getInfo.php?workbook=08_01.xlsx&amp;sheet=A0&amp;row=84&amp;col=21&amp;number=337500.001559&amp;sourceID=30","337500.001559")</f>
        <v>337500.001559</v>
      </c>
      <c r="V84" s="4" t="str">
        <f>HYPERLINK("http://141.218.60.56/~jnz1568/getInfo.php?workbook=08_01.xlsx&amp;sheet=A0&amp;row=84&amp;col=22&amp;number=&amp;sourceID=30","")</f>
        <v/>
      </c>
      <c r="W84" s="4" t="str">
        <f>HYPERLINK("http://141.218.60.56/~jnz1568/getInfo.php?workbook=08_01.xlsx&amp;sheet=A0&amp;row=84&amp;col=23&amp;number=337500&amp;sourceID=30","337500")</f>
        <v>337500</v>
      </c>
      <c r="X84" s="4" t="str">
        <f>HYPERLINK("http://141.218.60.56/~jnz1568/getInfo.php?workbook=08_01.xlsx&amp;sheet=A0&amp;row=84&amp;col=24&amp;number=0.001559&amp;sourceID=30","0.001559")</f>
        <v>0.001559</v>
      </c>
      <c r="Y84" s="4" t="str">
        <f>HYPERLINK("http://141.218.60.56/~jnz1568/getInfo.php?workbook=08_01.xlsx&amp;sheet=A0&amp;row=84&amp;col=25&amp;number=&amp;sourceID=30","")</f>
        <v/>
      </c>
      <c r="Z84" s="4" t="str">
        <f>HYPERLINK("http://141.218.60.56/~jnz1568/getInfo.php?workbook=08_01.xlsx&amp;sheet=A0&amp;row=84&amp;col=26&amp;number==&amp;sourceID=13","=")</f>
        <v>=</v>
      </c>
      <c r="AA84" s="4" t="str">
        <f>HYPERLINK("http://141.218.60.56/~jnz1568/getInfo.php?workbook=08_01.xlsx&amp;sheet=A0&amp;row=84&amp;col=27&amp;number=&amp;sourceID=13","")</f>
        <v/>
      </c>
      <c r="AB84" s="4" t="str">
        <f>HYPERLINK("http://141.218.60.56/~jnz1568/getInfo.php?workbook=08_01.xlsx&amp;sheet=A0&amp;row=84&amp;col=28&amp;number=337000&amp;sourceID=13","337000")</f>
        <v>337000</v>
      </c>
      <c r="AC84" s="4" t="str">
        <f>HYPERLINK("http://141.218.60.56/~jnz1568/getInfo.php?workbook=08_01.xlsx&amp;sheet=A0&amp;row=84&amp;col=29&amp;number=&amp;sourceID=13","")</f>
        <v/>
      </c>
      <c r="AD84" s="4" t="str">
        <f>HYPERLINK("http://141.218.60.56/~jnz1568/getInfo.php?workbook=08_01.xlsx&amp;sheet=A0&amp;row=84&amp;col=30&amp;number=0.00258&amp;sourceID=13","0.00258")</f>
        <v>0.00258</v>
      </c>
      <c r="AE84" s="4" t="str">
        <f>HYPERLINK("http://141.218.60.56/~jnz1568/getInfo.php?workbook=08_01.xlsx&amp;sheet=A0&amp;row=84&amp;col=31&amp;number=&amp;sourceID=13","")</f>
        <v/>
      </c>
      <c r="AF84" s="4" t="str">
        <f>HYPERLINK("http://141.218.60.56/~jnz1568/getInfo.php?workbook=08_01.xlsx&amp;sheet=A0&amp;row=84&amp;col=32&amp;number=&amp;sourceID=20","")</f>
        <v/>
      </c>
    </row>
    <row r="85" spans="1:32">
      <c r="A85" s="3">
        <v>8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HYPERLINK("http://141.218.60.56/~jnz1568/getInfo.php?workbook=08_01.xlsx&amp;sheet=A0&amp;row=85&amp;col=6&amp;number=&amp;sourceID=18","")</f>
        <v/>
      </c>
      <c r="G85" s="4" t="str">
        <f>HYPERLINK("http://141.218.60.56/~jnz1568/getInfo.php?workbook=08_01.xlsx&amp;sheet=A0&amp;row=85&amp;col=7&amp;number==&amp;sourceID=11","=")</f>
        <v>=</v>
      </c>
      <c r="H85" s="4" t="str">
        <f>HYPERLINK("http://141.218.60.56/~jnz1568/getInfo.php?workbook=08_01.xlsx&amp;sheet=A0&amp;row=85&amp;col=8&amp;number=3766200000&amp;sourceID=11","3766200000")</f>
        <v>3766200000</v>
      </c>
      <c r="I85" s="4" t="str">
        <f>HYPERLINK("http://141.218.60.56/~jnz1568/getInfo.php?workbook=08_01.xlsx&amp;sheet=A0&amp;row=85&amp;col=9&amp;number=&amp;sourceID=11","")</f>
        <v/>
      </c>
      <c r="J85" s="4" t="str">
        <f>HYPERLINK("http://141.218.60.56/~jnz1568/getInfo.php?workbook=08_01.xlsx&amp;sheet=A0&amp;row=85&amp;col=10&amp;number=3.6151&amp;sourceID=11","3.6151")</f>
        <v>3.6151</v>
      </c>
      <c r="K85" s="4" t="str">
        <f>HYPERLINK("http://141.218.60.56/~jnz1568/getInfo.php?workbook=08_01.xlsx&amp;sheet=A0&amp;row=85&amp;col=11&amp;number=&amp;sourceID=11","")</f>
        <v/>
      </c>
      <c r="L85" s="4" t="str">
        <f>HYPERLINK("http://141.218.60.56/~jnz1568/getInfo.php?workbook=08_01.xlsx&amp;sheet=A0&amp;row=85&amp;col=12&amp;number=&amp;sourceID=11","")</f>
        <v/>
      </c>
      <c r="M85" s="4" t="str">
        <f>HYPERLINK("http://141.218.60.56/~jnz1568/getInfo.php?workbook=08_01.xlsx&amp;sheet=A0&amp;row=85&amp;col=13&amp;number=&amp;sourceID=11","")</f>
        <v/>
      </c>
      <c r="N85" s="4" t="str">
        <f>HYPERLINK("http://141.218.60.56/~jnz1568/getInfo.php?workbook=08_01.xlsx&amp;sheet=A0&amp;row=85&amp;col=14&amp;number=3766400000&amp;sourceID=12","3766400000")</f>
        <v>3766400000</v>
      </c>
      <c r="O85" s="4" t="str">
        <f>HYPERLINK("http://141.218.60.56/~jnz1568/getInfo.php?workbook=08_01.xlsx&amp;sheet=A0&amp;row=85&amp;col=15&amp;number=3766400000&amp;sourceID=12","3766400000")</f>
        <v>3766400000</v>
      </c>
      <c r="P85" s="4" t="str">
        <f>HYPERLINK("http://141.218.60.56/~jnz1568/getInfo.php?workbook=08_01.xlsx&amp;sheet=A0&amp;row=85&amp;col=16&amp;number=&amp;sourceID=12","")</f>
        <v/>
      </c>
      <c r="Q85" s="4" t="str">
        <f>HYPERLINK("http://141.218.60.56/~jnz1568/getInfo.php?workbook=08_01.xlsx&amp;sheet=A0&amp;row=85&amp;col=17&amp;number=3.6152&amp;sourceID=12","3.6152")</f>
        <v>3.6152</v>
      </c>
      <c r="R85" s="4" t="str">
        <f>HYPERLINK("http://141.218.60.56/~jnz1568/getInfo.php?workbook=08_01.xlsx&amp;sheet=A0&amp;row=85&amp;col=18&amp;number=&amp;sourceID=12","")</f>
        <v/>
      </c>
      <c r="S85" s="4" t="str">
        <f>HYPERLINK("http://141.218.60.56/~jnz1568/getInfo.php?workbook=08_01.xlsx&amp;sheet=A0&amp;row=85&amp;col=19&amp;number=&amp;sourceID=12","")</f>
        <v/>
      </c>
      <c r="T85" s="4" t="str">
        <f>HYPERLINK("http://141.218.60.56/~jnz1568/getInfo.php?workbook=08_01.xlsx&amp;sheet=A0&amp;row=85&amp;col=20&amp;number=&amp;sourceID=12","")</f>
        <v/>
      </c>
      <c r="U85" s="4" t="str">
        <f>HYPERLINK("http://141.218.60.56/~jnz1568/getInfo.php?workbook=08_01.xlsx&amp;sheet=A0&amp;row=85&amp;col=21&amp;number=3766000000&amp;sourceID=30","3766000000")</f>
        <v>3766000000</v>
      </c>
      <c r="V85" s="4" t="str">
        <f>HYPERLINK("http://141.218.60.56/~jnz1568/getInfo.php?workbook=08_01.xlsx&amp;sheet=A0&amp;row=85&amp;col=22&amp;number=3766000000&amp;sourceID=30","3766000000")</f>
        <v>3766000000</v>
      </c>
      <c r="W85" s="4" t="str">
        <f>HYPERLINK("http://141.218.60.56/~jnz1568/getInfo.php?workbook=08_01.xlsx&amp;sheet=A0&amp;row=85&amp;col=23&amp;number=&amp;sourceID=30","")</f>
        <v/>
      </c>
      <c r="X85" s="4" t="str">
        <f>HYPERLINK("http://141.218.60.56/~jnz1568/getInfo.php?workbook=08_01.xlsx&amp;sheet=A0&amp;row=85&amp;col=24&amp;number=&amp;sourceID=30","")</f>
        <v/>
      </c>
      <c r="Y85" s="4" t="str">
        <f>HYPERLINK("http://141.218.60.56/~jnz1568/getInfo.php?workbook=08_01.xlsx&amp;sheet=A0&amp;row=85&amp;col=25&amp;number=&amp;sourceID=30","")</f>
        <v/>
      </c>
      <c r="Z85" s="4" t="str">
        <f>HYPERLINK("http://141.218.60.56/~jnz1568/getInfo.php?workbook=08_01.xlsx&amp;sheet=A0&amp;row=85&amp;col=26&amp;number==&amp;sourceID=13","=")</f>
        <v>=</v>
      </c>
      <c r="AA85" s="4" t="str">
        <f>HYPERLINK("http://141.218.60.56/~jnz1568/getInfo.php?workbook=08_01.xlsx&amp;sheet=A0&amp;row=85&amp;col=27&amp;number=3760000000&amp;sourceID=13","3760000000")</f>
        <v>3760000000</v>
      </c>
      <c r="AB85" s="4" t="str">
        <f>HYPERLINK("http://141.218.60.56/~jnz1568/getInfo.php?workbook=08_01.xlsx&amp;sheet=A0&amp;row=85&amp;col=28&amp;number=&amp;sourceID=13","")</f>
        <v/>
      </c>
      <c r="AC85" s="4" t="str">
        <f>HYPERLINK("http://141.218.60.56/~jnz1568/getInfo.php?workbook=08_01.xlsx&amp;sheet=A0&amp;row=85&amp;col=29&amp;number=&amp;sourceID=13","")</f>
        <v/>
      </c>
      <c r="AD85" s="4" t="str">
        <f>HYPERLINK("http://141.218.60.56/~jnz1568/getInfo.php?workbook=08_01.xlsx&amp;sheet=A0&amp;row=85&amp;col=30&amp;number=&amp;sourceID=13","")</f>
        <v/>
      </c>
      <c r="AE85" s="4" t="str">
        <f>HYPERLINK("http://141.218.60.56/~jnz1568/getInfo.php?workbook=08_01.xlsx&amp;sheet=A0&amp;row=85&amp;col=31&amp;number=&amp;sourceID=13","")</f>
        <v/>
      </c>
      <c r="AF85" s="4" t="str">
        <f>HYPERLINK("http://141.218.60.56/~jnz1568/getInfo.php?workbook=08_01.xlsx&amp;sheet=A0&amp;row=85&amp;col=32&amp;number=&amp;sourceID=20","")</f>
        <v/>
      </c>
    </row>
    <row r="86" spans="1:32">
      <c r="A86" s="3">
        <v>8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HYPERLINK("http://141.218.60.56/~jnz1568/getInfo.php?workbook=08_01.xlsx&amp;sheet=A0&amp;row=86&amp;col=6&amp;number=&amp;sourceID=18","")</f>
        <v/>
      </c>
      <c r="G86" s="4" t="str">
        <f>HYPERLINK("http://141.218.60.56/~jnz1568/getInfo.php?workbook=08_01.xlsx&amp;sheet=A0&amp;row=86&amp;col=7&amp;number==&amp;sourceID=11","=")</f>
        <v>=</v>
      </c>
      <c r="H86" s="4" t="str">
        <f>HYPERLINK("http://141.218.60.56/~jnz1568/getInfo.php?workbook=08_01.xlsx&amp;sheet=A0&amp;row=86&amp;col=8&amp;number=&amp;sourceID=11","")</f>
        <v/>
      </c>
      <c r="I86" s="4" t="str">
        <f>HYPERLINK("http://141.218.60.56/~jnz1568/getInfo.php?workbook=08_01.xlsx&amp;sheet=A0&amp;row=86&amp;col=9&amp;number=7.1427e-10&amp;sourceID=11","7.1427e-10")</f>
        <v>7.1427e-10</v>
      </c>
      <c r="J86" s="4" t="str">
        <f>HYPERLINK("http://141.218.60.56/~jnz1568/getInfo.php?workbook=08_01.xlsx&amp;sheet=A0&amp;row=86&amp;col=10&amp;number=&amp;sourceID=11","")</f>
        <v/>
      </c>
      <c r="K86" s="4" t="str">
        <f>HYPERLINK("http://141.218.60.56/~jnz1568/getInfo.php?workbook=08_01.xlsx&amp;sheet=A0&amp;row=86&amp;col=11&amp;number=&amp;sourceID=11","")</f>
        <v/>
      </c>
      <c r="L86" s="4" t="str">
        <f>HYPERLINK("http://141.218.60.56/~jnz1568/getInfo.php?workbook=08_01.xlsx&amp;sheet=A0&amp;row=86&amp;col=12&amp;number=&amp;sourceID=11","")</f>
        <v/>
      </c>
      <c r="M86" s="4" t="str">
        <f>HYPERLINK("http://141.218.60.56/~jnz1568/getInfo.php?workbook=08_01.xlsx&amp;sheet=A0&amp;row=86&amp;col=13&amp;number=0&amp;sourceID=11","0")</f>
        <v>0</v>
      </c>
      <c r="N86" s="4" t="str">
        <f>HYPERLINK("http://141.218.60.56/~jnz1568/getInfo.php?workbook=08_01.xlsx&amp;sheet=A0&amp;row=86&amp;col=14&amp;number=7.1431e-10&amp;sourceID=12","7.1431e-10")</f>
        <v>7.1431e-10</v>
      </c>
      <c r="O86" s="4" t="str">
        <f>HYPERLINK("http://141.218.60.56/~jnz1568/getInfo.php?workbook=08_01.xlsx&amp;sheet=A0&amp;row=86&amp;col=15&amp;number=&amp;sourceID=12","")</f>
        <v/>
      </c>
      <c r="P86" s="4" t="str">
        <f>HYPERLINK("http://141.218.60.56/~jnz1568/getInfo.php?workbook=08_01.xlsx&amp;sheet=A0&amp;row=86&amp;col=16&amp;number=7.1431e-10&amp;sourceID=12","7.1431e-10")</f>
        <v>7.1431e-10</v>
      </c>
      <c r="Q86" s="4" t="str">
        <f>HYPERLINK("http://141.218.60.56/~jnz1568/getInfo.php?workbook=08_01.xlsx&amp;sheet=A0&amp;row=86&amp;col=17&amp;number=&amp;sourceID=12","")</f>
        <v/>
      </c>
      <c r="R86" s="4" t="str">
        <f>HYPERLINK("http://141.218.60.56/~jnz1568/getInfo.php?workbook=08_01.xlsx&amp;sheet=A0&amp;row=86&amp;col=18&amp;number=&amp;sourceID=12","")</f>
        <v/>
      </c>
      <c r="S86" s="4" t="str">
        <f>HYPERLINK("http://141.218.60.56/~jnz1568/getInfo.php?workbook=08_01.xlsx&amp;sheet=A0&amp;row=86&amp;col=19&amp;number=&amp;sourceID=12","")</f>
        <v/>
      </c>
      <c r="T86" s="4" t="str">
        <f>HYPERLINK("http://141.218.60.56/~jnz1568/getInfo.php?workbook=08_01.xlsx&amp;sheet=A0&amp;row=86&amp;col=20&amp;number=0&amp;sourceID=12","0")</f>
        <v>0</v>
      </c>
      <c r="U86" s="4" t="str">
        <f>HYPERLINK("http://141.218.60.56/~jnz1568/getInfo.php?workbook=08_01.xlsx&amp;sheet=A0&amp;row=86&amp;col=21&amp;number=7.143e-10&amp;sourceID=30","7.143e-10")</f>
        <v>7.143e-10</v>
      </c>
      <c r="V86" s="4" t="str">
        <f>HYPERLINK("http://141.218.60.56/~jnz1568/getInfo.php?workbook=08_01.xlsx&amp;sheet=A0&amp;row=86&amp;col=22&amp;number=&amp;sourceID=30","")</f>
        <v/>
      </c>
      <c r="W86" s="4" t="str">
        <f>HYPERLINK("http://141.218.60.56/~jnz1568/getInfo.php?workbook=08_01.xlsx&amp;sheet=A0&amp;row=86&amp;col=23&amp;number=7.143e-10&amp;sourceID=30","7.143e-10")</f>
        <v>7.143e-10</v>
      </c>
      <c r="X86" s="4" t="str">
        <f>HYPERLINK("http://141.218.60.56/~jnz1568/getInfo.php?workbook=08_01.xlsx&amp;sheet=A0&amp;row=86&amp;col=24&amp;number=&amp;sourceID=30","")</f>
        <v/>
      </c>
      <c r="Y86" s="4" t="str">
        <f>HYPERLINK("http://141.218.60.56/~jnz1568/getInfo.php?workbook=08_01.xlsx&amp;sheet=A0&amp;row=86&amp;col=25&amp;number=&amp;sourceID=30","")</f>
        <v/>
      </c>
      <c r="Z86" s="4" t="str">
        <f>HYPERLINK("http://141.218.60.56/~jnz1568/getInfo.php?workbook=08_01.xlsx&amp;sheet=A0&amp;row=86&amp;col=26&amp;number=&amp;sourceID=13","")</f>
        <v/>
      </c>
      <c r="AA86" s="4" t="str">
        <f>HYPERLINK("http://141.218.60.56/~jnz1568/getInfo.php?workbook=08_01.xlsx&amp;sheet=A0&amp;row=86&amp;col=27&amp;number=&amp;sourceID=13","")</f>
        <v/>
      </c>
      <c r="AB86" s="4" t="str">
        <f>HYPERLINK("http://141.218.60.56/~jnz1568/getInfo.php?workbook=08_01.xlsx&amp;sheet=A0&amp;row=86&amp;col=28&amp;number=&amp;sourceID=13","")</f>
        <v/>
      </c>
      <c r="AC86" s="4" t="str">
        <f>HYPERLINK("http://141.218.60.56/~jnz1568/getInfo.php?workbook=08_01.xlsx&amp;sheet=A0&amp;row=86&amp;col=29&amp;number=&amp;sourceID=13","")</f>
        <v/>
      </c>
      <c r="AD86" s="4" t="str">
        <f>HYPERLINK("http://141.218.60.56/~jnz1568/getInfo.php?workbook=08_01.xlsx&amp;sheet=A0&amp;row=86&amp;col=30&amp;number=&amp;sourceID=13","")</f>
        <v/>
      </c>
      <c r="AE86" s="4" t="str">
        <f>HYPERLINK("http://141.218.60.56/~jnz1568/getInfo.php?workbook=08_01.xlsx&amp;sheet=A0&amp;row=86&amp;col=31&amp;number=&amp;sourceID=13","")</f>
        <v/>
      </c>
      <c r="AF86" s="4" t="str">
        <f>HYPERLINK("http://141.218.60.56/~jnz1568/getInfo.php?workbook=08_01.xlsx&amp;sheet=A0&amp;row=86&amp;col=32&amp;number=&amp;sourceID=20","")</f>
        <v/>
      </c>
    </row>
    <row r="87" spans="1:32">
      <c r="A87" s="3">
        <v>8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HYPERLINK("http://141.218.60.56/~jnz1568/getInfo.php?workbook=08_01.xlsx&amp;sheet=A0&amp;row=87&amp;col=6&amp;number=&amp;sourceID=18","")</f>
        <v/>
      </c>
      <c r="G87" s="4" t="str">
        <f>HYPERLINK("http://141.218.60.56/~jnz1568/getInfo.php?workbook=08_01.xlsx&amp;sheet=A0&amp;row=87&amp;col=7&amp;number==&amp;sourceID=11","=")</f>
        <v>=</v>
      </c>
      <c r="H87" s="4" t="str">
        <f>HYPERLINK("http://141.218.60.56/~jnz1568/getInfo.php?workbook=08_01.xlsx&amp;sheet=A0&amp;row=87&amp;col=8&amp;number=&amp;sourceID=11","")</f>
        <v/>
      </c>
      <c r="I87" s="4" t="str">
        <f>HYPERLINK("http://141.218.60.56/~jnz1568/getInfo.php?workbook=08_01.xlsx&amp;sheet=A0&amp;row=87&amp;col=9&amp;number=&amp;sourceID=11","")</f>
        <v/>
      </c>
      <c r="J87" s="4" t="str">
        <f>HYPERLINK("http://141.218.60.56/~jnz1568/getInfo.php?workbook=08_01.xlsx&amp;sheet=A0&amp;row=87&amp;col=10&amp;number=0&amp;sourceID=11","0")</f>
        <v>0</v>
      </c>
      <c r="K87" s="4" t="str">
        <f>HYPERLINK("http://141.218.60.56/~jnz1568/getInfo.php?workbook=08_01.xlsx&amp;sheet=A0&amp;row=87&amp;col=11&amp;number=&amp;sourceID=11","")</f>
        <v/>
      </c>
      <c r="L87" s="4" t="str">
        <f>HYPERLINK("http://141.218.60.56/~jnz1568/getInfo.php?workbook=08_01.xlsx&amp;sheet=A0&amp;row=87&amp;col=12&amp;number=0&amp;sourceID=11","0")</f>
        <v>0</v>
      </c>
      <c r="M87" s="4" t="str">
        <f>HYPERLINK("http://141.218.60.56/~jnz1568/getInfo.php?workbook=08_01.xlsx&amp;sheet=A0&amp;row=87&amp;col=13&amp;number=&amp;sourceID=11","")</f>
        <v/>
      </c>
      <c r="N87" s="4" t="str">
        <f>HYPERLINK("http://141.218.60.56/~jnz1568/getInfo.php?workbook=08_01.xlsx&amp;sheet=A0&amp;row=87&amp;col=14&amp;number=0&amp;sourceID=12","0")</f>
        <v>0</v>
      </c>
      <c r="O87" s="4" t="str">
        <f>HYPERLINK("http://141.218.60.56/~jnz1568/getInfo.php?workbook=08_01.xlsx&amp;sheet=A0&amp;row=87&amp;col=15&amp;number=&amp;sourceID=12","")</f>
        <v/>
      </c>
      <c r="P87" s="4" t="str">
        <f>HYPERLINK("http://141.218.60.56/~jnz1568/getInfo.php?workbook=08_01.xlsx&amp;sheet=A0&amp;row=87&amp;col=16&amp;number=&amp;sourceID=12","")</f>
        <v/>
      </c>
      <c r="Q87" s="4" t="str">
        <f>HYPERLINK("http://141.218.60.56/~jnz1568/getInfo.php?workbook=08_01.xlsx&amp;sheet=A0&amp;row=87&amp;col=17&amp;number=0&amp;sourceID=12","0")</f>
        <v>0</v>
      </c>
      <c r="R87" s="4" t="str">
        <f>HYPERLINK("http://141.218.60.56/~jnz1568/getInfo.php?workbook=08_01.xlsx&amp;sheet=A0&amp;row=87&amp;col=18&amp;number=&amp;sourceID=12","")</f>
        <v/>
      </c>
      <c r="S87" s="4" t="str">
        <f>HYPERLINK("http://141.218.60.56/~jnz1568/getInfo.php?workbook=08_01.xlsx&amp;sheet=A0&amp;row=87&amp;col=19&amp;number=0&amp;sourceID=12","0")</f>
        <v>0</v>
      </c>
      <c r="T87" s="4" t="str">
        <f>HYPERLINK("http://141.218.60.56/~jnz1568/getInfo.php?workbook=08_01.xlsx&amp;sheet=A0&amp;row=87&amp;col=20&amp;number=&amp;sourceID=12","")</f>
        <v/>
      </c>
      <c r="U87" s="4" t="str">
        <f>HYPERLINK("http://141.218.60.56/~jnz1568/getInfo.php?workbook=08_01.xlsx&amp;sheet=A0&amp;row=87&amp;col=21&amp;number=0&amp;sourceID=30","0")</f>
        <v>0</v>
      </c>
      <c r="V87" s="4" t="str">
        <f>HYPERLINK("http://141.218.60.56/~jnz1568/getInfo.php?workbook=08_01.xlsx&amp;sheet=A0&amp;row=87&amp;col=22&amp;number=&amp;sourceID=30","")</f>
        <v/>
      </c>
      <c r="W87" s="4" t="str">
        <f>HYPERLINK("http://141.218.60.56/~jnz1568/getInfo.php?workbook=08_01.xlsx&amp;sheet=A0&amp;row=87&amp;col=23&amp;number=&amp;sourceID=30","")</f>
        <v/>
      </c>
      <c r="X87" s="4" t="str">
        <f>HYPERLINK("http://141.218.60.56/~jnz1568/getInfo.php?workbook=08_01.xlsx&amp;sheet=A0&amp;row=87&amp;col=24&amp;number=&amp;sourceID=30","")</f>
        <v/>
      </c>
      <c r="Y87" s="4" t="str">
        <f>HYPERLINK("http://141.218.60.56/~jnz1568/getInfo.php?workbook=08_01.xlsx&amp;sheet=A0&amp;row=87&amp;col=25&amp;number=0&amp;sourceID=30","0")</f>
        <v>0</v>
      </c>
      <c r="Z87" s="4" t="str">
        <f>HYPERLINK("http://141.218.60.56/~jnz1568/getInfo.php?workbook=08_01.xlsx&amp;sheet=A0&amp;row=87&amp;col=26&amp;number=&amp;sourceID=13","")</f>
        <v/>
      </c>
      <c r="AA87" s="4" t="str">
        <f>HYPERLINK("http://141.218.60.56/~jnz1568/getInfo.php?workbook=08_01.xlsx&amp;sheet=A0&amp;row=87&amp;col=27&amp;number=&amp;sourceID=13","")</f>
        <v/>
      </c>
      <c r="AB87" s="4" t="str">
        <f>HYPERLINK("http://141.218.60.56/~jnz1568/getInfo.php?workbook=08_01.xlsx&amp;sheet=A0&amp;row=87&amp;col=28&amp;number=&amp;sourceID=13","")</f>
        <v/>
      </c>
      <c r="AC87" s="4" t="str">
        <f>HYPERLINK("http://141.218.60.56/~jnz1568/getInfo.php?workbook=08_01.xlsx&amp;sheet=A0&amp;row=87&amp;col=29&amp;number=&amp;sourceID=13","")</f>
        <v/>
      </c>
      <c r="AD87" s="4" t="str">
        <f>HYPERLINK("http://141.218.60.56/~jnz1568/getInfo.php?workbook=08_01.xlsx&amp;sheet=A0&amp;row=87&amp;col=30&amp;number=&amp;sourceID=13","")</f>
        <v/>
      </c>
      <c r="AE87" s="4" t="str">
        <f>HYPERLINK("http://141.218.60.56/~jnz1568/getInfo.php?workbook=08_01.xlsx&amp;sheet=A0&amp;row=87&amp;col=31&amp;number=&amp;sourceID=13","")</f>
        <v/>
      </c>
      <c r="AF87" s="4" t="str">
        <f>HYPERLINK("http://141.218.60.56/~jnz1568/getInfo.php?workbook=08_01.xlsx&amp;sheet=A0&amp;row=87&amp;col=32&amp;number=&amp;sourceID=20","")</f>
        <v/>
      </c>
    </row>
    <row r="88" spans="1:32">
      <c r="A88" s="3">
        <v>8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HYPERLINK("http://141.218.60.56/~jnz1568/getInfo.php?workbook=08_01.xlsx&amp;sheet=A0&amp;row=88&amp;col=6&amp;number=&amp;sourceID=18","")</f>
        <v/>
      </c>
      <c r="G88" s="4" t="str">
        <f>HYPERLINK("http://141.218.60.56/~jnz1568/getInfo.php?workbook=08_01.xlsx&amp;sheet=A0&amp;row=88&amp;col=7&amp;number==&amp;sourceID=11","=")</f>
        <v>=</v>
      </c>
      <c r="H88" s="4" t="str">
        <f>HYPERLINK("http://141.218.60.56/~jnz1568/getInfo.php?workbook=08_01.xlsx&amp;sheet=A0&amp;row=88&amp;col=8&amp;number=0.77419&amp;sourceID=11","0.77419")</f>
        <v>0.77419</v>
      </c>
      <c r="I88" s="4" t="str">
        <f>HYPERLINK("http://141.218.60.56/~jnz1568/getInfo.php?workbook=08_01.xlsx&amp;sheet=A0&amp;row=88&amp;col=9&amp;number=&amp;sourceID=11","")</f>
        <v/>
      </c>
      <c r="J88" s="4" t="str">
        <f>HYPERLINK("http://141.218.60.56/~jnz1568/getInfo.php?workbook=08_01.xlsx&amp;sheet=A0&amp;row=88&amp;col=10&amp;number=0&amp;sourceID=11","0")</f>
        <v>0</v>
      </c>
      <c r="K88" s="4" t="str">
        <f>HYPERLINK("http://141.218.60.56/~jnz1568/getInfo.php?workbook=08_01.xlsx&amp;sheet=A0&amp;row=88&amp;col=11&amp;number=&amp;sourceID=11","")</f>
        <v/>
      </c>
      <c r="L88" s="4" t="str">
        <f>HYPERLINK("http://141.218.60.56/~jnz1568/getInfo.php?workbook=08_01.xlsx&amp;sheet=A0&amp;row=88&amp;col=12&amp;number=0&amp;sourceID=11","0")</f>
        <v>0</v>
      </c>
      <c r="M88" s="4" t="str">
        <f>HYPERLINK("http://141.218.60.56/~jnz1568/getInfo.php?workbook=08_01.xlsx&amp;sheet=A0&amp;row=88&amp;col=13&amp;number=&amp;sourceID=11","")</f>
        <v/>
      </c>
      <c r="N88" s="4" t="str">
        <f>HYPERLINK("http://141.218.60.56/~jnz1568/getInfo.php?workbook=08_01.xlsx&amp;sheet=A0&amp;row=88&amp;col=14&amp;number=0.77424&amp;sourceID=12","0.77424")</f>
        <v>0.77424</v>
      </c>
      <c r="O88" s="4" t="str">
        <f>HYPERLINK("http://141.218.60.56/~jnz1568/getInfo.php?workbook=08_01.xlsx&amp;sheet=A0&amp;row=88&amp;col=15&amp;number=0.77424&amp;sourceID=12","0.77424")</f>
        <v>0.77424</v>
      </c>
      <c r="P88" s="4" t="str">
        <f>HYPERLINK("http://141.218.60.56/~jnz1568/getInfo.php?workbook=08_01.xlsx&amp;sheet=A0&amp;row=88&amp;col=16&amp;number=&amp;sourceID=12","")</f>
        <v/>
      </c>
      <c r="Q88" s="4" t="str">
        <f>HYPERLINK("http://141.218.60.56/~jnz1568/getInfo.php?workbook=08_01.xlsx&amp;sheet=A0&amp;row=88&amp;col=17&amp;number=0&amp;sourceID=12","0")</f>
        <v>0</v>
      </c>
      <c r="R88" s="4" t="str">
        <f>HYPERLINK("http://141.218.60.56/~jnz1568/getInfo.php?workbook=08_01.xlsx&amp;sheet=A0&amp;row=88&amp;col=18&amp;number=&amp;sourceID=12","")</f>
        <v/>
      </c>
      <c r="S88" s="4" t="str">
        <f>HYPERLINK("http://141.218.60.56/~jnz1568/getInfo.php?workbook=08_01.xlsx&amp;sheet=A0&amp;row=88&amp;col=19&amp;number=0&amp;sourceID=12","0")</f>
        <v>0</v>
      </c>
      <c r="T88" s="4" t="str">
        <f>HYPERLINK("http://141.218.60.56/~jnz1568/getInfo.php?workbook=08_01.xlsx&amp;sheet=A0&amp;row=88&amp;col=20&amp;number=&amp;sourceID=12","")</f>
        <v/>
      </c>
      <c r="U88" s="4" t="str">
        <f>HYPERLINK("http://141.218.60.56/~jnz1568/getInfo.php?workbook=08_01.xlsx&amp;sheet=A0&amp;row=88&amp;col=21&amp;number=0.7742&amp;sourceID=30","0.7742")</f>
        <v>0.7742</v>
      </c>
      <c r="V88" s="4" t="str">
        <f>HYPERLINK("http://141.218.60.56/~jnz1568/getInfo.php?workbook=08_01.xlsx&amp;sheet=A0&amp;row=88&amp;col=22&amp;number=0.7742&amp;sourceID=30","0.7742")</f>
        <v>0.7742</v>
      </c>
      <c r="W88" s="4" t="str">
        <f>HYPERLINK("http://141.218.60.56/~jnz1568/getInfo.php?workbook=08_01.xlsx&amp;sheet=A0&amp;row=88&amp;col=23&amp;number=&amp;sourceID=30","")</f>
        <v/>
      </c>
      <c r="X88" s="4" t="str">
        <f>HYPERLINK("http://141.218.60.56/~jnz1568/getInfo.php?workbook=08_01.xlsx&amp;sheet=A0&amp;row=88&amp;col=24&amp;number=&amp;sourceID=30","")</f>
        <v/>
      </c>
      <c r="Y88" s="4" t="str">
        <f>HYPERLINK("http://141.218.60.56/~jnz1568/getInfo.php?workbook=08_01.xlsx&amp;sheet=A0&amp;row=88&amp;col=25&amp;number=0&amp;sourceID=30","0")</f>
        <v>0</v>
      </c>
      <c r="Z88" s="4" t="str">
        <f>HYPERLINK("http://141.218.60.56/~jnz1568/getInfo.php?workbook=08_01.xlsx&amp;sheet=A0&amp;row=88&amp;col=26&amp;number=&amp;sourceID=13","")</f>
        <v/>
      </c>
      <c r="AA88" s="4" t="str">
        <f>HYPERLINK("http://141.218.60.56/~jnz1568/getInfo.php?workbook=08_01.xlsx&amp;sheet=A0&amp;row=88&amp;col=27&amp;number=&amp;sourceID=13","")</f>
        <v/>
      </c>
      <c r="AB88" s="4" t="str">
        <f>HYPERLINK("http://141.218.60.56/~jnz1568/getInfo.php?workbook=08_01.xlsx&amp;sheet=A0&amp;row=88&amp;col=28&amp;number=&amp;sourceID=13","")</f>
        <v/>
      </c>
      <c r="AC88" s="4" t="str">
        <f>HYPERLINK("http://141.218.60.56/~jnz1568/getInfo.php?workbook=08_01.xlsx&amp;sheet=A0&amp;row=88&amp;col=29&amp;number=&amp;sourceID=13","")</f>
        <v/>
      </c>
      <c r="AD88" s="4" t="str">
        <f>HYPERLINK("http://141.218.60.56/~jnz1568/getInfo.php?workbook=08_01.xlsx&amp;sheet=A0&amp;row=88&amp;col=30&amp;number=&amp;sourceID=13","")</f>
        <v/>
      </c>
      <c r="AE88" s="4" t="str">
        <f>HYPERLINK("http://141.218.60.56/~jnz1568/getInfo.php?workbook=08_01.xlsx&amp;sheet=A0&amp;row=88&amp;col=31&amp;number=&amp;sourceID=13","")</f>
        <v/>
      </c>
      <c r="AF88" s="4" t="str">
        <f>HYPERLINK("http://141.218.60.56/~jnz1568/getInfo.php?workbook=08_01.xlsx&amp;sheet=A0&amp;row=88&amp;col=32&amp;number=&amp;sourceID=20","")</f>
        <v/>
      </c>
    </row>
    <row r="89" spans="1:32">
      <c r="A89" s="3">
        <v>8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HYPERLINK("http://141.218.60.56/~jnz1568/getInfo.php?workbook=08_01.xlsx&amp;sheet=A0&amp;row=89&amp;col=6&amp;number=&amp;sourceID=18","")</f>
        <v/>
      </c>
      <c r="G89" s="4" t="str">
        <f>HYPERLINK("http://141.218.60.56/~jnz1568/getInfo.php?workbook=08_01.xlsx&amp;sheet=A0&amp;row=89&amp;col=7&amp;number==&amp;sourceID=11","=")</f>
        <v>=</v>
      </c>
      <c r="H89" s="4" t="str">
        <f>HYPERLINK("http://141.218.60.56/~jnz1568/getInfo.php?workbook=08_01.xlsx&amp;sheet=A0&amp;row=89&amp;col=8&amp;number=&amp;sourceID=11","")</f>
        <v/>
      </c>
      <c r="I89" s="4" t="str">
        <f>HYPERLINK("http://141.218.60.56/~jnz1568/getInfo.php?workbook=08_01.xlsx&amp;sheet=A0&amp;row=89&amp;col=9&amp;number=1.98e-13&amp;sourceID=11","1.98e-13")</f>
        <v>1.98e-13</v>
      </c>
      <c r="J89" s="4" t="str">
        <f>HYPERLINK("http://141.218.60.56/~jnz1568/getInfo.php?workbook=08_01.xlsx&amp;sheet=A0&amp;row=89&amp;col=10&amp;number=&amp;sourceID=11","")</f>
        <v/>
      </c>
      <c r="K89" s="4" t="str">
        <f>HYPERLINK("http://141.218.60.56/~jnz1568/getInfo.php?workbook=08_01.xlsx&amp;sheet=A0&amp;row=89&amp;col=11&amp;number=0&amp;sourceID=11","0")</f>
        <v>0</v>
      </c>
      <c r="L89" s="4" t="str">
        <f>HYPERLINK("http://141.218.60.56/~jnz1568/getInfo.php?workbook=08_01.xlsx&amp;sheet=A0&amp;row=89&amp;col=12&amp;number=&amp;sourceID=11","")</f>
        <v/>
      </c>
      <c r="M89" s="4" t="str">
        <f>HYPERLINK("http://141.218.60.56/~jnz1568/getInfo.php?workbook=08_01.xlsx&amp;sheet=A0&amp;row=89&amp;col=13&amp;number=0&amp;sourceID=11","0")</f>
        <v>0</v>
      </c>
      <c r="N89" s="4" t="str">
        <f>HYPERLINK("http://141.218.60.56/~jnz1568/getInfo.php?workbook=08_01.xlsx&amp;sheet=A0&amp;row=89&amp;col=14&amp;number=1.98e-13&amp;sourceID=12","1.98e-13")</f>
        <v>1.98e-13</v>
      </c>
      <c r="O89" s="4" t="str">
        <f>HYPERLINK("http://141.218.60.56/~jnz1568/getInfo.php?workbook=08_01.xlsx&amp;sheet=A0&amp;row=89&amp;col=15&amp;number=&amp;sourceID=12","")</f>
        <v/>
      </c>
      <c r="P89" s="4" t="str">
        <f>HYPERLINK("http://141.218.60.56/~jnz1568/getInfo.php?workbook=08_01.xlsx&amp;sheet=A0&amp;row=89&amp;col=16&amp;number=1.98e-13&amp;sourceID=12","1.98e-13")</f>
        <v>1.98e-13</v>
      </c>
      <c r="Q89" s="4" t="str">
        <f>HYPERLINK("http://141.218.60.56/~jnz1568/getInfo.php?workbook=08_01.xlsx&amp;sheet=A0&amp;row=89&amp;col=17&amp;number=&amp;sourceID=12","")</f>
        <v/>
      </c>
      <c r="R89" s="4" t="str">
        <f>HYPERLINK("http://141.218.60.56/~jnz1568/getInfo.php?workbook=08_01.xlsx&amp;sheet=A0&amp;row=89&amp;col=18&amp;number=0&amp;sourceID=12","0")</f>
        <v>0</v>
      </c>
      <c r="S89" s="4" t="str">
        <f>HYPERLINK("http://141.218.60.56/~jnz1568/getInfo.php?workbook=08_01.xlsx&amp;sheet=A0&amp;row=89&amp;col=19&amp;number=&amp;sourceID=12","")</f>
        <v/>
      </c>
      <c r="T89" s="4" t="str">
        <f>HYPERLINK("http://141.218.60.56/~jnz1568/getInfo.php?workbook=08_01.xlsx&amp;sheet=A0&amp;row=89&amp;col=20&amp;number=0&amp;sourceID=12","0")</f>
        <v>0</v>
      </c>
      <c r="U89" s="4" t="str">
        <f>HYPERLINK("http://141.218.60.56/~jnz1568/getInfo.php?workbook=08_01.xlsx&amp;sheet=A0&amp;row=89&amp;col=21&amp;number=1.98e-13&amp;sourceID=30","1.98e-13")</f>
        <v>1.98e-13</v>
      </c>
      <c r="V89" s="4" t="str">
        <f>HYPERLINK("http://141.218.60.56/~jnz1568/getInfo.php?workbook=08_01.xlsx&amp;sheet=A0&amp;row=89&amp;col=22&amp;number=&amp;sourceID=30","")</f>
        <v/>
      </c>
      <c r="W89" s="4" t="str">
        <f>HYPERLINK("http://141.218.60.56/~jnz1568/getInfo.php?workbook=08_01.xlsx&amp;sheet=A0&amp;row=89&amp;col=23&amp;number=1.98e-13&amp;sourceID=30","1.98e-13")</f>
        <v>1.98e-13</v>
      </c>
      <c r="X89" s="4" t="str">
        <f>HYPERLINK("http://141.218.60.56/~jnz1568/getInfo.php?workbook=08_01.xlsx&amp;sheet=A0&amp;row=89&amp;col=24&amp;number=0&amp;sourceID=30","0")</f>
        <v>0</v>
      </c>
      <c r="Y89" s="4" t="str">
        <f>HYPERLINK("http://141.218.60.56/~jnz1568/getInfo.php?workbook=08_01.xlsx&amp;sheet=A0&amp;row=89&amp;col=25&amp;number=&amp;sourceID=30","")</f>
        <v/>
      </c>
      <c r="Z89" s="4" t="str">
        <f>HYPERLINK("http://141.218.60.56/~jnz1568/getInfo.php?workbook=08_01.xlsx&amp;sheet=A0&amp;row=89&amp;col=26&amp;number=&amp;sourceID=13","")</f>
        <v/>
      </c>
      <c r="AA89" s="4" t="str">
        <f>HYPERLINK("http://141.218.60.56/~jnz1568/getInfo.php?workbook=08_01.xlsx&amp;sheet=A0&amp;row=89&amp;col=27&amp;number=&amp;sourceID=13","")</f>
        <v/>
      </c>
      <c r="AB89" s="4" t="str">
        <f>HYPERLINK("http://141.218.60.56/~jnz1568/getInfo.php?workbook=08_01.xlsx&amp;sheet=A0&amp;row=89&amp;col=28&amp;number=&amp;sourceID=13","")</f>
        <v/>
      </c>
      <c r="AC89" s="4" t="str">
        <f>HYPERLINK("http://141.218.60.56/~jnz1568/getInfo.php?workbook=08_01.xlsx&amp;sheet=A0&amp;row=89&amp;col=29&amp;number=&amp;sourceID=13","")</f>
        <v/>
      </c>
      <c r="AD89" s="4" t="str">
        <f>HYPERLINK("http://141.218.60.56/~jnz1568/getInfo.php?workbook=08_01.xlsx&amp;sheet=A0&amp;row=89&amp;col=30&amp;number=&amp;sourceID=13","")</f>
        <v/>
      </c>
      <c r="AE89" s="4" t="str">
        <f>HYPERLINK("http://141.218.60.56/~jnz1568/getInfo.php?workbook=08_01.xlsx&amp;sheet=A0&amp;row=89&amp;col=31&amp;number=&amp;sourceID=13","")</f>
        <v/>
      </c>
      <c r="AF89" s="4" t="str">
        <f>HYPERLINK("http://141.218.60.56/~jnz1568/getInfo.php?workbook=08_01.xlsx&amp;sheet=A0&amp;row=89&amp;col=32&amp;number=&amp;sourceID=20","")</f>
        <v/>
      </c>
    </row>
    <row r="90" spans="1:32">
      <c r="A90" s="3">
        <v>8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HYPERLINK("http://141.218.60.56/~jnz1568/getInfo.php?workbook=08_01.xlsx&amp;sheet=A0&amp;row=90&amp;col=6&amp;number=&amp;sourceID=18","")</f>
        <v/>
      </c>
      <c r="G90" s="4" t="str">
        <f>HYPERLINK("http://141.218.60.56/~jnz1568/getInfo.php?workbook=08_01.xlsx&amp;sheet=A0&amp;row=90&amp;col=7&amp;number==&amp;sourceID=11","=")</f>
        <v>=</v>
      </c>
      <c r="H90" s="4" t="str">
        <f>HYPERLINK("http://141.218.60.56/~jnz1568/getInfo.php?workbook=08_01.xlsx&amp;sheet=A0&amp;row=90&amp;col=8&amp;number=&amp;sourceID=11","")</f>
        <v/>
      </c>
      <c r="I90" s="4" t="str">
        <f>HYPERLINK("http://141.218.60.56/~jnz1568/getInfo.php?workbook=08_01.xlsx&amp;sheet=A0&amp;row=90&amp;col=9&amp;number=85489000&amp;sourceID=11","85489000")</f>
        <v>85489000</v>
      </c>
      <c r="J90" s="4" t="str">
        <f>HYPERLINK("http://141.218.60.56/~jnz1568/getInfo.php?workbook=08_01.xlsx&amp;sheet=A0&amp;row=90&amp;col=10&amp;number=&amp;sourceID=11","")</f>
        <v/>
      </c>
      <c r="K90" s="4" t="str">
        <f>HYPERLINK("http://141.218.60.56/~jnz1568/getInfo.php?workbook=08_01.xlsx&amp;sheet=A0&amp;row=90&amp;col=11&amp;number=&amp;sourceID=11","")</f>
        <v/>
      </c>
      <c r="L90" s="4" t="str">
        <f>HYPERLINK("http://141.218.60.56/~jnz1568/getInfo.php?workbook=08_01.xlsx&amp;sheet=A0&amp;row=90&amp;col=12&amp;number=&amp;sourceID=11","")</f>
        <v/>
      </c>
      <c r="M90" s="4" t="str">
        <f>HYPERLINK("http://141.218.60.56/~jnz1568/getInfo.php?workbook=08_01.xlsx&amp;sheet=A0&amp;row=90&amp;col=13&amp;number=48.585&amp;sourceID=11","48.585")</f>
        <v>48.585</v>
      </c>
      <c r="N90" s="4" t="str">
        <f>HYPERLINK("http://141.218.60.56/~jnz1568/getInfo.php?workbook=08_01.xlsx&amp;sheet=A0&amp;row=90&amp;col=14&amp;number=85492000&amp;sourceID=12","85492000")</f>
        <v>85492000</v>
      </c>
      <c r="O90" s="4" t="str">
        <f>HYPERLINK("http://141.218.60.56/~jnz1568/getInfo.php?workbook=08_01.xlsx&amp;sheet=A0&amp;row=90&amp;col=15&amp;number=&amp;sourceID=12","")</f>
        <v/>
      </c>
      <c r="P90" s="4" t="str">
        <f>HYPERLINK("http://141.218.60.56/~jnz1568/getInfo.php?workbook=08_01.xlsx&amp;sheet=A0&amp;row=90&amp;col=16&amp;number=85492000&amp;sourceID=12","85492000")</f>
        <v>85492000</v>
      </c>
      <c r="Q90" s="4" t="str">
        <f>HYPERLINK("http://141.218.60.56/~jnz1568/getInfo.php?workbook=08_01.xlsx&amp;sheet=A0&amp;row=90&amp;col=17&amp;number=&amp;sourceID=12","")</f>
        <v/>
      </c>
      <c r="R90" s="4" t="str">
        <f>HYPERLINK("http://141.218.60.56/~jnz1568/getInfo.php?workbook=08_01.xlsx&amp;sheet=A0&amp;row=90&amp;col=18&amp;number=&amp;sourceID=12","")</f>
        <v/>
      </c>
      <c r="S90" s="4" t="str">
        <f>HYPERLINK("http://141.218.60.56/~jnz1568/getInfo.php?workbook=08_01.xlsx&amp;sheet=A0&amp;row=90&amp;col=19&amp;number=&amp;sourceID=12","")</f>
        <v/>
      </c>
      <c r="T90" s="4" t="str">
        <f>HYPERLINK("http://141.218.60.56/~jnz1568/getInfo.php?workbook=08_01.xlsx&amp;sheet=A0&amp;row=90&amp;col=20&amp;number=48.587&amp;sourceID=12","48.587")</f>
        <v>48.587</v>
      </c>
      <c r="U90" s="4" t="str">
        <f>HYPERLINK("http://141.218.60.56/~jnz1568/getInfo.php?workbook=08_01.xlsx&amp;sheet=A0&amp;row=90&amp;col=21&amp;number=85490000&amp;sourceID=30","85490000")</f>
        <v>85490000</v>
      </c>
      <c r="V90" s="4" t="str">
        <f>HYPERLINK("http://141.218.60.56/~jnz1568/getInfo.php?workbook=08_01.xlsx&amp;sheet=A0&amp;row=90&amp;col=22&amp;number=&amp;sourceID=30","")</f>
        <v/>
      </c>
      <c r="W90" s="4" t="str">
        <f>HYPERLINK("http://141.218.60.56/~jnz1568/getInfo.php?workbook=08_01.xlsx&amp;sheet=A0&amp;row=90&amp;col=23&amp;number=85490000&amp;sourceID=30","85490000")</f>
        <v>85490000</v>
      </c>
      <c r="X90" s="4" t="str">
        <f>HYPERLINK("http://141.218.60.56/~jnz1568/getInfo.php?workbook=08_01.xlsx&amp;sheet=A0&amp;row=90&amp;col=24&amp;number=&amp;sourceID=30","")</f>
        <v/>
      </c>
      <c r="Y90" s="4" t="str">
        <f>HYPERLINK("http://141.218.60.56/~jnz1568/getInfo.php?workbook=08_01.xlsx&amp;sheet=A0&amp;row=90&amp;col=25&amp;number=&amp;sourceID=30","")</f>
        <v/>
      </c>
      <c r="Z90" s="4" t="str">
        <f>HYPERLINK("http://141.218.60.56/~jnz1568/getInfo.php?workbook=08_01.xlsx&amp;sheet=A0&amp;row=90&amp;col=26&amp;number==SUM(AA90:AE90)&amp;sourceID=13","=SUM(AA90:AE90)")</f>
        <v>=SUM(AA90:AE90)</v>
      </c>
      <c r="AA90" s="4" t="str">
        <f>HYPERLINK("http://141.218.60.56/~jnz1568/getInfo.php?workbook=08_01.xlsx&amp;sheet=A0&amp;row=90&amp;col=27&amp;number=&amp;sourceID=13","")</f>
        <v/>
      </c>
      <c r="AB90" s="4" t="str">
        <f>HYPERLINK("http://141.218.60.56/~jnz1568/getInfo.php?workbook=08_01.xlsx&amp;sheet=A0&amp;row=90&amp;col=28&amp;number=92300000&amp;sourceID=13","92300000")</f>
        <v>92300000</v>
      </c>
      <c r="AC90" s="4" t="str">
        <f>HYPERLINK("http://141.218.60.56/~jnz1568/getInfo.php?workbook=08_01.xlsx&amp;sheet=A0&amp;row=90&amp;col=29&amp;number=&amp;sourceID=13","")</f>
        <v/>
      </c>
      <c r="AD90" s="4" t="str">
        <f>HYPERLINK("http://141.218.60.56/~jnz1568/getInfo.php?workbook=08_01.xlsx&amp;sheet=A0&amp;row=90&amp;col=30&amp;number=&amp;sourceID=13","")</f>
        <v/>
      </c>
      <c r="AE90" s="4" t="str">
        <f>HYPERLINK("http://141.218.60.56/~jnz1568/getInfo.php?workbook=08_01.xlsx&amp;sheet=A0&amp;row=90&amp;col=31&amp;number=&amp;sourceID=13","")</f>
        <v/>
      </c>
      <c r="AF90" s="4" t="str">
        <f>HYPERLINK("http://141.218.60.56/~jnz1568/getInfo.php?workbook=08_01.xlsx&amp;sheet=A0&amp;row=90&amp;col=32&amp;number=&amp;sourceID=20","")</f>
        <v/>
      </c>
    </row>
    <row r="91" spans="1:32">
      <c r="A91" s="3">
        <v>8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HYPERLINK("http://141.218.60.56/~jnz1568/getInfo.php?workbook=08_01.xlsx&amp;sheet=A0&amp;row=91&amp;col=6&amp;number=&amp;sourceID=18","")</f>
        <v/>
      </c>
      <c r="G91" s="4" t="str">
        <f>HYPERLINK("http://141.218.60.56/~jnz1568/getInfo.php?workbook=08_01.xlsx&amp;sheet=A0&amp;row=91&amp;col=7&amp;number==&amp;sourceID=11","=")</f>
        <v>=</v>
      </c>
      <c r="H91" s="4" t="str">
        <f>HYPERLINK("http://141.218.60.56/~jnz1568/getInfo.php?workbook=08_01.xlsx&amp;sheet=A0&amp;row=91&amp;col=8&amp;number=&amp;sourceID=11","")</f>
        <v/>
      </c>
      <c r="I91" s="4" t="str">
        <f>HYPERLINK("http://141.218.60.56/~jnz1568/getInfo.php?workbook=08_01.xlsx&amp;sheet=A0&amp;row=91&amp;col=9&amp;number=&amp;sourceID=11","")</f>
        <v/>
      </c>
      <c r="J91" s="4" t="str">
        <f>HYPERLINK("http://141.218.60.56/~jnz1568/getInfo.php?workbook=08_01.xlsx&amp;sheet=A0&amp;row=91&amp;col=10&amp;number=0.0012124&amp;sourceID=11","0.0012124")</f>
        <v>0.0012124</v>
      </c>
      <c r="K91" s="4" t="str">
        <f>HYPERLINK("http://141.218.60.56/~jnz1568/getInfo.php?workbook=08_01.xlsx&amp;sheet=A0&amp;row=91&amp;col=11&amp;number=&amp;sourceID=11","")</f>
        <v/>
      </c>
      <c r="L91" s="4" t="str">
        <f>HYPERLINK("http://141.218.60.56/~jnz1568/getInfo.php?workbook=08_01.xlsx&amp;sheet=A0&amp;row=91&amp;col=12&amp;number=385.47&amp;sourceID=11","385.47")</f>
        <v>385.47</v>
      </c>
      <c r="M91" s="4" t="str">
        <f>HYPERLINK("http://141.218.60.56/~jnz1568/getInfo.php?workbook=08_01.xlsx&amp;sheet=A0&amp;row=91&amp;col=13&amp;number=&amp;sourceID=11","")</f>
        <v/>
      </c>
      <c r="N91" s="4" t="str">
        <f>HYPERLINK("http://141.218.60.56/~jnz1568/getInfo.php?workbook=08_01.xlsx&amp;sheet=A0&amp;row=91&amp;col=14&amp;number=385.48&amp;sourceID=12","385.48")</f>
        <v>385.48</v>
      </c>
      <c r="O91" s="4" t="str">
        <f>HYPERLINK("http://141.218.60.56/~jnz1568/getInfo.php?workbook=08_01.xlsx&amp;sheet=A0&amp;row=91&amp;col=15&amp;number=&amp;sourceID=12","")</f>
        <v/>
      </c>
      <c r="P91" s="4" t="str">
        <f>HYPERLINK("http://141.218.60.56/~jnz1568/getInfo.php?workbook=08_01.xlsx&amp;sheet=A0&amp;row=91&amp;col=16&amp;number=&amp;sourceID=12","")</f>
        <v/>
      </c>
      <c r="Q91" s="4" t="str">
        <f>HYPERLINK("http://141.218.60.56/~jnz1568/getInfo.php?workbook=08_01.xlsx&amp;sheet=A0&amp;row=91&amp;col=17&amp;number=0.0012125&amp;sourceID=12","0.0012125")</f>
        <v>0.0012125</v>
      </c>
      <c r="R91" s="4" t="str">
        <f>HYPERLINK("http://141.218.60.56/~jnz1568/getInfo.php?workbook=08_01.xlsx&amp;sheet=A0&amp;row=91&amp;col=18&amp;number=&amp;sourceID=12","")</f>
        <v/>
      </c>
      <c r="S91" s="4" t="str">
        <f>HYPERLINK("http://141.218.60.56/~jnz1568/getInfo.php?workbook=08_01.xlsx&amp;sheet=A0&amp;row=91&amp;col=19&amp;number=385.48&amp;sourceID=12","385.48")</f>
        <v>385.48</v>
      </c>
      <c r="T91" s="4" t="str">
        <f>HYPERLINK("http://141.218.60.56/~jnz1568/getInfo.php?workbook=08_01.xlsx&amp;sheet=A0&amp;row=91&amp;col=20&amp;number=&amp;sourceID=12","")</f>
        <v/>
      </c>
      <c r="U91" s="4" t="str">
        <f>HYPERLINK("http://141.218.60.56/~jnz1568/getInfo.php?workbook=08_01.xlsx&amp;sheet=A0&amp;row=91&amp;col=21&amp;number=385.5&amp;sourceID=30","385.5")</f>
        <v>385.5</v>
      </c>
      <c r="V91" s="4" t="str">
        <f>HYPERLINK("http://141.218.60.56/~jnz1568/getInfo.php?workbook=08_01.xlsx&amp;sheet=A0&amp;row=91&amp;col=22&amp;number=&amp;sourceID=30","")</f>
        <v/>
      </c>
      <c r="W91" s="4" t="str">
        <f>HYPERLINK("http://141.218.60.56/~jnz1568/getInfo.php?workbook=08_01.xlsx&amp;sheet=A0&amp;row=91&amp;col=23&amp;number=&amp;sourceID=30","")</f>
        <v/>
      </c>
      <c r="X91" s="4" t="str">
        <f>HYPERLINK("http://141.218.60.56/~jnz1568/getInfo.php?workbook=08_01.xlsx&amp;sheet=A0&amp;row=91&amp;col=24&amp;number=&amp;sourceID=30","")</f>
        <v/>
      </c>
      <c r="Y91" s="4" t="str">
        <f>HYPERLINK("http://141.218.60.56/~jnz1568/getInfo.php?workbook=08_01.xlsx&amp;sheet=A0&amp;row=91&amp;col=25&amp;number=385.5&amp;sourceID=30","385.5")</f>
        <v>385.5</v>
      </c>
      <c r="Z91" s="4" t="str">
        <f>HYPERLINK("http://141.218.60.56/~jnz1568/getInfo.php?workbook=08_01.xlsx&amp;sheet=A0&amp;row=91&amp;col=26&amp;number==&amp;sourceID=13","=")</f>
        <v>=</v>
      </c>
      <c r="AA91" s="4" t="str">
        <f>HYPERLINK("http://141.218.60.56/~jnz1568/getInfo.php?workbook=08_01.xlsx&amp;sheet=A0&amp;row=91&amp;col=27&amp;number=&amp;sourceID=13","")</f>
        <v/>
      </c>
      <c r="AB91" s="4" t="str">
        <f>HYPERLINK("http://141.218.60.56/~jnz1568/getInfo.php?workbook=08_01.xlsx&amp;sheet=A0&amp;row=91&amp;col=28&amp;number=&amp;sourceID=13","")</f>
        <v/>
      </c>
      <c r="AC91" s="4" t="str">
        <f>HYPERLINK("http://141.218.60.56/~jnz1568/getInfo.php?workbook=08_01.xlsx&amp;sheet=A0&amp;row=91&amp;col=29&amp;number=0.279&amp;sourceID=13","0.279")</f>
        <v>0.279</v>
      </c>
      <c r="AD91" s="4" t="str">
        <f>HYPERLINK("http://141.218.60.56/~jnz1568/getInfo.php?workbook=08_01.xlsx&amp;sheet=A0&amp;row=91&amp;col=30&amp;number=&amp;sourceID=13","")</f>
        <v/>
      </c>
      <c r="AE91" s="4" t="str">
        <f>HYPERLINK("http://141.218.60.56/~jnz1568/getInfo.php?workbook=08_01.xlsx&amp;sheet=A0&amp;row=91&amp;col=31&amp;number=1540&amp;sourceID=13","1540")</f>
        <v>1540</v>
      </c>
      <c r="AF91" s="4" t="str">
        <f>HYPERLINK("http://141.218.60.56/~jnz1568/getInfo.php?workbook=08_01.xlsx&amp;sheet=A0&amp;row=91&amp;col=32&amp;number=&amp;sourceID=20","")</f>
        <v/>
      </c>
    </row>
    <row r="92" spans="1:32">
      <c r="A92" s="3">
        <v>8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HYPERLINK("http://141.218.60.56/~jnz1568/getInfo.php?workbook=08_01.xlsx&amp;sheet=A0&amp;row=92&amp;col=6&amp;number=&amp;sourceID=18","")</f>
        <v/>
      </c>
      <c r="G92" s="4" t="str">
        <f>HYPERLINK("http://141.218.60.56/~jnz1568/getInfo.php?workbook=08_01.xlsx&amp;sheet=A0&amp;row=92&amp;col=7&amp;number==&amp;sourceID=11","=")</f>
        <v>=</v>
      </c>
      <c r="H92" s="4" t="str">
        <f>HYPERLINK("http://141.218.60.56/~jnz1568/getInfo.php?workbook=08_01.xlsx&amp;sheet=A0&amp;row=92&amp;col=8&amp;number=&amp;sourceID=11","")</f>
        <v/>
      </c>
      <c r="I92" s="4" t="str">
        <f>HYPERLINK("http://141.218.60.56/~jnz1568/getInfo.php?workbook=08_01.xlsx&amp;sheet=A0&amp;row=92&amp;col=9&amp;number=1366300&amp;sourceID=11","1366300")</f>
        <v>1366300</v>
      </c>
      <c r="J92" s="4" t="str">
        <f>HYPERLINK("http://141.218.60.56/~jnz1568/getInfo.php?workbook=08_01.xlsx&amp;sheet=A0&amp;row=92&amp;col=10&amp;number=&amp;sourceID=11","")</f>
        <v/>
      </c>
      <c r="K92" s="4" t="str">
        <f>HYPERLINK("http://141.218.60.56/~jnz1568/getInfo.php?workbook=08_01.xlsx&amp;sheet=A0&amp;row=92&amp;col=11&amp;number=&amp;sourceID=11","")</f>
        <v/>
      </c>
      <c r="L92" s="4" t="str">
        <f>HYPERLINK("http://141.218.60.56/~jnz1568/getInfo.php?workbook=08_01.xlsx&amp;sheet=A0&amp;row=92&amp;col=12&amp;number=&amp;sourceID=11","")</f>
        <v/>
      </c>
      <c r="M92" s="4" t="str">
        <f>HYPERLINK("http://141.218.60.56/~jnz1568/getInfo.php?workbook=08_01.xlsx&amp;sheet=A0&amp;row=92&amp;col=13&amp;number=0.031064&amp;sourceID=11","0.031064")</f>
        <v>0.031064</v>
      </c>
      <c r="N92" s="4" t="str">
        <f>HYPERLINK("http://141.218.60.56/~jnz1568/getInfo.php?workbook=08_01.xlsx&amp;sheet=A0&amp;row=92&amp;col=14&amp;number=1366400&amp;sourceID=12","1366400")</f>
        <v>1366400</v>
      </c>
      <c r="O92" s="4" t="str">
        <f>HYPERLINK("http://141.218.60.56/~jnz1568/getInfo.php?workbook=08_01.xlsx&amp;sheet=A0&amp;row=92&amp;col=15&amp;number=&amp;sourceID=12","")</f>
        <v/>
      </c>
      <c r="P92" s="4" t="str">
        <f>HYPERLINK("http://141.218.60.56/~jnz1568/getInfo.php?workbook=08_01.xlsx&amp;sheet=A0&amp;row=92&amp;col=16&amp;number=1366400&amp;sourceID=12","1366400")</f>
        <v>1366400</v>
      </c>
      <c r="Q92" s="4" t="str">
        <f>HYPERLINK("http://141.218.60.56/~jnz1568/getInfo.php?workbook=08_01.xlsx&amp;sheet=A0&amp;row=92&amp;col=17&amp;number=&amp;sourceID=12","")</f>
        <v/>
      </c>
      <c r="R92" s="4" t="str">
        <f>HYPERLINK("http://141.218.60.56/~jnz1568/getInfo.php?workbook=08_01.xlsx&amp;sheet=A0&amp;row=92&amp;col=18&amp;number=&amp;sourceID=12","")</f>
        <v/>
      </c>
      <c r="S92" s="4" t="str">
        <f>HYPERLINK("http://141.218.60.56/~jnz1568/getInfo.php?workbook=08_01.xlsx&amp;sheet=A0&amp;row=92&amp;col=19&amp;number=&amp;sourceID=12","")</f>
        <v/>
      </c>
      <c r="T92" s="4" t="str">
        <f>HYPERLINK("http://141.218.60.56/~jnz1568/getInfo.php?workbook=08_01.xlsx&amp;sheet=A0&amp;row=92&amp;col=20&amp;number=0.031065&amp;sourceID=12","0.031065")</f>
        <v>0.031065</v>
      </c>
      <c r="U92" s="4" t="str">
        <f>HYPERLINK("http://141.218.60.56/~jnz1568/getInfo.php?workbook=08_01.xlsx&amp;sheet=A0&amp;row=92&amp;col=21&amp;number=1366000&amp;sourceID=30","1366000")</f>
        <v>1366000</v>
      </c>
      <c r="V92" s="4" t="str">
        <f>HYPERLINK("http://141.218.60.56/~jnz1568/getInfo.php?workbook=08_01.xlsx&amp;sheet=A0&amp;row=92&amp;col=22&amp;number=&amp;sourceID=30","")</f>
        <v/>
      </c>
      <c r="W92" s="4" t="str">
        <f>HYPERLINK("http://141.218.60.56/~jnz1568/getInfo.php?workbook=08_01.xlsx&amp;sheet=A0&amp;row=92&amp;col=23&amp;number=1366000&amp;sourceID=30","1366000")</f>
        <v>1366000</v>
      </c>
      <c r="X92" s="4" t="str">
        <f>HYPERLINK("http://141.218.60.56/~jnz1568/getInfo.php?workbook=08_01.xlsx&amp;sheet=A0&amp;row=92&amp;col=24&amp;number=&amp;sourceID=30","")</f>
        <v/>
      </c>
      <c r="Y92" s="4" t="str">
        <f>HYPERLINK("http://141.218.60.56/~jnz1568/getInfo.php?workbook=08_01.xlsx&amp;sheet=A0&amp;row=92&amp;col=25&amp;number=&amp;sourceID=30","")</f>
        <v/>
      </c>
      <c r="Z92" s="4" t="str">
        <f>HYPERLINK("http://141.218.60.56/~jnz1568/getInfo.php?workbook=08_01.xlsx&amp;sheet=A0&amp;row=92&amp;col=26&amp;number==&amp;sourceID=13","=")</f>
        <v>=</v>
      </c>
      <c r="AA92" s="4" t="str">
        <f>HYPERLINK("http://141.218.60.56/~jnz1568/getInfo.php?workbook=08_01.xlsx&amp;sheet=A0&amp;row=92&amp;col=27&amp;number=&amp;sourceID=13","")</f>
        <v/>
      </c>
      <c r="AB92" s="4" t="str">
        <f>HYPERLINK("http://141.218.60.56/~jnz1568/getInfo.php?workbook=08_01.xlsx&amp;sheet=A0&amp;row=92&amp;col=28&amp;number=1330000&amp;sourceID=13","1330000")</f>
        <v>1330000</v>
      </c>
      <c r="AC92" s="4" t="str">
        <f>HYPERLINK("http://141.218.60.56/~jnz1568/getInfo.php?workbook=08_01.xlsx&amp;sheet=A0&amp;row=92&amp;col=29&amp;number=&amp;sourceID=13","")</f>
        <v/>
      </c>
      <c r="AD92" s="4" t="str">
        <f>HYPERLINK("http://141.218.60.56/~jnz1568/getInfo.php?workbook=08_01.xlsx&amp;sheet=A0&amp;row=92&amp;col=30&amp;number=&amp;sourceID=13","")</f>
        <v/>
      </c>
      <c r="AE92" s="4" t="str">
        <f>HYPERLINK("http://141.218.60.56/~jnz1568/getInfo.php?workbook=08_01.xlsx&amp;sheet=A0&amp;row=92&amp;col=31&amp;number=&amp;sourceID=13","")</f>
        <v/>
      </c>
      <c r="AF92" s="4" t="str">
        <f>HYPERLINK("http://141.218.60.56/~jnz1568/getInfo.php?workbook=08_01.xlsx&amp;sheet=A0&amp;row=92&amp;col=32&amp;number=&amp;sourceID=20","")</f>
        <v/>
      </c>
    </row>
    <row r="93" spans="1:32">
      <c r="A93" s="3">
        <v>8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HYPERLINK("http://141.218.60.56/~jnz1568/getInfo.php?workbook=08_01.xlsx&amp;sheet=A0&amp;row=93&amp;col=6&amp;number=&amp;sourceID=18","")</f>
        <v/>
      </c>
      <c r="G93" s="4" t="str">
        <f>HYPERLINK("http://141.218.60.56/~jnz1568/getInfo.php?workbook=08_01.xlsx&amp;sheet=A0&amp;row=93&amp;col=7&amp;number==&amp;sourceID=11","=")</f>
        <v>=</v>
      </c>
      <c r="H93" s="4" t="str">
        <f>HYPERLINK("http://141.218.60.56/~jnz1568/getInfo.php?workbook=08_01.xlsx&amp;sheet=A0&amp;row=93&amp;col=8&amp;number=84523000000&amp;sourceID=11","84523000000")</f>
        <v>84523000000</v>
      </c>
      <c r="I93" s="4" t="str">
        <f>HYPERLINK("http://141.218.60.56/~jnz1568/getInfo.php?workbook=08_01.xlsx&amp;sheet=A0&amp;row=93&amp;col=9&amp;number=&amp;sourceID=11","")</f>
        <v/>
      </c>
      <c r="J93" s="4" t="str">
        <f>HYPERLINK("http://141.218.60.56/~jnz1568/getInfo.php?workbook=08_01.xlsx&amp;sheet=A0&amp;row=93&amp;col=10&amp;number=8.6013e-06&amp;sourceID=11","8.6013e-06")</f>
        <v>8.6013e-06</v>
      </c>
      <c r="K93" s="4" t="str">
        <f>HYPERLINK("http://141.218.60.56/~jnz1568/getInfo.php?workbook=08_01.xlsx&amp;sheet=A0&amp;row=93&amp;col=11&amp;number=&amp;sourceID=11","")</f>
        <v/>
      </c>
      <c r="L93" s="4" t="str">
        <f>HYPERLINK("http://141.218.60.56/~jnz1568/getInfo.php?workbook=08_01.xlsx&amp;sheet=A0&amp;row=93&amp;col=12&amp;number=2097.2&amp;sourceID=11","2097.2")</f>
        <v>2097.2</v>
      </c>
      <c r="M93" s="4" t="str">
        <f>HYPERLINK("http://141.218.60.56/~jnz1568/getInfo.php?workbook=08_01.xlsx&amp;sheet=A0&amp;row=93&amp;col=13&amp;number=&amp;sourceID=11","")</f>
        <v/>
      </c>
      <c r="N93" s="4" t="str">
        <f>HYPERLINK("http://141.218.60.56/~jnz1568/getInfo.php?workbook=08_01.xlsx&amp;sheet=A0&amp;row=93&amp;col=14&amp;number=84526000000&amp;sourceID=12","84526000000")</f>
        <v>84526000000</v>
      </c>
      <c r="O93" s="4" t="str">
        <f>HYPERLINK("http://141.218.60.56/~jnz1568/getInfo.php?workbook=08_01.xlsx&amp;sheet=A0&amp;row=93&amp;col=15&amp;number=84526000000&amp;sourceID=12","84526000000")</f>
        <v>84526000000</v>
      </c>
      <c r="P93" s="4" t="str">
        <f>HYPERLINK("http://141.218.60.56/~jnz1568/getInfo.php?workbook=08_01.xlsx&amp;sheet=A0&amp;row=93&amp;col=16&amp;number=&amp;sourceID=12","")</f>
        <v/>
      </c>
      <c r="Q93" s="4" t="str">
        <f>HYPERLINK("http://141.218.60.56/~jnz1568/getInfo.php?workbook=08_01.xlsx&amp;sheet=A0&amp;row=93&amp;col=17&amp;number=8.6094e-06&amp;sourceID=12","8.6094e-06")</f>
        <v>8.6094e-06</v>
      </c>
      <c r="R93" s="4" t="str">
        <f>HYPERLINK("http://141.218.60.56/~jnz1568/getInfo.php?workbook=08_01.xlsx&amp;sheet=A0&amp;row=93&amp;col=18&amp;number=&amp;sourceID=12","")</f>
        <v/>
      </c>
      <c r="S93" s="4" t="str">
        <f>HYPERLINK("http://141.218.60.56/~jnz1568/getInfo.php?workbook=08_01.xlsx&amp;sheet=A0&amp;row=93&amp;col=19&amp;number=2097.3&amp;sourceID=12","2097.3")</f>
        <v>2097.3</v>
      </c>
      <c r="T93" s="4" t="str">
        <f>HYPERLINK("http://141.218.60.56/~jnz1568/getInfo.php?workbook=08_01.xlsx&amp;sheet=A0&amp;row=93&amp;col=20&amp;number=&amp;sourceID=12","")</f>
        <v/>
      </c>
      <c r="U93" s="4" t="str">
        <f>HYPERLINK("http://141.218.60.56/~jnz1568/getInfo.php?workbook=08_01.xlsx&amp;sheet=A0&amp;row=93&amp;col=21&amp;number=84530002097&amp;sourceID=30","84530002097")</f>
        <v>84530002097</v>
      </c>
      <c r="V93" s="4" t="str">
        <f>HYPERLINK("http://141.218.60.56/~jnz1568/getInfo.php?workbook=08_01.xlsx&amp;sheet=A0&amp;row=93&amp;col=22&amp;number=84530000000&amp;sourceID=30","84530000000")</f>
        <v>84530000000</v>
      </c>
      <c r="W93" s="4" t="str">
        <f>HYPERLINK("http://141.218.60.56/~jnz1568/getInfo.php?workbook=08_01.xlsx&amp;sheet=A0&amp;row=93&amp;col=23&amp;number=&amp;sourceID=30","")</f>
        <v/>
      </c>
      <c r="X93" s="4" t="str">
        <f>HYPERLINK("http://141.218.60.56/~jnz1568/getInfo.php?workbook=08_01.xlsx&amp;sheet=A0&amp;row=93&amp;col=24&amp;number=&amp;sourceID=30","")</f>
        <v/>
      </c>
      <c r="Y93" s="4" t="str">
        <f>HYPERLINK("http://141.218.60.56/~jnz1568/getInfo.php?workbook=08_01.xlsx&amp;sheet=A0&amp;row=93&amp;col=25&amp;number=2097&amp;sourceID=30","2097")</f>
        <v>2097</v>
      </c>
      <c r="Z93" s="4" t="str">
        <f>HYPERLINK("http://141.218.60.56/~jnz1568/getInfo.php?workbook=08_01.xlsx&amp;sheet=A0&amp;row=93&amp;col=26&amp;number==&amp;sourceID=13","=")</f>
        <v>=</v>
      </c>
      <c r="AA93" s="4" t="str">
        <f>HYPERLINK("http://141.218.60.56/~jnz1568/getInfo.php?workbook=08_01.xlsx&amp;sheet=A0&amp;row=93&amp;col=27&amp;number=84400000000&amp;sourceID=13","84400000000")</f>
        <v>84400000000</v>
      </c>
      <c r="AB93" s="4" t="str">
        <f>HYPERLINK("http://141.218.60.56/~jnz1568/getInfo.php?workbook=08_01.xlsx&amp;sheet=A0&amp;row=93&amp;col=28&amp;number=&amp;sourceID=13","")</f>
        <v/>
      </c>
      <c r="AC93" s="4" t="str">
        <f>HYPERLINK("http://141.218.60.56/~jnz1568/getInfo.php?workbook=08_01.xlsx&amp;sheet=A0&amp;row=93&amp;col=29&amp;number=&amp;sourceID=13","")</f>
        <v/>
      </c>
      <c r="AD93" s="4" t="str">
        <f>HYPERLINK("http://141.218.60.56/~jnz1568/getInfo.php?workbook=08_01.xlsx&amp;sheet=A0&amp;row=93&amp;col=30&amp;number=&amp;sourceID=13","")</f>
        <v/>
      </c>
      <c r="AE93" s="4" t="str">
        <f>HYPERLINK("http://141.218.60.56/~jnz1568/getInfo.php?workbook=08_01.xlsx&amp;sheet=A0&amp;row=93&amp;col=31&amp;number=&amp;sourceID=13","")</f>
        <v/>
      </c>
      <c r="AF93" s="4" t="str">
        <f>HYPERLINK("http://141.218.60.56/~jnz1568/getInfo.php?workbook=08_01.xlsx&amp;sheet=A0&amp;row=93&amp;col=32&amp;number=&amp;sourceID=20","")</f>
        <v/>
      </c>
    </row>
    <row r="94" spans="1:32">
      <c r="A94" s="3">
        <v>8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HYPERLINK("http://141.218.60.56/~jnz1568/getInfo.php?workbook=08_01.xlsx&amp;sheet=A0&amp;row=94&amp;col=6&amp;number=&amp;sourceID=18","")</f>
        <v/>
      </c>
      <c r="G94" s="4" t="str">
        <f>HYPERLINK("http://141.218.60.56/~jnz1568/getInfo.php?workbook=08_01.xlsx&amp;sheet=A0&amp;row=94&amp;col=7&amp;number==&amp;sourceID=11","=")</f>
        <v>=</v>
      </c>
      <c r="H94" s="4" t="str">
        <f>HYPERLINK("http://141.218.60.56/~jnz1568/getInfo.php?workbook=08_01.xlsx&amp;sheet=A0&amp;row=94&amp;col=8&amp;number=&amp;sourceID=11","")</f>
        <v/>
      </c>
      <c r="I94" s="4" t="str">
        <f>HYPERLINK("http://141.218.60.56/~jnz1568/getInfo.php?workbook=08_01.xlsx&amp;sheet=A0&amp;row=94&amp;col=9&amp;number=&amp;sourceID=11","")</f>
        <v/>
      </c>
      <c r="J94" s="4" t="str">
        <f>HYPERLINK("http://141.218.60.56/~jnz1568/getInfo.php?workbook=08_01.xlsx&amp;sheet=A0&amp;row=94&amp;col=10&amp;number=11.797&amp;sourceID=11","11.797")</f>
        <v>11.797</v>
      </c>
      <c r="K94" s="4" t="str">
        <f>HYPERLINK("http://141.218.60.56/~jnz1568/getInfo.php?workbook=08_01.xlsx&amp;sheet=A0&amp;row=94&amp;col=11&amp;number=&amp;sourceID=11","")</f>
        <v/>
      </c>
      <c r="L94" s="4" t="str">
        <f>HYPERLINK("http://141.218.60.56/~jnz1568/getInfo.php?workbook=08_01.xlsx&amp;sheet=A0&amp;row=94&amp;col=12&amp;number=8.8219&amp;sourceID=11","8.8219")</f>
        <v>8.8219</v>
      </c>
      <c r="M94" s="4" t="str">
        <f>HYPERLINK("http://141.218.60.56/~jnz1568/getInfo.php?workbook=08_01.xlsx&amp;sheet=A0&amp;row=94&amp;col=13&amp;number=&amp;sourceID=11","")</f>
        <v/>
      </c>
      <c r="N94" s="4" t="str">
        <f>HYPERLINK("http://141.218.60.56/~jnz1568/getInfo.php?workbook=08_01.xlsx&amp;sheet=A0&amp;row=94&amp;col=14&amp;number=20.619&amp;sourceID=12","20.619")</f>
        <v>20.619</v>
      </c>
      <c r="O94" s="4" t="str">
        <f>HYPERLINK("http://141.218.60.56/~jnz1568/getInfo.php?workbook=08_01.xlsx&amp;sheet=A0&amp;row=94&amp;col=15&amp;number=&amp;sourceID=12","")</f>
        <v/>
      </c>
      <c r="P94" s="4" t="str">
        <f>HYPERLINK("http://141.218.60.56/~jnz1568/getInfo.php?workbook=08_01.xlsx&amp;sheet=A0&amp;row=94&amp;col=16&amp;number=&amp;sourceID=12","")</f>
        <v/>
      </c>
      <c r="Q94" s="4" t="str">
        <f>HYPERLINK("http://141.218.60.56/~jnz1568/getInfo.php?workbook=08_01.xlsx&amp;sheet=A0&amp;row=94&amp;col=17&amp;number=11.797&amp;sourceID=12","11.797")</f>
        <v>11.797</v>
      </c>
      <c r="R94" s="4" t="str">
        <f>HYPERLINK("http://141.218.60.56/~jnz1568/getInfo.php?workbook=08_01.xlsx&amp;sheet=A0&amp;row=94&amp;col=18&amp;number=&amp;sourceID=12","")</f>
        <v/>
      </c>
      <c r="S94" s="4" t="str">
        <f>HYPERLINK("http://141.218.60.56/~jnz1568/getInfo.php?workbook=08_01.xlsx&amp;sheet=A0&amp;row=94&amp;col=19&amp;number=8.8222&amp;sourceID=12","8.8222")</f>
        <v>8.8222</v>
      </c>
      <c r="T94" s="4" t="str">
        <f>HYPERLINK("http://141.218.60.56/~jnz1568/getInfo.php?workbook=08_01.xlsx&amp;sheet=A0&amp;row=94&amp;col=20&amp;number=&amp;sourceID=12","")</f>
        <v/>
      </c>
      <c r="U94" s="4" t="str">
        <f>HYPERLINK("http://141.218.60.56/~jnz1568/getInfo.php?workbook=08_01.xlsx&amp;sheet=A0&amp;row=94&amp;col=21&amp;number=8.822&amp;sourceID=30","8.822")</f>
        <v>8.822</v>
      </c>
      <c r="V94" s="4" t="str">
        <f>HYPERLINK("http://141.218.60.56/~jnz1568/getInfo.php?workbook=08_01.xlsx&amp;sheet=A0&amp;row=94&amp;col=22&amp;number=&amp;sourceID=30","")</f>
        <v/>
      </c>
      <c r="W94" s="4" t="str">
        <f>HYPERLINK("http://141.218.60.56/~jnz1568/getInfo.php?workbook=08_01.xlsx&amp;sheet=A0&amp;row=94&amp;col=23&amp;number=&amp;sourceID=30","")</f>
        <v/>
      </c>
      <c r="X94" s="4" t="str">
        <f>HYPERLINK("http://141.218.60.56/~jnz1568/getInfo.php?workbook=08_01.xlsx&amp;sheet=A0&amp;row=94&amp;col=24&amp;number=&amp;sourceID=30","")</f>
        <v/>
      </c>
      <c r="Y94" s="4" t="str">
        <f>HYPERLINK("http://141.218.60.56/~jnz1568/getInfo.php?workbook=08_01.xlsx&amp;sheet=A0&amp;row=94&amp;col=25&amp;number=8.822&amp;sourceID=30","8.822")</f>
        <v>8.822</v>
      </c>
      <c r="Z94" s="4" t="str">
        <f>HYPERLINK("http://141.218.60.56/~jnz1568/getInfo.php?workbook=08_01.xlsx&amp;sheet=A0&amp;row=94&amp;col=26&amp;number==&amp;sourceID=13","=")</f>
        <v>=</v>
      </c>
      <c r="AA94" s="4" t="str">
        <f>HYPERLINK("http://141.218.60.56/~jnz1568/getInfo.php?workbook=08_01.xlsx&amp;sheet=A0&amp;row=94&amp;col=27&amp;number=&amp;sourceID=13","")</f>
        <v/>
      </c>
      <c r="AB94" s="4" t="str">
        <f>HYPERLINK("http://141.218.60.56/~jnz1568/getInfo.php?workbook=08_01.xlsx&amp;sheet=A0&amp;row=94&amp;col=28&amp;number=&amp;sourceID=13","")</f>
        <v/>
      </c>
      <c r="AC94" s="4" t="str">
        <f>HYPERLINK("http://141.218.60.56/~jnz1568/getInfo.php?workbook=08_01.xlsx&amp;sheet=A0&amp;row=94&amp;col=29&amp;number=18.3&amp;sourceID=13","18.3")</f>
        <v>18.3</v>
      </c>
      <c r="AD94" s="4" t="str">
        <f>HYPERLINK("http://141.218.60.56/~jnz1568/getInfo.php?workbook=08_01.xlsx&amp;sheet=A0&amp;row=94&amp;col=30&amp;number=&amp;sourceID=13","")</f>
        <v/>
      </c>
      <c r="AE94" s="4" t="str">
        <f>HYPERLINK("http://141.218.60.56/~jnz1568/getInfo.php?workbook=08_01.xlsx&amp;sheet=A0&amp;row=94&amp;col=31&amp;number=35.2&amp;sourceID=13","35.2")</f>
        <v>35.2</v>
      </c>
      <c r="AF94" s="4" t="str">
        <f>HYPERLINK("http://141.218.60.56/~jnz1568/getInfo.php?workbook=08_01.xlsx&amp;sheet=A0&amp;row=94&amp;col=32&amp;number=&amp;sourceID=20","")</f>
        <v/>
      </c>
    </row>
    <row r="95" spans="1:32">
      <c r="A95" s="3">
        <v>8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HYPERLINK("http://141.218.60.56/~jnz1568/getInfo.php?workbook=08_01.xlsx&amp;sheet=A0&amp;row=95&amp;col=6&amp;number=&amp;sourceID=18","")</f>
        <v/>
      </c>
      <c r="G95" s="4" t="str">
        <f>HYPERLINK("http://141.218.60.56/~jnz1568/getInfo.php?workbook=08_01.xlsx&amp;sheet=A0&amp;row=95&amp;col=7&amp;number==&amp;sourceID=11","=")</f>
        <v>=</v>
      </c>
      <c r="H95" s="4" t="str">
        <f>HYPERLINK("http://141.218.60.56/~jnz1568/getInfo.php?workbook=08_01.xlsx&amp;sheet=A0&amp;row=95&amp;col=8&amp;number=&amp;sourceID=11","")</f>
        <v/>
      </c>
      <c r="I95" s="4" t="str">
        <f>HYPERLINK("http://141.218.60.56/~jnz1568/getInfo.php?workbook=08_01.xlsx&amp;sheet=A0&amp;row=95&amp;col=9&amp;number=989720&amp;sourceID=11","989720")</f>
        <v>989720</v>
      </c>
      <c r="J95" s="4" t="str">
        <f>HYPERLINK("http://141.218.60.56/~jnz1568/getInfo.php?workbook=08_01.xlsx&amp;sheet=A0&amp;row=95&amp;col=10&amp;number=&amp;sourceID=11","")</f>
        <v/>
      </c>
      <c r="K95" s="4" t="str">
        <f>HYPERLINK("http://141.218.60.56/~jnz1568/getInfo.php?workbook=08_01.xlsx&amp;sheet=A0&amp;row=95&amp;col=11&amp;number=&amp;sourceID=11","")</f>
        <v/>
      </c>
      <c r="L95" s="4" t="str">
        <f>HYPERLINK("http://141.218.60.56/~jnz1568/getInfo.php?workbook=08_01.xlsx&amp;sheet=A0&amp;row=95&amp;col=12&amp;number=&amp;sourceID=11","")</f>
        <v/>
      </c>
      <c r="M95" s="4" t="str">
        <f>HYPERLINK("http://141.218.60.56/~jnz1568/getInfo.php?workbook=08_01.xlsx&amp;sheet=A0&amp;row=95&amp;col=13&amp;number=0.0015145&amp;sourceID=11","0.0015145")</f>
        <v>0.0015145</v>
      </c>
      <c r="N95" s="4" t="str">
        <f>HYPERLINK("http://141.218.60.56/~jnz1568/getInfo.php?workbook=08_01.xlsx&amp;sheet=A0&amp;row=95&amp;col=14&amp;number=989760&amp;sourceID=12","989760")</f>
        <v>989760</v>
      </c>
      <c r="O95" s="4" t="str">
        <f>HYPERLINK("http://141.218.60.56/~jnz1568/getInfo.php?workbook=08_01.xlsx&amp;sheet=A0&amp;row=95&amp;col=15&amp;number=&amp;sourceID=12","")</f>
        <v/>
      </c>
      <c r="P95" s="4" t="str">
        <f>HYPERLINK("http://141.218.60.56/~jnz1568/getInfo.php?workbook=08_01.xlsx&amp;sheet=A0&amp;row=95&amp;col=16&amp;number=989760&amp;sourceID=12","989760")</f>
        <v>989760</v>
      </c>
      <c r="Q95" s="4" t="str">
        <f>HYPERLINK("http://141.218.60.56/~jnz1568/getInfo.php?workbook=08_01.xlsx&amp;sheet=A0&amp;row=95&amp;col=17&amp;number=&amp;sourceID=12","")</f>
        <v/>
      </c>
      <c r="R95" s="4" t="str">
        <f>HYPERLINK("http://141.218.60.56/~jnz1568/getInfo.php?workbook=08_01.xlsx&amp;sheet=A0&amp;row=95&amp;col=18&amp;number=&amp;sourceID=12","")</f>
        <v/>
      </c>
      <c r="S95" s="4" t="str">
        <f>HYPERLINK("http://141.218.60.56/~jnz1568/getInfo.php?workbook=08_01.xlsx&amp;sheet=A0&amp;row=95&amp;col=19&amp;number=&amp;sourceID=12","")</f>
        <v/>
      </c>
      <c r="T95" s="4" t="str">
        <f>HYPERLINK("http://141.218.60.56/~jnz1568/getInfo.php?workbook=08_01.xlsx&amp;sheet=A0&amp;row=95&amp;col=20&amp;number=0.0015146&amp;sourceID=12","0.0015146")</f>
        <v>0.0015146</v>
      </c>
      <c r="U95" s="4" t="str">
        <f>HYPERLINK("http://141.218.60.56/~jnz1568/getInfo.php?workbook=08_01.xlsx&amp;sheet=A0&amp;row=95&amp;col=21&amp;number=989800&amp;sourceID=30","989800")</f>
        <v>989800</v>
      </c>
      <c r="V95" s="4" t="str">
        <f>HYPERLINK("http://141.218.60.56/~jnz1568/getInfo.php?workbook=08_01.xlsx&amp;sheet=A0&amp;row=95&amp;col=22&amp;number=&amp;sourceID=30","")</f>
        <v/>
      </c>
      <c r="W95" s="4" t="str">
        <f>HYPERLINK("http://141.218.60.56/~jnz1568/getInfo.php?workbook=08_01.xlsx&amp;sheet=A0&amp;row=95&amp;col=23&amp;number=989800&amp;sourceID=30","989800")</f>
        <v>989800</v>
      </c>
      <c r="X95" s="4" t="str">
        <f>HYPERLINK("http://141.218.60.56/~jnz1568/getInfo.php?workbook=08_01.xlsx&amp;sheet=A0&amp;row=95&amp;col=24&amp;number=&amp;sourceID=30","")</f>
        <v/>
      </c>
      <c r="Y95" s="4" t="str">
        <f>HYPERLINK("http://141.218.60.56/~jnz1568/getInfo.php?workbook=08_01.xlsx&amp;sheet=A0&amp;row=95&amp;col=25&amp;number=&amp;sourceID=30","")</f>
        <v/>
      </c>
      <c r="Z95" s="4" t="str">
        <f>HYPERLINK("http://141.218.60.56/~jnz1568/getInfo.php?workbook=08_01.xlsx&amp;sheet=A0&amp;row=95&amp;col=26&amp;number==&amp;sourceID=13","=")</f>
        <v>=</v>
      </c>
      <c r="AA95" s="4" t="str">
        <f>HYPERLINK("http://141.218.60.56/~jnz1568/getInfo.php?workbook=08_01.xlsx&amp;sheet=A0&amp;row=95&amp;col=27&amp;number=&amp;sourceID=13","")</f>
        <v/>
      </c>
      <c r="AB95" s="4" t="str">
        <f>HYPERLINK("http://141.218.60.56/~jnz1568/getInfo.php?workbook=08_01.xlsx&amp;sheet=A0&amp;row=95&amp;col=28&amp;number=988000&amp;sourceID=13","988000")</f>
        <v>988000</v>
      </c>
      <c r="AC95" s="4" t="str">
        <f>HYPERLINK("http://141.218.60.56/~jnz1568/getInfo.php?workbook=08_01.xlsx&amp;sheet=A0&amp;row=95&amp;col=29&amp;number=&amp;sourceID=13","")</f>
        <v/>
      </c>
      <c r="AD95" s="4" t="str">
        <f>HYPERLINK("http://141.218.60.56/~jnz1568/getInfo.php?workbook=08_01.xlsx&amp;sheet=A0&amp;row=95&amp;col=30&amp;number=&amp;sourceID=13","")</f>
        <v/>
      </c>
      <c r="AE95" s="4" t="str">
        <f>HYPERLINK("http://141.218.60.56/~jnz1568/getInfo.php?workbook=08_01.xlsx&amp;sheet=A0&amp;row=95&amp;col=31&amp;number=&amp;sourceID=13","")</f>
        <v/>
      </c>
      <c r="AF95" s="4" t="str">
        <f>HYPERLINK("http://141.218.60.56/~jnz1568/getInfo.php?workbook=08_01.xlsx&amp;sheet=A0&amp;row=95&amp;col=32&amp;number=&amp;sourceID=20","")</f>
        <v/>
      </c>
    </row>
    <row r="96" spans="1:32">
      <c r="A96" s="3">
        <v>8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HYPERLINK("http://141.218.60.56/~jnz1568/getInfo.php?workbook=08_01.xlsx&amp;sheet=A0&amp;row=96&amp;col=6&amp;number=&amp;sourceID=18","")</f>
        <v/>
      </c>
      <c r="G96" s="4" t="str">
        <f>HYPERLINK("http://141.218.60.56/~jnz1568/getInfo.php?workbook=08_01.xlsx&amp;sheet=A0&amp;row=96&amp;col=7&amp;number==&amp;sourceID=11","=")</f>
        <v>=</v>
      </c>
      <c r="H96" s="4" t="str">
        <f>HYPERLINK("http://141.218.60.56/~jnz1568/getInfo.php?workbook=08_01.xlsx&amp;sheet=A0&amp;row=96&amp;col=8&amp;number=&amp;sourceID=11","")</f>
        <v/>
      </c>
      <c r="I96" s="4" t="str">
        <f>HYPERLINK("http://141.218.60.56/~jnz1568/getInfo.php?workbook=08_01.xlsx&amp;sheet=A0&amp;row=96&amp;col=9&amp;number=62427&amp;sourceID=11","62427")</f>
        <v>62427</v>
      </c>
      <c r="J96" s="4" t="str">
        <f>HYPERLINK("http://141.218.60.56/~jnz1568/getInfo.php?workbook=08_01.xlsx&amp;sheet=A0&amp;row=96&amp;col=10&amp;number=&amp;sourceID=11","")</f>
        <v/>
      </c>
      <c r="K96" s="4" t="str">
        <f>HYPERLINK("http://141.218.60.56/~jnz1568/getInfo.php?workbook=08_01.xlsx&amp;sheet=A0&amp;row=96&amp;col=11&amp;number=0.015392&amp;sourceID=11","0.015392")</f>
        <v>0.015392</v>
      </c>
      <c r="L96" s="4" t="str">
        <f>HYPERLINK("http://141.218.60.56/~jnz1568/getInfo.php?workbook=08_01.xlsx&amp;sheet=A0&amp;row=96&amp;col=12&amp;number=&amp;sourceID=11","")</f>
        <v/>
      </c>
      <c r="M96" s="4" t="str">
        <f>HYPERLINK("http://141.218.60.56/~jnz1568/getInfo.php?workbook=08_01.xlsx&amp;sheet=A0&amp;row=96&amp;col=13&amp;number=5.4449e-06&amp;sourceID=11","5.4449e-06")</f>
        <v>5.4449e-06</v>
      </c>
      <c r="N96" s="4" t="str">
        <f>HYPERLINK("http://141.218.60.56/~jnz1568/getInfo.php?workbook=08_01.xlsx&amp;sheet=A0&amp;row=96&amp;col=14&amp;number=62429&amp;sourceID=12","62429")</f>
        <v>62429</v>
      </c>
      <c r="O96" s="4" t="str">
        <f>HYPERLINK("http://141.218.60.56/~jnz1568/getInfo.php?workbook=08_01.xlsx&amp;sheet=A0&amp;row=96&amp;col=15&amp;number=&amp;sourceID=12","")</f>
        <v/>
      </c>
      <c r="P96" s="4" t="str">
        <f>HYPERLINK("http://141.218.60.56/~jnz1568/getInfo.php?workbook=08_01.xlsx&amp;sheet=A0&amp;row=96&amp;col=16&amp;number=62429&amp;sourceID=12","62429")</f>
        <v>62429</v>
      </c>
      <c r="Q96" s="4" t="str">
        <f>HYPERLINK("http://141.218.60.56/~jnz1568/getInfo.php?workbook=08_01.xlsx&amp;sheet=A0&amp;row=96&amp;col=17&amp;number=&amp;sourceID=12","")</f>
        <v/>
      </c>
      <c r="R96" s="4" t="str">
        <f>HYPERLINK("http://141.218.60.56/~jnz1568/getInfo.php?workbook=08_01.xlsx&amp;sheet=A0&amp;row=96&amp;col=18&amp;number=0.015393&amp;sourceID=12","0.015393")</f>
        <v>0.015393</v>
      </c>
      <c r="S96" s="4" t="str">
        <f>HYPERLINK("http://141.218.60.56/~jnz1568/getInfo.php?workbook=08_01.xlsx&amp;sheet=A0&amp;row=96&amp;col=19&amp;number=&amp;sourceID=12","")</f>
        <v/>
      </c>
      <c r="T96" s="4" t="str">
        <f>HYPERLINK("http://141.218.60.56/~jnz1568/getInfo.php?workbook=08_01.xlsx&amp;sheet=A0&amp;row=96&amp;col=20&amp;number=5.4451e-06&amp;sourceID=12","5.4451e-06")</f>
        <v>5.4451e-06</v>
      </c>
      <c r="U96" s="4" t="str">
        <f>HYPERLINK("http://141.218.60.56/~jnz1568/getInfo.php?workbook=08_01.xlsx&amp;sheet=A0&amp;row=96&amp;col=21&amp;number=62430.01539&amp;sourceID=30","62430.01539")</f>
        <v>62430.01539</v>
      </c>
      <c r="V96" s="4" t="str">
        <f>HYPERLINK("http://141.218.60.56/~jnz1568/getInfo.php?workbook=08_01.xlsx&amp;sheet=A0&amp;row=96&amp;col=22&amp;number=&amp;sourceID=30","")</f>
        <v/>
      </c>
      <c r="W96" s="4" t="str">
        <f>HYPERLINK("http://141.218.60.56/~jnz1568/getInfo.php?workbook=08_01.xlsx&amp;sheet=A0&amp;row=96&amp;col=23&amp;number=62430&amp;sourceID=30","62430")</f>
        <v>62430</v>
      </c>
      <c r="X96" s="4" t="str">
        <f>HYPERLINK("http://141.218.60.56/~jnz1568/getInfo.php?workbook=08_01.xlsx&amp;sheet=A0&amp;row=96&amp;col=24&amp;number=0.01539&amp;sourceID=30","0.01539")</f>
        <v>0.01539</v>
      </c>
      <c r="Y96" s="4" t="str">
        <f>HYPERLINK("http://141.218.60.56/~jnz1568/getInfo.php?workbook=08_01.xlsx&amp;sheet=A0&amp;row=96&amp;col=25&amp;number=&amp;sourceID=30","")</f>
        <v/>
      </c>
      <c r="Z96" s="4" t="str">
        <f>HYPERLINK("http://141.218.60.56/~jnz1568/getInfo.php?workbook=08_01.xlsx&amp;sheet=A0&amp;row=96&amp;col=26&amp;number==&amp;sourceID=13","=")</f>
        <v>=</v>
      </c>
      <c r="AA96" s="4" t="str">
        <f>HYPERLINK("http://141.218.60.56/~jnz1568/getInfo.php?workbook=08_01.xlsx&amp;sheet=A0&amp;row=96&amp;col=27&amp;number=&amp;sourceID=13","")</f>
        <v/>
      </c>
      <c r="AB96" s="4" t="str">
        <f>HYPERLINK("http://141.218.60.56/~jnz1568/getInfo.php?workbook=08_01.xlsx&amp;sheet=A0&amp;row=96&amp;col=28&amp;number=62300&amp;sourceID=13","62300")</f>
        <v>62300</v>
      </c>
      <c r="AC96" s="4" t="str">
        <f>HYPERLINK("http://141.218.60.56/~jnz1568/getInfo.php?workbook=08_01.xlsx&amp;sheet=A0&amp;row=96&amp;col=29&amp;number=&amp;sourceID=13","")</f>
        <v/>
      </c>
      <c r="AD96" s="4" t="str">
        <f>HYPERLINK("http://141.218.60.56/~jnz1568/getInfo.php?workbook=08_01.xlsx&amp;sheet=A0&amp;row=96&amp;col=30&amp;number=0.0132&amp;sourceID=13","0.0132")</f>
        <v>0.0132</v>
      </c>
      <c r="AE96" s="4" t="str">
        <f>HYPERLINK("http://141.218.60.56/~jnz1568/getInfo.php?workbook=08_01.xlsx&amp;sheet=A0&amp;row=96&amp;col=31&amp;number=&amp;sourceID=13","")</f>
        <v/>
      </c>
      <c r="AF96" s="4" t="str">
        <f>HYPERLINK("http://141.218.60.56/~jnz1568/getInfo.php?workbook=08_01.xlsx&amp;sheet=A0&amp;row=96&amp;col=32&amp;number=&amp;sourceID=20","")</f>
        <v/>
      </c>
    </row>
    <row r="97" spans="1:32">
      <c r="A97" s="3">
        <v>8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HYPERLINK("http://141.218.60.56/~jnz1568/getInfo.php?workbook=08_01.xlsx&amp;sheet=A0&amp;row=97&amp;col=6&amp;number=&amp;sourceID=18","")</f>
        <v/>
      </c>
      <c r="G97" s="4" t="str">
        <f>HYPERLINK("http://141.218.60.56/~jnz1568/getInfo.php?workbook=08_01.xlsx&amp;sheet=A0&amp;row=97&amp;col=7&amp;number==&amp;sourceID=11","=")</f>
        <v>=</v>
      </c>
      <c r="H97" s="4" t="str">
        <f>HYPERLINK("http://141.218.60.56/~jnz1568/getInfo.php?workbook=08_01.xlsx&amp;sheet=A0&amp;row=97&amp;col=8&amp;number=28839000000&amp;sourceID=11","28839000000")</f>
        <v>28839000000</v>
      </c>
      <c r="I97" s="4" t="str">
        <f>HYPERLINK("http://141.218.60.56/~jnz1568/getInfo.php?workbook=08_01.xlsx&amp;sheet=A0&amp;row=97&amp;col=9&amp;number=&amp;sourceID=11","")</f>
        <v/>
      </c>
      <c r="J97" s="4" t="str">
        <f>HYPERLINK("http://141.218.60.56/~jnz1568/getInfo.php?workbook=08_01.xlsx&amp;sheet=A0&amp;row=97&amp;col=10&amp;number=9.3907&amp;sourceID=11","9.3907")</f>
        <v>9.3907</v>
      </c>
      <c r="K97" s="4" t="str">
        <f>HYPERLINK("http://141.218.60.56/~jnz1568/getInfo.php?workbook=08_01.xlsx&amp;sheet=A0&amp;row=97&amp;col=11&amp;number=&amp;sourceID=11","")</f>
        <v/>
      </c>
      <c r="L97" s="4" t="str">
        <f>HYPERLINK("http://141.218.60.56/~jnz1568/getInfo.php?workbook=08_01.xlsx&amp;sheet=A0&amp;row=97&amp;col=12&amp;number=48.142&amp;sourceID=11","48.142")</f>
        <v>48.142</v>
      </c>
      <c r="M97" s="4" t="str">
        <f>HYPERLINK("http://141.218.60.56/~jnz1568/getInfo.php?workbook=08_01.xlsx&amp;sheet=A0&amp;row=97&amp;col=13&amp;number=&amp;sourceID=11","")</f>
        <v/>
      </c>
      <c r="N97" s="4" t="str">
        <f>HYPERLINK("http://141.218.60.56/~jnz1568/getInfo.php?workbook=08_01.xlsx&amp;sheet=A0&amp;row=97&amp;col=14&amp;number=28840000000&amp;sourceID=12","28840000000")</f>
        <v>28840000000</v>
      </c>
      <c r="O97" s="4" t="str">
        <f>HYPERLINK("http://141.218.60.56/~jnz1568/getInfo.php?workbook=08_01.xlsx&amp;sheet=A0&amp;row=97&amp;col=15&amp;number=28840000000&amp;sourceID=12","28840000000")</f>
        <v>28840000000</v>
      </c>
      <c r="P97" s="4" t="str">
        <f>HYPERLINK("http://141.218.60.56/~jnz1568/getInfo.php?workbook=08_01.xlsx&amp;sheet=A0&amp;row=97&amp;col=16&amp;number=&amp;sourceID=12","")</f>
        <v/>
      </c>
      <c r="Q97" s="4" t="str">
        <f>HYPERLINK("http://141.218.60.56/~jnz1568/getInfo.php?workbook=08_01.xlsx&amp;sheet=A0&amp;row=97&amp;col=17&amp;number=9.391&amp;sourceID=12","9.391")</f>
        <v>9.391</v>
      </c>
      <c r="R97" s="4" t="str">
        <f>HYPERLINK("http://141.218.60.56/~jnz1568/getInfo.php?workbook=08_01.xlsx&amp;sheet=A0&amp;row=97&amp;col=18&amp;number=&amp;sourceID=12","")</f>
        <v/>
      </c>
      <c r="S97" s="4" t="str">
        <f>HYPERLINK("http://141.218.60.56/~jnz1568/getInfo.php?workbook=08_01.xlsx&amp;sheet=A0&amp;row=97&amp;col=19&amp;number=48.144&amp;sourceID=12","48.144")</f>
        <v>48.144</v>
      </c>
      <c r="T97" s="4" t="str">
        <f>HYPERLINK("http://141.218.60.56/~jnz1568/getInfo.php?workbook=08_01.xlsx&amp;sheet=A0&amp;row=97&amp;col=20&amp;number=&amp;sourceID=12","")</f>
        <v/>
      </c>
      <c r="U97" s="4" t="str">
        <f>HYPERLINK("http://141.218.60.56/~jnz1568/getInfo.php?workbook=08_01.xlsx&amp;sheet=A0&amp;row=97&amp;col=21&amp;number=28840000048.1&amp;sourceID=30","28840000048.1")</f>
        <v>28840000048.1</v>
      </c>
      <c r="V97" s="4" t="str">
        <f>HYPERLINK("http://141.218.60.56/~jnz1568/getInfo.php?workbook=08_01.xlsx&amp;sheet=A0&amp;row=97&amp;col=22&amp;number=28840000000&amp;sourceID=30","28840000000")</f>
        <v>28840000000</v>
      </c>
      <c r="W97" s="4" t="str">
        <f>HYPERLINK("http://141.218.60.56/~jnz1568/getInfo.php?workbook=08_01.xlsx&amp;sheet=A0&amp;row=97&amp;col=23&amp;number=&amp;sourceID=30","")</f>
        <v/>
      </c>
      <c r="X97" s="4" t="str">
        <f>HYPERLINK("http://141.218.60.56/~jnz1568/getInfo.php?workbook=08_01.xlsx&amp;sheet=A0&amp;row=97&amp;col=24&amp;number=&amp;sourceID=30","")</f>
        <v/>
      </c>
      <c r="Y97" s="4" t="str">
        <f>HYPERLINK("http://141.218.60.56/~jnz1568/getInfo.php?workbook=08_01.xlsx&amp;sheet=A0&amp;row=97&amp;col=25&amp;number=48.14&amp;sourceID=30","48.14")</f>
        <v>48.14</v>
      </c>
      <c r="Z97" s="4" t="str">
        <f>HYPERLINK("http://141.218.60.56/~jnz1568/getInfo.php?workbook=08_01.xlsx&amp;sheet=A0&amp;row=97&amp;col=26&amp;number==&amp;sourceID=13","=")</f>
        <v>=</v>
      </c>
      <c r="AA97" s="4" t="str">
        <f>HYPERLINK("http://141.218.60.56/~jnz1568/getInfo.php?workbook=08_01.xlsx&amp;sheet=A0&amp;row=97&amp;col=27&amp;number=28800000000&amp;sourceID=13","28800000000")</f>
        <v>28800000000</v>
      </c>
      <c r="AB97" s="4" t="str">
        <f>HYPERLINK("http://141.218.60.56/~jnz1568/getInfo.php?workbook=08_01.xlsx&amp;sheet=A0&amp;row=97&amp;col=28&amp;number=&amp;sourceID=13","")</f>
        <v/>
      </c>
      <c r="AC97" s="4" t="str">
        <f>HYPERLINK("http://141.218.60.56/~jnz1568/getInfo.php?workbook=08_01.xlsx&amp;sheet=A0&amp;row=97&amp;col=29&amp;number=&amp;sourceID=13","")</f>
        <v/>
      </c>
      <c r="AD97" s="4" t="str">
        <f>HYPERLINK("http://141.218.60.56/~jnz1568/getInfo.php?workbook=08_01.xlsx&amp;sheet=A0&amp;row=97&amp;col=30&amp;number=&amp;sourceID=13","")</f>
        <v/>
      </c>
      <c r="AE97" s="4" t="str">
        <f>HYPERLINK("http://141.218.60.56/~jnz1568/getInfo.php?workbook=08_01.xlsx&amp;sheet=A0&amp;row=97&amp;col=31&amp;number=&amp;sourceID=13","")</f>
        <v/>
      </c>
      <c r="AF97" s="4" t="str">
        <f>HYPERLINK("http://141.218.60.56/~jnz1568/getInfo.php?workbook=08_01.xlsx&amp;sheet=A0&amp;row=97&amp;col=32&amp;number=&amp;sourceID=20","")</f>
        <v/>
      </c>
    </row>
    <row r="98" spans="1:32">
      <c r="A98" s="3">
        <v>8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HYPERLINK("http://141.218.60.56/~jnz1568/getInfo.php?workbook=08_01.xlsx&amp;sheet=A0&amp;row=98&amp;col=6&amp;number=&amp;sourceID=18","")</f>
        <v/>
      </c>
      <c r="G98" s="4" t="str">
        <f>HYPERLINK("http://141.218.60.56/~jnz1568/getInfo.php?workbook=08_01.xlsx&amp;sheet=A0&amp;row=98&amp;col=7&amp;number==&amp;sourceID=11","=")</f>
        <v>=</v>
      </c>
      <c r="H98" s="4" t="str">
        <f>HYPERLINK("http://141.218.60.56/~jnz1568/getInfo.php?workbook=08_01.xlsx&amp;sheet=A0&amp;row=98&amp;col=8&amp;number=&amp;sourceID=11","")</f>
        <v/>
      </c>
      <c r="I98" s="4" t="str">
        <f>HYPERLINK("http://141.218.60.56/~jnz1568/getInfo.php?workbook=08_01.xlsx&amp;sheet=A0&amp;row=98&amp;col=9&amp;number=249580&amp;sourceID=11","249580")</f>
        <v>249580</v>
      </c>
      <c r="J98" s="4" t="str">
        <f>HYPERLINK("http://141.218.60.56/~jnz1568/getInfo.php?workbook=08_01.xlsx&amp;sheet=A0&amp;row=98&amp;col=10&amp;number=&amp;sourceID=11","")</f>
        <v/>
      </c>
      <c r="K98" s="4" t="str">
        <f>HYPERLINK("http://141.218.60.56/~jnz1568/getInfo.php?workbook=08_01.xlsx&amp;sheet=A0&amp;row=98&amp;col=11&amp;number=0.065148&amp;sourceID=11","0.065148")</f>
        <v>0.065148</v>
      </c>
      <c r="L98" s="4" t="str">
        <f>HYPERLINK("http://141.218.60.56/~jnz1568/getInfo.php?workbook=08_01.xlsx&amp;sheet=A0&amp;row=98&amp;col=12&amp;number=&amp;sourceID=11","")</f>
        <v/>
      </c>
      <c r="M98" s="4" t="str">
        <f>HYPERLINK("http://141.218.60.56/~jnz1568/getInfo.php?workbook=08_01.xlsx&amp;sheet=A0&amp;row=98&amp;col=13&amp;number=0.00066065&amp;sourceID=11","0.00066065")</f>
        <v>0.00066065</v>
      </c>
      <c r="N98" s="4" t="str">
        <f>HYPERLINK("http://141.218.60.56/~jnz1568/getInfo.php?workbook=08_01.xlsx&amp;sheet=A0&amp;row=98&amp;col=14&amp;number=249590&amp;sourceID=12","249590")</f>
        <v>249590</v>
      </c>
      <c r="O98" s="4" t="str">
        <f>HYPERLINK("http://141.218.60.56/~jnz1568/getInfo.php?workbook=08_01.xlsx&amp;sheet=A0&amp;row=98&amp;col=15&amp;number=&amp;sourceID=12","")</f>
        <v/>
      </c>
      <c r="P98" s="4" t="str">
        <f>HYPERLINK("http://141.218.60.56/~jnz1568/getInfo.php?workbook=08_01.xlsx&amp;sheet=A0&amp;row=98&amp;col=16&amp;number=249590&amp;sourceID=12","249590")</f>
        <v>249590</v>
      </c>
      <c r="Q98" s="4" t="str">
        <f>HYPERLINK("http://141.218.60.56/~jnz1568/getInfo.php?workbook=08_01.xlsx&amp;sheet=A0&amp;row=98&amp;col=17&amp;number=&amp;sourceID=12","")</f>
        <v/>
      </c>
      <c r="R98" s="4" t="str">
        <f>HYPERLINK("http://141.218.60.56/~jnz1568/getInfo.php?workbook=08_01.xlsx&amp;sheet=A0&amp;row=98&amp;col=18&amp;number=0.06515&amp;sourceID=12","0.06515")</f>
        <v>0.06515</v>
      </c>
      <c r="S98" s="4" t="str">
        <f>HYPERLINK("http://141.218.60.56/~jnz1568/getInfo.php?workbook=08_01.xlsx&amp;sheet=A0&amp;row=98&amp;col=19&amp;number=&amp;sourceID=12","")</f>
        <v/>
      </c>
      <c r="T98" s="4" t="str">
        <f>HYPERLINK("http://141.218.60.56/~jnz1568/getInfo.php?workbook=08_01.xlsx&amp;sheet=A0&amp;row=98&amp;col=20&amp;number=0.00066067&amp;sourceID=12","0.00066067")</f>
        <v>0.00066067</v>
      </c>
      <c r="U98" s="4" t="str">
        <f>HYPERLINK("http://141.218.60.56/~jnz1568/getInfo.php?workbook=08_01.xlsx&amp;sheet=A0&amp;row=98&amp;col=21&amp;number=249600.06514&amp;sourceID=30","249600.06514")</f>
        <v>249600.06514</v>
      </c>
      <c r="V98" s="4" t="str">
        <f>HYPERLINK("http://141.218.60.56/~jnz1568/getInfo.php?workbook=08_01.xlsx&amp;sheet=A0&amp;row=98&amp;col=22&amp;number=&amp;sourceID=30","")</f>
        <v/>
      </c>
      <c r="W98" s="4" t="str">
        <f>HYPERLINK("http://141.218.60.56/~jnz1568/getInfo.php?workbook=08_01.xlsx&amp;sheet=A0&amp;row=98&amp;col=23&amp;number=249600&amp;sourceID=30","249600")</f>
        <v>249600</v>
      </c>
      <c r="X98" s="4" t="str">
        <f>HYPERLINK("http://141.218.60.56/~jnz1568/getInfo.php?workbook=08_01.xlsx&amp;sheet=A0&amp;row=98&amp;col=24&amp;number=0.06514&amp;sourceID=30","0.06514")</f>
        <v>0.06514</v>
      </c>
      <c r="Y98" s="4" t="str">
        <f>HYPERLINK("http://141.218.60.56/~jnz1568/getInfo.php?workbook=08_01.xlsx&amp;sheet=A0&amp;row=98&amp;col=25&amp;number=&amp;sourceID=30","")</f>
        <v/>
      </c>
      <c r="Z98" s="4" t="str">
        <f>HYPERLINK("http://141.218.60.56/~jnz1568/getInfo.php?workbook=08_01.xlsx&amp;sheet=A0&amp;row=98&amp;col=26&amp;number==&amp;sourceID=13","=")</f>
        <v>=</v>
      </c>
      <c r="AA98" s="4" t="str">
        <f>HYPERLINK("http://141.218.60.56/~jnz1568/getInfo.php?workbook=08_01.xlsx&amp;sheet=A0&amp;row=98&amp;col=27&amp;number=&amp;sourceID=13","")</f>
        <v/>
      </c>
      <c r="AB98" s="4" t="str">
        <f>HYPERLINK("http://141.218.60.56/~jnz1568/getInfo.php?workbook=08_01.xlsx&amp;sheet=A0&amp;row=98&amp;col=28&amp;number=249000&amp;sourceID=13","249000")</f>
        <v>249000</v>
      </c>
      <c r="AC98" s="4" t="str">
        <f>HYPERLINK("http://141.218.60.56/~jnz1568/getInfo.php?workbook=08_01.xlsx&amp;sheet=A0&amp;row=98&amp;col=29&amp;number=&amp;sourceID=13","")</f>
        <v/>
      </c>
      <c r="AD98" s="4" t="str">
        <f>HYPERLINK("http://141.218.60.56/~jnz1568/getInfo.php?workbook=08_01.xlsx&amp;sheet=A0&amp;row=98&amp;col=30&amp;number=0.0651&amp;sourceID=13","0.0651")</f>
        <v>0.0651</v>
      </c>
      <c r="AE98" s="4" t="str">
        <f>HYPERLINK("http://141.218.60.56/~jnz1568/getInfo.php?workbook=08_01.xlsx&amp;sheet=A0&amp;row=98&amp;col=31&amp;number=&amp;sourceID=13","")</f>
        <v/>
      </c>
      <c r="AF98" s="4" t="str">
        <f>HYPERLINK("http://141.218.60.56/~jnz1568/getInfo.php?workbook=08_01.xlsx&amp;sheet=A0&amp;row=98&amp;col=32&amp;number=&amp;sourceID=20","")</f>
        <v/>
      </c>
    </row>
    <row r="99" spans="1:32">
      <c r="A99" s="3">
        <v>8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HYPERLINK("http://141.218.60.56/~jnz1568/getInfo.php?workbook=08_01.xlsx&amp;sheet=A0&amp;row=99&amp;col=6&amp;number=&amp;sourceID=18","")</f>
        <v/>
      </c>
      <c r="G99" s="4" t="str">
        <f>HYPERLINK("http://141.218.60.56/~jnz1568/getInfo.php?workbook=08_01.xlsx&amp;sheet=A0&amp;row=99&amp;col=7&amp;number==&amp;sourceID=11","=")</f>
        <v>=</v>
      </c>
      <c r="H99" s="4" t="str">
        <f>HYPERLINK("http://141.218.60.56/~jnz1568/getInfo.php?workbook=08_01.xlsx&amp;sheet=A0&amp;row=99&amp;col=8&amp;number=&amp;sourceID=11","")</f>
        <v/>
      </c>
      <c r="I99" s="4" t="str">
        <f>HYPERLINK("http://141.218.60.56/~jnz1568/getInfo.php?workbook=08_01.xlsx&amp;sheet=A0&amp;row=99&amp;col=9&amp;number=&amp;sourceID=11","")</f>
        <v/>
      </c>
      <c r="J99" s="4" t="str">
        <f>HYPERLINK("http://141.218.60.56/~jnz1568/getInfo.php?workbook=08_01.xlsx&amp;sheet=A0&amp;row=99&amp;col=10&amp;number=0&amp;sourceID=11","0")</f>
        <v>0</v>
      </c>
      <c r="K99" s="4" t="str">
        <f>HYPERLINK("http://141.218.60.56/~jnz1568/getInfo.php?workbook=08_01.xlsx&amp;sheet=A0&amp;row=99&amp;col=11&amp;number=&amp;sourceID=11","")</f>
        <v/>
      </c>
      <c r="L99" s="4" t="str">
        <f>HYPERLINK("http://141.218.60.56/~jnz1568/getInfo.php?workbook=08_01.xlsx&amp;sheet=A0&amp;row=99&amp;col=12&amp;number=1.4e-14&amp;sourceID=11","1.4e-14")</f>
        <v>1.4e-14</v>
      </c>
      <c r="M99" s="4" t="str">
        <f>HYPERLINK("http://141.218.60.56/~jnz1568/getInfo.php?workbook=08_01.xlsx&amp;sheet=A0&amp;row=99&amp;col=13&amp;number=&amp;sourceID=11","")</f>
        <v/>
      </c>
      <c r="N99" s="4" t="str">
        <f>HYPERLINK("http://141.218.60.56/~jnz1568/getInfo.php?workbook=08_01.xlsx&amp;sheet=A0&amp;row=99&amp;col=14&amp;number=1.4e-14&amp;sourceID=12","1.4e-14")</f>
        <v>1.4e-14</v>
      </c>
      <c r="O99" s="4" t="str">
        <f>HYPERLINK("http://141.218.60.56/~jnz1568/getInfo.php?workbook=08_01.xlsx&amp;sheet=A0&amp;row=99&amp;col=15&amp;number=&amp;sourceID=12","")</f>
        <v/>
      </c>
      <c r="P99" s="4" t="str">
        <f>HYPERLINK("http://141.218.60.56/~jnz1568/getInfo.php?workbook=08_01.xlsx&amp;sheet=A0&amp;row=99&amp;col=16&amp;number=&amp;sourceID=12","")</f>
        <v/>
      </c>
      <c r="Q99" s="4" t="str">
        <f>HYPERLINK("http://141.218.60.56/~jnz1568/getInfo.php?workbook=08_01.xlsx&amp;sheet=A0&amp;row=99&amp;col=17&amp;number=0&amp;sourceID=12","0")</f>
        <v>0</v>
      </c>
      <c r="R99" s="4" t="str">
        <f>HYPERLINK("http://141.218.60.56/~jnz1568/getInfo.php?workbook=08_01.xlsx&amp;sheet=A0&amp;row=99&amp;col=18&amp;number=&amp;sourceID=12","")</f>
        <v/>
      </c>
      <c r="S99" s="4" t="str">
        <f>HYPERLINK("http://141.218.60.56/~jnz1568/getInfo.php?workbook=08_01.xlsx&amp;sheet=A0&amp;row=99&amp;col=19&amp;number=1.4e-14&amp;sourceID=12","1.4e-14")</f>
        <v>1.4e-14</v>
      </c>
      <c r="T99" s="4" t="str">
        <f>HYPERLINK("http://141.218.60.56/~jnz1568/getInfo.php?workbook=08_01.xlsx&amp;sheet=A0&amp;row=99&amp;col=20&amp;number=&amp;sourceID=12","")</f>
        <v/>
      </c>
      <c r="U99" s="4" t="str">
        <f>HYPERLINK("http://141.218.60.56/~jnz1568/getInfo.php?workbook=08_01.xlsx&amp;sheet=A0&amp;row=99&amp;col=21&amp;number=1.4e-14&amp;sourceID=30","1.4e-14")</f>
        <v>1.4e-14</v>
      </c>
      <c r="V99" s="4" t="str">
        <f>HYPERLINK("http://141.218.60.56/~jnz1568/getInfo.php?workbook=08_01.xlsx&amp;sheet=A0&amp;row=99&amp;col=22&amp;number=&amp;sourceID=30","")</f>
        <v/>
      </c>
      <c r="W99" s="4" t="str">
        <f>HYPERLINK("http://141.218.60.56/~jnz1568/getInfo.php?workbook=08_01.xlsx&amp;sheet=A0&amp;row=99&amp;col=23&amp;number=&amp;sourceID=30","")</f>
        <v/>
      </c>
      <c r="X99" s="4" t="str">
        <f>HYPERLINK("http://141.218.60.56/~jnz1568/getInfo.php?workbook=08_01.xlsx&amp;sheet=A0&amp;row=99&amp;col=24&amp;number=&amp;sourceID=30","")</f>
        <v/>
      </c>
      <c r="Y99" s="4" t="str">
        <f>HYPERLINK("http://141.218.60.56/~jnz1568/getInfo.php?workbook=08_01.xlsx&amp;sheet=A0&amp;row=99&amp;col=25&amp;number=1.4e-14&amp;sourceID=30","1.4e-14")</f>
        <v>1.4e-14</v>
      </c>
      <c r="Z99" s="4" t="str">
        <f>HYPERLINK("http://141.218.60.56/~jnz1568/getInfo.php?workbook=08_01.xlsx&amp;sheet=A0&amp;row=99&amp;col=26&amp;number=&amp;sourceID=13","")</f>
        <v/>
      </c>
      <c r="AA99" s="4" t="str">
        <f>HYPERLINK("http://141.218.60.56/~jnz1568/getInfo.php?workbook=08_01.xlsx&amp;sheet=A0&amp;row=99&amp;col=27&amp;number=&amp;sourceID=13","")</f>
        <v/>
      </c>
      <c r="AB99" s="4" t="str">
        <f>HYPERLINK("http://141.218.60.56/~jnz1568/getInfo.php?workbook=08_01.xlsx&amp;sheet=A0&amp;row=99&amp;col=28&amp;number=&amp;sourceID=13","")</f>
        <v/>
      </c>
      <c r="AC99" s="4" t="str">
        <f>HYPERLINK("http://141.218.60.56/~jnz1568/getInfo.php?workbook=08_01.xlsx&amp;sheet=A0&amp;row=99&amp;col=29&amp;number=&amp;sourceID=13","")</f>
        <v/>
      </c>
      <c r="AD99" s="4" t="str">
        <f>HYPERLINK("http://141.218.60.56/~jnz1568/getInfo.php?workbook=08_01.xlsx&amp;sheet=A0&amp;row=99&amp;col=30&amp;number=&amp;sourceID=13","")</f>
        <v/>
      </c>
      <c r="AE99" s="4" t="str">
        <f>HYPERLINK("http://141.218.60.56/~jnz1568/getInfo.php?workbook=08_01.xlsx&amp;sheet=A0&amp;row=99&amp;col=31&amp;number=&amp;sourceID=13","")</f>
        <v/>
      </c>
      <c r="AF99" s="4" t="str">
        <f>HYPERLINK("http://141.218.60.56/~jnz1568/getInfo.php?workbook=08_01.xlsx&amp;sheet=A0&amp;row=99&amp;col=32&amp;number=&amp;sourceID=20","")</f>
        <v/>
      </c>
    </row>
    <row r="100" spans="1:32">
      <c r="A100" s="3">
        <v>8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HYPERLINK("http://141.218.60.56/~jnz1568/getInfo.php?workbook=08_01.xlsx&amp;sheet=A0&amp;row=100&amp;col=6&amp;number=&amp;sourceID=18","")</f>
        <v/>
      </c>
      <c r="G100" s="4" t="str">
        <f>HYPERLINK("http://141.218.60.56/~jnz1568/getInfo.php?workbook=08_01.xlsx&amp;sheet=A0&amp;row=100&amp;col=7&amp;number==&amp;sourceID=11","=")</f>
        <v>=</v>
      </c>
      <c r="H100" s="4" t="str">
        <f>HYPERLINK("http://141.218.60.56/~jnz1568/getInfo.php?workbook=08_01.xlsx&amp;sheet=A0&amp;row=100&amp;col=8&amp;number=&amp;sourceID=11","")</f>
        <v/>
      </c>
      <c r="I100" s="4" t="str">
        <f>HYPERLINK("http://141.218.60.56/~jnz1568/getInfo.php?workbook=08_01.xlsx&amp;sheet=A0&amp;row=100&amp;col=9&amp;number=1.5296e-09&amp;sourceID=11","1.5296e-09")</f>
        <v>1.5296e-09</v>
      </c>
      <c r="J100" s="4" t="str">
        <f>HYPERLINK("http://141.218.60.56/~jnz1568/getInfo.php?workbook=08_01.xlsx&amp;sheet=A0&amp;row=100&amp;col=10&amp;number=&amp;sourceID=11","")</f>
        <v/>
      </c>
      <c r="K100" s="4" t="str">
        <f>HYPERLINK("http://141.218.60.56/~jnz1568/getInfo.php?workbook=08_01.xlsx&amp;sheet=A0&amp;row=100&amp;col=11&amp;number=&amp;sourceID=11","")</f>
        <v/>
      </c>
      <c r="L100" s="4" t="str">
        <f>HYPERLINK("http://141.218.60.56/~jnz1568/getInfo.php?workbook=08_01.xlsx&amp;sheet=A0&amp;row=100&amp;col=12&amp;number=&amp;sourceID=11","")</f>
        <v/>
      </c>
      <c r="M100" s="4" t="str">
        <f>HYPERLINK("http://141.218.60.56/~jnz1568/getInfo.php?workbook=08_01.xlsx&amp;sheet=A0&amp;row=100&amp;col=13&amp;number=0&amp;sourceID=11","0")</f>
        <v>0</v>
      </c>
      <c r="N100" s="4" t="str">
        <f>HYPERLINK("http://141.218.60.56/~jnz1568/getInfo.php?workbook=08_01.xlsx&amp;sheet=A0&amp;row=100&amp;col=14&amp;number=1.5297e-09&amp;sourceID=12","1.5297e-09")</f>
        <v>1.5297e-09</v>
      </c>
      <c r="O100" s="4" t="str">
        <f>HYPERLINK("http://141.218.60.56/~jnz1568/getInfo.php?workbook=08_01.xlsx&amp;sheet=A0&amp;row=100&amp;col=15&amp;number=&amp;sourceID=12","")</f>
        <v/>
      </c>
      <c r="P100" s="4" t="str">
        <f>HYPERLINK("http://141.218.60.56/~jnz1568/getInfo.php?workbook=08_01.xlsx&amp;sheet=A0&amp;row=100&amp;col=16&amp;number=1.5297e-09&amp;sourceID=12","1.5297e-09")</f>
        <v>1.5297e-09</v>
      </c>
      <c r="Q100" s="4" t="str">
        <f>HYPERLINK("http://141.218.60.56/~jnz1568/getInfo.php?workbook=08_01.xlsx&amp;sheet=A0&amp;row=100&amp;col=17&amp;number=&amp;sourceID=12","")</f>
        <v/>
      </c>
      <c r="R100" s="4" t="str">
        <f>HYPERLINK("http://141.218.60.56/~jnz1568/getInfo.php?workbook=08_01.xlsx&amp;sheet=A0&amp;row=100&amp;col=18&amp;number=&amp;sourceID=12","")</f>
        <v/>
      </c>
      <c r="S100" s="4" t="str">
        <f>HYPERLINK("http://141.218.60.56/~jnz1568/getInfo.php?workbook=08_01.xlsx&amp;sheet=A0&amp;row=100&amp;col=19&amp;number=&amp;sourceID=12","")</f>
        <v/>
      </c>
      <c r="T100" s="4" t="str">
        <f>HYPERLINK("http://141.218.60.56/~jnz1568/getInfo.php?workbook=08_01.xlsx&amp;sheet=A0&amp;row=100&amp;col=20&amp;number=0&amp;sourceID=12","0")</f>
        <v>0</v>
      </c>
      <c r="U100" s="4" t="str">
        <f>HYPERLINK("http://141.218.60.56/~jnz1568/getInfo.php?workbook=08_01.xlsx&amp;sheet=A0&amp;row=100&amp;col=21&amp;number=1.53e-09&amp;sourceID=30","1.53e-09")</f>
        <v>1.53e-09</v>
      </c>
      <c r="V100" s="4" t="str">
        <f>HYPERLINK("http://141.218.60.56/~jnz1568/getInfo.php?workbook=08_01.xlsx&amp;sheet=A0&amp;row=100&amp;col=22&amp;number=&amp;sourceID=30","")</f>
        <v/>
      </c>
      <c r="W100" s="4" t="str">
        <f>HYPERLINK("http://141.218.60.56/~jnz1568/getInfo.php?workbook=08_01.xlsx&amp;sheet=A0&amp;row=100&amp;col=23&amp;number=1.53e-09&amp;sourceID=30","1.53e-09")</f>
        <v>1.53e-09</v>
      </c>
      <c r="X100" s="4" t="str">
        <f>HYPERLINK("http://141.218.60.56/~jnz1568/getInfo.php?workbook=08_01.xlsx&amp;sheet=A0&amp;row=100&amp;col=24&amp;number=&amp;sourceID=30","")</f>
        <v/>
      </c>
      <c r="Y100" s="4" t="str">
        <f>HYPERLINK("http://141.218.60.56/~jnz1568/getInfo.php?workbook=08_01.xlsx&amp;sheet=A0&amp;row=100&amp;col=25&amp;number=&amp;sourceID=30","")</f>
        <v/>
      </c>
      <c r="Z100" s="4" t="str">
        <f>HYPERLINK("http://141.218.60.56/~jnz1568/getInfo.php?workbook=08_01.xlsx&amp;sheet=A0&amp;row=100&amp;col=26&amp;number=&amp;sourceID=13","")</f>
        <v/>
      </c>
      <c r="AA100" s="4" t="str">
        <f>HYPERLINK("http://141.218.60.56/~jnz1568/getInfo.php?workbook=08_01.xlsx&amp;sheet=A0&amp;row=100&amp;col=27&amp;number=&amp;sourceID=13","")</f>
        <v/>
      </c>
      <c r="AB100" s="4" t="str">
        <f>HYPERLINK("http://141.218.60.56/~jnz1568/getInfo.php?workbook=08_01.xlsx&amp;sheet=A0&amp;row=100&amp;col=28&amp;number=&amp;sourceID=13","")</f>
        <v/>
      </c>
      <c r="AC100" s="4" t="str">
        <f>HYPERLINK("http://141.218.60.56/~jnz1568/getInfo.php?workbook=08_01.xlsx&amp;sheet=A0&amp;row=100&amp;col=29&amp;number=&amp;sourceID=13","")</f>
        <v/>
      </c>
      <c r="AD100" s="4" t="str">
        <f>HYPERLINK("http://141.218.60.56/~jnz1568/getInfo.php?workbook=08_01.xlsx&amp;sheet=A0&amp;row=100&amp;col=30&amp;number=&amp;sourceID=13","")</f>
        <v/>
      </c>
      <c r="AE100" s="4" t="str">
        <f>HYPERLINK("http://141.218.60.56/~jnz1568/getInfo.php?workbook=08_01.xlsx&amp;sheet=A0&amp;row=100&amp;col=31&amp;number=&amp;sourceID=13","")</f>
        <v/>
      </c>
      <c r="AF100" s="4" t="str">
        <f>HYPERLINK("http://141.218.60.56/~jnz1568/getInfo.php?workbook=08_01.xlsx&amp;sheet=A0&amp;row=100&amp;col=32&amp;number=&amp;sourceID=20","")</f>
        <v/>
      </c>
    </row>
    <row r="101" spans="1:32">
      <c r="A101" s="3">
        <v>8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HYPERLINK("http://141.218.60.56/~jnz1568/getInfo.php?workbook=08_01.xlsx&amp;sheet=A0&amp;row=101&amp;col=6&amp;number=&amp;sourceID=18","")</f>
        <v/>
      </c>
      <c r="G101" s="4" t="str">
        <f>HYPERLINK("http://141.218.60.56/~jnz1568/getInfo.php?workbook=08_01.xlsx&amp;sheet=A0&amp;row=101&amp;col=7&amp;number==&amp;sourceID=11","=")</f>
        <v>=</v>
      </c>
      <c r="H101" s="4" t="str">
        <f>HYPERLINK("http://141.218.60.56/~jnz1568/getInfo.php?workbook=08_01.xlsx&amp;sheet=A0&amp;row=101&amp;col=8&amp;number=&amp;sourceID=11","")</f>
        <v/>
      </c>
      <c r="I101" s="4" t="str">
        <f>HYPERLINK("http://141.218.60.56/~jnz1568/getInfo.php?workbook=08_01.xlsx&amp;sheet=A0&amp;row=101&amp;col=9&amp;number=3.74e-13&amp;sourceID=11","3.74e-13")</f>
        <v>3.74e-13</v>
      </c>
      <c r="J101" s="4" t="str">
        <f>HYPERLINK("http://141.218.60.56/~jnz1568/getInfo.php?workbook=08_01.xlsx&amp;sheet=A0&amp;row=101&amp;col=10&amp;number=&amp;sourceID=11","")</f>
        <v/>
      </c>
      <c r="K101" s="4" t="str">
        <f>HYPERLINK("http://141.218.60.56/~jnz1568/getInfo.php?workbook=08_01.xlsx&amp;sheet=A0&amp;row=101&amp;col=11&amp;number=2.6178e-06&amp;sourceID=11","2.6178e-06")</f>
        <v>2.6178e-06</v>
      </c>
      <c r="L101" s="4" t="str">
        <f>HYPERLINK("http://141.218.60.56/~jnz1568/getInfo.php?workbook=08_01.xlsx&amp;sheet=A0&amp;row=101&amp;col=12&amp;number=&amp;sourceID=11","")</f>
        <v/>
      </c>
      <c r="M101" s="4" t="str">
        <f>HYPERLINK("http://141.218.60.56/~jnz1568/getInfo.php?workbook=08_01.xlsx&amp;sheet=A0&amp;row=101&amp;col=13&amp;number=0&amp;sourceID=11","0")</f>
        <v>0</v>
      </c>
      <c r="N101" s="4" t="str">
        <f>HYPERLINK("http://141.218.60.56/~jnz1568/getInfo.php?workbook=08_01.xlsx&amp;sheet=A0&amp;row=101&amp;col=14&amp;number=2.618e-06&amp;sourceID=12","2.618e-06")</f>
        <v>2.618e-06</v>
      </c>
      <c r="O101" s="4" t="str">
        <f>HYPERLINK("http://141.218.60.56/~jnz1568/getInfo.php?workbook=08_01.xlsx&amp;sheet=A0&amp;row=101&amp;col=15&amp;number=&amp;sourceID=12","")</f>
        <v/>
      </c>
      <c r="P101" s="4" t="str">
        <f>HYPERLINK("http://141.218.60.56/~jnz1568/getInfo.php?workbook=08_01.xlsx&amp;sheet=A0&amp;row=101&amp;col=16&amp;number=3.74e-13&amp;sourceID=12","3.74e-13")</f>
        <v>3.74e-13</v>
      </c>
      <c r="Q101" s="4" t="str">
        <f>HYPERLINK("http://141.218.60.56/~jnz1568/getInfo.php?workbook=08_01.xlsx&amp;sheet=A0&amp;row=101&amp;col=17&amp;number=&amp;sourceID=12","")</f>
        <v/>
      </c>
      <c r="R101" s="4" t="str">
        <f>HYPERLINK("http://141.218.60.56/~jnz1568/getInfo.php?workbook=08_01.xlsx&amp;sheet=A0&amp;row=101&amp;col=18&amp;number=2.618e-06&amp;sourceID=12","2.618e-06")</f>
        <v>2.618e-06</v>
      </c>
      <c r="S101" s="4" t="str">
        <f>HYPERLINK("http://141.218.60.56/~jnz1568/getInfo.php?workbook=08_01.xlsx&amp;sheet=A0&amp;row=101&amp;col=19&amp;number=&amp;sourceID=12","")</f>
        <v/>
      </c>
      <c r="T101" s="4" t="str">
        <f>HYPERLINK("http://141.218.60.56/~jnz1568/getInfo.php?workbook=08_01.xlsx&amp;sheet=A0&amp;row=101&amp;col=20&amp;number=0&amp;sourceID=12","0")</f>
        <v>0</v>
      </c>
      <c r="U101" s="4" t="str">
        <f>HYPERLINK("http://141.218.60.56/~jnz1568/getInfo.php?workbook=08_01.xlsx&amp;sheet=A0&amp;row=101&amp;col=21&amp;number=2.618000374e-06&amp;sourceID=30","2.618000374e-06")</f>
        <v>2.618000374e-06</v>
      </c>
      <c r="V101" s="4" t="str">
        <f>HYPERLINK("http://141.218.60.56/~jnz1568/getInfo.php?workbook=08_01.xlsx&amp;sheet=A0&amp;row=101&amp;col=22&amp;number=&amp;sourceID=30","")</f>
        <v/>
      </c>
      <c r="W101" s="4" t="str">
        <f>HYPERLINK("http://141.218.60.56/~jnz1568/getInfo.php?workbook=08_01.xlsx&amp;sheet=A0&amp;row=101&amp;col=23&amp;number=3.74e-13&amp;sourceID=30","3.74e-13")</f>
        <v>3.74e-13</v>
      </c>
      <c r="X101" s="4" t="str">
        <f>HYPERLINK("http://141.218.60.56/~jnz1568/getInfo.php?workbook=08_01.xlsx&amp;sheet=A0&amp;row=101&amp;col=24&amp;number=2.618e-06&amp;sourceID=30","2.618e-06")</f>
        <v>2.618e-06</v>
      </c>
      <c r="Y101" s="4" t="str">
        <f>HYPERLINK("http://141.218.60.56/~jnz1568/getInfo.php?workbook=08_01.xlsx&amp;sheet=A0&amp;row=101&amp;col=25&amp;number=&amp;sourceID=30","")</f>
        <v/>
      </c>
      <c r="Z101" s="4" t="str">
        <f>HYPERLINK("http://141.218.60.56/~jnz1568/getInfo.php?workbook=08_01.xlsx&amp;sheet=A0&amp;row=101&amp;col=26&amp;number=&amp;sourceID=13","")</f>
        <v/>
      </c>
      <c r="AA101" s="4" t="str">
        <f>HYPERLINK("http://141.218.60.56/~jnz1568/getInfo.php?workbook=08_01.xlsx&amp;sheet=A0&amp;row=101&amp;col=27&amp;number=&amp;sourceID=13","")</f>
        <v/>
      </c>
      <c r="AB101" s="4" t="str">
        <f>HYPERLINK("http://141.218.60.56/~jnz1568/getInfo.php?workbook=08_01.xlsx&amp;sheet=A0&amp;row=101&amp;col=28&amp;number=&amp;sourceID=13","")</f>
        <v/>
      </c>
      <c r="AC101" s="4" t="str">
        <f>HYPERLINK("http://141.218.60.56/~jnz1568/getInfo.php?workbook=08_01.xlsx&amp;sheet=A0&amp;row=101&amp;col=29&amp;number=&amp;sourceID=13","")</f>
        <v/>
      </c>
      <c r="AD101" s="4" t="str">
        <f>HYPERLINK("http://141.218.60.56/~jnz1568/getInfo.php?workbook=08_01.xlsx&amp;sheet=A0&amp;row=101&amp;col=30&amp;number=&amp;sourceID=13","")</f>
        <v/>
      </c>
      <c r="AE101" s="4" t="str">
        <f>HYPERLINK("http://141.218.60.56/~jnz1568/getInfo.php?workbook=08_01.xlsx&amp;sheet=A0&amp;row=101&amp;col=31&amp;number=&amp;sourceID=13","")</f>
        <v/>
      </c>
      <c r="AF101" s="4" t="str">
        <f>HYPERLINK("http://141.218.60.56/~jnz1568/getInfo.php?workbook=08_01.xlsx&amp;sheet=A0&amp;row=101&amp;col=32&amp;number=&amp;sourceID=20","")</f>
        <v/>
      </c>
    </row>
    <row r="102" spans="1:32">
      <c r="A102" s="3">
        <v>8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HYPERLINK("http://141.218.60.56/~jnz1568/getInfo.php?workbook=08_01.xlsx&amp;sheet=A0&amp;row=102&amp;col=6&amp;number=&amp;sourceID=18","")</f>
        <v/>
      </c>
      <c r="G102" s="4" t="str">
        <f>HYPERLINK("http://141.218.60.56/~jnz1568/getInfo.php?workbook=08_01.xlsx&amp;sheet=A0&amp;row=102&amp;col=7&amp;number==&amp;sourceID=11","=")</f>
        <v>=</v>
      </c>
      <c r="H102" s="4" t="str">
        <f>HYPERLINK("http://141.218.60.56/~jnz1568/getInfo.php?workbook=08_01.xlsx&amp;sheet=A0&amp;row=102&amp;col=8&amp;number=1.3271&amp;sourceID=11","1.3271")</f>
        <v>1.3271</v>
      </c>
      <c r="I102" s="4" t="str">
        <f>HYPERLINK("http://141.218.60.56/~jnz1568/getInfo.php?workbook=08_01.xlsx&amp;sheet=A0&amp;row=102&amp;col=9&amp;number=&amp;sourceID=11","")</f>
        <v/>
      </c>
      <c r="J102" s="4" t="str">
        <f>HYPERLINK("http://141.218.60.56/~jnz1568/getInfo.php?workbook=08_01.xlsx&amp;sheet=A0&amp;row=102&amp;col=10&amp;number=0&amp;sourceID=11","0")</f>
        <v>0</v>
      </c>
      <c r="K102" s="4" t="str">
        <f>HYPERLINK("http://141.218.60.56/~jnz1568/getInfo.php?workbook=08_01.xlsx&amp;sheet=A0&amp;row=102&amp;col=11&amp;number=&amp;sourceID=11","")</f>
        <v/>
      </c>
      <c r="L102" s="4" t="str">
        <f>HYPERLINK("http://141.218.60.56/~jnz1568/getInfo.php?workbook=08_01.xlsx&amp;sheet=A0&amp;row=102&amp;col=12&amp;number=0&amp;sourceID=11","0")</f>
        <v>0</v>
      </c>
      <c r="M102" s="4" t="str">
        <f>HYPERLINK("http://141.218.60.56/~jnz1568/getInfo.php?workbook=08_01.xlsx&amp;sheet=A0&amp;row=102&amp;col=13&amp;number=&amp;sourceID=11","")</f>
        <v/>
      </c>
      <c r="N102" s="4" t="str">
        <f>HYPERLINK("http://141.218.60.56/~jnz1568/getInfo.php?workbook=08_01.xlsx&amp;sheet=A0&amp;row=102&amp;col=14&amp;number=1.3271&amp;sourceID=12","1.3271")</f>
        <v>1.3271</v>
      </c>
      <c r="O102" s="4" t="str">
        <f>HYPERLINK("http://141.218.60.56/~jnz1568/getInfo.php?workbook=08_01.xlsx&amp;sheet=A0&amp;row=102&amp;col=15&amp;number=1.3271&amp;sourceID=12","1.3271")</f>
        <v>1.3271</v>
      </c>
      <c r="P102" s="4" t="str">
        <f>HYPERLINK("http://141.218.60.56/~jnz1568/getInfo.php?workbook=08_01.xlsx&amp;sheet=A0&amp;row=102&amp;col=16&amp;number=&amp;sourceID=12","")</f>
        <v/>
      </c>
      <c r="Q102" s="4" t="str">
        <f>HYPERLINK("http://141.218.60.56/~jnz1568/getInfo.php?workbook=08_01.xlsx&amp;sheet=A0&amp;row=102&amp;col=17&amp;number=0&amp;sourceID=12","0")</f>
        <v>0</v>
      </c>
      <c r="R102" s="4" t="str">
        <f>HYPERLINK("http://141.218.60.56/~jnz1568/getInfo.php?workbook=08_01.xlsx&amp;sheet=A0&amp;row=102&amp;col=18&amp;number=&amp;sourceID=12","")</f>
        <v/>
      </c>
      <c r="S102" s="4" t="str">
        <f>HYPERLINK("http://141.218.60.56/~jnz1568/getInfo.php?workbook=08_01.xlsx&amp;sheet=A0&amp;row=102&amp;col=19&amp;number=0&amp;sourceID=12","0")</f>
        <v>0</v>
      </c>
      <c r="T102" s="4" t="str">
        <f>HYPERLINK("http://141.218.60.56/~jnz1568/getInfo.php?workbook=08_01.xlsx&amp;sheet=A0&amp;row=102&amp;col=20&amp;number=&amp;sourceID=12","")</f>
        <v/>
      </c>
      <c r="U102" s="4" t="str">
        <f>HYPERLINK("http://141.218.60.56/~jnz1568/getInfo.php?workbook=08_01.xlsx&amp;sheet=A0&amp;row=102&amp;col=21&amp;number=1.327&amp;sourceID=30","1.327")</f>
        <v>1.327</v>
      </c>
      <c r="V102" s="4" t="str">
        <f>HYPERLINK("http://141.218.60.56/~jnz1568/getInfo.php?workbook=08_01.xlsx&amp;sheet=A0&amp;row=102&amp;col=22&amp;number=1.327&amp;sourceID=30","1.327")</f>
        <v>1.327</v>
      </c>
      <c r="W102" s="4" t="str">
        <f>HYPERLINK("http://141.218.60.56/~jnz1568/getInfo.php?workbook=08_01.xlsx&amp;sheet=A0&amp;row=102&amp;col=23&amp;number=&amp;sourceID=30","")</f>
        <v/>
      </c>
      <c r="X102" s="4" t="str">
        <f>HYPERLINK("http://141.218.60.56/~jnz1568/getInfo.php?workbook=08_01.xlsx&amp;sheet=A0&amp;row=102&amp;col=24&amp;number=&amp;sourceID=30","")</f>
        <v/>
      </c>
      <c r="Y102" s="4" t="str">
        <f>HYPERLINK("http://141.218.60.56/~jnz1568/getInfo.php?workbook=08_01.xlsx&amp;sheet=A0&amp;row=102&amp;col=25&amp;number=0&amp;sourceID=30","0")</f>
        <v>0</v>
      </c>
      <c r="Z102" s="4" t="str">
        <f>HYPERLINK("http://141.218.60.56/~jnz1568/getInfo.php?workbook=08_01.xlsx&amp;sheet=A0&amp;row=102&amp;col=26&amp;number=&amp;sourceID=13","")</f>
        <v/>
      </c>
      <c r="AA102" s="4" t="str">
        <f>HYPERLINK("http://141.218.60.56/~jnz1568/getInfo.php?workbook=08_01.xlsx&amp;sheet=A0&amp;row=102&amp;col=27&amp;number=&amp;sourceID=13","")</f>
        <v/>
      </c>
      <c r="AB102" s="4" t="str">
        <f>HYPERLINK("http://141.218.60.56/~jnz1568/getInfo.php?workbook=08_01.xlsx&amp;sheet=A0&amp;row=102&amp;col=28&amp;number=&amp;sourceID=13","")</f>
        <v/>
      </c>
      <c r="AC102" s="4" t="str">
        <f>HYPERLINK("http://141.218.60.56/~jnz1568/getInfo.php?workbook=08_01.xlsx&amp;sheet=A0&amp;row=102&amp;col=29&amp;number=&amp;sourceID=13","")</f>
        <v/>
      </c>
      <c r="AD102" s="4" t="str">
        <f>HYPERLINK("http://141.218.60.56/~jnz1568/getInfo.php?workbook=08_01.xlsx&amp;sheet=A0&amp;row=102&amp;col=30&amp;number=&amp;sourceID=13","")</f>
        <v/>
      </c>
      <c r="AE102" s="4" t="str">
        <f>HYPERLINK("http://141.218.60.56/~jnz1568/getInfo.php?workbook=08_01.xlsx&amp;sheet=A0&amp;row=102&amp;col=31&amp;number=&amp;sourceID=13","")</f>
        <v/>
      </c>
      <c r="AF102" s="4" t="str">
        <f>HYPERLINK("http://141.218.60.56/~jnz1568/getInfo.php?workbook=08_01.xlsx&amp;sheet=A0&amp;row=102&amp;col=32&amp;number=&amp;sourceID=20","")</f>
        <v/>
      </c>
    </row>
    <row r="103" spans="1:32">
      <c r="A103" s="3">
        <v>8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HYPERLINK("http://141.218.60.56/~jnz1568/getInfo.php?workbook=08_01.xlsx&amp;sheet=A0&amp;row=103&amp;col=6&amp;number=&amp;sourceID=18","")</f>
        <v/>
      </c>
      <c r="G103" s="4" t="str">
        <f>HYPERLINK("http://141.218.60.56/~jnz1568/getInfo.php?workbook=08_01.xlsx&amp;sheet=A0&amp;row=103&amp;col=7&amp;number==&amp;sourceID=11","=")</f>
        <v>=</v>
      </c>
      <c r="H103" s="4" t="str">
        <f>HYPERLINK("http://141.218.60.56/~jnz1568/getInfo.php?workbook=08_01.xlsx&amp;sheet=A0&amp;row=103&amp;col=8&amp;number=&amp;sourceID=11","")</f>
        <v/>
      </c>
      <c r="I103" s="4" t="str">
        <f>HYPERLINK("http://141.218.60.56/~jnz1568/getInfo.php?workbook=08_01.xlsx&amp;sheet=A0&amp;row=103&amp;col=9&amp;number=&amp;sourceID=11","")</f>
        <v/>
      </c>
      <c r="J103" s="4" t="str">
        <f>HYPERLINK("http://141.218.60.56/~jnz1568/getInfo.php?workbook=08_01.xlsx&amp;sheet=A0&amp;row=103&amp;col=10&amp;number=5194.6&amp;sourceID=11","5194.6")</f>
        <v>5194.6</v>
      </c>
      <c r="K103" s="4" t="str">
        <f>HYPERLINK("http://141.218.60.56/~jnz1568/getInfo.php?workbook=08_01.xlsx&amp;sheet=A0&amp;row=103&amp;col=11&amp;number=&amp;sourceID=11","")</f>
        <v/>
      </c>
      <c r="L103" s="4" t="str">
        <f>HYPERLINK("http://141.218.60.56/~jnz1568/getInfo.php?workbook=08_01.xlsx&amp;sheet=A0&amp;row=103&amp;col=12&amp;number=&amp;sourceID=11","")</f>
        <v/>
      </c>
      <c r="M103" s="4" t="str">
        <f>HYPERLINK("http://141.218.60.56/~jnz1568/getInfo.php?workbook=08_01.xlsx&amp;sheet=A0&amp;row=103&amp;col=13&amp;number=&amp;sourceID=11","")</f>
        <v/>
      </c>
      <c r="N103" s="4" t="str">
        <f>HYPERLINK("http://141.218.60.56/~jnz1568/getInfo.php?workbook=08_01.xlsx&amp;sheet=A0&amp;row=103&amp;col=14&amp;number=5194.8&amp;sourceID=12","5194.8")</f>
        <v>5194.8</v>
      </c>
      <c r="O103" s="4" t="str">
        <f>HYPERLINK("http://141.218.60.56/~jnz1568/getInfo.php?workbook=08_01.xlsx&amp;sheet=A0&amp;row=103&amp;col=15&amp;number=&amp;sourceID=12","")</f>
        <v/>
      </c>
      <c r="P103" s="4" t="str">
        <f>HYPERLINK("http://141.218.60.56/~jnz1568/getInfo.php?workbook=08_01.xlsx&amp;sheet=A0&amp;row=103&amp;col=16&amp;number=&amp;sourceID=12","")</f>
        <v/>
      </c>
      <c r="Q103" s="4" t="str">
        <f>HYPERLINK("http://141.218.60.56/~jnz1568/getInfo.php?workbook=08_01.xlsx&amp;sheet=A0&amp;row=103&amp;col=17&amp;number=5194.8&amp;sourceID=12","5194.8")</f>
        <v>5194.8</v>
      </c>
      <c r="R103" s="4" t="str">
        <f>HYPERLINK("http://141.218.60.56/~jnz1568/getInfo.php?workbook=08_01.xlsx&amp;sheet=A0&amp;row=103&amp;col=18&amp;number=&amp;sourceID=12","")</f>
        <v/>
      </c>
      <c r="S103" s="4" t="str">
        <f>HYPERLINK("http://141.218.60.56/~jnz1568/getInfo.php?workbook=08_01.xlsx&amp;sheet=A0&amp;row=103&amp;col=19&amp;number=&amp;sourceID=12","")</f>
        <v/>
      </c>
      <c r="T103" s="4" t="str">
        <f>HYPERLINK("http://141.218.60.56/~jnz1568/getInfo.php?workbook=08_01.xlsx&amp;sheet=A0&amp;row=103&amp;col=20&amp;number=&amp;sourceID=12","")</f>
        <v/>
      </c>
      <c r="U103" s="4" t="str">
        <f>HYPERLINK("http://141.218.60.56/~jnz1568/getInfo.php?workbook=08_01.xlsx&amp;sheet=A0&amp;row=103&amp;col=21&amp;number=&amp;sourceID=30","")</f>
        <v/>
      </c>
      <c r="V103" s="4" t="str">
        <f>HYPERLINK("http://141.218.60.56/~jnz1568/getInfo.php?workbook=08_01.xlsx&amp;sheet=A0&amp;row=103&amp;col=22&amp;number=&amp;sourceID=30","")</f>
        <v/>
      </c>
      <c r="W103" s="4" t="str">
        <f>HYPERLINK("http://141.218.60.56/~jnz1568/getInfo.php?workbook=08_01.xlsx&amp;sheet=A0&amp;row=103&amp;col=23&amp;number=&amp;sourceID=30","")</f>
        <v/>
      </c>
      <c r="X103" s="4" t="str">
        <f>HYPERLINK("http://141.218.60.56/~jnz1568/getInfo.php?workbook=08_01.xlsx&amp;sheet=A0&amp;row=103&amp;col=24&amp;number=&amp;sourceID=30","")</f>
        <v/>
      </c>
      <c r="Y103" s="4" t="str">
        <f>HYPERLINK("http://141.218.60.56/~jnz1568/getInfo.php?workbook=08_01.xlsx&amp;sheet=A0&amp;row=103&amp;col=25&amp;number=&amp;sourceID=30","")</f>
        <v/>
      </c>
      <c r="Z103" s="4" t="str">
        <f>HYPERLINK("http://141.218.60.56/~jnz1568/getInfo.php?workbook=08_01.xlsx&amp;sheet=A0&amp;row=103&amp;col=26&amp;number==SUM(AA103:AE103)&amp;sourceID=13","=SUM(AA103:AE103)")</f>
        <v>=SUM(AA103:AE103)</v>
      </c>
      <c r="AA103" s="4" t="str">
        <f>HYPERLINK("http://141.218.60.56/~jnz1568/getInfo.php?workbook=08_01.xlsx&amp;sheet=A0&amp;row=103&amp;col=27&amp;number=&amp;sourceID=13","")</f>
        <v/>
      </c>
      <c r="AB103" s="4" t="str">
        <f>HYPERLINK("http://141.218.60.56/~jnz1568/getInfo.php?workbook=08_01.xlsx&amp;sheet=A0&amp;row=103&amp;col=28&amp;number=&amp;sourceID=13","")</f>
        <v/>
      </c>
      <c r="AC103" s="4" t="str">
        <f>HYPERLINK("http://141.218.60.56/~jnz1568/getInfo.php?workbook=08_01.xlsx&amp;sheet=A0&amp;row=103&amp;col=29&amp;number=2200&amp;sourceID=13","2200")</f>
        <v>2200</v>
      </c>
      <c r="AD103" s="4" t="str">
        <f>HYPERLINK("http://141.218.60.56/~jnz1568/getInfo.php?workbook=08_01.xlsx&amp;sheet=A0&amp;row=103&amp;col=30&amp;number=&amp;sourceID=13","")</f>
        <v/>
      </c>
      <c r="AE103" s="4" t="str">
        <f>HYPERLINK("http://141.218.60.56/~jnz1568/getInfo.php?workbook=08_01.xlsx&amp;sheet=A0&amp;row=103&amp;col=31&amp;number=&amp;sourceID=13","")</f>
        <v/>
      </c>
      <c r="AF103" s="4" t="str">
        <f>HYPERLINK("http://141.218.60.56/~jnz1568/getInfo.php?workbook=08_01.xlsx&amp;sheet=A0&amp;row=103&amp;col=32&amp;number=&amp;sourceID=20","")</f>
        <v/>
      </c>
    </row>
    <row r="104" spans="1:32">
      <c r="A104" s="3">
        <v>8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HYPERLINK("http://141.218.60.56/~jnz1568/getInfo.php?workbook=08_01.xlsx&amp;sheet=A0&amp;row=104&amp;col=6&amp;number=&amp;sourceID=18","")</f>
        <v/>
      </c>
      <c r="G104" s="4" t="str">
        <f>HYPERLINK("http://141.218.60.56/~jnz1568/getInfo.php?workbook=08_01.xlsx&amp;sheet=A0&amp;row=104&amp;col=7&amp;number==&amp;sourceID=11","=")</f>
        <v>=</v>
      </c>
      <c r="H104" s="4" t="str">
        <f>HYPERLINK("http://141.218.60.56/~jnz1568/getInfo.php?workbook=08_01.xlsx&amp;sheet=A0&amp;row=104&amp;col=8&amp;number=&amp;sourceID=11","")</f>
        <v/>
      </c>
      <c r="I104" s="4" t="str">
        <f>HYPERLINK("http://141.218.60.56/~jnz1568/getInfo.php?workbook=08_01.xlsx&amp;sheet=A0&amp;row=104&amp;col=9&amp;number=&amp;sourceID=11","")</f>
        <v/>
      </c>
      <c r="J104" s="4" t="str">
        <f>HYPERLINK("http://141.218.60.56/~jnz1568/getInfo.php?workbook=08_01.xlsx&amp;sheet=A0&amp;row=104&amp;col=10&amp;number=&amp;sourceID=11","")</f>
        <v/>
      </c>
      <c r="K104" s="4" t="str">
        <f>HYPERLINK("http://141.218.60.56/~jnz1568/getInfo.php?workbook=08_01.xlsx&amp;sheet=A0&amp;row=104&amp;col=11&amp;number=&amp;sourceID=11","")</f>
        <v/>
      </c>
      <c r="L104" s="4" t="str">
        <f>HYPERLINK("http://141.218.60.56/~jnz1568/getInfo.php?workbook=08_01.xlsx&amp;sheet=A0&amp;row=104&amp;col=12&amp;number=&amp;sourceID=11","")</f>
        <v/>
      </c>
      <c r="M104" s="4" t="str">
        <f>HYPERLINK("http://141.218.60.56/~jnz1568/getInfo.php?workbook=08_01.xlsx&amp;sheet=A0&amp;row=104&amp;col=13&amp;number=0.11842&amp;sourceID=11","0.11842")</f>
        <v>0.11842</v>
      </c>
      <c r="N104" s="4" t="str">
        <f>HYPERLINK("http://141.218.60.56/~jnz1568/getInfo.php?workbook=08_01.xlsx&amp;sheet=A0&amp;row=104&amp;col=14&amp;number=0.11843&amp;sourceID=12","0.11843")</f>
        <v>0.11843</v>
      </c>
      <c r="O104" s="4" t="str">
        <f>HYPERLINK("http://141.218.60.56/~jnz1568/getInfo.php?workbook=08_01.xlsx&amp;sheet=A0&amp;row=104&amp;col=15&amp;number=&amp;sourceID=12","")</f>
        <v/>
      </c>
      <c r="P104" s="4" t="str">
        <f>HYPERLINK("http://141.218.60.56/~jnz1568/getInfo.php?workbook=08_01.xlsx&amp;sheet=A0&amp;row=104&amp;col=16&amp;number=&amp;sourceID=12","")</f>
        <v/>
      </c>
      <c r="Q104" s="4" t="str">
        <f>HYPERLINK("http://141.218.60.56/~jnz1568/getInfo.php?workbook=08_01.xlsx&amp;sheet=A0&amp;row=104&amp;col=17&amp;number=&amp;sourceID=12","")</f>
        <v/>
      </c>
      <c r="R104" s="4" t="str">
        <f>HYPERLINK("http://141.218.60.56/~jnz1568/getInfo.php?workbook=08_01.xlsx&amp;sheet=A0&amp;row=104&amp;col=18&amp;number=&amp;sourceID=12","")</f>
        <v/>
      </c>
      <c r="S104" s="4" t="str">
        <f>HYPERLINK("http://141.218.60.56/~jnz1568/getInfo.php?workbook=08_01.xlsx&amp;sheet=A0&amp;row=104&amp;col=19&amp;number=&amp;sourceID=12","")</f>
        <v/>
      </c>
      <c r="T104" s="4" t="str">
        <f>HYPERLINK("http://141.218.60.56/~jnz1568/getInfo.php?workbook=08_01.xlsx&amp;sheet=A0&amp;row=104&amp;col=20&amp;number=0.11843&amp;sourceID=12","0.11843")</f>
        <v>0.11843</v>
      </c>
      <c r="U104" s="4" t="str">
        <f>HYPERLINK("http://141.218.60.56/~jnz1568/getInfo.php?workbook=08_01.xlsx&amp;sheet=A0&amp;row=104&amp;col=21&amp;number=&amp;sourceID=30","")</f>
        <v/>
      </c>
      <c r="V104" s="4" t="str">
        <f>HYPERLINK("http://141.218.60.56/~jnz1568/getInfo.php?workbook=08_01.xlsx&amp;sheet=A0&amp;row=104&amp;col=22&amp;number=&amp;sourceID=30","")</f>
        <v/>
      </c>
      <c r="W104" s="4" t="str">
        <f>HYPERLINK("http://141.218.60.56/~jnz1568/getInfo.php?workbook=08_01.xlsx&amp;sheet=A0&amp;row=104&amp;col=23&amp;number=&amp;sourceID=30","")</f>
        <v/>
      </c>
      <c r="X104" s="4" t="str">
        <f>HYPERLINK("http://141.218.60.56/~jnz1568/getInfo.php?workbook=08_01.xlsx&amp;sheet=A0&amp;row=104&amp;col=24&amp;number=&amp;sourceID=30","")</f>
        <v/>
      </c>
      <c r="Y104" s="4" t="str">
        <f>HYPERLINK("http://141.218.60.56/~jnz1568/getInfo.php?workbook=08_01.xlsx&amp;sheet=A0&amp;row=104&amp;col=25&amp;number=&amp;sourceID=30","")</f>
        <v/>
      </c>
      <c r="Z104" s="4" t="str">
        <f>HYPERLINK("http://141.218.60.56/~jnz1568/getInfo.php?workbook=08_01.xlsx&amp;sheet=A0&amp;row=104&amp;col=26&amp;number=&amp;sourceID=13","")</f>
        <v/>
      </c>
      <c r="AA104" s="4" t="str">
        <f>HYPERLINK("http://141.218.60.56/~jnz1568/getInfo.php?workbook=08_01.xlsx&amp;sheet=A0&amp;row=104&amp;col=27&amp;number=&amp;sourceID=13","")</f>
        <v/>
      </c>
      <c r="AB104" s="4" t="str">
        <f>HYPERLINK("http://141.218.60.56/~jnz1568/getInfo.php?workbook=08_01.xlsx&amp;sheet=A0&amp;row=104&amp;col=28&amp;number=&amp;sourceID=13","")</f>
        <v/>
      </c>
      <c r="AC104" s="4" t="str">
        <f>HYPERLINK("http://141.218.60.56/~jnz1568/getInfo.php?workbook=08_01.xlsx&amp;sheet=A0&amp;row=104&amp;col=29&amp;number=&amp;sourceID=13","")</f>
        <v/>
      </c>
      <c r="AD104" s="4" t="str">
        <f>HYPERLINK("http://141.218.60.56/~jnz1568/getInfo.php?workbook=08_01.xlsx&amp;sheet=A0&amp;row=104&amp;col=30&amp;number=&amp;sourceID=13","")</f>
        <v/>
      </c>
      <c r="AE104" s="4" t="str">
        <f>HYPERLINK("http://141.218.60.56/~jnz1568/getInfo.php?workbook=08_01.xlsx&amp;sheet=A0&amp;row=104&amp;col=31&amp;number=&amp;sourceID=13","")</f>
        <v/>
      </c>
      <c r="AF104" s="4" t="str">
        <f>HYPERLINK("http://141.218.60.56/~jnz1568/getInfo.php?workbook=08_01.xlsx&amp;sheet=A0&amp;row=104&amp;col=32&amp;number=&amp;sourceID=20","")</f>
        <v/>
      </c>
    </row>
    <row r="105" spans="1:32">
      <c r="A105" s="3">
        <v>8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HYPERLINK("http://141.218.60.56/~jnz1568/getInfo.php?workbook=08_01.xlsx&amp;sheet=A0&amp;row=105&amp;col=6&amp;number=&amp;sourceID=18","")</f>
        <v/>
      </c>
      <c r="G105" s="4" t="str">
        <f>HYPERLINK("http://141.218.60.56/~jnz1568/getInfo.php?workbook=08_01.xlsx&amp;sheet=A0&amp;row=105&amp;col=7&amp;number==&amp;sourceID=11","=")</f>
        <v>=</v>
      </c>
      <c r="H105" s="4" t="str">
        <f>HYPERLINK("http://141.218.60.56/~jnz1568/getInfo.php?workbook=08_01.xlsx&amp;sheet=A0&amp;row=105&amp;col=8&amp;number=&amp;sourceID=11","")</f>
        <v/>
      </c>
      <c r="I105" s="4" t="str">
        <f>HYPERLINK("http://141.218.60.56/~jnz1568/getInfo.php?workbook=08_01.xlsx&amp;sheet=A0&amp;row=105&amp;col=9&amp;number=&amp;sourceID=11","")</f>
        <v/>
      </c>
      <c r="J105" s="4" t="str">
        <f>HYPERLINK("http://141.218.60.56/~jnz1568/getInfo.php?workbook=08_01.xlsx&amp;sheet=A0&amp;row=105&amp;col=10&amp;number=2058.2&amp;sourceID=11","2058.2")</f>
        <v>2058.2</v>
      </c>
      <c r="K105" s="4" t="str">
        <f>HYPERLINK("http://141.218.60.56/~jnz1568/getInfo.php?workbook=08_01.xlsx&amp;sheet=A0&amp;row=105&amp;col=11&amp;number=&amp;sourceID=11","")</f>
        <v/>
      </c>
      <c r="L105" s="4" t="str">
        <f>HYPERLINK("http://141.218.60.56/~jnz1568/getInfo.php?workbook=08_01.xlsx&amp;sheet=A0&amp;row=105&amp;col=12&amp;number=&amp;sourceID=11","")</f>
        <v/>
      </c>
      <c r="M105" s="4" t="str">
        <f>HYPERLINK("http://141.218.60.56/~jnz1568/getInfo.php?workbook=08_01.xlsx&amp;sheet=A0&amp;row=105&amp;col=13&amp;number=&amp;sourceID=11","")</f>
        <v/>
      </c>
      <c r="N105" s="4" t="str">
        <f>HYPERLINK("http://141.218.60.56/~jnz1568/getInfo.php?workbook=08_01.xlsx&amp;sheet=A0&amp;row=105&amp;col=14&amp;number=2058.3&amp;sourceID=12","2058.3")</f>
        <v>2058.3</v>
      </c>
      <c r="O105" s="4" t="str">
        <f>HYPERLINK("http://141.218.60.56/~jnz1568/getInfo.php?workbook=08_01.xlsx&amp;sheet=A0&amp;row=105&amp;col=15&amp;number=&amp;sourceID=12","")</f>
        <v/>
      </c>
      <c r="P105" s="4" t="str">
        <f>HYPERLINK("http://141.218.60.56/~jnz1568/getInfo.php?workbook=08_01.xlsx&amp;sheet=A0&amp;row=105&amp;col=16&amp;number=&amp;sourceID=12","")</f>
        <v/>
      </c>
      <c r="Q105" s="4" t="str">
        <f>HYPERLINK("http://141.218.60.56/~jnz1568/getInfo.php?workbook=08_01.xlsx&amp;sheet=A0&amp;row=105&amp;col=17&amp;number=2058.3&amp;sourceID=12","2058.3")</f>
        <v>2058.3</v>
      </c>
      <c r="R105" s="4" t="str">
        <f>HYPERLINK("http://141.218.60.56/~jnz1568/getInfo.php?workbook=08_01.xlsx&amp;sheet=A0&amp;row=105&amp;col=18&amp;number=&amp;sourceID=12","")</f>
        <v/>
      </c>
      <c r="S105" s="4" t="str">
        <f>HYPERLINK("http://141.218.60.56/~jnz1568/getInfo.php?workbook=08_01.xlsx&amp;sheet=A0&amp;row=105&amp;col=19&amp;number=&amp;sourceID=12","")</f>
        <v/>
      </c>
      <c r="T105" s="4" t="str">
        <f>HYPERLINK("http://141.218.60.56/~jnz1568/getInfo.php?workbook=08_01.xlsx&amp;sheet=A0&amp;row=105&amp;col=20&amp;number=&amp;sourceID=12","")</f>
        <v/>
      </c>
      <c r="U105" s="4" t="str">
        <f>HYPERLINK("http://141.218.60.56/~jnz1568/getInfo.php?workbook=08_01.xlsx&amp;sheet=A0&amp;row=105&amp;col=21&amp;number=&amp;sourceID=30","")</f>
        <v/>
      </c>
      <c r="V105" s="4" t="str">
        <f>HYPERLINK("http://141.218.60.56/~jnz1568/getInfo.php?workbook=08_01.xlsx&amp;sheet=A0&amp;row=105&amp;col=22&amp;number=&amp;sourceID=30","")</f>
        <v/>
      </c>
      <c r="W105" s="4" t="str">
        <f>HYPERLINK("http://141.218.60.56/~jnz1568/getInfo.php?workbook=08_01.xlsx&amp;sheet=A0&amp;row=105&amp;col=23&amp;number=&amp;sourceID=30","")</f>
        <v/>
      </c>
      <c r="X105" s="4" t="str">
        <f>HYPERLINK("http://141.218.60.56/~jnz1568/getInfo.php?workbook=08_01.xlsx&amp;sheet=A0&amp;row=105&amp;col=24&amp;number=&amp;sourceID=30","")</f>
        <v/>
      </c>
      <c r="Y105" s="4" t="str">
        <f>HYPERLINK("http://141.218.60.56/~jnz1568/getInfo.php?workbook=08_01.xlsx&amp;sheet=A0&amp;row=105&amp;col=25&amp;number=&amp;sourceID=30","")</f>
        <v/>
      </c>
      <c r="Z105" s="4" t="str">
        <f>HYPERLINK("http://141.218.60.56/~jnz1568/getInfo.php?workbook=08_01.xlsx&amp;sheet=A0&amp;row=105&amp;col=26&amp;number==SUM(AA105:AE105)&amp;sourceID=13","=SUM(AA105:AE105)")</f>
        <v>=SUM(AA105:AE105)</v>
      </c>
      <c r="AA105" s="4" t="str">
        <f>HYPERLINK("http://141.218.60.56/~jnz1568/getInfo.php?workbook=08_01.xlsx&amp;sheet=A0&amp;row=105&amp;col=27&amp;number=&amp;sourceID=13","")</f>
        <v/>
      </c>
      <c r="AB105" s="4" t="str">
        <f>HYPERLINK("http://141.218.60.56/~jnz1568/getInfo.php?workbook=08_01.xlsx&amp;sheet=A0&amp;row=105&amp;col=28&amp;number=&amp;sourceID=13","")</f>
        <v/>
      </c>
      <c r="AC105" s="4" t="str">
        <f>HYPERLINK("http://141.218.60.56/~jnz1568/getInfo.php?workbook=08_01.xlsx&amp;sheet=A0&amp;row=105&amp;col=29&amp;number=2080&amp;sourceID=13","2080")</f>
        <v>2080</v>
      </c>
      <c r="AD105" s="4" t="str">
        <f>HYPERLINK("http://141.218.60.56/~jnz1568/getInfo.php?workbook=08_01.xlsx&amp;sheet=A0&amp;row=105&amp;col=30&amp;number=&amp;sourceID=13","")</f>
        <v/>
      </c>
      <c r="AE105" s="4" t="str">
        <f>HYPERLINK("http://141.218.60.56/~jnz1568/getInfo.php?workbook=08_01.xlsx&amp;sheet=A0&amp;row=105&amp;col=31&amp;number=&amp;sourceID=13","")</f>
        <v/>
      </c>
      <c r="AF105" s="4" t="str">
        <f>HYPERLINK("http://141.218.60.56/~jnz1568/getInfo.php?workbook=08_01.xlsx&amp;sheet=A0&amp;row=105&amp;col=32&amp;number=&amp;sourceID=20","")</f>
        <v/>
      </c>
    </row>
    <row r="106" spans="1:32">
      <c r="A106" s="3">
        <v>8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HYPERLINK("http://141.218.60.56/~jnz1568/getInfo.php?workbook=08_01.xlsx&amp;sheet=A0&amp;row=106&amp;col=6&amp;number=&amp;sourceID=18","")</f>
        <v/>
      </c>
      <c r="G106" s="4" t="str">
        <f>HYPERLINK("http://141.218.60.56/~jnz1568/getInfo.php?workbook=08_01.xlsx&amp;sheet=A0&amp;row=106&amp;col=7&amp;number==&amp;sourceID=11","=")</f>
        <v>=</v>
      </c>
      <c r="H106" s="4" t="str">
        <f>HYPERLINK("http://141.218.60.56/~jnz1568/getInfo.php?workbook=08_01.xlsx&amp;sheet=A0&amp;row=106&amp;col=8&amp;number=&amp;sourceID=11","")</f>
        <v/>
      </c>
      <c r="I106" s="4" t="str">
        <f>HYPERLINK("http://141.218.60.56/~jnz1568/getInfo.php?workbook=08_01.xlsx&amp;sheet=A0&amp;row=106&amp;col=9&amp;number=16191000&amp;sourceID=11","16191000")</f>
        <v>16191000</v>
      </c>
      <c r="J106" s="4" t="str">
        <f>HYPERLINK("http://141.218.60.56/~jnz1568/getInfo.php?workbook=08_01.xlsx&amp;sheet=A0&amp;row=106&amp;col=10&amp;number=&amp;sourceID=11","")</f>
        <v/>
      </c>
      <c r="K106" s="4" t="str">
        <f>HYPERLINK("http://141.218.60.56/~jnz1568/getInfo.php?workbook=08_01.xlsx&amp;sheet=A0&amp;row=106&amp;col=11&amp;number=&amp;sourceID=11","")</f>
        <v/>
      </c>
      <c r="L106" s="4" t="str">
        <f>HYPERLINK("http://141.218.60.56/~jnz1568/getInfo.php?workbook=08_01.xlsx&amp;sheet=A0&amp;row=106&amp;col=12&amp;number=&amp;sourceID=11","")</f>
        <v/>
      </c>
      <c r="M106" s="4" t="str">
        <f>HYPERLINK("http://141.218.60.56/~jnz1568/getInfo.php?workbook=08_01.xlsx&amp;sheet=A0&amp;row=106&amp;col=13&amp;number=0.35438&amp;sourceID=11","0.35438")</f>
        <v>0.35438</v>
      </c>
      <c r="N106" s="4" t="str">
        <f>HYPERLINK("http://141.218.60.56/~jnz1568/getInfo.php?workbook=08_01.xlsx&amp;sheet=A0&amp;row=106&amp;col=14&amp;number=16192000&amp;sourceID=12","16192000")</f>
        <v>16192000</v>
      </c>
      <c r="O106" s="4" t="str">
        <f>HYPERLINK("http://141.218.60.56/~jnz1568/getInfo.php?workbook=08_01.xlsx&amp;sheet=A0&amp;row=106&amp;col=15&amp;number=&amp;sourceID=12","")</f>
        <v/>
      </c>
      <c r="P106" s="4" t="str">
        <f>HYPERLINK("http://141.218.60.56/~jnz1568/getInfo.php?workbook=08_01.xlsx&amp;sheet=A0&amp;row=106&amp;col=16&amp;number=16192000&amp;sourceID=12","16192000")</f>
        <v>16192000</v>
      </c>
      <c r="Q106" s="4" t="str">
        <f>HYPERLINK("http://141.218.60.56/~jnz1568/getInfo.php?workbook=08_01.xlsx&amp;sheet=A0&amp;row=106&amp;col=17&amp;number=&amp;sourceID=12","")</f>
        <v/>
      </c>
      <c r="R106" s="4" t="str">
        <f>HYPERLINK("http://141.218.60.56/~jnz1568/getInfo.php?workbook=08_01.xlsx&amp;sheet=A0&amp;row=106&amp;col=18&amp;number=&amp;sourceID=12","")</f>
        <v/>
      </c>
      <c r="S106" s="4" t="str">
        <f>HYPERLINK("http://141.218.60.56/~jnz1568/getInfo.php?workbook=08_01.xlsx&amp;sheet=A0&amp;row=106&amp;col=19&amp;number=&amp;sourceID=12","")</f>
        <v/>
      </c>
      <c r="T106" s="4" t="str">
        <f>HYPERLINK("http://141.218.60.56/~jnz1568/getInfo.php?workbook=08_01.xlsx&amp;sheet=A0&amp;row=106&amp;col=20&amp;number=0.35439&amp;sourceID=12","0.35439")</f>
        <v>0.35439</v>
      </c>
      <c r="U106" s="4" t="str">
        <f>HYPERLINK("http://141.218.60.56/~jnz1568/getInfo.php?workbook=08_01.xlsx&amp;sheet=A0&amp;row=106&amp;col=21&amp;number=16190000&amp;sourceID=30","16190000")</f>
        <v>16190000</v>
      </c>
      <c r="V106" s="4" t="str">
        <f>HYPERLINK("http://141.218.60.56/~jnz1568/getInfo.php?workbook=08_01.xlsx&amp;sheet=A0&amp;row=106&amp;col=22&amp;number=&amp;sourceID=30","")</f>
        <v/>
      </c>
      <c r="W106" s="4" t="str">
        <f>HYPERLINK("http://141.218.60.56/~jnz1568/getInfo.php?workbook=08_01.xlsx&amp;sheet=A0&amp;row=106&amp;col=23&amp;number=16190000&amp;sourceID=30","16190000")</f>
        <v>16190000</v>
      </c>
      <c r="X106" s="4" t="str">
        <f>HYPERLINK("http://141.218.60.56/~jnz1568/getInfo.php?workbook=08_01.xlsx&amp;sheet=A0&amp;row=106&amp;col=24&amp;number=&amp;sourceID=30","")</f>
        <v/>
      </c>
      <c r="Y106" s="4" t="str">
        <f>HYPERLINK("http://141.218.60.56/~jnz1568/getInfo.php?workbook=08_01.xlsx&amp;sheet=A0&amp;row=106&amp;col=25&amp;number=&amp;sourceID=30","")</f>
        <v/>
      </c>
      <c r="Z106" s="4" t="str">
        <f>HYPERLINK("http://141.218.60.56/~jnz1568/getInfo.php?workbook=08_01.xlsx&amp;sheet=A0&amp;row=106&amp;col=26&amp;number==SUM(AA106:AE106)&amp;sourceID=13","=SUM(AA106:AE106)")</f>
        <v>=SUM(AA106:AE106)</v>
      </c>
      <c r="AA106" s="4" t="str">
        <f>HYPERLINK("http://141.218.60.56/~jnz1568/getInfo.php?workbook=08_01.xlsx&amp;sheet=A0&amp;row=106&amp;col=27&amp;number=&amp;sourceID=13","")</f>
        <v/>
      </c>
      <c r="AB106" s="4" t="str">
        <f>HYPERLINK("http://141.218.60.56/~jnz1568/getInfo.php?workbook=08_01.xlsx&amp;sheet=A0&amp;row=106&amp;col=28&amp;number=16200000&amp;sourceID=13","16200000")</f>
        <v>16200000</v>
      </c>
      <c r="AC106" s="4" t="str">
        <f>HYPERLINK("http://141.218.60.56/~jnz1568/getInfo.php?workbook=08_01.xlsx&amp;sheet=A0&amp;row=106&amp;col=29&amp;number=&amp;sourceID=13","")</f>
        <v/>
      </c>
      <c r="AD106" s="4" t="str">
        <f>HYPERLINK("http://141.218.60.56/~jnz1568/getInfo.php?workbook=08_01.xlsx&amp;sheet=A0&amp;row=106&amp;col=30&amp;number=&amp;sourceID=13","")</f>
        <v/>
      </c>
      <c r="AE106" s="4" t="str">
        <f>HYPERLINK("http://141.218.60.56/~jnz1568/getInfo.php?workbook=08_01.xlsx&amp;sheet=A0&amp;row=106&amp;col=31&amp;number=&amp;sourceID=13","")</f>
        <v/>
      </c>
      <c r="AF106" s="4" t="str">
        <f>HYPERLINK("http://141.218.60.56/~jnz1568/getInfo.php?workbook=08_01.xlsx&amp;sheet=A0&amp;row=106&amp;col=32&amp;number=&amp;sourceID=20","")</f>
        <v/>
      </c>
    </row>
    <row r="107" spans="1:32">
      <c r="A107" s="3">
        <v>8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HYPERLINK("http://141.218.60.56/~jnz1568/getInfo.php?workbook=08_01.xlsx&amp;sheet=A0&amp;row=107&amp;col=6&amp;number=&amp;sourceID=18","")</f>
        <v/>
      </c>
      <c r="G107" s="4" t="str">
        <f>HYPERLINK("http://141.218.60.56/~jnz1568/getInfo.php?workbook=08_01.xlsx&amp;sheet=A0&amp;row=107&amp;col=7&amp;number==&amp;sourceID=11","=")</f>
        <v>=</v>
      </c>
      <c r="H107" s="4" t="str">
        <f>HYPERLINK("http://141.218.60.56/~jnz1568/getInfo.php?workbook=08_01.xlsx&amp;sheet=A0&amp;row=107&amp;col=8&amp;number=&amp;sourceID=11","")</f>
        <v/>
      </c>
      <c r="I107" s="4" t="str">
        <f>HYPERLINK("http://141.218.60.56/~jnz1568/getInfo.php?workbook=08_01.xlsx&amp;sheet=A0&amp;row=107&amp;col=9&amp;number=&amp;sourceID=11","")</f>
        <v/>
      </c>
      <c r="J107" s="4" t="str">
        <f>HYPERLINK("http://141.218.60.56/~jnz1568/getInfo.php?workbook=08_01.xlsx&amp;sheet=A0&amp;row=107&amp;col=10&amp;number=&amp;sourceID=11","")</f>
        <v/>
      </c>
      <c r="K107" s="4" t="str">
        <f>HYPERLINK("http://141.218.60.56/~jnz1568/getInfo.php?workbook=08_01.xlsx&amp;sheet=A0&amp;row=107&amp;col=11&amp;number=&amp;sourceID=11","")</f>
        <v/>
      </c>
      <c r="L107" s="4" t="str">
        <f>HYPERLINK("http://141.218.60.56/~jnz1568/getInfo.php?workbook=08_01.xlsx&amp;sheet=A0&amp;row=107&amp;col=12&amp;number=&amp;sourceID=11","")</f>
        <v/>
      </c>
      <c r="M107" s="4" t="str">
        <f>HYPERLINK("http://141.218.60.56/~jnz1568/getInfo.php?workbook=08_01.xlsx&amp;sheet=A0&amp;row=107&amp;col=13&amp;number=0.00075062&amp;sourceID=11","0.00075062")</f>
        <v>0.00075062</v>
      </c>
      <c r="N107" s="4" t="str">
        <f>HYPERLINK("http://141.218.60.56/~jnz1568/getInfo.php?workbook=08_01.xlsx&amp;sheet=A0&amp;row=107&amp;col=14&amp;number=0.00075065&amp;sourceID=12","0.00075065")</f>
        <v>0.00075065</v>
      </c>
      <c r="O107" s="4" t="str">
        <f>HYPERLINK("http://141.218.60.56/~jnz1568/getInfo.php?workbook=08_01.xlsx&amp;sheet=A0&amp;row=107&amp;col=15&amp;number=&amp;sourceID=12","")</f>
        <v/>
      </c>
      <c r="P107" s="4" t="str">
        <f>HYPERLINK("http://141.218.60.56/~jnz1568/getInfo.php?workbook=08_01.xlsx&amp;sheet=A0&amp;row=107&amp;col=16&amp;number=&amp;sourceID=12","")</f>
        <v/>
      </c>
      <c r="Q107" s="4" t="str">
        <f>HYPERLINK("http://141.218.60.56/~jnz1568/getInfo.php?workbook=08_01.xlsx&amp;sheet=A0&amp;row=107&amp;col=17&amp;number=&amp;sourceID=12","")</f>
        <v/>
      </c>
      <c r="R107" s="4" t="str">
        <f>HYPERLINK("http://141.218.60.56/~jnz1568/getInfo.php?workbook=08_01.xlsx&amp;sheet=A0&amp;row=107&amp;col=18&amp;number=&amp;sourceID=12","")</f>
        <v/>
      </c>
      <c r="S107" s="4" t="str">
        <f>HYPERLINK("http://141.218.60.56/~jnz1568/getInfo.php?workbook=08_01.xlsx&amp;sheet=A0&amp;row=107&amp;col=19&amp;number=&amp;sourceID=12","")</f>
        <v/>
      </c>
      <c r="T107" s="4" t="str">
        <f>HYPERLINK("http://141.218.60.56/~jnz1568/getInfo.php?workbook=08_01.xlsx&amp;sheet=A0&amp;row=107&amp;col=20&amp;number=0.00075065&amp;sourceID=12","0.00075065")</f>
        <v>0.00075065</v>
      </c>
      <c r="U107" s="4" t="str">
        <f>HYPERLINK("http://141.218.60.56/~jnz1568/getInfo.php?workbook=08_01.xlsx&amp;sheet=A0&amp;row=107&amp;col=21&amp;number=&amp;sourceID=30","")</f>
        <v/>
      </c>
      <c r="V107" s="4" t="str">
        <f>HYPERLINK("http://141.218.60.56/~jnz1568/getInfo.php?workbook=08_01.xlsx&amp;sheet=A0&amp;row=107&amp;col=22&amp;number=&amp;sourceID=30","")</f>
        <v/>
      </c>
      <c r="W107" s="4" t="str">
        <f>HYPERLINK("http://141.218.60.56/~jnz1568/getInfo.php?workbook=08_01.xlsx&amp;sheet=A0&amp;row=107&amp;col=23&amp;number=&amp;sourceID=30","")</f>
        <v/>
      </c>
      <c r="X107" s="4" t="str">
        <f>HYPERLINK("http://141.218.60.56/~jnz1568/getInfo.php?workbook=08_01.xlsx&amp;sheet=A0&amp;row=107&amp;col=24&amp;number=&amp;sourceID=30","")</f>
        <v/>
      </c>
      <c r="Y107" s="4" t="str">
        <f>HYPERLINK("http://141.218.60.56/~jnz1568/getInfo.php?workbook=08_01.xlsx&amp;sheet=A0&amp;row=107&amp;col=25&amp;number=&amp;sourceID=30","")</f>
        <v/>
      </c>
      <c r="Z107" s="4" t="str">
        <f>HYPERLINK("http://141.218.60.56/~jnz1568/getInfo.php?workbook=08_01.xlsx&amp;sheet=A0&amp;row=107&amp;col=26&amp;number=&amp;sourceID=13","")</f>
        <v/>
      </c>
      <c r="AA107" s="4" t="str">
        <f>HYPERLINK("http://141.218.60.56/~jnz1568/getInfo.php?workbook=08_01.xlsx&amp;sheet=A0&amp;row=107&amp;col=27&amp;number=&amp;sourceID=13","")</f>
        <v/>
      </c>
      <c r="AB107" s="4" t="str">
        <f>HYPERLINK("http://141.218.60.56/~jnz1568/getInfo.php?workbook=08_01.xlsx&amp;sheet=A0&amp;row=107&amp;col=28&amp;number=&amp;sourceID=13","")</f>
        <v/>
      </c>
      <c r="AC107" s="4" t="str">
        <f>HYPERLINK("http://141.218.60.56/~jnz1568/getInfo.php?workbook=08_01.xlsx&amp;sheet=A0&amp;row=107&amp;col=29&amp;number=&amp;sourceID=13","")</f>
        <v/>
      </c>
      <c r="AD107" s="4" t="str">
        <f>HYPERLINK("http://141.218.60.56/~jnz1568/getInfo.php?workbook=08_01.xlsx&amp;sheet=A0&amp;row=107&amp;col=30&amp;number=&amp;sourceID=13","")</f>
        <v/>
      </c>
      <c r="AE107" s="4" t="str">
        <f>HYPERLINK("http://141.218.60.56/~jnz1568/getInfo.php?workbook=08_01.xlsx&amp;sheet=A0&amp;row=107&amp;col=31&amp;number=&amp;sourceID=13","")</f>
        <v/>
      </c>
      <c r="AF107" s="4" t="str">
        <f>HYPERLINK("http://141.218.60.56/~jnz1568/getInfo.php?workbook=08_01.xlsx&amp;sheet=A0&amp;row=107&amp;col=32&amp;number=&amp;sourceID=20","")</f>
        <v/>
      </c>
    </row>
    <row r="108" spans="1:32">
      <c r="A108" s="3">
        <v>8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HYPERLINK("http://141.218.60.56/~jnz1568/getInfo.php?workbook=08_01.xlsx&amp;sheet=A0&amp;row=108&amp;col=6&amp;number=&amp;sourceID=18","")</f>
        <v/>
      </c>
      <c r="G108" s="4" t="str">
        <f>HYPERLINK("http://141.218.60.56/~jnz1568/getInfo.php?workbook=08_01.xlsx&amp;sheet=A0&amp;row=108&amp;col=7&amp;number==&amp;sourceID=11","=")</f>
        <v>=</v>
      </c>
      <c r="H108" s="4" t="str">
        <f>HYPERLINK("http://141.218.60.56/~jnz1568/getInfo.php?workbook=08_01.xlsx&amp;sheet=A0&amp;row=108&amp;col=8&amp;number=&amp;sourceID=11","")</f>
        <v/>
      </c>
      <c r="I108" s="4" t="str">
        <f>HYPERLINK("http://141.218.60.56/~jnz1568/getInfo.php?workbook=08_01.xlsx&amp;sheet=A0&amp;row=108&amp;col=9&amp;number=&amp;sourceID=11","")</f>
        <v/>
      </c>
      <c r="J108" s="4" t="str">
        <f>HYPERLINK("http://141.218.60.56/~jnz1568/getInfo.php?workbook=08_01.xlsx&amp;sheet=A0&amp;row=108&amp;col=10&amp;number=18.935&amp;sourceID=11","18.935")</f>
        <v>18.935</v>
      </c>
      <c r="K108" s="4" t="str">
        <f>HYPERLINK("http://141.218.60.56/~jnz1568/getInfo.php?workbook=08_01.xlsx&amp;sheet=A0&amp;row=108&amp;col=11&amp;number=&amp;sourceID=11","")</f>
        <v/>
      </c>
      <c r="L108" s="4" t="str">
        <f>HYPERLINK("http://141.218.60.56/~jnz1568/getInfo.php?workbook=08_01.xlsx&amp;sheet=A0&amp;row=108&amp;col=12&amp;number=&amp;sourceID=11","")</f>
        <v/>
      </c>
      <c r="M108" s="4" t="str">
        <f>HYPERLINK("http://141.218.60.56/~jnz1568/getInfo.php?workbook=08_01.xlsx&amp;sheet=A0&amp;row=108&amp;col=13&amp;number=&amp;sourceID=11","")</f>
        <v/>
      </c>
      <c r="N108" s="4" t="str">
        <f>HYPERLINK("http://141.218.60.56/~jnz1568/getInfo.php?workbook=08_01.xlsx&amp;sheet=A0&amp;row=108&amp;col=14&amp;number=18.936&amp;sourceID=12","18.936")</f>
        <v>18.936</v>
      </c>
      <c r="O108" s="4" t="str">
        <f>HYPERLINK("http://141.218.60.56/~jnz1568/getInfo.php?workbook=08_01.xlsx&amp;sheet=A0&amp;row=108&amp;col=15&amp;number=&amp;sourceID=12","")</f>
        <v/>
      </c>
      <c r="P108" s="4" t="str">
        <f>HYPERLINK("http://141.218.60.56/~jnz1568/getInfo.php?workbook=08_01.xlsx&amp;sheet=A0&amp;row=108&amp;col=16&amp;number=&amp;sourceID=12","")</f>
        <v/>
      </c>
      <c r="Q108" s="4" t="str">
        <f>HYPERLINK("http://141.218.60.56/~jnz1568/getInfo.php?workbook=08_01.xlsx&amp;sheet=A0&amp;row=108&amp;col=17&amp;number=18.936&amp;sourceID=12","18.936")</f>
        <v>18.936</v>
      </c>
      <c r="R108" s="4" t="str">
        <f>HYPERLINK("http://141.218.60.56/~jnz1568/getInfo.php?workbook=08_01.xlsx&amp;sheet=A0&amp;row=108&amp;col=18&amp;number=&amp;sourceID=12","")</f>
        <v/>
      </c>
      <c r="S108" s="4" t="str">
        <f>HYPERLINK("http://141.218.60.56/~jnz1568/getInfo.php?workbook=08_01.xlsx&amp;sheet=A0&amp;row=108&amp;col=19&amp;number=&amp;sourceID=12","")</f>
        <v/>
      </c>
      <c r="T108" s="4" t="str">
        <f>HYPERLINK("http://141.218.60.56/~jnz1568/getInfo.php?workbook=08_01.xlsx&amp;sheet=A0&amp;row=108&amp;col=20&amp;number=&amp;sourceID=12","")</f>
        <v/>
      </c>
      <c r="U108" s="4" t="str">
        <f>HYPERLINK("http://141.218.60.56/~jnz1568/getInfo.php?workbook=08_01.xlsx&amp;sheet=A0&amp;row=108&amp;col=21&amp;number=&amp;sourceID=30","")</f>
        <v/>
      </c>
      <c r="V108" s="4" t="str">
        <f>HYPERLINK("http://141.218.60.56/~jnz1568/getInfo.php?workbook=08_01.xlsx&amp;sheet=A0&amp;row=108&amp;col=22&amp;number=&amp;sourceID=30","")</f>
        <v/>
      </c>
      <c r="W108" s="4" t="str">
        <f>HYPERLINK("http://141.218.60.56/~jnz1568/getInfo.php?workbook=08_01.xlsx&amp;sheet=A0&amp;row=108&amp;col=23&amp;number=&amp;sourceID=30","")</f>
        <v/>
      </c>
      <c r="X108" s="4" t="str">
        <f>HYPERLINK("http://141.218.60.56/~jnz1568/getInfo.php?workbook=08_01.xlsx&amp;sheet=A0&amp;row=108&amp;col=24&amp;number=&amp;sourceID=30","")</f>
        <v/>
      </c>
      <c r="Y108" s="4" t="str">
        <f>HYPERLINK("http://141.218.60.56/~jnz1568/getInfo.php?workbook=08_01.xlsx&amp;sheet=A0&amp;row=108&amp;col=25&amp;number=&amp;sourceID=30","")</f>
        <v/>
      </c>
      <c r="Z108" s="4" t="str">
        <f>HYPERLINK("http://141.218.60.56/~jnz1568/getInfo.php?workbook=08_01.xlsx&amp;sheet=A0&amp;row=108&amp;col=26&amp;number==SUM(AA108:AE108)&amp;sourceID=13","=SUM(AA108:AE108)")</f>
        <v>=SUM(AA108:AE108)</v>
      </c>
      <c r="AA108" s="4" t="str">
        <f>HYPERLINK("http://141.218.60.56/~jnz1568/getInfo.php?workbook=08_01.xlsx&amp;sheet=A0&amp;row=108&amp;col=27&amp;number=&amp;sourceID=13","")</f>
        <v/>
      </c>
      <c r="AB108" s="4" t="str">
        <f>HYPERLINK("http://141.218.60.56/~jnz1568/getInfo.php?workbook=08_01.xlsx&amp;sheet=A0&amp;row=108&amp;col=28&amp;number=&amp;sourceID=13","")</f>
        <v/>
      </c>
      <c r="AC108" s="4" t="str">
        <f>HYPERLINK("http://141.218.60.56/~jnz1568/getInfo.php?workbook=08_01.xlsx&amp;sheet=A0&amp;row=108&amp;col=29&amp;number=18.9&amp;sourceID=13","18.9")</f>
        <v>18.9</v>
      </c>
      <c r="AD108" s="4" t="str">
        <f>HYPERLINK("http://141.218.60.56/~jnz1568/getInfo.php?workbook=08_01.xlsx&amp;sheet=A0&amp;row=108&amp;col=30&amp;number=&amp;sourceID=13","")</f>
        <v/>
      </c>
      <c r="AE108" s="4" t="str">
        <f>HYPERLINK("http://141.218.60.56/~jnz1568/getInfo.php?workbook=08_01.xlsx&amp;sheet=A0&amp;row=108&amp;col=31&amp;number=&amp;sourceID=13","")</f>
        <v/>
      </c>
      <c r="AF108" s="4" t="str">
        <f>HYPERLINK("http://141.218.60.56/~jnz1568/getInfo.php?workbook=08_01.xlsx&amp;sheet=A0&amp;row=108&amp;col=32&amp;number=&amp;sourceID=20","")</f>
        <v/>
      </c>
    </row>
    <row r="109" spans="1:32">
      <c r="A109" s="3">
        <v>8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HYPERLINK("http://141.218.60.56/~jnz1568/getInfo.php?workbook=08_01.xlsx&amp;sheet=A0&amp;row=109&amp;col=6&amp;number=&amp;sourceID=18","")</f>
        <v/>
      </c>
      <c r="G109" s="4" t="str">
        <f>HYPERLINK("http://141.218.60.56/~jnz1568/getInfo.php?workbook=08_01.xlsx&amp;sheet=A0&amp;row=109&amp;col=7&amp;number==&amp;sourceID=11","=")</f>
        <v>=</v>
      </c>
      <c r="H109" s="4" t="str">
        <f>HYPERLINK("http://141.218.60.56/~jnz1568/getInfo.php?workbook=08_01.xlsx&amp;sheet=A0&amp;row=109&amp;col=8&amp;number=&amp;sourceID=11","")</f>
        <v/>
      </c>
      <c r="I109" s="4" t="str">
        <f>HYPERLINK("http://141.218.60.56/~jnz1568/getInfo.php?workbook=08_01.xlsx&amp;sheet=A0&amp;row=109&amp;col=9&amp;number=&amp;sourceID=11","")</f>
        <v/>
      </c>
      <c r="J109" s="4" t="str">
        <f>HYPERLINK("http://141.218.60.56/~jnz1568/getInfo.php?workbook=08_01.xlsx&amp;sheet=A0&amp;row=109&amp;col=10&amp;number=2.265&amp;sourceID=11","2.265")</f>
        <v>2.265</v>
      </c>
      <c r="K109" s="4" t="str">
        <f>HYPERLINK("http://141.218.60.56/~jnz1568/getInfo.php?workbook=08_01.xlsx&amp;sheet=A0&amp;row=109&amp;col=11&amp;number=&amp;sourceID=11","")</f>
        <v/>
      </c>
      <c r="L109" s="4" t="str">
        <f>HYPERLINK("http://141.218.60.56/~jnz1568/getInfo.php?workbook=08_01.xlsx&amp;sheet=A0&amp;row=109&amp;col=12&amp;number=20.71&amp;sourceID=11","20.71")</f>
        <v>20.71</v>
      </c>
      <c r="M109" s="4" t="str">
        <f>HYPERLINK("http://141.218.60.56/~jnz1568/getInfo.php?workbook=08_01.xlsx&amp;sheet=A0&amp;row=109&amp;col=13&amp;number=&amp;sourceID=11","")</f>
        <v/>
      </c>
      <c r="N109" s="4" t="str">
        <f>HYPERLINK("http://141.218.60.56/~jnz1568/getInfo.php?workbook=08_01.xlsx&amp;sheet=A0&amp;row=109&amp;col=14&amp;number=22.976&amp;sourceID=12","22.976")</f>
        <v>22.976</v>
      </c>
      <c r="O109" s="4" t="str">
        <f>HYPERLINK("http://141.218.60.56/~jnz1568/getInfo.php?workbook=08_01.xlsx&amp;sheet=A0&amp;row=109&amp;col=15&amp;number=&amp;sourceID=12","")</f>
        <v/>
      </c>
      <c r="P109" s="4" t="str">
        <f>HYPERLINK("http://141.218.60.56/~jnz1568/getInfo.php?workbook=08_01.xlsx&amp;sheet=A0&amp;row=109&amp;col=16&amp;number=&amp;sourceID=12","")</f>
        <v/>
      </c>
      <c r="Q109" s="4" t="str">
        <f>HYPERLINK("http://141.218.60.56/~jnz1568/getInfo.php?workbook=08_01.xlsx&amp;sheet=A0&amp;row=109&amp;col=17&amp;number=2.2651&amp;sourceID=12","2.2651")</f>
        <v>2.2651</v>
      </c>
      <c r="R109" s="4" t="str">
        <f>HYPERLINK("http://141.218.60.56/~jnz1568/getInfo.php?workbook=08_01.xlsx&amp;sheet=A0&amp;row=109&amp;col=18&amp;number=&amp;sourceID=12","")</f>
        <v/>
      </c>
      <c r="S109" s="4" t="str">
        <f>HYPERLINK("http://141.218.60.56/~jnz1568/getInfo.php?workbook=08_01.xlsx&amp;sheet=A0&amp;row=109&amp;col=19&amp;number=20.711&amp;sourceID=12","20.711")</f>
        <v>20.711</v>
      </c>
      <c r="T109" s="4" t="str">
        <f>HYPERLINK("http://141.218.60.56/~jnz1568/getInfo.php?workbook=08_01.xlsx&amp;sheet=A0&amp;row=109&amp;col=20&amp;number=&amp;sourceID=12","")</f>
        <v/>
      </c>
      <c r="U109" s="4" t="str">
        <f>HYPERLINK("http://141.218.60.56/~jnz1568/getInfo.php?workbook=08_01.xlsx&amp;sheet=A0&amp;row=109&amp;col=21&amp;number=20.71&amp;sourceID=30","20.71")</f>
        <v>20.71</v>
      </c>
      <c r="V109" s="4" t="str">
        <f>HYPERLINK("http://141.218.60.56/~jnz1568/getInfo.php?workbook=08_01.xlsx&amp;sheet=A0&amp;row=109&amp;col=22&amp;number=&amp;sourceID=30","")</f>
        <v/>
      </c>
      <c r="W109" s="4" t="str">
        <f>HYPERLINK("http://141.218.60.56/~jnz1568/getInfo.php?workbook=08_01.xlsx&amp;sheet=A0&amp;row=109&amp;col=23&amp;number=&amp;sourceID=30","")</f>
        <v/>
      </c>
      <c r="X109" s="4" t="str">
        <f>HYPERLINK("http://141.218.60.56/~jnz1568/getInfo.php?workbook=08_01.xlsx&amp;sheet=A0&amp;row=109&amp;col=24&amp;number=&amp;sourceID=30","")</f>
        <v/>
      </c>
      <c r="Y109" s="4" t="str">
        <f>HYPERLINK("http://141.218.60.56/~jnz1568/getInfo.php?workbook=08_01.xlsx&amp;sheet=A0&amp;row=109&amp;col=25&amp;number=20.71&amp;sourceID=30","20.71")</f>
        <v>20.71</v>
      </c>
      <c r="Z109" s="4" t="str">
        <f>HYPERLINK("http://141.218.60.56/~jnz1568/getInfo.php?workbook=08_01.xlsx&amp;sheet=A0&amp;row=109&amp;col=26&amp;number==SUM(AA109:AE109)&amp;sourceID=13","=SUM(AA109:AE109)")</f>
        <v>=SUM(AA109:AE109)</v>
      </c>
      <c r="AA109" s="4" t="str">
        <f>HYPERLINK("http://141.218.60.56/~jnz1568/getInfo.php?workbook=08_01.xlsx&amp;sheet=A0&amp;row=109&amp;col=27&amp;number=&amp;sourceID=13","")</f>
        <v/>
      </c>
      <c r="AB109" s="4" t="str">
        <f>HYPERLINK("http://141.218.60.56/~jnz1568/getInfo.php?workbook=08_01.xlsx&amp;sheet=A0&amp;row=109&amp;col=28&amp;number=&amp;sourceID=13","")</f>
        <v/>
      </c>
      <c r="AC109" s="4" t="str">
        <f>HYPERLINK("http://141.218.60.56/~jnz1568/getInfo.php?workbook=08_01.xlsx&amp;sheet=A0&amp;row=109&amp;col=29&amp;number=5.09&amp;sourceID=13","5.09")</f>
        <v>5.09</v>
      </c>
      <c r="AD109" s="4" t="str">
        <f>HYPERLINK("http://141.218.60.56/~jnz1568/getInfo.php?workbook=08_01.xlsx&amp;sheet=A0&amp;row=109&amp;col=30&amp;number=&amp;sourceID=13","")</f>
        <v/>
      </c>
      <c r="AE109" s="4" t="str">
        <f>HYPERLINK("http://141.218.60.56/~jnz1568/getInfo.php?workbook=08_01.xlsx&amp;sheet=A0&amp;row=109&amp;col=31&amp;number=82.8&amp;sourceID=13","82.8")</f>
        <v>82.8</v>
      </c>
      <c r="AF109" s="4" t="str">
        <f>HYPERLINK("http://141.218.60.56/~jnz1568/getInfo.php?workbook=08_01.xlsx&amp;sheet=A0&amp;row=109&amp;col=32&amp;number=&amp;sourceID=20","")</f>
        <v/>
      </c>
    </row>
    <row r="110" spans="1:32">
      <c r="A110" s="3">
        <v>8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HYPERLINK("http://141.218.60.56/~jnz1568/getInfo.php?workbook=08_01.xlsx&amp;sheet=A0&amp;row=110&amp;col=6&amp;number=&amp;sourceID=18","")</f>
        <v/>
      </c>
      <c r="G110" s="4" t="str">
        <f>HYPERLINK("http://141.218.60.56/~jnz1568/getInfo.php?workbook=08_01.xlsx&amp;sheet=A0&amp;row=110&amp;col=7&amp;number==&amp;sourceID=11","=")</f>
        <v>=</v>
      </c>
      <c r="H110" s="4" t="str">
        <f>HYPERLINK("http://141.218.60.56/~jnz1568/getInfo.php?workbook=08_01.xlsx&amp;sheet=A0&amp;row=110&amp;col=8&amp;number=&amp;sourceID=11","")</f>
        <v/>
      </c>
      <c r="I110" s="4" t="str">
        <f>HYPERLINK("http://141.218.60.56/~jnz1568/getInfo.php?workbook=08_01.xlsx&amp;sheet=A0&amp;row=110&amp;col=9&amp;number=1519300&amp;sourceID=11","1519300")</f>
        <v>1519300</v>
      </c>
      <c r="J110" s="4" t="str">
        <f>HYPERLINK("http://141.218.60.56/~jnz1568/getInfo.php?workbook=08_01.xlsx&amp;sheet=A0&amp;row=110&amp;col=10&amp;number=&amp;sourceID=11","")</f>
        <v/>
      </c>
      <c r="K110" s="4" t="str">
        <f>HYPERLINK("http://141.218.60.56/~jnz1568/getInfo.php?workbook=08_01.xlsx&amp;sheet=A0&amp;row=110&amp;col=11&amp;number=&amp;sourceID=11","")</f>
        <v/>
      </c>
      <c r="L110" s="4" t="str">
        <f>HYPERLINK("http://141.218.60.56/~jnz1568/getInfo.php?workbook=08_01.xlsx&amp;sheet=A0&amp;row=110&amp;col=12&amp;number=&amp;sourceID=11","")</f>
        <v/>
      </c>
      <c r="M110" s="4" t="str">
        <f>HYPERLINK("http://141.218.60.56/~jnz1568/getInfo.php?workbook=08_01.xlsx&amp;sheet=A0&amp;row=110&amp;col=13&amp;number=0.0022364&amp;sourceID=11","0.0022364")</f>
        <v>0.0022364</v>
      </c>
      <c r="N110" s="4" t="str">
        <f>HYPERLINK("http://141.218.60.56/~jnz1568/getInfo.php?workbook=08_01.xlsx&amp;sheet=A0&amp;row=110&amp;col=14&amp;number=1519300&amp;sourceID=12","1519300")</f>
        <v>1519300</v>
      </c>
      <c r="O110" s="4" t="str">
        <f>HYPERLINK("http://141.218.60.56/~jnz1568/getInfo.php?workbook=08_01.xlsx&amp;sheet=A0&amp;row=110&amp;col=15&amp;number=&amp;sourceID=12","")</f>
        <v/>
      </c>
      <c r="P110" s="4" t="str">
        <f>HYPERLINK("http://141.218.60.56/~jnz1568/getInfo.php?workbook=08_01.xlsx&amp;sheet=A0&amp;row=110&amp;col=16&amp;number=1519300&amp;sourceID=12","1519300")</f>
        <v>1519300</v>
      </c>
      <c r="Q110" s="4" t="str">
        <f>HYPERLINK("http://141.218.60.56/~jnz1568/getInfo.php?workbook=08_01.xlsx&amp;sheet=A0&amp;row=110&amp;col=17&amp;number=&amp;sourceID=12","")</f>
        <v/>
      </c>
      <c r="R110" s="4" t="str">
        <f>HYPERLINK("http://141.218.60.56/~jnz1568/getInfo.php?workbook=08_01.xlsx&amp;sheet=A0&amp;row=110&amp;col=18&amp;number=&amp;sourceID=12","")</f>
        <v/>
      </c>
      <c r="S110" s="4" t="str">
        <f>HYPERLINK("http://141.218.60.56/~jnz1568/getInfo.php?workbook=08_01.xlsx&amp;sheet=A0&amp;row=110&amp;col=19&amp;number=&amp;sourceID=12","")</f>
        <v/>
      </c>
      <c r="T110" s="4" t="str">
        <f>HYPERLINK("http://141.218.60.56/~jnz1568/getInfo.php?workbook=08_01.xlsx&amp;sheet=A0&amp;row=110&amp;col=20&amp;number=0.0022364&amp;sourceID=12","0.0022364")</f>
        <v>0.0022364</v>
      </c>
      <c r="U110" s="4" t="str">
        <f>HYPERLINK("http://141.218.60.56/~jnz1568/getInfo.php?workbook=08_01.xlsx&amp;sheet=A0&amp;row=110&amp;col=21&amp;number=1519000&amp;sourceID=30","1519000")</f>
        <v>1519000</v>
      </c>
      <c r="V110" s="4" t="str">
        <f>HYPERLINK("http://141.218.60.56/~jnz1568/getInfo.php?workbook=08_01.xlsx&amp;sheet=A0&amp;row=110&amp;col=22&amp;number=&amp;sourceID=30","")</f>
        <v/>
      </c>
      <c r="W110" s="4" t="str">
        <f>HYPERLINK("http://141.218.60.56/~jnz1568/getInfo.php?workbook=08_01.xlsx&amp;sheet=A0&amp;row=110&amp;col=23&amp;number=1519000&amp;sourceID=30","1519000")</f>
        <v>1519000</v>
      </c>
      <c r="X110" s="4" t="str">
        <f>HYPERLINK("http://141.218.60.56/~jnz1568/getInfo.php?workbook=08_01.xlsx&amp;sheet=A0&amp;row=110&amp;col=24&amp;number=&amp;sourceID=30","")</f>
        <v/>
      </c>
      <c r="Y110" s="4" t="str">
        <f>HYPERLINK("http://141.218.60.56/~jnz1568/getInfo.php?workbook=08_01.xlsx&amp;sheet=A0&amp;row=110&amp;col=25&amp;number=&amp;sourceID=30","")</f>
        <v/>
      </c>
      <c r="Z110" s="4" t="str">
        <f>HYPERLINK("http://141.218.60.56/~jnz1568/getInfo.php?workbook=08_01.xlsx&amp;sheet=A0&amp;row=110&amp;col=26&amp;number==SUM(AA110:AE110)&amp;sourceID=13","=SUM(AA110:AE110)")</f>
        <v>=SUM(AA110:AE110)</v>
      </c>
      <c r="AA110" s="4" t="str">
        <f>HYPERLINK("http://141.218.60.56/~jnz1568/getInfo.php?workbook=08_01.xlsx&amp;sheet=A0&amp;row=110&amp;col=27&amp;number=&amp;sourceID=13","")</f>
        <v/>
      </c>
      <c r="AB110" s="4" t="str">
        <f>HYPERLINK("http://141.218.60.56/~jnz1568/getInfo.php?workbook=08_01.xlsx&amp;sheet=A0&amp;row=110&amp;col=28&amp;number=1520000&amp;sourceID=13","1520000")</f>
        <v>1520000</v>
      </c>
      <c r="AC110" s="4" t="str">
        <f>HYPERLINK("http://141.218.60.56/~jnz1568/getInfo.php?workbook=08_01.xlsx&amp;sheet=A0&amp;row=110&amp;col=29&amp;number=&amp;sourceID=13","")</f>
        <v/>
      </c>
      <c r="AD110" s="4" t="str">
        <f>HYPERLINK("http://141.218.60.56/~jnz1568/getInfo.php?workbook=08_01.xlsx&amp;sheet=A0&amp;row=110&amp;col=30&amp;number=&amp;sourceID=13","")</f>
        <v/>
      </c>
      <c r="AE110" s="4" t="str">
        <f>HYPERLINK("http://141.218.60.56/~jnz1568/getInfo.php?workbook=08_01.xlsx&amp;sheet=A0&amp;row=110&amp;col=31&amp;number=&amp;sourceID=13","")</f>
        <v/>
      </c>
      <c r="AF110" s="4" t="str">
        <f>HYPERLINK("http://141.218.60.56/~jnz1568/getInfo.php?workbook=08_01.xlsx&amp;sheet=A0&amp;row=110&amp;col=32&amp;number=&amp;sourceID=20","")</f>
        <v/>
      </c>
    </row>
    <row r="111" spans="1:32">
      <c r="A111" s="3">
        <v>8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HYPERLINK("http://141.218.60.56/~jnz1568/getInfo.php?workbook=08_01.xlsx&amp;sheet=A0&amp;row=111&amp;col=6&amp;number=&amp;sourceID=18","")</f>
        <v/>
      </c>
      <c r="G111" s="4" t="str">
        <f>HYPERLINK("http://141.218.60.56/~jnz1568/getInfo.php?workbook=08_01.xlsx&amp;sheet=A0&amp;row=111&amp;col=7&amp;number==&amp;sourceID=11","=")</f>
        <v>=</v>
      </c>
      <c r="H111" s="4" t="str">
        <f>HYPERLINK("http://141.218.60.56/~jnz1568/getInfo.php?workbook=08_01.xlsx&amp;sheet=A0&amp;row=111&amp;col=8&amp;number=56502000000&amp;sourceID=11","56502000000")</f>
        <v>56502000000</v>
      </c>
      <c r="I111" s="4" t="str">
        <f>HYPERLINK("http://141.218.60.56/~jnz1568/getInfo.php?workbook=08_01.xlsx&amp;sheet=A0&amp;row=111&amp;col=9&amp;number=&amp;sourceID=11","")</f>
        <v/>
      </c>
      <c r="J111" s="4" t="str">
        <f>HYPERLINK("http://141.218.60.56/~jnz1568/getInfo.php?workbook=08_01.xlsx&amp;sheet=A0&amp;row=111&amp;col=10&amp;number=6.7835&amp;sourceID=11","6.7835")</f>
        <v>6.7835</v>
      </c>
      <c r="K111" s="4" t="str">
        <f>HYPERLINK("http://141.218.60.56/~jnz1568/getInfo.php?workbook=08_01.xlsx&amp;sheet=A0&amp;row=111&amp;col=11&amp;number=&amp;sourceID=11","")</f>
        <v/>
      </c>
      <c r="L111" s="4" t="str">
        <f>HYPERLINK("http://141.218.60.56/~jnz1568/getInfo.php?workbook=08_01.xlsx&amp;sheet=A0&amp;row=111&amp;col=12&amp;number=142.5&amp;sourceID=11","142.5")</f>
        <v>142.5</v>
      </c>
      <c r="M111" s="4" t="str">
        <f>HYPERLINK("http://141.218.60.56/~jnz1568/getInfo.php?workbook=08_01.xlsx&amp;sheet=A0&amp;row=111&amp;col=13&amp;number=&amp;sourceID=11","")</f>
        <v/>
      </c>
      <c r="N111" s="4" t="str">
        <f>HYPERLINK("http://141.218.60.56/~jnz1568/getInfo.php?workbook=08_01.xlsx&amp;sheet=A0&amp;row=111&amp;col=14&amp;number=56504000000&amp;sourceID=12","56504000000")</f>
        <v>56504000000</v>
      </c>
      <c r="O111" s="4" t="str">
        <f>HYPERLINK("http://141.218.60.56/~jnz1568/getInfo.php?workbook=08_01.xlsx&amp;sheet=A0&amp;row=111&amp;col=15&amp;number=56504000000&amp;sourceID=12","56504000000")</f>
        <v>56504000000</v>
      </c>
      <c r="P111" s="4" t="str">
        <f>HYPERLINK("http://141.218.60.56/~jnz1568/getInfo.php?workbook=08_01.xlsx&amp;sheet=A0&amp;row=111&amp;col=16&amp;number=&amp;sourceID=12","")</f>
        <v/>
      </c>
      <c r="Q111" s="4" t="str">
        <f>HYPERLINK("http://141.218.60.56/~jnz1568/getInfo.php?workbook=08_01.xlsx&amp;sheet=A0&amp;row=111&amp;col=17&amp;number=6.7837&amp;sourceID=12","6.7837")</f>
        <v>6.7837</v>
      </c>
      <c r="R111" s="4" t="str">
        <f>HYPERLINK("http://141.218.60.56/~jnz1568/getInfo.php?workbook=08_01.xlsx&amp;sheet=A0&amp;row=111&amp;col=18&amp;number=&amp;sourceID=12","")</f>
        <v/>
      </c>
      <c r="S111" s="4" t="str">
        <f>HYPERLINK("http://141.218.60.56/~jnz1568/getInfo.php?workbook=08_01.xlsx&amp;sheet=A0&amp;row=111&amp;col=19&amp;number=142.51&amp;sourceID=12","142.51")</f>
        <v>142.51</v>
      </c>
      <c r="T111" s="4" t="str">
        <f>HYPERLINK("http://141.218.60.56/~jnz1568/getInfo.php?workbook=08_01.xlsx&amp;sheet=A0&amp;row=111&amp;col=20&amp;number=&amp;sourceID=12","")</f>
        <v/>
      </c>
      <c r="U111" s="4" t="str">
        <f>HYPERLINK("http://141.218.60.56/~jnz1568/getInfo.php?workbook=08_01.xlsx&amp;sheet=A0&amp;row=111&amp;col=21&amp;number=56500000142.5&amp;sourceID=30","56500000142.5")</f>
        <v>56500000142.5</v>
      </c>
      <c r="V111" s="4" t="str">
        <f>HYPERLINK("http://141.218.60.56/~jnz1568/getInfo.php?workbook=08_01.xlsx&amp;sheet=A0&amp;row=111&amp;col=22&amp;number=56500000000&amp;sourceID=30","56500000000")</f>
        <v>56500000000</v>
      </c>
      <c r="W111" s="4" t="str">
        <f>HYPERLINK("http://141.218.60.56/~jnz1568/getInfo.php?workbook=08_01.xlsx&amp;sheet=A0&amp;row=111&amp;col=23&amp;number=&amp;sourceID=30","")</f>
        <v/>
      </c>
      <c r="X111" s="4" t="str">
        <f>HYPERLINK("http://141.218.60.56/~jnz1568/getInfo.php?workbook=08_01.xlsx&amp;sheet=A0&amp;row=111&amp;col=24&amp;number=&amp;sourceID=30","")</f>
        <v/>
      </c>
      <c r="Y111" s="4" t="str">
        <f>HYPERLINK("http://141.218.60.56/~jnz1568/getInfo.php?workbook=08_01.xlsx&amp;sheet=A0&amp;row=111&amp;col=25&amp;number=142.5&amp;sourceID=30","142.5")</f>
        <v>142.5</v>
      </c>
      <c r="Z111" s="4" t="str">
        <f>HYPERLINK("http://141.218.60.56/~jnz1568/getInfo.php?workbook=08_01.xlsx&amp;sheet=A0&amp;row=111&amp;col=26&amp;number==SUM(AA111:AE111)&amp;sourceID=13","=SUM(AA111:AE111)")</f>
        <v>=SUM(AA111:AE111)</v>
      </c>
      <c r="AA111" s="4" t="str">
        <f>HYPERLINK("http://141.218.60.56/~jnz1568/getInfo.php?workbook=08_01.xlsx&amp;sheet=A0&amp;row=111&amp;col=27&amp;number=56500000000&amp;sourceID=13","56500000000")</f>
        <v>56500000000</v>
      </c>
      <c r="AB111" s="4" t="str">
        <f>HYPERLINK("http://141.218.60.56/~jnz1568/getInfo.php?workbook=08_01.xlsx&amp;sheet=A0&amp;row=111&amp;col=28&amp;number=&amp;sourceID=13","")</f>
        <v/>
      </c>
      <c r="AC111" s="4" t="str">
        <f>HYPERLINK("http://141.218.60.56/~jnz1568/getInfo.php?workbook=08_01.xlsx&amp;sheet=A0&amp;row=111&amp;col=29&amp;number=&amp;sourceID=13","")</f>
        <v/>
      </c>
      <c r="AD111" s="4" t="str">
        <f>HYPERLINK("http://141.218.60.56/~jnz1568/getInfo.php?workbook=08_01.xlsx&amp;sheet=A0&amp;row=111&amp;col=30&amp;number=&amp;sourceID=13","")</f>
        <v/>
      </c>
      <c r="AE111" s="4" t="str">
        <f>HYPERLINK("http://141.218.60.56/~jnz1568/getInfo.php?workbook=08_01.xlsx&amp;sheet=A0&amp;row=111&amp;col=31&amp;number=&amp;sourceID=13","")</f>
        <v/>
      </c>
      <c r="AF111" s="4" t="str">
        <f>HYPERLINK("http://141.218.60.56/~jnz1568/getInfo.php?workbook=08_01.xlsx&amp;sheet=A0&amp;row=111&amp;col=32&amp;number=&amp;sourceID=20","")</f>
        <v/>
      </c>
    </row>
    <row r="112" spans="1:32">
      <c r="A112" s="3">
        <v>8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HYPERLINK("http://141.218.60.56/~jnz1568/getInfo.php?workbook=08_01.xlsx&amp;sheet=A0&amp;row=112&amp;col=6&amp;number=&amp;sourceID=18","")</f>
        <v/>
      </c>
      <c r="G112" s="4" t="str">
        <f>HYPERLINK("http://141.218.60.56/~jnz1568/getInfo.php?workbook=08_01.xlsx&amp;sheet=A0&amp;row=112&amp;col=7&amp;number==&amp;sourceID=11","=")</f>
        <v>=</v>
      </c>
      <c r="H112" s="4" t="str">
        <f>HYPERLINK("http://141.218.60.56/~jnz1568/getInfo.php?workbook=08_01.xlsx&amp;sheet=A0&amp;row=112&amp;col=8&amp;number=&amp;sourceID=11","")</f>
        <v/>
      </c>
      <c r="I112" s="4" t="str">
        <f>HYPERLINK("http://141.218.60.56/~jnz1568/getInfo.php?workbook=08_01.xlsx&amp;sheet=A0&amp;row=112&amp;col=9&amp;number=&amp;sourceID=11","")</f>
        <v/>
      </c>
      <c r="J112" s="4" t="str">
        <f>HYPERLINK("http://141.218.60.56/~jnz1568/getInfo.php?workbook=08_01.xlsx&amp;sheet=A0&amp;row=112&amp;col=10&amp;number=&amp;sourceID=11","")</f>
        <v/>
      </c>
      <c r="K112" s="4" t="str">
        <f>HYPERLINK("http://141.218.60.56/~jnz1568/getInfo.php?workbook=08_01.xlsx&amp;sheet=A0&amp;row=112&amp;col=11&amp;number=&amp;sourceID=11","")</f>
        <v/>
      </c>
      <c r="L112" s="4" t="str">
        <f>HYPERLINK("http://141.218.60.56/~jnz1568/getInfo.php?workbook=08_01.xlsx&amp;sheet=A0&amp;row=112&amp;col=12&amp;number=&amp;sourceID=11","")</f>
        <v/>
      </c>
      <c r="M112" s="4" t="str">
        <f>HYPERLINK("http://141.218.60.56/~jnz1568/getInfo.php?workbook=08_01.xlsx&amp;sheet=A0&amp;row=112&amp;col=13&amp;number=0&amp;sourceID=11","0")</f>
        <v>0</v>
      </c>
      <c r="N112" s="4" t="str">
        <f>HYPERLINK("http://141.218.60.56/~jnz1568/getInfo.php?workbook=08_01.xlsx&amp;sheet=A0&amp;row=112&amp;col=14&amp;number=0&amp;sourceID=12","0")</f>
        <v>0</v>
      </c>
      <c r="O112" s="4" t="str">
        <f>HYPERLINK("http://141.218.60.56/~jnz1568/getInfo.php?workbook=08_01.xlsx&amp;sheet=A0&amp;row=112&amp;col=15&amp;number=&amp;sourceID=12","")</f>
        <v/>
      </c>
      <c r="P112" s="4" t="str">
        <f>HYPERLINK("http://141.218.60.56/~jnz1568/getInfo.php?workbook=08_01.xlsx&amp;sheet=A0&amp;row=112&amp;col=16&amp;number=&amp;sourceID=12","")</f>
        <v/>
      </c>
      <c r="Q112" s="4" t="str">
        <f>HYPERLINK("http://141.218.60.56/~jnz1568/getInfo.php?workbook=08_01.xlsx&amp;sheet=A0&amp;row=112&amp;col=17&amp;number=&amp;sourceID=12","")</f>
        <v/>
      </c>
      <c r="R112" s="4" t="str">
        <f>HYPERLINK("http://141.218.60.56/~jnz1568/getInfo.php?workbook=08_01.xlsx&amp;sheet=A0&amp;row=112&amp;col=18&amp;number=&amp;sourceID=12","")</f>
        <v/>
      </c>
      <c r="S112" s="4" t="str">
        <f>HYPERLINK("http://141.218.60.56/~jnz1568/getInfo.php?workbook=08_01.xlsx&amp;sheet=A0&amp;row=112&amp;col=19&amp;number=&amp;sourceID=12","")</f>
        <v/>
      </c>
      <c r="T112" s="4" t="str">
        <f>HYPERLINK("http://141.218.60.56/~jnz1568/getInfo.php?workbook=08_01.xlsx&amp;sheet=A0&amp;row=112&amp;col=20&amp;number=0&amp;sourceID=12","0")</f>
        <v>0</v>
      </c>
      <c r="U112" s="4" t="str">
        <f>HYPERLINK("http://141.218.60.56/~jnz1568/getInfo.php?workbook=08_01.xlsx&amp;sheet=A0&amp;row=112&amp;col=21&amp;number=&amp;sourceID=30","")</f>
        <v/>
      </c>
      <c r="V112" s="4" t="str">
        <f>HYPERLINK("http://141.218.60.56/~jnz1568/getInfo.php?workbook=08_01.xlsx&amp;sheet=A0&amp;row=112&amp;col=22&amp;number=&amp;sourceID=30","")</f>
        <v/>
      </c>
      <c r="W112" s="4" t="str">
        <f>HYPERLINK("http://141.218.60.56/~jnz1568/getInfo.php?workbook=08_01.xlsx&amp;sheet=A0&amp;row=112&amp;col=23&amp;number=&amp;sourceID=30","")</f>
        <v/>
      </c>
      <c r="X112" s="4" t="str">
        <f>HYPERLINK("http://141.218.60.56/~jnz1568/getInfo.php?workbook=08_01.xlsx&amp;sheet=A0&amp;row=112&amp;col=24&amp;number=&amp;sourceID=30","")</f>
        <v/>
      </c>
      <c r="Y112" s="4" t="str">
        <f>HYPERLINK("http://141.218.60.56/~jnz1568/getInfo.php?workbook=08_01.xlsx&amp;sheet=A0&amp;row=112&amp;col=25&amp;number=&amp;sourceID=30","")</f>
        <v/>
      </c>
      <c r="Z112" s="4" t="str">
        <f>HYPERLINK("http://141.218.60.56/~jnz1568/getInfo.php?workbook=08_01.xlsx&amp;sheet=A0&amp;row=112&amp;col=26&amp;number=&amp;sourceID=13","")</f>
        <v/>
      </c>
      <c r="AA112" s="4" t="str">
        <f>HYPERLINK("http://141.218.60.56/~jnz1568/getInfo.php?workbook=08_01.xlsx&amp;sheet=A0&amp;row=112&amp;col=27&amp;number=&amp;sourceID=13","")</f>
        <v/>
      </c>
      <c r="AB112" s="4" t="str">
        <f>HYPERLINK("http://141.218.60.56/~jnz1568/getInfo.php?workbook=08_01.xlsx&amp;sheet=A0&amp;row=112&amp;col=28&amp;number=&amp;sourceID=13","")</f>
        <v/>
      </c>
      <c r="AC112" s="4" t="str">
        <f>HYPERLINK("http://141.218.60.56/~jnz1568/getInfo.php?workbook=08_01.xlsx&amp;sheet=A0&amp;row=112&amp;col=29&amp;number=&amp;sourceID=13","")</f>
        <v/>
      </c>
      <c r="AD112" s="4" t="str">
        <f>HYPERLINK("http://141.218.60.56/~jnz1568/getInfo.php?workbook=08_01.xlsx&amp;sheet=A0&amp;row=112&amp;col=30&amp;number=&amp;sourceID=13","")</f>
        <v/>
      </c>
      <c r="AE112" s="4" t="str">
        <f>HYPERLINK("http://141.218.60.56/~jnz1568/getInfo.php?workbook=08_01.xlsx&amp;sheet=A0&amp;row=112&amp;col=31&amp;number=&amp;sourceID=13","")</f>
        <v/>
      </c>
      <c r="AF112" s="4" t="str">
        <f>HYPERLINK("http://141.218.60.56/~jnz1568/getInfo.php?workbook=08_01.xlsx&amp;sheet=A0&amp;row=112&amp;col=32&amp;number=&amp;sourceID=20","")</f>
        <v/>
      </c>
    </row>
    <row r="113" spans="1:32">
      <c r="A113" s="3">
        <v>8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HYPERLINK("http://141.218.60.56/~jnz1568/getInfo.php?workbook=08_01.xlsx&amp;sheet=A0&amp;row=113&amp;col=6&amp;number=&amp;sourceID=18","")</f>
        <v/>
      </c>
      <c r="G113" s="4" t="str">
        <f>HYPERLINK("http://141.218.60.56/~jnz1568/getInfo.php?workbook=08_01.xlsx&amp;sheet=A0&amp;row=113&amp;col=7&amp;number==&amp;sourceID=11","=")</f>
        <v>=</v>
      </c>
      <c r="H113" s="4" t="str">
        <f>HYPERLINK("http://141.218.60.56/~jnz1568/getInfo.php?workbook=08_01.xlsx&amp;sheet=A0&amp;row=113&amp;col=8&amp;number=&amp;sourceID=11","")</f>
        <v/>
      </c>
      <c r="I113" s="4" t="str">
        <f>HYPERLINK("http://141.218.60.56/~jnz1568/getInfo.php?workbook=08_01.xlsx&amp;sheet=A0&amp;row=113&amp;col=9&amp;number=&amp;sourceID=11","")</f>
        <v/>
      </c>
      <c r="J113" s="4" t="str">
        <f>HYPERLINK("http://141.218.60.56/~jnz1568/getInfo.php?workbook=08_01.xlsx&amp;sheet=A0&amp;row=113&amp;col=10&amp;number=0&amp;sourceID=11","0")</f>
        <v>0</v>
      </c>
      <c r="K113" s="4" t="str">
        <f>HYPERLINK("http://141.218.60.56/~jnz1568/getInfo.php?workbook=08_01.xlsx&amp;sheet=A0&amp;row=113&amp;col=11&amp;number=&amp;sourceID=11","")</f>
        <v/>
      </c>
      <c r="L113" s="4" t="str">
        <f>HYPERLINK("http://141.218.60.56/~jnz1568/getInfo.php?workbook=08_01.xlsx&amp;sheet=A0&amp;row=113&amp;col=12&amp;number=&amp;sourceID=11","")</f>
        <v/>
      </c>
      <c r="M113" s="4" t="str">
        <f>HYPERLINK("http://141.218.60.56/~jnz1568/getInfo.php?workbook=08_01.xlsx&amp;sheet=A0&amp;row=113&amp;col=13&amp;number=&amp;sourceID=11","")</f>
        <v/>
      </c>
      <c r="N113" s="4" t="str">
        <f>HYPERLINK("http://141.218.60.56/~jnz1568/getInfo.php?workbook=08_01.xlsx&amp;sheet=A0&amp;row=113&amp;col=14&amp;number=0&amp;sourceID=12","0")</f>
        <v>0</v>
      </c>
      <c r="O113" s="4" t="str">
        <f>HYPERLINK("http://141.218.60.56/~jnz1568/getInfo.php?workbook=08_01.xlsx&amp;sheet=A0&amp;row=113&amp;col=15&amp;number=&amp;sourceID=12","")</f>
        <v/>
      </c>
      <c r="P113" s="4" t="str">
        <f>HYPERLINK("http://141.218.60.56/~jnz1568/getInfo.php?workbook=08_01.xlsx&amp;sheet=A0&amp;row=113&amp;col=16&amp;number=&amp;sourceID=12","")</f>
        <v/>
      </c>
      <c r="Q113" s="4" t="str">
        <f>HYPERLINK("http://141.218.60.56/~jnz1568/getInfo.php?workbook=08_01.xlsx&amp;sheet=A0&amp;row=113&amp;col=17&amp;number=0&amp;sourceID=12","0")</f>
        <v>0</v>
      </c>
      <c r="R113" s="4" t="str">
        <f>HYPERLINK("http://141.218.60.56/~jnz1568/getInfo.php?workbook=08_01.xlsx&amp;sheet=A0&amp;row=113&amp;col=18&amp;number=&amp;sourceID=12","")</f>
        <v/>
      </c>
      <c r="S113" s="4" t="str">
        <f>HYPERLINK("http://141.218.60.56/~jnz1568/getInfo.php?workbook=08_01.xlsx&amp;sheet=A0&amp;row=113&amp;col=19&amp;number=&amp;sourceID=12","")</f>
        <v/>
      </c>
      <c r="T113" s="4" t="str">
        <f>HYPERLINK("http://141.218.60.56/~jnz1568/getInfo.php?workbook=08_01.xlsx&amp;sheet=A0&amp;row=113&amp;col=20&amp;number=&amp;sourceID=12","")</f>
        <v/>
      </c>
      <c r="U113" s="4" t="str">
        <f>HYPERLINK("http://141.218.60.56/~jnz1568/getInfo.php?workbook=08_01.xlsx&amp;sheet=A0&amp;row=113&amp;col=21&amp;number=&amp;sourceID=30","")</f>
        <v/>
      </c>
      <c r="V113" s="4" t="str">
        <f>HYPERLINK("http://141.218.60.56/~jnz1568/getInfo.php?workbook=08_01.xlsx&amp;sheet=A0&amp;row=113&amp;col=22&amp;number=&amp;sourceID=30","")</f>
        <v/>
      </c>
      <c r="W113" s="4" t="str">
        <f>HYPERLINK("http://141.218.60.56/~jnz1568/getInfo.php?workbook=08_01.xlsx&amp;sheet=A0&amp;row=113&amp;col=23&amp;number=&amp;sourceID=30","")</f>
        <v/>
      </c>
      <c r="X113" s="4" t="str">
        <f>HYPERLINK("http://141.218.60.56/~jnz1568/getInfo.php?workbook=08_01.xlsx&amp;sheet=A0&amp;row=113&amp;col=24&amp;number=&amp;sourceID=30","")</f>
        <v/>
      </c>
      <c r="Y113" s="4" t="str">
        <f>HYPERLINK("http://141.218.60.56/~jnz1568/getInfo.php?workbook=08_01.xlsx&amp;sheet=A0&amp;row=113&amp;col=25&amp;number=&amp;sourceID=30","")</f>
        <v/>
      </c>
      <c r="Z113" s="4" t="str">
        <f>HYPERLINK("http://141.218.60.56/~jnz1568/getInfo.php?workbook=08_01.xlsx&amp;sheet=A0&amp;row=113&amp;col=26&amp;number=&amp;sourceID=13","")</f>
        <v/>
      </c>
      <c r="AA113" s="4" t="str">
        <f>HYPERLINK("http://141.218.60.56/~jnz1568/getInfo.php?workbook=08_01.xlsx&amp;sheet=A0&amp;row=113&amp;col=27&amp;number=&amp;sourceID=13","")</f>
        <v/>
      </c>
      <c r="AB113" s="4" t="str">
        <f>HYPERLINK("http://141.218.60.56/~jnz1568/getInfo.php?workbook=08_01.xlsx&amp;sheet=A0&amp;row=113&amp;col=28&amp;number=&amp;sourceID=13","")</f>
        <v/>
      </c>
      <c r="AC113" s="4" t="str">
        <f>HYPERLINK("http://141.218.60.56/~jnz1568/getInfo.php?workbook=08_01.xlsx&amp;sheet=A0&amp;row=113&amp;col=29&amp;number=&amp;sourceID=13","")</f>
        <v/>
      </c>
      <c r="AD113" s="4" t="str">
        <f>HYPERLINK("http://141.218.60.56/~jnz1568/getInfo.php?workbook=08_01.xlsx&amp;sheet=A0&amp;row=113&amp;col=30&amp;number=&amp;sourceID=13","")</f>
        <v/>
      </c>
      <c r="AE113" s="4" t="str">
        <f>HYPERLINK("http://141.218.60.56/~jnz1568/getInfo.php?workbook=08_01.xlsx&amp;sheet=A0&amp;row=113&amp;col=31&amp;number=&amp;sourceID=13","")</f>
        <v/>
      </c>
      <c r="AF113" s="4" t="str">
        <f>HYPERLINK("http://141.218.60.56/~jnz1568/getInfo.php?workbook=08_01.xlsx&amp;sheet=A0&amp;row=113&amp;col=32&amp;number=&amp;sourceID=20","")</f>
        <v/>
      </c>
    </row>
    <row r="114" spans="1:32">
      <c r="A114" s="3">
        <v>8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HYPERLINK("http://141.218.60.56/~jnz1568/getInfo.php?workbook=08_01.xlsx&amp;sheet=A0&amp;row=114&amp;col=6&amp;number=&amp;sourceID=18","")</f>
        <v/>
      </c>
      <c r="G114" s="4" t="str">
        <f>HYPERLINK("http://141.218.60.56/~jnz1568/getInfo.php?workbook=08_01.xlsx&amp;sheet=A0&amp;row=114&amp;col=7&amp;number==&amp;sourceID=11","=")</f>
        <v>=</v>
      </c>
      <c r="H114" s="4" t="str">
        <f>HYPERLINK("http://141.218.60.56/~jnz1568/getInfo.php?workbook=08_01.xlsx&amp;sheet=A0&amp;row=114&amp;col=8&amp;number=&amp;sourceID=11","")</f>
        <v/>
      </c>
      <c r="I114" s="4" t="str">
        <f>HYPERLINK("http://141.218.60.56/~jnz1568/getInfo.php?workbook=08_01.xlsx&amp;sheet=A0&amp;row=114&amp;col=9&amp;number=&amp;sourceID=11","")</f>
        <v/>
      </c>
      <c r="J114" s="4" t="str">
        <f>HYPERLINK("http://141.218.60.56/~jnz1568/getInfo.php?workbook=08_01.xlsx&amp;sheet=A0&amp;row=114&amp;col=10&amp;number=0&amp;sourceID=11","0")</f>
        <v>0</v>
      </c>
      <c r="K114" s="4" t="str">
        <f>HYPERLINK("http://141.218.60.56/~jnz1568/getInfo.php?workbook=08_01.xlsx&amp;sheet=A0&amp;row=114&amp;col=11&amp;number=&amp;sourceID=11","")</f>
        <v/>
      </c>
      <c r="L114" s="4" t="str">
        <f>HYPERLINK("http://141.218.60.56/~jnz1568/getInfo.php?workbook=08_01.xlsx&amp;sheet=A0&amp;row=114&amp;col=12&amp;number=0&amp;sourceID=11","0")</f>
        <v>0</v>
      </c>
      <c r="M114" s="4" t="str">
        <f>HYPERLINK("http://141.218.60.56/~jnz1568/getInfo.php?workbook=08_01.xlsx&amp;sheet=A0&amp;row=114&amp;col=13&amp;number=&amp;sourceID=11","")</f>
        <v/>
      </c>
      <c r="N114" s="4" t="str">
        <f>HYPERLINK("http://141.218.60.56/~jnz1568/getInfo.php?workbook=08_01.xlsx&amp;sheet=A0&amp;row=114&amp;col=14&amp;number=0&amp;sourceID=12","0")</f>
        <v>0</v>
      </c>
      <c r="O114" s="4" t="str">
        <f>HYPERLINK("http://141.218.60.56/~jnz1568/getInfo.php?workbook=08_01.xlsx&amp;sheet=A0&amp;row=114&amp;col=15&amp;number=&amp;sourceID=12","")</f>
        <v/>
      </c>
      <c r="P114" s="4" t="str">
        <f>HYPERLINK("http://141.218.60.56/~jnz1568/getInfo.php?workbook=08_01.xlsx&amp;sheet=A0&amp;row=114&amp;col=16&amp;number=&amp;sourceID=12","")</f>
        <v/>
      </c>
      <c r="Q114" s="4" t="str">
        <f>HYPERLINK("http://141.218.60.56/~jnz1568/getInfo.php?workbook=08_01.xlsx&amp;sheet=A0&amp;row=114&amp;col=17&amp;number=0&amp;sourceID=12","0")</f>
        <v>0</v>
      </c>
      <c r="R114" s="4" t="str">
        <f>HYPERLINK("http://141.218.60.56/~jnz1568/getInfo.php?workbook=08_01.xlsx&amp;sheet=A0&amp;row=114&amp;col=18&amp;number=&amp;sourceID=12","")</f>
        <v/>
      </c>
      <c r="S114" s="4" t="str">
        <f>HYPERLINK("http://141.218.60.56/~jnz1568/getInfo.php?workbook=08_01.xlsx&amp;sheet=A0&amp;row=114&amp;col=19&amp;number=0&amp;sourceID=12","0")</f>
        <v>0</v>
      </c>
      <c r="T114" s="4" t="str">
        <f>HYPERLINK("http://141.218.60.56/~jnz1568/getInfo.php?workbook=08_01.xlsx&amp;sheet=A0&amp;row=114&amp;col=20&amp;number=&amp;sourceID=12","")</f>
        <v/>
      </c>
      <c r="U114" s="4" t="str">
        <f>HYPERLINK("http://141.218.60.56/~jnz1568/getInfo.php?workbook=08_01.xlsx&amp;sheet=A0&amp;row=114&amp;col=21&amp;number=0&amp;sourceID=30","0")</f>
        <v>0</v>
      </c>
      <c r="V114" s="4" t="str">
        <f>HYPERLINK("http://141.218.60.56/~jnz1568/getInfo.php?workbook=08_01.xlsx&amp;sheet=A0&amp;row=114&amp;col=22&amp;number=&amp;sourceID=30","")</f>
        <v/>
      </c>
      <c r="W114" s="4" t="str">
        <f>HYPERLINK("http://141.218.60.56/~jnz1568/getInfo.php?workbook=08_01.xlsx&amp;sheet=A0&amp;row=114&amp;col=23&amp;number=&amp;sourceID=30","")</f>
        <v/>
      </c>
      <c r="X114" s="4" t="str">
        <f>HYPERLINK("http://141.218.60.56/~jnz1568/getInfo.php?workbook=08_01.xlsx&amp;sheet=A0&amp;row=114&amp;col=24&amp;number=&amp;sourceID=30","")</f>
        <v/>
      </c>
      <c r="Y114" s="4" t="str">
        <f>HYPERLINK("http://141.218.60.56/~jnz1568/getInfo.php?workbook=08_01.xlsx&amp;sheet=A0&amp;row=114&amp;col=25&amp;number=0&amp;sourceID=30","0")</f>
        <v>0</v>
      </c>
      <c r="Z114" s="4" t="str">
        <f>HYPERLINK("http://141.218.60.56/~jnz1568/getInfo.php?workbook=08_01.xlsx&amp;sheet=A0&amp;row=114&amp;col=26&amp;number=&amp;sourceID=13","")</f>
        <v/>
      </c>
      <c r="AA114" s="4" t="str">
        <f>HYPERLINK("http://141.218.60.56/~jnz1568/getInfo.php?workbook=08_01.xlsx&amp;sheet=A0&amp;row=114&amp;col=27&amp;number=&amp;sourceID=13","")</f>
        <v/>
      </c>
      <c r="AB114" s="4" t="str">
        <f>HYPERLINK("http://141.218.60.56/~jnz1568/getInfo.php?workbook=08_01.xlsx&amp;sheet=A0&amp;row=114&amp;col=28&amp;number=&amp;sourceID=13","")</f>
        <v/>
      </c>
      <c r="AC114" s="4" t="str">
        <f>HYPERLINK("http://141.218.60.56/~jnz1568/getInfo.php?workbook=08_01.xlsx&amp;sheet=A0&amp;row=114&amp;col=29&amp;number=&amp;sourceID=13","")</f>
        <v/>
      </c>
      <c r="AD114" s="4" t="str">
        <f>HYPERLINK("http://141.218.60.56/~jnz1568/getInfo.php?workbook=08_01.xlsx&amp;sheet=A0&amp;row=114&amp;col=30&amp;number=&amp;sourceID=13","")</f>
        <v/>
      </c>
      <c r="AE114" s="4" t="str">
        <f>HYPERLINK("http://141.218.60.56/~jnz1568/getInfo.php?workbook=08_01.xlsx&amp;sheet=A0&amp;row=114&amp;col=31&amp;number=&amp;sourceID=13","")</f>
        <v/>
      </c>
      <c r="AF114" s="4" t="str">
        <f>HYPERLINK("http://141.218.60.56/~jnz1568/getInfo.php?workbook=08_01.xlsx&amp;sheet=A0&amp;row=114&amp;col=32&amp;number=&amp;sourceID=20","")</f>
        <v/>
      </c>
    </row>
    <row r="115" spans="1:32">
      <c r="A115" s="3">
        <v>8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HYPERLINK("http://141.218.60.56/~jnz1568/getInfo.php?workbook=08_01.xlsx&amp;sheet=A0&amp;row=115&amp;col=6&amp;number=&amp;sourceID=18","")</f>
        <v/>
      </c>
      <c r="G115" s="4" t="str">
        <f>HYPERLINK("http://141.218.60.56/~jnz1568/getInfo.php?workbook=08_01.xlsx&amp;sheet=A0&amp;row=115&amp;col=7&amp;number==&amp;sourceID=11","=")</f>
        <v>=</v>
      </c>
      <c r="H115" s="4" t="str">
        <f>HYPERLINK("http://141.218.60.56/~jnz1568/getInfo.php?workbook=08_01.xlsx&amp;sheet=A0&amp;row=115&amp;col=8&amp;number=&amp;sourceID=11","")</f>
        <v/>
      </c>
      <c r="I115" s="4" t="str">
        <f>HYPERLINK("http://141.218.60.56/~jnz1568/getInfo.php?workbook=08_01.xlsx&amp;sheet=A0&amp;row=115&amp;col=9&amp;number=6.768e-12&amp;sourceID=11","6.768e-12")</f>
        <v>6.768e-12</v>
      </c>
      <c r="J115" s="4" t="str">
        <f>HYPERLINK("http://141.218.60.56/~jnz1568/getInfo.php?workbook=08_01.xlsx&amp;sheet=A0&amp;row=115&amp;col=10&amp;number=&amp;sourceID=11","")</f>
        <v/>
      </c>
      <c r="K115" s="4" t="str">
        <f>HYPERLINK("http://141.218.60.56/~jnz1568/getInfo.php?workbook=08_01.xlsx&amp;sheet=A0&amp;row=115&amp;col=11&amp;number=&amp;sourceID=11","")</f>
        <v/>
      </c>
      <c r="L115" s="4" t="str">
        <f>HYPERLINK("http://141.218.60.56/~jnz1568/getInfo.php?workbook=08_01.xlsx&amp;sheet=A0&amp;row=115&amp;col=12&amp;number=&amp;sourceID=11","")</f>
        <v/>
      </c>
      <c r="M115" s="4" t="str">
        <f>HYPERLINK("http://141.218.60.56/~jnz1568/getInfo.php?workbook=08_01.xlsx&amp;sheet=A0&amp;row=115&amp;col=13&amp;number=0&amp;sourceID=11","0")</f>
        <v>0</v>
      </c>
      <c r="N115" s="4" t="str">
        <f>HYPERLINK("http://141.218.60.56/~jnz1568/getInfo.php?workbook=08_01.xlsx&amp;sheet=A0&amp;row=115&amp;col=14&amp;number=6.769e-12&amp;sourceID=12","6.769e-12")</f>
        <v>6.769e-12</v>
      </c>
      <c r="O115" s="4" t="str">
        <f>HYPERLINK("http://141.218.60.56/~jnz1568/getInfo.php?workbook=08_01.xlsx&amp;sheet=A0&amp;row=115&amp;col=15&amp;number=&amp;sourceID=12","")</f>
        <v/>
      </c>
      <c r="P115" s="4" t="str">
        <f>HYPERLINK("http://141.218.60.56/~jnz1568/getInfo.php?workbook=08_01.xlsx&amp;sheet=A0&amp;row=115&amp;col=16&amp;number=6.769e-12&amp;sourceID=12","6.769e-12")</f>
        <v>6.769e-12</v>
      </c>
      <c r="Q115" s="4" t="str">
        <f>HYPERLINK("http://141.218.60.56/~jnz1568/getInfo.php?workbook=08_01.xlsx&amp;sheet=A0&amp;row=115&amp;col=17&amp;number=&amp;sourceID=12","")</f>
        <v/>
      </c>
      <c r="R115" s="4" t="str">
        <f>HYPERLINK("http://141.218.60.56/~jnz1568/getInfo.php?workbook=08_01.xlsx&amp;sheet=A0&amp;row=115&amp;col=18&amp;number=&amp;sourceID=12","")</f>
        <v/>
      </c>
      <c r="S115" s="4" t="str">
        <f>HYPERLINK("http://141.218.60.56/~jnz1568/getInfo.php?workbook=08_01.xlsx&amp;sheet=A0&amp;row=115&amp;col=19&amp;number=&amp;sourceID=12","")</f>
        <v/>
      </c>
      <c r="T115" s="4" t="str">
        <f>HYPERLINK("http://141.218.60.56/~jnz1568/getInfo.php?workbook=08_01.xlsx&amp;sheet=A0&amp;row=115&amp;col=20&amp;number=0&amp;sourceID=12","0")</f>
        <v>0</v>
      </c>
      <c r="U115" s="4" t="str">
        <f>HYPERLINK("http://141.218.60.56/~jnz1568/getInfo.php?workbook=08_01.xlsx&amp;sheet=A0&amp;row=115&amp;col=21&amp;number=6.769e-12&amp;sourceID=30","6.769e-12")</f>
        <v>6.769e-12</v>
      </c>
      <c r="V115" s="4" t="str">
        <f>HYPERLINK("http://141.218.60.56/~jnz1568/getInfo.php?workbook=08_01.xlsx&amp;sheet=A0&amp;row=115&amp;col=22&amp;number=&amp;sourceID=30","")</f>
        <v/>
      </c>
      <c r="W115" s="4" t="str">
        <f>HYPERLINK("http://141.218.60.56/~jnz1568/getInfo.php?workbook=08_01.xlsx&amp;sheet=A0&amp;row=115&amp;col=23&amp;number=6.769e-12&amp;sourceID=30","6.769e-12")</f>
        <v>6.769e-12</v>
      </c>
      <c r="X115" s="4" t="str">
        <f>HYPERLINK("http://141.218.60.56/~jnz1568/getInfo.php?workbook=08_01.xlsx&amp;sheet=A0&amp;row=115&amp;col=24&amp;number=&amp;sourceID=30","")</f>
        <v/>
      </c>
      <c r="Y115" s="4" t="str">
        <f>HYPERLINK("http://141.218.60.56/~jnz1568/getInfo.php?workbook=08_01.xlsx&amp;sheet=A0&amp;row=115&amp;col=25&amp;number=&amp;sourceID=30","")</f>
        <v/>
      </c>
      <c r="Z115" s="4" t="str">
        <f>HYPERLINK("http://141.218.60.56/~jnz1568/getInfo.php?workbook=08_01.xlsx&amp;sheet=A0&amp;row=115&amp;col=26&amp;number=&amp;sourceID=13","")</f>
        <v/>
      </c>
      <c r="AA115" s="4" t="str">
        <f>HYPERLINK("http://141.218.60.56/~jnz1568/getInfo.php?workbook=08_01.xlsx&amp;sheet=A0&amp;row=115&amp;col=27&amp;number=&amp;sourceID=13","")</f>
        <v/>
      </c>
      <c r="AB115" s="4" t="str">
        <f>HYPERLINK("http://141.218.60.56/~jnz1568/getInfo.php?workbook=08_01.xlsx&amp;sheet=A0&amp;row=115&amp;col=28&amp;number=&amp;sourceID=13","")</f>
        <v/>
      </c>
      <c r="AC115" s="4" t="str">
        <f>HYPERLINK("http://141.218.60.56/~jnz1568/getInfo.php?workbook=08_01.xlsx&amp;sheet=A0&amp;row=115&amp;col=29&amp;number=&amp;sourceID=13","")</f>
        <v/>
      </c>
      <c r="AD115" s="4" t="str">
        <f>HYPERLINK("http://141.218.60.56/~jnz1568/getInfo.php?workbook=08_01.xlsx&amp;sheet=A0&amp;row=115&amp;col=30&amp;number=&amp;sourceID=13","")</f>
        <v/>
      </c>
      <c r="AE115" s="4" t="str">
        <f>HYPERLINK("http://141.218.60.56/~jnz1568/getInfo.php?workbook=08_01.xlsx&amp;sheet=A0&amp;row=115&amp;col=31&amp;number=&amp;sourceID=13","")</f>
        <v/>
      </c>
      <c r="AF115" s="4" t="str">
        <f>HYPERLINK("http://141.218.60.56/~jnz1568/getInfo.php?workbook=08_01.xlsx&amp;sheet=A0&amp;row=115&amp;col=32&amp;number=&amp;sourceID=20","")</f>
        <v/>
      </c>
    </row>
    <row r="116" spans="1:32">
      <c r="A116" s="3">
        <v>8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HYPERLINK("http://141.218.60.56/~jnz1568/getInfo.php?workbook=08_01.xlsx&amp;sheet=A0&amp;row=116&amp;col=6&amp;number=&amp;sourceID=18","")</f>
        <v/>
      </c>
      <c r="G116" s="4" t="str">
        <f>HYPERLINK("http://141.218.60.56/~jnz1568/getInfo.php?workbook=08_01.xlsx&amp;sheet=A0&amp;row=116&amp;col=7&amp;number==&amp;sourceID=11","=")</f>
        <v>=</v>
      </c>
      <c r="H116" s="4" t="str">
        <f>HYPERLINK("http://141.218.60.56/~jnz1568/getInfo.php?workbook=08_01.xlsx&amp;sheet=A0&amp;row=116&amp;col=8&amp;number=&amp;sourceID=11","")</f>
        <v/>
      </c>
      <c r="I116" s="4" t="str">
        <f>HYPERLINK("http://141.218.60.56/~jnz1568/getInfo.php?workbook=08_01.xlsx&amp;sheet=A0&amp;row=116&amp;col=9&amp;number=3e-15&amp;sourceID=11","3e-15")</f>
        <v>3e-15</v>
      </c>
      <c r="J116" s="4" t="str">
        <f>HYPERLINK("http://141.218.60.56/~jnz1568/getInfo.php?workbook=08_01.xlsx&amp;sheet=A0&amp;row=116&amp;col=10&amp;number=&amp;sourceID=11","")</f>
        <v/>
      </c>
      <c r="K116" s="4" t="str">
        <f>HYPERLINK("http://141.218.60.56/~jnz1568/getInfo.php?workbook=08_01.xlsx&amp;sheet=A0&amp;row=116&amp;col=11&amp;number=3.5019e-07&amp;sourceID=11","3.5019e-07")</f>
        <v>3.5019e-07</v>
      </c>
      <c r="L116" s="4" t="str">
        <f>HYPERLINK("http://141.218.60.56/~jnz1568/getInfo.php?workbook=08_01.xlsx&amp;sheet=A0&amp;row=116&amp;col=12&amp;number=&amp;sourceID=11","")</f>
        <v/>
      </c>
      <c r="M116" s="4" t="str">
        <f>HYPERLINK("http://141.218.60.56/~jnz1568/getInfo.php?workbook=08_01.xlsx&amp;sheet=A0&amp;row=116&amp;col=13&amp;number=0&amp;sourceID=11","0")</f>
        <v>0</v>
      </c>
      <c r="N116" s="4" t="str">
        <f>HYPERLINK("http://141.218.60.56/~jnz1568/getInfo.php?workbook=08_01.xlsx&amp;sheet=A0&amp;row=116&amp;col=14&amp;number=3.5021e-07&amp;sourceID=12","3.5021e-07")</f>
        <v>3.5021e-07</v>
      </c>
      <c r="O116" s="4" t="str">
        <f>HYPERLINK("http://141.218.60.56/~jnz1568/getInfo.php?workbook=08_01.xlsx&amp;sheet=A0&amp;row=116&amp;col=15&amp;number=&amp;sourceID=12","")</f>
        <v/>
      </c>
      <c r="P116" s="4" t="str">
        <f>HYPERLINK("http://141.218.60.56/~jnz1568/getInfo.php?workbook=08_01.xlsx&amp;sheet=A0&amp;row=116&amp;col=16&amp;number=3e-15&amp;sourceID=12","3e-15")</f>
        <v>3e-15</v>
      </c>
      <c r="Q116" s="4" t="str">
        <f>HYPERLINK("http://141.218.60.56/~jnz1568/getInfo.php?workbook=08_01.xlsx&amp;sheet=A0&amp;row=116&amp;col=17&amp;number=&amp;sourceID=12","")</f>
        <v/>
      </c>
      <c r="R116" s="4" t="str">
        <f>HYPERLINK("http://141.218.60.56/~jnz1568/getInfo.php?workbook=08_01.xlsx&amp;sheet=A0&amp;row=116&amp;col=18&amp;number=3.5021e-07&amp;sourceID=12","3.5021e-07")</f>
        <v>3.5021e-07</v>
      </c>
      <c r="S116" s="4" t="str">
        <f>HYPERLINK("http://141.218.60.56/~jnz1568/getInfo.php?workbook=08_01.xlsx&amp;sheet=A0&amp;row=116&amp;col=19&amp;number=&amp;sourceID=12","")</f>
        <v/>
      </c>
      <c r="T116" s="4" t="str">
        <f>HYPERLINK("http://141.218.60.56/~jnz1568/getInfo.php?workbook=08_01.xlsx&amp;sheet=A0&amp;row=116&amp;col=20&amp;number=0&amp;sourceID=12","0")</f>
        <v>0</v>
      </c>
      <c r="U116" s="4" t="str">
        <f>HYPERLINK("http://141.218.60.56/~jnz1568/getInfo.php?workbook=08_01.xlsx&amp;sheet=A0&amp;row=116&amp;col=21&amp;number=3.50200003e-07&amp;sourceID=30","3.50200003e-07")</f>
        <v>3.50200003e-07</v>
      </c>
      <c r="V116" s="4" t="str">
        <f>HYPERLINK("http://141.218.60.56/~jnz1568/getInfo.php?workbook=08_01.xlsx&amp;sheet=A0&amp;row=116&amp;col=22&amp;number=&amp;sourceID=30","")</f>
        <v/>
      </c>
      <c r="W116" s="4" t="str">
        <f>HYPERLINK("http://141.218.60.56/~jnz1568/getInfo.php?workbook=08_01.xlsx&amp;sheet=A0&amp;row=116&amp;col=23&amp;number=3e-15&amp;sourceID=30","3e-15")</f>
        <v>3e-15</v>
      </c>
      <c r="X116" s="4" t="str">
        <f>HYPERLINK("http://141.218.60.56/~jnz1568/getInfo.php?workbook=08_01.xlsx&amp;sheet=A0&amp;row=116&amp;col=24&amp;number=3.502e-07&amp;sourceID=30","3.502e-07")</f>
        <v>3.502e-07</v>
      </c>
      <c r="Y116" s="4" t="str">
        <f>HYPERLINK("http://141.218.60.56/~jnz1568/getInfo.php?workbook=08_01.xlsx&amp;sheet=A0&amp;row=116&amp;col=25&amp;number=&amp;sourceID=30","")</f>
        <v/>
      </c>
      <c r="Z116" s="4" t="str">
        <f>HYPERLINK("http://141.218.60.56/~jnz1568/getInfo.php?workbook=08_01.xlsx&amp;sheet=A0&amp;row=116&amp;col=26&amp;number=&amp;sourceID=13","")</f>
        <v/>
      </c>
      <c r="AA116" s="4" t="str">
        <f>HYPERLINK("http://141.218.60.56/~jnz1568/getInfo.php?workbook=08_01.xlsx&amp;sheet=A0&amp;row=116&amp;col=27&amp;number=&amp;sourceID=13","")</f>
        <v/>
      </c>
      <c r="AB116" s="4" t="str">
        <f>HYPERLINK("http://141.218.60.56/~jnz1568/getInfo.php?workbook=08_01.xlsx&amp;sheet=A0&amp;row=116&amp;col=28&amp;number=&amp;sourceID=13","")</f>
        <v/>
      </c>
      <c r="AC116" s="4" t="str">
        <f>HYPERLINK("http://141.218.60.56/~jnz1568/getInfo.php?workbook=08_01.xlsx&amp;sheet=A0&amp;row=116&amp;col=29&amp;number=&amp;sourceID=13","")</f>
        <v/>
      </c>
      <c r="AD116" s="4" t="str">
        <f>HYPERLINK("http://141.218.60.56/~jnz1568/getInfo.php?workbook=08_01.xlsx&amp;sheet=A0&amp;row=116&amp;col=30&amp;number=&amp;sourceID=13","")</f>
        <v/>
      </c>
      <c r="AE116" s="4" t="str">
        <f>HYPERLINK("http://141.218.60.56/~jnz1568/getInfo.php?workbook=08_01.xlsx&amp;sheet=A0&amp;row=116&amp;col=31&amp;number=&amp;sourceID=13","")</f>
        <v/>
      </c>
      <c r="AF116" s="4" t="str">
        <f>HYPERLINK("http://141.218.60.56/~jnz1568/getInfo.php?workbook=08_01.xlsx&amp;sheet=A0&amp;row=116&amp;col=32&amp;number=&amp;sourceID=20","")</f>
        <v/>
      </c>
    </row>
    <row r="117" spans="1:32">
      <c r="A117" s="3">
        <v>8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HYPERLINK("http://141.218.60.56/~jnz1568/getInfo.php?workbook=08_01.xlsx&amp;sheet=A0&amp;row=117&amp;col=6&amp;number=&amp;sourceID=18","")</f>
        <v/>
      </c>
      <c r="G117" s="4" t="str">
        <f>HYPERLINK("http://141.218.60.56/~jnz1568/getInfo.php?workbook=08_01.xlsx&amp;sheet=A0&amp;row=117&amp;col=7&amp;number==&amp;sourceID=11","=")</f>
        <v>=</v>
      </c>
      <c r="H117" s="4" t="str">
        <f>HYPERLINK("http://141.218.60.56/~jnz1568/getInfo.php?workbook=08_01.xlsx&amp;sheet=A0&amp;row=117&amp;col=8&amp;number=0.10357&amp;sourceID=11","0.10357")</f>
        <v>0.10357</v>
      </c>
      <c r="I117" s="4" t="str">
        <f>HYPERLINK("http://141.218.60.56/~jnz1568/getInfo.php?workbook=08_01.xlsx&amp;sheet=A0&amp;row=117&amp;col=9&amp;number=&amp;sourceID=11","")</f>
        <v/>
      </c>
      <c r="J117" s="4" t="str">
        <f>HYPERLINK("http://141.218.60.56/~jnz1568/getInfo.php?workbook=08_01.xlsx&amp;sheet=A0&amp;row=117&amp;col=10&amp;number=0&amp;sourceID=11","0")</f>
        <v>0</v>
      </c>
      <c r="K117" s="4" t="str">
        <f>HYPERLINK("http://141.218.60.56/~jnz1568/getInfo.php?workbook=08_01.xlsx&amp;sheet=A0&amp;row=117&amp;col=11&amp;number=&amp;sourceID=11","")</f>
        <v/>
      </c>
      <c r="L117" s="4" t="str">
        <f>HYPERLINK("http://141.218.60.56/~jnz1568/getInfo.php?workbook=08_01.xlsx&amp;sheet=A0&amp;row=117&amp;col=12&amp;number=0&amp;sourceID=11","0")</f>
        <v>0</v>
      </c>
      <c r="M117" s="4" t="str">
        <f>HYPERLINK("http://141.218.60.56/~jnz1568/getInfo.php?workbook=08_01.xlsx&amp;sheet=A0&amp;row=117&amp;col=13&amp;number=&amp;sourceID=11","")</f>
        <v/>
      </c>
      <c r="N117" s="4" t="str">
        <f>HYPERLINK("http://141.218.60.56/~jnz1568/getInfo.php?workbook=08_01.xlsx&amp;sheet=A0&amp;row=117&amp;col=14&amp;number=0.10357&amp;sourceID=12","0.10357")</f>
        <v>0.10357</v>
      </c>
      <c r="O117" s="4" t="str">
        <f>HYPERLINK("http://141.218.60.56/~jnz1568/getInfo.php?workbook=08_01.xlsx&amp;sheet=A0&amp;row=117&amp;col=15&amp;number=0.10357&amp;sourceID=12","0.10357")</f>
        <v>0.10357</v>
      </c>
      <c r="P117" s="4" t="str">
        <f>HYPERLINK("http://141.218.60.56/~jnz1568/getInfo.php?workbook=08_01.xlsx&amp;sheet=A0&amp;row=117&amp;col=16&amp;number=&amp;sourceID=12","")</f>
        <v/>
      </c>
      <c r="Q117" s="4" t="str">
        <f>HYPERLINK("http://141.218.60.56/~jnz1568/getInfo.php?workbook=08_01.xlsx&amp;sheet=A0&amp;row=117&amp;col=17&amp;number=0&amp;sourceID=12","0")</f>
        <v>0</v>
      </c>
      <c r="R117" s="4" t="str">
        <f>HYPERLINK("http://141.218.60.56/~jnz1568/getInfo.php?workbook=08_01.xlsx&amp;sheet=A0&amp;row=117&amp;col=18&amp;number=&amp;sourceID=12","")</f>
        <v/>
      </c>
      <c r="S117" s="4" t="str">
        <f>HYPERLINK("http://141.218.60.56/~jnz1568/getInfo.php?workbook=08_01.xlsx&amp;sheet=A0&amp;row=117&amp;col=19&amp;number=0&amp;sourceID=12","0")</f>
        <v>0</v>
      </c>
      <c r="T117" s="4" t="str">
        <f>HYPERLINK("http://141.218.60.56/~jnz1568/getInfo.php?workbook=08_01.xlsx&amp;sheet=A0&amp;row=117&amp;col=20&amp;number=&amp;sourceID=12","")</f>
        <v/>
      </c>
      <c r="U117" s="4" t="str">
        <f>HYPERLINK("http://141.218.60.56/~jnz1568/getInfo.php?workbook=08_01.xlsx&amp;sheet=A0&amp;row=117&amp;col=21&amp;number=0.1036&amp;sourceID=30","0.1036")</f>
        <v>0.1036</v>
      </c>
      <c r="V117" s="4" t="str">
        <f>HYPERLINK("http://141.218.60.56/~jnz1568/getInfo.php?workbook=08_01.xlsx&amp;sheet=A0&amp;row=117&amp;col=22&amp;number=0.1036&amp;sourceID=30","0.1036")</f>
        <v>0.1036</v>
      </c>
      <c r="W117" s="4" t="str">
        <f>HYPERLINK("http://141.218.60.56/~jnz1568/getInfo.php?workbook=08_01.xlsx&amp;sheet=A0&amp;row=117&amp;col=23&amp;number=&amp;sourceID=30","")</f>
        <v/>
      </c>
      <c r="X117" s="4" t="str">
        <f>HYPERLINK("http://141.218.60.56/~jnz1568/getInfo.php?workbook=08_01.xlsx&amp;sheet=A0&amp;row=117&amp;col=24&amp;number=&amp;sourceID=30","")</f>
        <v/>
      </c>
      <c r="Y117" s="4" t="str">
        <f>HYPERLINK("http://141.218.60.56/~jnz1568/getInfo.php?workbook=08_01.xlsx&amp;sheet=A0&amp;row=117&amp;col=25&amp;number=0&amp;sourceID=30","0")</f>
        <v>0</v>
      </c>
      <c r="Z117" s="4" t="str">
        <f>HYPERLINK("http://141.218.60.56/~jnz1568/getInfo.php?workbook=08_01.xlsx&amp;sheet=A0&amp;row=117&amp;col=26&amp;number=&amp;sourceID=13","")</f>
        <v/>
      </c>
      <c r="AA117" s="4" t="str">
        <f>HYPERLINK("http://141.218.60.56/~jnz1568/getInfo.php?workbook=08_01.xlsx&amp;sheet=A0&amp;row=117&amp;col=27&amp;number=&amp;sourceID=13","")</f>
        <v/>
      </c>
      <c r="AB117" s="4" t="str">
        <f>HYPERLINK("http://141.218.60.56/~jnz1568/getInfo.php?workbook=08_01.xlsx&amp;sheet=A0&amp;row=117&amp;col=28&amp;number=&amp;sourceID=13","")</f>
        <v/>
      </c>
      <c r="AC117" s="4" t="str">
        <f>HYPERLINK("http://141.218.60.56/~jnz1568/getInfo.php?workbook=08_01.xlsx&amp;sheet=A0&amp;row=117&amp;col=29&amp;number=&amp;sourceID=13","")</f>
        <v/>
      </c>
      <c r="AD117" s="4" t="str">
        <f>HYPERLINK("http://141.218.60.56/~jnz1568/getInfo.php?workbook=08_01.xlsx&amp;sheet=A0&amp;row=117&amp;col=30&amp;number=&amp;sourceID=13","")</f>
        <v/>
      </c>
      <c r="AE117" s="4" t="str">
        <f>HYPERLINK("http://141.218.60.56/~jnz1568/getInfo.php?workbook=08_01.xlsx&amp;sheet=A0&amp;row=117&amp;col=31&amp;number=&amp;sourceID=13","")</f>
        <v/>
      </c>
      <c r="AF117" s="4" t="str">
        <f>HYPERLINK("http://141.218.60.56/~jnz1568/getInfo.php?workbook=08_01.xlsx&amp;sheet=A0&amp;row=117&amp;col=32&amp;number=&amp;sourceID=20","")</f>
        <v/>
      </c>
    </row>
    <row r="118" spans="1:32">
      <c r="A118" s="3">
        <v>8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HYPERLINK("http://141.218.60.56/~jnz1568/getInfo.php?workbook=08_01.xlsx&amp;sheet=A0&amp;row=118&amp;col=6&amp;number=&amp;sourceID=18","")</f>
        <v/>
      </c>
      <c r="G118" s="4" t="str">
        <f>HYPERLINK("http://141.218.60.56/~jnz1568/getInfo.php?workbook=08_01.xlsx&amp;sheet=A0&amp;row=118&amp;col=7&amp;number==&amp;sourceID=11","=")</f>
        <v>=</v>
      </c>
      <c r="H118" s="4" t="str">
        <f>HYPERLINK("http://141.218.60.56/~jnz1568/getInfo.php?workbook=08_01.xlsx&amp;sheet=A0&amp;row=118&amp;col=8&amp;number=140700000000&amp;sourceID=11","140700000000")</f>
        <v>140700000000</v>
      </c>
      <c r="I118" s="4" t="str">
        <f>HYPERLINK("http://141.218.60.56/~jnz1568/getInfo.php?workbook=08_01.xlsx&amp;sheet=A0&amp;row=118&amp;col=9&amp;number=&amp;sourceID=11","")</f>
        <v/>
      </c>
      <c r="J118" s="4" t="str">
        <f>HYPERLINK("http://141.218.60.56/~jnz1568/getInfo.php?workbook=08_01.xlsx&amp;sheet=A0&amp;row=118&amp;col=10&amp;number=&amp;sourceID=11","")</f>
        <v/>
      </c>
      <c r="K118" s="4" t="str">
        <f>HYPERLINK("http://141.218.60.56/~jnz1568/getInfo.php?workbook=08_01.xlsx&amp;sheet=A0&amp;row=118&amp;col=11&amp;number=&amp;sourceID=11","")</f>
        <v/>
      </c>
      <c r="L118" s="4" t="str">
        <f>HYPERLINK("http://141.218.60.56/~jnz1568/getInfo.php?workbook=08_01.xlsx&amp;sheet=A0&amp;row=118&amp;col=12&amp;number=&amp;sourceID=11","")</f>
        <v/>
      </c>
      <c r="M118" s="4" t="str">
        <f>HYPERLINK("http://141.218.60.56/~jnz1568/getInfo.php?workbook=08_01.xlsx&amp;sheet=A0&amp;row=118&amp;col=13&amp;number=&amp;sourceID=11","")</f>
        <v/>
      </c>
      <c r="N118" s="4" t="str">
        <f>HYPERLINK("http://141.218.60.56/~jnz1568/getInfo.php?workbook=08_01.xlsx&amp;sheet=A0&amp;row=118&amp;col=14&amp;number=140700000000&amp;sourceID=12","140700000000")</f>
        <v>140700000000</v>
      </c>
      <c r="O118" s="4" t="str">
        <f>HYPERLINK("http://141.218.60.56/~jnz1568/getInfo.php?workbook=08_01.xlsx&amp;sheet=A0&amp;row=118&amp;col=15&amp;number=140700000000&amp;sourceID=12","140700000000")</f>
        <v>140700000000</v>
      </c>
      <c r="P118" s="4" t="str">
        <f>HYPERLINK("http://141.218.60.56/~jnz1568/getInfo.php?workbook=08_01.xlsx&amp;sheet=A0&amp;row=118&amp;col=16&amp;number=&amp;sourceID=12","")</f>
        <v/>
      </c>
      <c r="Q118" s="4" t="str">
        <f>HYPERLINK("http://141.218.60.56/~jnz1568/getInfo.php?workbook=08_01.xlsx&amp;sheet=A0&amp;row=118&amp;col=17&amp;number=&amp;sourceID=12","")</f>
        <v/>
      </c>
      <c r="R118" s="4" t="str">
        <f>HYPERLINK("http://141.218.60.56/~jnz1568/getInfo.php?workbook=08_01.xlsx&amp;sheet=A0&amp;row=118&amp;col=18&amp;number=&amp;sourceID=12","")</f>
        <v/>
      </c>
      <c r="S118" s="4" t="str">
        <f>HYPERLINK("http://141.218.60.56/~jnz1568/getInfo.php?workbook=08_01.xlsx&amp;sheet=A0&amp;row=118&amp;col=19&amp;number=&amp;sourceID=12","")</f>
        <v/>
      </c>
      <c r="T118" s="4" t="str">
        <f>HYPERLINK("http://141.218.60.56/~jnz1568/getInfo.php?workbook=08_01.xlsx&amp;sheet=A0&amp;row=118&amp;col=20&amp;number=&amp;sourceID=12","")</f>
        <v/>
      </c>
      <c r="U118" s="4" t="str">
        <f>HYPERLINK("http://141.218.60.56/~jnz1568/getInfo.php?workbook=08_01.xlsx&amp;sheet=A0&amp;row=118&amp;col=21&amp;number=140700000000&amp;sourceID=30","140700000000")</f>
        <v>140700000000</v>
      </c>
      <c r="V118" s="4" t="str">
        <f>HYPERLINK("http://141.218.60.56/~jnz1568/getInfo.php?workbook=08_01.xlsx&amp;sheet=A0&amp;row=118&amp;col=22&amp;number=140700000000&amp;sourceID=30","140700000000")</f>
        <v>140700000000</v>
      </c>
      <c r="W118" s="4" t="str">
        <f>HYPERLINK("http://141.218.60.56/~jnz1568/getInfo.php?workbook=08_01.xlsx&amp;sheet=A0&amp;row=118&amp;col=23&amp;number=&amp;sourceID=30","")</f>
        <v/>
      </c>
      <c r="X118" s="4" t="str">
        <f>HYPERLINK("http://141.218.60.56/~jnz1568/getInfo.php?workbook=08_01.xlsx&amp;sheet=A0&amp;row=118&amp;col=24&amp;number=&amp;sourceID=30","")</f>
        <v/>
      </c>
      <c r="Y118" s="4" t="str">
        <f>HYPERLINK("http://141.218.60.56/~jnz1568/getInfo.php?workbook=08_01.xlsx&amp;sheet=A0&amp;row=118&amp;col=25&amp;number=&amp;sourceID=30","")</f>
        <v/>
      </c>
      <c r="Z118" s="4" t="str">
        <f>HYPERLINK("http://141.218.60.56/~jnz1568/getInfo.php?workbook=08_01.xlsx&amp;sheet=A0&amp;row=118&amp;col=26&amp;number=&amp;sourceID=13","")</f>
        <v/>
      </c>
      <c r="AA118" s="4" t="str">
        <f>HYPERLINK("http://141.218.60.56/~jnz1568/getInfo.php?workbook=08_01.xlsx&amp;sheet=A0&amp;row=118&amp;col=27&amp;number=&amp;sourceID=13","")</f>
        <v/>
      </c>
      <c r="AB118" s="4" t="str">
        <f>HYPERLINK("http://141.218.60.56/~jnz1568/getInfo.php?workbook=08_01.xlsx&amp;sheet=A0&amp;row=118&amp;col=28&amp;number=&amp;sourceID=13","")</f>
        <v/>
      </c>
      <c r="AC118" s="4" t="str">
        <f>HYPERLINK("http://141.218.60.56/~jnz1568/getInfo.php?workbook=08_01.xlsx&amp;sheet=A0&amp;row=118&amp;col=29&amp;number=&amp;sourceID=13","")</f>
        <v/>
      </c>
      <c r="AD118" s="4" t="str">
        <f>HYPERLINK("http://141.218.60.56/~jnz1568/getInfo.php?workbook=08_01.xlsx&amp;sheet=A0&amp;row=118&amp;col=30&amp;number=&amp;sourceID=13","")</f>
        <v/>
      </c>
      <c r="AE118" s="4" t="str">
        <f>HYPERLINK("http://141.218.60.56/~jnz1568/getInfo.php?workbook=08_01.xlsx&amp;sheet=A0&amp;row=118&amp;col=31&amp;number=&amp;sourceID=13","")</f>
        <v/>
      </c>
      <c r="AF118" s="4" t="str">
        <f>HYPERLINK("http://141.218.60.56/~jnz1568/getInfo.php?workbook=08_01.xlsx&amp;sheet=A0&amp;row=118&amp;col=32&amp;number=&amp;sourceID=20","")</f>
        <v/>
      </c>
    </row>
    <row r="119" spans="1:32">
      <c r="A119" s="3">
        <v>8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HYPERLINK("http://141.218.60.56/~jnz1568/getInfo.php?workbook=08_01.xlsx&amp;sheet=A0&amp;row=119&amp;col=6&amp;number=&amp;sourceID=18","")</f>
        <v/>
      </c>
      <c r="G119" s="4" t="str">
        <f>HYPERLINK("http://141.218.60.56/~jnz1568/getInfo.php?workbook=08_01.xlsx&amp;sheet=A0&amp;row=119&amp;col=7&amp;number==&amp;sourceID=11","=")</f>
        <v>=</v>
      </c>
      <c r="H119" s="4" t="str">
        <f>HYPERLINK("http://141.218.60.56/~jnz1568/getInfo.php?workbook=08_01.xlsx&amp;sheet=A0&amp;row=119&amp;col=8&amp;number=&amp;sourceID=11","")</f>
        <v/>
      </c>
      <c r="I119" s="4" t="str">
        <f>HYPERLINK("http://141.218.60.56/~jnz1568/getInfo.php?workbook=08_01.xlsx&amp;sheet=A0&amp;row=119&amp;col=9&amp;number=&amp;sourceID=11","")</f>
        <v/>
      </c>
      <c r="J119" s="4" t="str">
        <f>HYPERLINK("http://141.218.60.56/~jnz1568/getInfo.php?workbook=08_01.xlsx&amp;sheet=A0&amp;row=119&amp;col=10&amp;number=&amp;sourceID=11","")</f>
        <v/>
      </c>
      <c r="K119" s="4" t="str">
        <f>HYPERLINK("http://141.218.60.56/~jnz1568/getInfo.php?workbook=08_01.xlsx&amp;sheet=A0&amp;row=119&amp;col=11&amp;number=0.2668&amp;sourceID=11","0.2668")</f>
        <v>0.2668</v>
      </c>
      <c r="L119" s="4" t="str">
        <f>HYPERLINK("http://141.218.60.56/~jnz1568/getInfo.php?workbook=08_01.xlsx&amp;sheet=A0&amp;row=119&amp;col=12&amp;number=&amp;sourceID=11","")</f>
        <v/>
      </c>
      <c r="M119" s="4" t="str">
        <f>HYPERLINK("http://141.218.60.56/~jnz1568/getInfo.php?workbook=08_01.xlsx&amp;sheet=A0&amp;row=119&amp;col=13&amp;number=&amp;sourceID=11","")</f>
        <v/>
      </c>
      <c r="N119" s="4" t="str">
        <f>HYPERLINK("http://141.218.60.56/~jnz1568/getInfo.php?workbook=08_01.xlsx&amp;sheet=A0&amp;row=119&amp;col=14&amp;number=0.26689&amp;sourceID=12","0.26689")</f>
        <v>0.26689</v>
      </c>
      <c r="O119" s="4" t="str">
        <f>HYPERLINK("http://141.218.60.56/~jnz1568/getInfo.php?workbook=08_01.xlsx&amp;sheet=A0&amp;row=119&amp;col=15&amp;number=&amp;sourceID=12","")</f>
        <v/>
      </c>
      <c r="P119" s="4" t="str">
        <f>HYPERLINK("http://141.218.60.56/~jnz1568/getInfo.php?workbook=08_01.xlsx&amp;sheet=A0&amp;row=119&amp;col=16&amp;number=&amp;sourceID=12","")</f>
        <v/>
      </c>
      <c r="Q119" s="4" t="str">
        <f>HYPERLINK("http://141.218.60.56/~jnz1568/getInfo.php?workbook=08_01.xlsx&amp;sheet=A0&amp;row=119&amp;col=17&amp;number=&amp;sourceID=12","")</f>
        <v/>
      </c>
      <c r="R119" s="4" t="str">
        <f>HYPERLINK("http://141.218.60.56/~jnz1568/getInfo.php?workbook=08_01.xlsx&amp;sheet=A0&amp;row=119&amp;col=18&amp;number=0.26689&amp;sourceID=12","0.26689")</f>
        <v>0.26689</v>
      </c>
      <c r="S119" s="4" t="str">
        <f>HYPERLINK("http://141.218.60.56/~jnz1568/getInfo.php?workbook=08_01.xlsx&amp;sheet=A0&amp;row=119&amp;col=19&amp;number=&amp;sourceID=12","")</f>
        <v/>
      </c>
      <c r="T119" s="4" t="str">
        <f>HYPERLINK("http://141.218.60.56/~jnz1568/getInfo.php?workbook=08_01.xlsx&amp;sheet=A0&amp;row=119&amp;col=20&amp;number=&amp;sourceID=12","")</f>
        <v/>
      </c>
      <c r="U119" s="4" t="str">
        <f>HYPERLINK("http://141.218.60.56/~jnz1568/getInfo.php?workbook=08_01.xlsx&amp;sheet=A0&amp;row=119&amp;col=21&amp;number=0.2669&amp;sourceID=30","0.2669")</f>
        <v>0.2669</v>
      </c>
      <c r="V119" s="4" t="str">
        <f>HYPERLINK("http://141.218.60.56/~jnz1568/getInfo.php?workbook=08_01.xlsx&amp;sheet=A0&amp;row=119&amp;col=22&amp;number=&amp;sourceID=30","")</f>
        <v/>
      </c>
      <c r="W119" s="4" t="str">
        <f>HYPERLINK("http://141.218.60.56/~jnz1568/getInfo.php?workbook=08_01.xlsx&amp;sheet=A0&amp;row=119&amp;col=23&amp;number=&amp;sourceID=30","")</f>
        <v/>
      </c>
      <c r="X119" s="4" t="str">
        <f>HYPERLINK("http://141.218.60.56/~jnz1568/getInfo.php?workbook=08_01.xlsx&amp;sheet=A0&amp;row=119&amp;col=24&amp;number=0.2669&amp;sourceID=30","0.2669")</f>
        <v>0.2669</v>
      </c>
      <c r="Y119" s="4" t="str">
        <f>HYPERLINK("http://141.218.60.56/~jnz1568/getInfo.php?workbook=08_01.xlsx&amp;sheet=A0&amp;row=119&amp;col=25&amp;number=&amp;sourceID=30","")</f>
        <v/>
      </c>
      <c r="Z119" s="4" t="str">
        <f>HYPERLINK("http://141.218.60.56/~jnz1568/getInfo.php?workbook=08_01.xlsx&amp;sheet=A0&amp;row=119&amp;col=26&amp;number=&amp;sourceID=13","")</f>
        <v/>
      </c>
      <c r="AA119" s="4" t="str">
        <f>HYPERLINK("http://141.218.60.56/~jnz1568/getInfo.php?workbook=08_01.xlsx&amp;sheet=A0&amp;row=119&amp;col=27&amp;number=&amp;sourceID=13","")</f>
        <v/>
      </c>
      <c r="AB119" s="4" t="str">
        <f>HYPERLINK("http://141.218.60.56/~jnz1568/getInfo.php?workbook=08_01.xlsx&amp;sheet=A0&amp;row=119&amp;col=28&amp;number=&amp;sourceID=13","")</f>
        <v/>
      </c>
      <c r="AC119" s="4" t="str">
        <f>HYPERLINK("http://141.218.60.56/~jnz1568/getInfo.php?workbook=08_01.xlsx&amp;sheet=A0&amp;row=119&amp;col=29&amp;number=&amp;sourceID=13","")</f>
        <v/>
      </c>
      <c r="AD119" s="4" t="str">
        <f>HYPERLINK("http://141.218.60.56/~jnz1568/getInfo.php?workbook=08_01.xlsx&amp;sheet=A0&amp;row=119&amp;col=30&amp;number=&amp;sourceID=13","")</f>
        <v/>
      </c>
      <c r="AE119" s="4" t="str">
        <f>HYPERLINK("http://141.218.60.56/~jnz1568/getInfo.php?workbook=08_01.xlsx&amp;sheet=A0&amp;row=119&amp;col=31&amp;number=&amp;sourceID=13","")</f>
        <v/>
      </c>
      <c r="AF119" s="4" t="str">
        <f>HYPERLINK("http://141.218.60.56/~jnz1568/getInfo.php?workbook=08_01.xlsx&amp;sheet=A0&amp;row=119&amp;col=32&amp;number=&amp;sourceID=20","")</f>
        <v/>
      </c>
    </row>
    <row r="120" spans="1:32">
      <c r="A120" s="3">
        <v>8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HYPERLINK("http://141.218.60.56/~jnz1568/getInfo.php?workbook=08_01.xlsx&amp;sheet=A0&amp;row=120&amp;col=6&amp;number=&amp;sourceID=18","")</f>
        <v/>
      </c>
      <c r="G120" s="4" t="str">
        <f>HYPERLINK("http://141.218.60.56/~jnz1568/getInfo.php?workbook=08_01.xlsx&amp;sheet=A0&amp;row=120&amp;col=7&amp;number==&amp;sourceID=11","=")</f>
        <v>=</v>
      </c>
      <c r="H120" s="4" t="str">
        <f>HYPERLINK("http://141.218.60.56/~jnz1568/getInfo.php?workbook=08_01.xlsx&amp;sheet=A0&amp;row=120&amp;col=8&amp;number=20311000000&amp;sourceID=11","20311000000")</f>
        <v>20311000000</v>
      </c>
      <c r="I120" s="4" t="str">
        <f>HYPERLINK("http://141.218.60.56/~jnz1568/getInfo.php?workbook=08_01.xlsx&amp;sheet=A0&amp;row=120&amp;col=9&amp;number=&amp;sourceID=11","")</f>
        <v/>
      </c>
      <c r="J120" s="4" t="str">
        <f>HYPERLINK("http://141.218.60.56/~jnz1568/getInfo.php?workbook=08_01.xlsx&amp;sheet=A0&amp;row=120&amp;col=10&amp;number=&amp;sourceID=11","")</f>
        <v/>
      </c>
      <c r="K120" s="4" t="str">
        <f>HYPERLINK("http://141.218.60.56/~jnz1568/getInfo.php?workbook=08_01.xlsx&amp;sheet=A0&amp;row=120&amp;col=11&amp;number=&amp;sourceID=11","")</f>
        <v/>
      </c>
      <c r="L120" s="4" t="str">
        <f>HYPERLINK("http://141.218.60.56/~jnz1568/getInfo.php?workbook=08_01.xlsx&amp;sheet=A0&amp;row=120&amp;col=12&amp;number=&amp;sourceID=11","")</f>
        <v/>
      </c>
      <c r="M120" s="4" t="str">
        <f>HYPERLINK("http://141.218.60.56/~jnz1568/getInfo.php?workbook=08_01.xlsx&amp;sheet=A0&amp;row=120&amp;col=13&amp;number=&amp;sourceID=11","")</f>
        <v/>
      </c>
      <c r="N120" s="4" t="str">
        <f>HYPERLINK("http://141.218.60.56/~jnz1568/getInfo.php?workbook=08_01.xlsx&amp;sheet=A0&amp;row=120&amp;col=14&amp;number=20312000000&amp;sourceID=12","20312000000")</f>
        <v>20312000000</v>
      </c>
      <c r="O120" s="4" t="str">
        <f>HYPERLINK("http://141.218.60.56/~jnz1568/getInfo.php?workbook=08_01.xlsx&amp;sheet=A0&amp;row=120&amp;col=15&amp;number=20312000000&amp;sourceID=12","20312000000")</f>
        <v>20312000000</v>
      </c>
      <c r="P120" s="4" t="str">
        <f>HYPERLINK("http://141.218.60.56/~jnz1568/getInfo.php?workbook=08_01.xlsx&amp;sheet=A0&amp;row=120&amp;col=16&amp;number=&amp;sourceID=12","")</f>
        <v/>
      </c>
      <c r="Q120" s="4" t="str">
        <f>HYPERLINK("http://141.218.60.56/~jnz1568/getInfo.php?workbook=08_01.xlsx&amp;sheet=A0&amp;row=120&amp;col=17&amp;number=&amp;sourceID=12","")</f>
        <v/>
      </c>
      <c r="R120" s="4" t="str">
        <f>HYPERLINK("http://141.218.60.56/~jnz1568/getInfo.php?workbook=08_01.xlsx&amp;sheet=A0&amp;row=120&amp;col=18&amp;number=&amp;sourceID=12","")</f>
        <v/>
      </c>
      <c r="S120" s="4" t="str">
        <f>HYPERLINK("http://141.218.60.56/~jnz1568/getInfo.php?workbook=08_01.xlsx&amp;sheet=A0&amp;row=120&amp;col=19&amp;number=&amp;sourceID=12","")</f>
        <v/>
      </c>
      <c r="T120" s="4" t="str">
        <f>HYPERLINK("http://141.218.60.56/~jnz1568/getInfo.php?workbook=08_01.xlsx&amp;sheet=A0&amp;row=120&amp;col=20&amp;number=&amp;sourceID=12","")</f>
        <v/>
      </c>
      <c r="U120" s="4" t="str">
        <f>HYPERLINK("http://141.218.60.56/~jnz1568/getInfo.php?workbook=08_01.xlsx&amp;sheet=A0&amp;row=120&amp;col=21&amp;number=20310000000&amp;sourceID=30","20310000000")</f>
        <v>20310000000</v>
      </c>
      <c r="V120" s="4" t="str">
        <f>HYPERLINK("http://141.218.60.56/~jnz1568/getInfo.php?workbook=08_01.xlsx&amp;sheet=A0&amp;row=120&amp;col=22&amp;number=20310000000&amp;sourceID=30","20310000000")</f>
        <v>20310000000</v>
      </c>
      <c r="W120" s="4" t="str">
        <f>HYPERLINK("http://141.218.60.56/~jnz1568/getInfo.php?workbook=08_01.xlsx&amp;sheet=A0&amp;row=120&amp;col=23&amp;number=&amp;sourceID=30","")</f>
        <v/>
      </c>
      <c r="X120" s="4" t="str">
        <f>HYPERLINK("http://141.218.60.56/~jnz1568/getInfo.php?workbook=08_01.xlsx&amp;sheet=A0&amp;row=120&amp;col=24&amp;number=&amp;sourceID=30","")</f>
        <v/>
      </c>
      <c r="Y120" s="4" t="str">
        <f>HYPERLINK("http://141.218.60.56/~jnz1568/getInfo.php?workbook=08_01.xlsx&amp;sheet=A0&amp;row=120&amp;col=25&amp;number=&amp;sourceID=30","")</f>
        <v/>
      </c>
      <c r="Z120" s="4" t="str">
        <f>HYPERLINK("http://141.218.60.56/~jnz1568/getInfo.php?workbook=08_01.xlsx&amp;sheet=A0&amp;row=120&amp;col=26&amp;number=&amp;sourceID=13","")</f>
        <v/>
      </c>
      <c r="AA120" s="4" t="str">
        <f>HYPERLINK("http://141.218.60.56/~jnz1568/getInfo.php?workbook=08_01.xlsx&amp;sheet=A0&amp;row=120&amp;col=27&amp;number=&amp;sourceID=13","")</f>
        <v/>
      </c>
      <c r="AB120" s="4" t="str">
        <f>HYPERLINK("http://141.218.60.56/~jnz1568/getInfo.php?workbook=08_01.xlsx&amp;sheet=A0&amp;row=120&amp;col=28&amp;number=&amp;sourceID=13","")</f>
        <v/>
      </c>
      <c r="AC120" s="4" t="str">
        <f>HYPERLINK("http://141.218.60.56/~jnz1568/getInfo.php?workbook=08_01.xlsx&amp;sheet=A0&amp;row=120&amp;col=29&amp;number=&amp;sourceID=13","")</f>
        <v/>
      </c>
      <c r="AD120" s="4" t="str">
        <f>HYPERLINK("http://141.218.60.56/~jnz1568/getInfo.php?workbook=08_01.xlsx&amp;sheet=A0&amp;row=120&amp;col=30&amp;number=&amp;sourceID=13","")</f>
        <v/>
      </c>
      <c r="AE120" s="4" t="str">
        <f>HYPERLINK("http://141.218.60.56/~jnz1568/getInfo.php?workbook=08_01.xlsx&amp;sheet=A0&amp;row=120&amp;col=31&amp;number=&amp;sourceID=13","")</f>
        <v/>
      </c>
      <c r="AF120" s="4" t="str">
        <f>HYPERLINK("http://141.218.60.56/~jnz1568/getInfo.php?workbook=08_01.xlsx&amp;sheet=A0&amp;row=120&amp;col=32&amp;number=&amp;sourceID=20","")</f>
        <v/>
      </c>
    </row>
    <row r="121" spans="1:32">
      <c r="A121" s="3">
        <v>8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HYPERLINK("http://141.218.60.56/~jnz1568/getInfo.php?workbook=08_01.xlsx&amp;sheet=A0&amp;row=121&amp;col=6&amp;number=&amp;sourceID=18","")</f>
        <v/>
      </c>
      <c r="G121" s="4" t="str">
        <f>HYPERLINK("http://141.218.60.56/~jnz1568/getInfo.php?workbook=08_01.xlsx&amp;sheet=A0&amp;row=121&amp;col=7&amp;number==&amp;sourceID=11","=")</f>
        <v>=</v>
      </c>
      <c r="H121" s="4" t="str">
        <f>HYPERLINK("http://141.218.60.56/~jnz1568/getInfo.php?workbook=08_01.xlsx&amp;sheet=A0&amp;row=121&amp;col=8&amp;number=&amp;sourceID=11","")</f>
        <v/>
      </c>
      <c r="I121" s="4" t="str">
        <f>HYPERLINK("http://141.218.60.56/~jnz1568/getInfo.php?workbook=08_01.xlsx&amp;sheet=A0&amp;row=121&amp;col=9&amp;number=1379100&amp;sourceID=11","1379100")</f>
        <v>1379100</v>
      </c>
      <c r="J121" s="4" t="str">
        <f>HYPERLINK("http://141.218.60.56/~jnz1568/getInfo.php?workbook=08_01.xlsx&amp;sheet=A0&amp;row=121&amp;col=10&amp;number=&amp;sourceID=11","")</f>
        <v/>
      </c>
      <c r="K121" s="4" t="str">
        <f>HYPERLINK("http://141.218.60.56/~jnz1568/getInfo.php?workbook=08_01.xlsx&amp;sheet=A0&amp;row=121&amp;col=11&amp;number=4.6864&amp;sourceID=11","4.6864")</f>
        <v>4.6864</v>
      </c>
      <c r="L121" s="4" t="str">
        <f>HYPERLINK("http://141.218.60.56/~jnz1568/getInfo.php?workbook=08_01.xlsx&amp;sheet=A0&amp;row=121&amp;col=12&amp;number=&amp;sourceID=11","")</f>
        <v/>
      </c>
      <c r="M121" s="4" t="str">
        <f>HYPERLINK("http://141.218.60.56/~jnz1568/getInfo.php?workbook=08_01.xlsx&amp;sheet=A0&amp;row=121&amp;col=13&amp;number=&amp;sourceID=11","")</f>
        <v/>
      </c>
      <c r="N121" s="4" t="str">
        <f>HYPERLINK("http://141.218.60.56/~jnz1568/getInfo.php?workbook=08_01.xlsx&amp;sheet=A0&amp;row=121&amp;col=14&amp;number=1379200&amp;sourceID=12","1379200")</f>
        <v>1379200</v>
      </c>
      <c r="O121" s="4" t="str">
        <f>HYPERLINK("http://141.218.60.56/~jnz1568/getInfo.php?workbook=08_01.xlsx&amp;sheet=A0&amp;row=121&amp;col=15&amp;number=&amp;sourceID=12","")</f>
        <v/>
      </c>
      <c r="P121" s="4" t="str">
        <f>HYPERLINK("http://141.218.60.56/~jnz1568/getInfo.php?workbook=08_01.xlsx&amp;sheet=A0&amp;row=121&amp;col=16&amp;number=1379200&amp;sourceID=12","1379200")</f>
        <v>1379200</v>
      </c>
      <c r="Q121" s="4" t="str">
        <f>HYPERLINK("http://141.218.60.56/~jnz1568/getInfo.php?workbook=08_01.xlsx&amp;sheet=A0&amp;row=121&amp;col=17&amp;number=&amp;sourceID=12","")</f>
        <v/>
      </c>
      <c r="R121" s="4" t="str">
        <f>HYPERLINK("http://141.218.60.56/~jnz1568/getInfo.php?workbook=08_01.xlsx&amp;sheet=A0&amp;row=121&amp;col=18&amp;number=4.6863&amp;sourceID=12","4.6863")</f>
        <v>4.6863</v>
      </c>
      <c r="S121" s="4" t="str">
        <f>HYPERLINK("http://141.218.60.56/~jnz1568/getInfo.php?workbook=08_01.xlsx&amp;sheet=A0&amp;row=121&amp;col=19&amp;number=&amp;sourceID=12","")</f>
        <v/>
      </c>
      <c r="T121" s="4" t="str">
        <f>HYPERLINK("http://141.218.60.56/~jnz1568/getInfo.php?workbook=08_01.xlsx&amp;sheet=A0&amp;row=121&amp;col=20&amp;number=&amp;sourceID=12","")</f>
        <v/>
      </c>
      <c r="U121" s="4" t="str">
        <f>HYPERLINK("http://141.218.60.56/~jnz1568/getInfo.php?workbook=08_01.xlsx&amp;sheet=A0&amp;row=121&amp;col=21&amp;number=1379004.686&amp;sourceID=30","1379004.686")</f>
        <v>1379004.686</v>
      </c>
      <c r="V121" s="4" t="str">
        <f>HYPERLINK("http://141.218.60.56/~jnz1568/getInfo.php?workbook=08_01.xlsx&amp;sheet=A0&amp;row=121&amp;col=22&amp;number=&amp;sourceID=30","")</f>
        <v/>
      </c>
      <c r="W121" s="4" t="str">
        <f>HYPERLINK("http://141.218.60.56/~jnz1568/getInfo.php?workbook=08_01.xlsx&amp;sheet=A0&amp;row=121&amp;col=23&amp;number=1379000&amp;sourceID=30","1379000")</f>
        <v>1379000</v>
      </c>
      <c r="X121" s="4" t="str">
        <f>HYPERLINK("http://141.218.60.56/~jnz1568/getInfo.php?workbook=08_01.xlsx&amp;sheet=A0&amp;row=121&amp;col=24&amp;number=4.686&amp;sourceID=30","4.686")</f>
        <v>4.686</v>
      </c>
      <c r="Y121" s="4" t="str">
        <f>HYPERLINK("http://141.218.60.56/~jnz1568/getInfo.php?workbook=08_01.xlsx&amp;sheet=A0&amp;row=121&amp;col=25&amp;number=&amp;sourceID=30","")</f>
        <v/>
      </c>
      <c r="Z121" s="4" t="str">
        <f>HYPERLINK("http://141.218.60.56/~jnz1568/getInfo.php?workbook=08_01.xlsx&amp;sheet=A0&amp;row=121&amp;col=26&amp;number=&amp;sourceID=13","")</f>
        <v/>
      </c>
      <c r="AA121" s="4" t="str">
        <f>HYPERLINK("http://141.218.60.56/~jnz1568/getInfo.php?workbook=08_01.xlsx&amp;sheet=A0&amp;row=121&amp;col=27&amp;number=&amp;sourceID=13","")</f>
        <v/>
      </c>
      <c r="AB121" s="4" t="str">
        <f>HYPERLINK("http://141.218.60.56/~jnz1568/getInfo.php?workbook=08_01.xlsx&amp;sheet=A0&amp;row=121&amp;col=28&amp;number=&amp;sourceID=13","")</f>
        <v/>
      </c>
      <c r="AC121" s="4" t="str">
        <f>HYPERLINK("http://141.218.60.56/~jnz1568/getInfo.php?workbook=08_01.xlsx&amp;sheet=A0&amp;row=121&amp;col=29&amp;number=&amp;sourceID=13","")</f>
        <v/>
      </c>
      <c r="AD121" s="4" t="str">
        <f>HYPERLINK("http://141.218.60.56/~jnz1568/getInfo.php?workbook=08_01.xlsx&amp;sheet=A0&amp;row=121&amp;col=30&amp;number=&amp;sourceID=13","")</f>
        <v/>
      </c>
      <c r="AE121" s="4" t="str">
        <f>HYPERLINK("http://141.218.60.56/~jnz1568/getInfo.php?workbook=08_01.xlsx&amp;sheet=A0&amp;row=121&amp;col=31&amp;number=&amp;sourceID=13","")</f>
        <v/>
      </c>
      <c r="AF121" s="4" t="str">
        <f>HYPERLINK("http://141.218.60.56/~jnz1568/getInfo.php?workbook=08_01.xlsx&amp;sheet=A0&amp;row=121&amp;col=32&amp;number=&amp;sourceID=20","")</f>
        <v/>
      </c>
    </row>
    <row r="122" spans="1:32">
      <c r="A122" s="3">
        <v>8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HYPERLINK("http://141.218.60.56/~jnz1568/getInfo.php?workbook=08_01.xlsx&amp;sheet=A0&amp;row=122&amp;col=6&amp;number=&amp;sourceID=18","")</f>
        <v/>
      </c>
      <c r="G122" s="4" t="str">
        <f>HYPERLINK("http://141.218.60.56/~jnz1568/getInfo.php?workbook=08_01.xlsx&amp;sheet=A0&amp;row=122&amp;col=7&amp;number==&amp;sourceID=11","=")</f>
        <v>=</v>
      </c>
      <c r="H122" s="4" t="str">
        <f>HYPERLINK("http://141.218.60.56/~jnz1568/getInfo.php?workbook=08_01.xlsx&amp;sheet=A0&amp;row=122&amp;col=8&amp;number=&amp;sourceID=11","")</f>
        <v/>
      </c>
      <c r="I122" s="4" t="str">
        <f>HYPERLINK("http://141.218.60.56/~jnz1568/getInfo.php?workbook=08_01.xlsx&amp;sheet=A0&amp;row=122&amp;col=9&amp;number=&amp;sourceID=11","")</f>
        <v/>
      </c>
      <c r="J122" s="4" t="str">
        <f>HYPERLINK("http://141.218.60.56/~jnz1568/getInfo.php?workbook=08_01.xlsx&amp;sheet=A0&amp;row=122&amp;col=10&amp;number=&amp;sourceID=11","")</f>
        <v/>
      </c>
      <c r="K122" s="4" t="str">
        <f>HYPERLINK("http://141.218.60.56/~jnz1568/getInfo.php?workbook=08_01.xlsx&amp;sheet=A0&amp;row=122&amp;col=11&amp;number=0.0082844&amp;sourceID=11","0.0082844")</f>
        <v>0.0082844</v>
      </c>
      <c r="L122" s="4" t="str">
        <f>HYPERLINK("http://141.218.60.56/~jnz1568/getInfo.php?workbook=08_01.xlsx&amp;sheet=A0&amp;row=122&amp;col=12&amp;number=&amp;sourceID=11","")</f>
        <v/>
      </c>
      <c r="M122" s="4" t="str">
        <f>HYPERLINK("http://141.218.60.56/~jnz1568/getInfo.php?workbook=08_01.xlsx&amp;sheet=A0&amp;row=122&amp;col=13&amp;number=&amp;sourceID=11","")</f>
        <v/>
      </c>
      <c r="N122" s="4" t="str">
        <f>HYPERLINK("http://141.218.60.56/~jnz1568/getInfo.php?workbook=08_01.xlsx&amp;sheet=A0&amp;row=122&amp;col=14&amp;number=0.0082845&amp;sourceID=12","0.0082845")</f>
        <v>0.0082845</v>
      </c>
      <c r="O122" s="4" t="str">
        <f>HYPERLINK("http://141.218.60.56/~jnz1568/getInfo.php?workbook=08_01.xlsx&amp;sheet=A0&amp;row=122&amp;col=15&amp;number=&amp;sourceID=12","")</f>
        <v/>
      </c>
      <c r="P122" s="4" t="str">
        <f>HYPERLINK("http://141.218.60.56/~jnz1568/getInfo.php?workbook=08_01.xlsx&amp;sheet=A0&amp;row=122&amp;col=16&amp;number=&amp;sourceID=12","")</f>
        <v/>
      </c>
      <c r="Q122" s="4" t="str">
        <f>HYPERLINK("http://141.218.60.56/~jnz1568/getInfo.php?workbook=08_01.xlsx&amp;sheet=A0&amp;row=122&amp;col=17&amp;number=&amp;sourceID=12","")</f>
        <v/>
      </c>
      <c r="R122" s="4" t="str">
        <f>HYPERLINK("http://141.218.60.56/~jnz1568/getInfo.php?workbook=08_01.xlsx&amp;sheet=A0&amp;row=122&amp;col=18&amp;number=0.0082845&amp;sourceID=12","0.0082845")</f>
        <v>0.0082845</v>
      </c>
      <c r="S122" s="4" t="str">
        <f>HYPERLINK("http://141.218.60.56/~jnz1568/getInfo.php?workbook=08_01.xlsx&amp;sheet=A0&amp;row=122&amp;col=19&amp;number=&amp;sourceID=12","")</f>
        <v/>
      </c>
      <c r="T122" s="4" t="str">
        <f>HYPERLINK("http://141.218.60.56/~jnz1568/getInfo.php?workbook=08_01.xlsx&amp;sheet=A0&amp;row=122&amp;col=20&amp;number=&amp;sourceID=12","")</f>
        <v/>
      </c>
      <c r="U122" s="4" t="str">
        <f>HYPERLINK("http://141.218.60.56/~jnz1568/getInfo.php?workbook=08_01.xlsx&amp;sheet=A0&amp;row=122&amp;col=21&amp;number=0.008297&amp;sourceID=30","0.008297")</f>
        <v>0.008297</v>
      </c>
      <c r="V122" s="4" t="str">
        <f>HYPERLINK("http://141.218.60.56/~jnz1568/getInfo.php?workbook=08_01.xlsx&amp;sheet=A0&amp;row=122&amp;col=22&amp;number=&amp;sourceID=30","")</f>
        <v/>
      </c>
      <c r="W122" s="4" t="str">
        <f>HYPERLINK("http://141.218.60.56/~jnz1568/getInfo.php?workbook=08_01.xlsx&amp;sheet=A0&amp;row=122&amp;col=23&amp;number=&amp;sourceID=30","")</f>
        <v/>
      </c>
      <c r="X122" s="4" t="str">
        <f>HYPERLINK("http://141.218.60.56/~jnz1568/getInfo.php?workbook=08_01.xlsx&amp;sheet=A0&amp;row=122&amp;col=24&amp;number=0.008297&amp;sourceID=30","0.008297")</f>
        <v>0.008297</v>
      </c>
      <c r="Y122" s="4" t="str">
        <f>HYPERLINK("http://141.218.60.56/~jnz1568/getInfo.php?workbook=08_01.xlsx&amp;sheet=A0&amp;row=122&amp;col=25&amp;number=&amp;sourceID=30","")</f>
        <v/>
      </c>
      <c r="Z122" s="4" t="str">
        <f>HYPERLINK("http://141.218.60.56/~jnz1568/getInfo.php?workbook=08_01.xlsx&amp;sheet=A0&amp;row=122&amp;col=26&amp;number=&amp;sourceID=13","")</f>
        <v/>
      </c>
      <c r="AA122" s="4" t="str">
        <f>HYPERLINK("http://141.218.60.56/~jnz1568/getInfo.php?workbook=08_01.xlsx&amp;sheet=A0&amp;row=122&amp;col=27&amp;number=&amp;sourceID=13","")</f>
        <v/>
      </c>
      <c r="AB122" s="4" t="str">
        <f>HYPERLINK("http://141.218.60.56/~jnz1568/getInfo.php?workbook=08_01.xlsx&amp;sheet=A0&amp;row=122&amp;col=28&amp;number=&amp;sourceID=13","")</f>
        <v/>
      </c>
      <c r="AC122" s="4" t="str">
        <f>HYPERLINK("http://141.218.60.56/~jnz1568/getInfo.php?workbook=08_01.xlsx&amp;sheet=A0&amp;row=122&amp;col=29&amp;number=&amp;sourceID=13","")</f>
        <v/>
      </c>
      <c r="AD122" s="4" t="str">
        <f>HYPERLINK("http://141.218.60.56/~jnz1568/getInfo.php?workbook=08_01.xlsx&amp;sheet=A0&amp;row=122&amp;col=30&amp;number=&amp;sourceID=13","")</f>
        <v/>
      </c>
      <c r="AE122" s="4" t="str">
        <f>HYPERLINK("http://141.218.60.56/~jnz1568/getInfo.php?workbook=08_01.xlsx&amp;sheet=A0&amp;row=122&amp;col=31&amp;number=&amp;sourceID=13","")</f>
        <v/>
      </c>
      <c r="AF122" s="4" t="str">
        <f>HYPERLINK("http://141.218.60.56/~jnz1568/getInfo.php?workbook=08_01.xlsx&amp;sheet=A0&amp;row=122&amp;col=32&amp;number=&amp;sourceID=20","")</f>
        <v/>
      </c>
    </row>
    <row r="123" spans="1:32">
      <c r="A123" s="3">
        <v>8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HYPERLINK("http://141.218.60.56/~jnz1568/getInfo.php?workbook=08_01.xlsx&amp;sheet=A0&amp;row=123&amp;col=6&amp;number=&amp;sourceID=18","")</f>
        <v/>
      </c>
      <c r="G123" s="4" t="str">
        <f>HYPERLINK("http://141.218.60.56/~jnz1568/getInfo.php?workbook=08_01.xlsx&amp;sheet=A0&amp;row=123&amp;col=7&amp;number==&amp;sourceID=11","=")</f>
        <v>=</v>
      </c>
      <c r="H123" s="4" t="str">
        <f>HYPERLINK("http://141.218.60.56/~jnz1568/getInfo.php?workbook=08_01.xlsx&amp;sheet=A0&amp;row=123&amp;col=8&amp;number=6723200000&amp;sourceID=11","6723200000")</f>
        <v>6723200000</v>
      </c>
      <c r="I123" s="4" t="str">
        <f>HYPERLINK("http://141.218.60.56/~jnz1568/getInfo.php?workbook=08_01.xlsx&amp;sheet=A0&amp;row=123&amp;col=9&amp;number=&amp;sourceID=11","")</f>
        <v/>
      </c>
      <c r="J123" s="4" t="str">
        <f>HYPERLINK("http://141.218.60.56/~jnz1568/getInfo.php?workbook=08_01.xlsx&amp;sheet=A0&amp;row=123&amp;col=10&amp;number=&amp;sourceID=11","")</f>
        <v/>
      </c>
      <c r="K123" s="4" t="str">
        <f>HYPERLINK("http://141.218.60.56/~jnz1568/getInfo.php?workbook=08_01.xlsx&amp;sheet=A0&amp;row=123&amp;col=11&amp;number=&amp;sourceID=11","")</f>
        <v/>
      </c>
      <c r="L123" s="4" t="str">
        <f>HYPERLINK("http://141.218.60.56/~jnz1568/getInfo.php?workbook=08_01.xlsx&amp;sheet=A0&amp;row=123&amp;col=12&amp;number=&amp;sourceID=11","")</f>
        <v/>
      </c>
      <c r="M123" s="4" t="str">
        <f>HYPERLINK("http://141.218.60.56/~jnz1568/getInfo.php?workbook=08_01.xlsx&amp;sheet=A0&amp;row=123&amp;col=13&amp;number=&amp;sourceID=11","")</f>
        <v/>
      </c>
      <c r="N123" s="4" t="str">
        <f>HYPERLINK("http://141.218.60.56/~jnz1568/getInfo.php?workbook=08_01.xlsx&amp;sheet=A0&amp;row=123&amp;col=14&amp;number=6723400000&amp;sourceID=12","6723400000")</f>
        <v>6723400000</v>
      </c>
      <c r="O123" s="4" t="str">
        <f>HYPERLINK("http://141.218.60.56/~jnz1568/getInfo.php?workbook=08_01.xlsx&amp;sheet=A0&amp;row=123&amp;col=15&amp;number=6723400000&amp;sourceID=12","6723400000")</f>
        <v>6723400000</v>
      </c>
      <c r="P123" s="4" t="str">
        <f>HYPERLINK("http://141.218.60.56/~jnz1568/getInfo.php?workbook=08_01.xlsx&amp;sheet=A0&amp;row=123&amp;col=16&amp;number=&amp;sourceID=12","")</f>
        <v/>
      </c>
      <c r="Q123" s="4" t="str">
        <f>HYPERLINK("http://141.218.60.56/~jnz1568/getInfo.php?workbook=08_01.xlsx&amp;sheet=A0&amp;row=123&amp;col=17&amp;number=&amp;sourceID=12","")</f>
        <v/>
      </c>
      <c r="R123" s="4" t="str">
        <f>HYPERLINK("http://141.218.60.56/~jnz1568/getInfo.php?workbook=08_01.xlsx&amp;sheet=A0&amp;row=123&amp;col=18&amp;number=&amp;sourceID=12","")</f>
        <v/>
      </c>
      <c r="S123" s="4" t="str">
        <f>HYPERLINK("http://141.218.60.56/~jnz1568/getInfo.php?workbook=08_01.xlsx&amp;sheet=A0&amp;row=123&amp;col=19&amp;number=&amp;sourceID=12","")</f>
        <v/>
      </c>
      <c r="T123" s="4" t="str">
        <f>HYPERLINK("http://141.218.60.56/~jnz1568/getInfo.php?workbook=08_01.xlsx&amp;sheet=A0&amp;row=123&amp;col=20&amp;number=&amp;sourceID=12","")</f>
        <v/>
      </c>
      <c r="U123" s="4" t="str">
        <f>HYPERLINK("http://141.218.60.56/~jnz1568/getInfo.php?workbook=08_01.xlsx&amp;sheet=A0&amp;row=123&amp;col=21&amp;number=6723000000&amp;sourceID=30","6723000000")</f>
        <v>6723000000</v>
      </c>
      <c r="V123" s="4" t="str">
        <f>HYPERLINK("http://141.218.60.56/~jnz1568/getInfo.php?workbook=08_01.xlsx&amp;sheet=A0&amp;row=123&amp;col=22&amp;number=6723000000&amp;sourceID=30","6723000000")</f>
        <v>6723000000</v>
      </c>
      <c r="W123" s="4" t="str">
        <f>HYPERLINK("http://141.218.60.56/~jnz1568/getInfo.php?workbook=08_01.xlsx&amp;sheet=A0&amp;row=123&amp;col=23&amp;number=&amp;sourceID=30","")</f>
        <v/>
      </c>
      <c r="X123" s="4" t="str">
        <f>HYPERLINK("http://141.218.60.56/~jnz1568/getInfo.php?workbook=08_01.xlsx&amp;sheet=A0&amp;row=123&amp;col=24&amp;number=&amp;sourceID=30","")</f>
        <v/>
      </c>
      <c r="Y123" s="4" t="str">
        <f>HYPERLINK("http://141.218.60.56/~jnz1568/getInfo.php?workbook=08_01.xlsx&amp;sheet=A0&amp;row=123&amp;col=25&amp;number=&amp;sourceID=30","")</f>
        <v/>
      </c>
      <c r="Z123" s="4" t="str">
        <f>HYPERLINK("http://141.218.60.56/~jnz1568/getInfo.php?workbook=08_01.xlsx&amp;sheet=A0&amp;row=123&amp;col=26&amp;number=&amp;sourceID=13","")</f>
        <v/>
      </c>
      <c r="AA123" s="4" t="str">
        <f>HYPERLINK("http://141.218.60.56/~jnz1568/getInfo.php?workbook=08_01.xlsx&amp;sheet=A0&amp;row=123&amp;col=27&amp;number=&amp;sourceID=13","")</f>
        <v/>
      </c>
      <c r="AB123" s="4" t="str">
        <f>HYPERLINK("http://141.218.60.56/~jnz1568/getInfo.php?workbook=08_01.xlsx&amp;sheet=A0&amp;row=123&amp;col=28&amp;number=&amp;sourceID=13","")</f>
        <v/>
      </c>
      <c r="AC123" s="4" t="str">
        <f>HYPERLINK("http://141.218.60.56/~jnz1568/getInfo.php?workbook=08_01.xlsx&amp;sheet=A0&amp;row=123&amp;col=29&amp;number=&amp;sourceID=13","")</f>
        <v/>
      </c>
      <c r="AD123" s="4" t="str">
        <f>HYPERLINK("http://141.218.60.56/~jnz1568/getInfo.php?workbook=08_01.xlsx&amp;sheet=A0&amp;row=123&amp;col=30&amp;number=&amp;sourceID=13","")</f>
        <v/>
      </c>
      <c r="AE123" s="4" t="str">
        <f>HYPERLINK("http://141.218.60.56/~jnz1568/getInfo.php?workbook=08_01.xlsx&amp;sheet=A0&amp;row=123&amp;col=31&amp;number=&amp;sourceID=13","")</f>
        <v/>
      </c>
      <c r="AF123" s="4" t="str">
        <f>HYPERLINK("http://141.218.60.56/~jnz1568/getInfo.php?workbook=08_01.xlsx&amp;sheet=A0&amp;row=123&amp;col=32&amp;number=&amp;sourceID=20","")</f>
        <v/>
      </c>
    </row>
    <row r="124" spans="1:32">
      <c r="A124" s="3">
        <v>8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HYPERLINK("http://141.218.60.56/~jnz1568/getInfo.php?workbook=08_01.xlsx&amp;sheet=A0&amp;row=124&amp;col=6&amp;number=&amp;sourceID=18","")</f>
        <v/>
      </c>
      <c r="G124" s="4" t="str">
        <f>HYPERLINK("http://141.218.60.56/~jnz1568/getInfo.php?workbook=08_01.xlsx&amp;sheet=A0&amp;row=124&amp;col=7&amp;number==&amp;sourceID=11","=")</f>
        <v>=</v>
      </c>
      <c r="H124" s="4" t="str">
        <f>HYPERLINK("http://141.218.60.56/~jnz1568/getInfo.php?workbook=08_01.xlsx&amp;sheet=A0&amp;row=124&amp;col=8&amp;number=619120000&amp;sourceID=11","619120000")</f>
        <v>619120000</v>
      </c>
      <c r="I124" s="4" t="str">
        <f>HYPERLINK("http://141.218.60.56/~jnz1568/getInfo.php?workbook=08_01.xlsx&amp;sheet=A0&amp;row=124&amp;col=9&amp;number=&amp;sourceID=11","")</f>
        <v/>
      </c>
      <c r="J124" s="4" t="str">
        <f>HYPERLINK("http://141.218.60.56/~jnz1568/getInfo.php?workbook=08_01.xlsx&amp;sheet=A0&amp;row=124&amp;col=10&amp;number=&amp;sourceID=11","")</f>
        <v/>
      </c>
      <c r="K124" s="4" t="str">
        <f>HYPERLINK("http://141.218.60.56/~jnz1568/getInfo.php?workbook=08_01.xlsx&amp;sheet=A0&amp;row=124&amp;col=11&amp;number=&amp;sourceID=11","")</f>
        <v/>
      </c>
      <c r="L124" s="4" t="str">
        <f>HYPERLINK("http://141.218.60.56/~jnz1568/getInfo.php?workbook=08_01.xlsx&amp;sheet=A0&amp;row=124&amp;col=12&amp;number=0.068235&amp;sourceID=11","0.068235")</f>
        <v>0.068235</v>
      </c>
      <c r="M124" s="4" t="str">
        <f>HYPERLINK("http://141.218.60.56/~jnz1568/getInfo.php?workbook=08_01.xlsx&amp;sheet=A0&amp;row=124&amp;col=13&amp;number=&amp;sourceID=11","")</f>
        <v/>
      </c>
      <c r="N124" s="4" t="str">
        <f>HYPERLINK("http://141.218.60.56/~jnz1568/getInfo.php?workbook=08_01.xlsx&amp;sheet=A0&amp;row=124&amp;col=14&amp;number=619140000&amp;sourceID=12","619140000")</f>
        <v>619140000</v>
      </c>
      <c r="O124" s="4" t="str">
        <f>HYPERLINK("http://141.218.60.56/~jnz1568/getInfo.php?workbook=08_01.xlsx&amp;sheet=A0&amp;row=124&amp;col=15&amp;number=619140000&amp;sourceID=12","619140000")</f>
        <v>619140000</v>
      </c>
      <c r="P124" s="4" t="str">
        <f>HYPERLINK("http://141.218.60.56/~jnz1568/getInfo.php?workbook=08_01.xlsx&amp;sheet=A0&amp;row=124&amp;col=16&amp;number=&amp;sourceID=12","")</f>
        <v/>
      </c>
      <c r="Q124" s="4" t="str">
        <f>HYPERLINK("http://141.218.60.56/~jnz1568/getInfo.php?workbook=08_01.xlsx&amp;sheet=A0&amp;row=124&amp;col=17&amp;number=&amp;sourceID=12","")</f>
        <v/>
      </c>
      <c r="R124" s="4" t="str">
        <f>HYPERLINK("http://141.218.60.56/~jnz1568/getInfo.php?workbook=08_01.xlsx&amp;sheet=A0&amp;row=124&amp;col=18&amp;number=&amp;sourceID=12","")</f>
        <v/>
      </c>
      <c r="S124" s="4" t="str">
        <f>HYPERLINK("http://141.218.60.56/~jnz1568/getInfo.php?workbook=08_01.xlsx&amp;sheet=A0&amp;row=124&amp;col=19&amp;number=0.068238&amp;sourceID=12","0.068238")</f>
        <v>0.068238</v>
      </c>
      <c r="T124" s="4" t="str">
        <f>HYPERLINK("http://141.218.60.56/~jnz1568/getInfo.php?workbook=08_01.xlsx&amp;sheet=A0&amp;row=124&amp;col=20&amp;number=&amp;sourceID=12","")</f>
        <v/>
      </c>
      <c r="U124" s="4" t="str">
        <f>HYPERLINK("http://141.218.60.56/~jnz1568/getInfo.php?workbook=08_01.xlsx&amp;sheet=A0&amp;row=124&amp;col=21&amp;number=619100000.068&amp;sourceID=30","619100000.068")</f>
        <v>619100000.068</v>
      </c>
      <c r="V124" s="4" t="str">
        <f>HYPERLINK("http://141.218.60.56/~jnz1568/getInfo.php?workbook=08_01.xlsx&amp;sheet=A0&amp;row=124&amp;col=22&amp;number=619100000&amp;sourceID=30","619100000")</f>
        <v>619100000</v>
      </c>
      <c r="W124" s="4" t="str">
        <f>HYPERLINK("http://141.218.60.56/~jnz1568/getInfo.php?workbook=08_01.xlsx&amp;sheet=A0&amp;row=124&amp;col=23&amp;number=&amp;sourceID=30","")</f>
        <v/>
      </c>
      <c r="X124" s="4" t="str">
        <f>HYPERLINK("http://141.218.60.56/~jnz1568/getInfo.php?workbook=08_01.xlsx&amp;sheet=A0&amp;row=124&amp;col=24&amp;number=&amp;sourceID=30","")</f>
        <v/>
      </c>
      <c r="Y124" s="4" t="str">
        <f>HYPERLINK("http://141.218.60.56/~jnz1568/getInfo.php?workbook=08_01.xlsx&amp;sheet=A0&amp;row=124&amp;col=25&amp;number=0.06824&amp;sourceID=30","0.06824")</f>
        <v>0.06824</v>
      </c>
      <c r="Z124" s="4" t="str">
        <f>HYPERLINK("http://141.218.60.56/~jnz1568/getInfo.php?workbook=08_01.xlsx&amp;sheet=A0&amp;row=124&amp;col=26&amp;number=&amp;sourceID=13","")</f>
        <v/>
      </c>
      <c r="AA124" s="4" t="str">
        <f>HYPERLINK("http://141.218.60.56/~jnz1568/getInfo.php?workbook=08_01.xlsx&amp;sheet=A0&amp;row=124&amp;col=27&amp;number=&amp;sourceID=13","")</f>
        <v/>
      </c>
      <c r="AB124" s="4" t="str">
        <f>HYPERLINK("http://141.218.60.56/~jnz1568/getInfo.php?workbook=08_01.xlsx&amp;sheet=A0&amp;row=124&amp;col=28&amp;number=&amp;sourceID=13","")</f>
        <v/>
      </c>
      <c r="AC124" s="4" t="str">
        <f>HYPERLINK("http://141.218.60.56/~jnz1568/getInfo.php?workbook=08_01.xlsx&amp;sheet=A0&amp;row=124&amp;col=29&amp;number=&amp;sourceID=13","")</f>
        <v/>
      </c>
      <c r="AD124" s="4" t="str">
        <f>HYPERLINK("http://141.218.60.56/~jnz1568/getInfo.php?workbook=08_01.xlsx&amp;sheet=A0&amp;row=124&amp;col=30&amp;number=&amp;sourceID=13","")</f>
        <v/>
      </c>
      <c r="AE124" s="4" t="str">
        <f>HYPERLINK("http://141.218.60.56/~jnz1568/getInfo.php?workbook=08_01.xlsx&amp;sheet=A0&amp;row=124&amp;col=31&amp;number=&amp;sourceID=13","")</f>
        <v/>
      </c>
      <c r="AF124" s="4" t="str">
        <f>HYPERLINK("http://141.218.60.56/~jnz1568/getInfo.php?workbook=08_01.xlsx&amp;sheet=A0&amp;row=124&amp;col=32&amp;number=&amp;sourceID=20","")</f>
        <v/>
      </c>
    </row>
    <row r="125" spans="1:32">
      <c r="A125" s="3">
        <v>8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HYPERLINK("http://141.218.60.56/~jnz1568/getInfo.php?workbook=08_01.xlsx&amp;sheet=A0&amp;row=125&amp;col=6&amp;number=&amp;sourceID=18","")</f>
        <v/>
      </c>
      <c r="G125" s="4" t="str">
        <f>HYPERLINK("http://141.218.60.56/~jnz1568/getInfo.php?workbook=08_01.xlsx&amp;sheet=A0&amp;row=125&amp;col=7&amp;number==&amp;sourceID=11","=")</f>
        <v>=</v>
      </c>
      <c r="H125" s="4" t="str">
        <f>HYPERLINK("http://141.218.60.56/~jnz1568/getInfo.php?workbook=08_01.xlsx&amp;sheet=A0&amp;row=125&amp;col=8&amp;number=&amp;sourceID=11","")</f>
        <v/>
      </c>
      <c r="I125" s="4" t="str">
        <f>HYPERLINK("http://141.218.60.56/~jnz1568/getInfo.php?workbook=08_01.xlsx&amp;sheet=A0&amp;row=125&amp;col=9&amp;number=374290&amp;sourceID=11","374290")</f>
        <v>374290</v>
      </c>
      <c r="J125" s="4" t="str">
        <f>HYPERLINK("http://141.218.60.56/~jnz1568/getInfo.php?workbook=08_01.xlsx&amp;sheet=A0&amp;row=125&amp;col=10&amp;number=&amp;sourceID=11","")</f>
        <v/>
      </c>
      <c r="K125" s="4" t="str">
        <f>HYPERLINK("http://141.218.60.56/~jnz1568/getInfo.php?workbook=08_01.xlsx&amp;sheet=A0&amp;row=125&amp;col=11&amp;number=0.44685&amp;sourceID=11","0.44685")</f>
        <v>0.44685</v>
      </c>
      <c r="L125" s="4" t="str">
        <f>HYPERLINK("http://141.218.60.56/~jnz1568/getInfo.php?workbook=08_01.xlsx&amp;sheet=A0&amp;row=125&amp;col=12&amp;number=&amp;sourceID=11","")</f>
        <v/>
      </c>
      <c r="M125" s="4" t="str">
        <f>HYPERLINK("http://141.218.60.56/~jnz1568/getInfo.php?workbook=08_01.xlsx&amp;sheet=A0&amp;row=125&amp;col=13&amp;number=&amp;sourceID=11","")</f>
        <v/>
      </c>
      <c r="N125" s="4" t="str">
        <f>HYPERLINK("http://141.218.60.56/~jnz1568/getInfo.php?workbook=08_01.xlsx&amp;sheet=A0&amp;row=125&amp;col=14&amp;number=374300&amp;sourceID=12","374300")</f>
        <v>374300</v>
      </c>
      <c r="O125" s="4" t="str">
        <f>HYPERLINK("http://141.218.60.56/~jnz1568/getInfo.php?workbook=08_01.xlsx&amp;sheet=A0&amp;row=125&amp;col=15&amp;number=&amp;sourceID=12","")</f>
        <v/>
      </c>
      <c r="P125" s="4" t="str">
        <f>HYPERLINK("http://141.218.60.56/~jnz1568/getInfo.php?workbook=08_01.xlsx&amp;sheet=A0&amp;row=125&amp;col=16&amp;number=374300&amp;sourceID=12","374300")</f>
        <v>374300</v>
      </c>
      <c r="Q125" s="4" t="str">
        <f>HYPERLINK("http://141.218.60.56/~jnz1568/getInfo.php?workbook=08_01.xlsx&amp;sheet=A0&amp;row=125&amp;col=17&amp;number=&amp;sourceID=12","")</f>
        <v/>
      </c>
      <c r="R125" s="4" t="str">
        <f>HYPERLINK("http://141.218.60.56/~jnz1568/getInfo.php?workbook=08_01.xlsx&amp;sheet=A0&amp;row=125&amp;col=18&amp;number=0.44687&amp;sourceID=12","0.44687")</f>
        <v>0.44687</v>
      </c>
      <c r="S125" s="4" t="str">
        <f>HYPERLINK("http://141.218.60.56/~jnz1568/getInfo.php?workbook=08_01.xlsx&amp;sheet=A0&amp;row=125&amp;col=19&amp;number=&amp;sourceID=12","")</f>
        <v/>
      </c>
      <c r="T125" s="4" t="str">
        <f>HYPERLINK("http://141.218.60.56/~jnz1568/getInfo.php?workbook=08_01.xlsx&amp;sheet=A0&amp;row=125&amp;col=20&amp;number=&amp;sourceID=12","")</f>
        <v/>
      </c>
      <c r="U125" s="4" t="str">
        <f>HYPERLINK("http://141.218.60.56/~jnz1568/getInfo.php?workbook=08_01.xlsx&amp;sheet=A0&amp;row=125&amp;col=21&amp;number=374300.4468&amp;sourceID=30","374300.4468")</f>
        <v>374300.4468</v>
      </c>
      <c r="V125" s="4" t="str">
        <f>HYPERLINK("http://141.218.60.56/~jnz1568/getInfo.php?workbook=08_01.xlsx&amp;sheet=A0&amp;row=125&amp;col=22&amp;number=&amp;sourceID=30","")</f>
        <v/>
      </c>
      <c r="W125" s="4" t="str">
        <f>HYPERLINK("http://141.218.60.56/~jnz1568/getInfo.php?workbook=08_01.xlsx&amp;sheet=A0&amp;row=125&amp;col=23&amp;number=374300&amp;sourceID=30","374300")</f>
        <v>374300</v>
      </c>
      <c r="X125" s="4" t="str">
        <f>HYPERLINK("http://141.218.60.56/~jnz1568/getInfo.php?workbook=08_01.xlsx&amp;sheet=A0&amp;row=125&amp;col=24&amp;number=0.4468&amp;sourceID=30","0.4468")</f>
        <v>0.4468</v>
      </c>
      <c r="Y125" s="4" t="str">
        <f>HYPERLINK("http://141.218.60.56/~jnz1568/getInfo.php?workbook=08_01.xlsx&amp;sheet=A0&amp;row=125&amp;col=25&amp;number=&amp;sourceID=30","")</f>
        <v/>
      </c>
      <c r="Z125" s="4" t="str">
        <f>HYPERLINK("http://141.218.60.56/~jnz1568/getInfo.php?workbook=08_01.xlsx&amp;sheet=A0&amp;row=125&amp;col=26&amp;number=&amp;sourceID=13","")</f>
        <v/>
      </c>
      <c r="AA125" s="4" t="str">
        <f>HYPERLINK("http://141.218.60.56/~jnz1568/getInfo.php?workbook=08_01.xlsx&amp;sheet=A0&amp;row=125&amp;col=27&amp;number=&amp;sourceID=13","")</f>
        <v/>
      </c>
      <c r="AB125" s="4" t="str">
        <f>HYPERLINK("http://141.218.60.56/~jnz1568/getInfo.php?workbook=08_01.xlsx&amp;sheet=A0&amp;row=125&amp;col=28&amp;number=&amp;sourceID=13","")</f>
        <v/>
      </c>
      <c r="AC125" s="4" t="str">
        <f>HYPERLINK("http://141.218.60.56/~jnz1568/getInfo.php?workbook=08_01.xlsx&amp;sheet=A0&amp;row=125&amp;col=29&amp;number=&amp;sourceID=13","")</f>
        <v/>
      </c>
      <c r="AD125" s="4" t="str">
        <f>HYPERLINK("http://141.218.60.56/~jnz1568/getInfo.php?workbook=08_01.xlsx&amp;sheet=A0&amp;row=125&amp;col=30&amp;number=&amp;sourceID=13","")</f>
        <v/>
      </c>
      <c r="AE125" s="4" t="str">
        <f>HYPERLINK("http://141.218.60.56/~jnz1568/getInfo.php?workbook=08_01.xlsx&amp;sheet=A0&amp;row=125&amp;col=31&amp;number=&amp;sourceID=13","")</f>
        <v/>
      </c>
      <c r="AF125" s="4" t="str">
        <f>HYPERLINK("http://141.218.60.56/~jnz1568/getInfo.php?workbook=08_01.xlsx&amp;sheet=A0&amp;row=125&amp;col=32&amp;number=&amp;sourceID=20","")</f>
        <v/>
      </c>
    </row>
    <row r="126" spans="1:32">
      <c r="A126" s="3">
        <v>8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HYPERLINK("http://141.218.60.56/~jnz1568/getInfo.php?workbook=08_01.xlsx&amp;sheet=A0&amp;row=126&amp;col=6&amp;number=&amp;sourceID=18","")</f>
        <v/>
      </c>
      <c r="G126" s="4" t="str">
        <f>HYPERLINK("http://141.218.60.56/~jnz1568/getInfo.php?workbook=08_01.xlsx&amp;sheet=A0&amp;row=126&amp;col=7&amp;number==&amp;sourceID=11","=")</f>
        <v>=</v>
      </c>
      <c r="H126" s="4" t="str">
        <f>HYPERLINK("http://141.218.60.56/~jnz1568/getInfo.php?workbook=08_01.xlsx&amp;sheet=A0&amp;row=126&amp;col=8&amp;number=&amp;sourceID=11","")</f>
        <v/>
      </c>
      <c r="I126" s="4" t="str">
        <f>HYPERLINK("http://141.218.60.56/~jnz1568/getInfo.php?workbook=08_01.xlsx&amp;sheet=A0&amp;row=126&amp;col=9&amp;number=&amp;sourceID=11","")</f>
        <v/>
      </c>
      <c r="J126" s="4" t="str">
        <f>HYPERLINK("http://141.218.60.56/~jnz1568/getInfo.php?workbook=08_01.xlsx&amp;sheet=A0&amp;row=126&amp;col=10&amp;number=3.7774&amp;sourceID=11","3.7774")</f>
        <v>3.7774</v>
      </c>
      <c r="K126" s="4" t="str">
        <f>HYPERLINK("http://141.218.60.56/~jnz1568/getInfo.php?workbook=08_01.xlsx&amp;sheet=A0&amp;row=126&amp;col=11&amp;number=&amp;sourceID=11","")</f>
        <v/>
      </c>
      <c r="L126" s="4" t="str">
        <f>HYPERLINK("http://141.218.60.56/~jnz1568/getInfo.php?workbook=08_01.xlsx&amp;sheet=A0&amp;row=126&amp;col=12&amp;number=0.72943&amp;sourceID=11","0.72943")</f>
        <v>0.72943</v>
      </c>
      <c r="M126" s="4" t="str">
        <f>HYPERLINK("http://141.218.60.56/~jnz1568/getInfo.php?workbook=08_01.xlsx&amp;sheet=A0&amp;row=126&amp;col=13&amp;number=&amp;sourceID=11","")</f>
        <v/>
      </c>
      <c r="N126" s="4" t="str">
        <f>HYPERLINK("http://141.218.60.56/~jnz1568/getInfo.php?workbook=08_01.xlsx&amp;sheet=A0&amp;row=126&amp;col=14&amp;number=4.5071&amp;sourceID=12","4.5071")</f>
        <v>4.5071</v>
      </c>
      <c r="O126" s="4" t="str">
        <f>HYPERLINK("http://141.218.60.56/~jnz1568/getInfo.php?workbook=08_01.xlsx&amp;sheet=A0&amp;row=126&amp;col=15&amp;number=&amp;sourceID=12","")</f>
        <v/>
      </c>
      <c r="P126" s="4" t="str">
        <f>HYPERLINK("http://141.218.60.56/~jnz1568/getInfo.php?workbook=08_01.xlsx&amp;sheet=A0&amp;row=126&amp;col=16&amp;number=&amp;sourceID=12","")</f>
        <v/>
      </c>
      <c r="Q126" s="4" t="str">
        <f>HYPERLINK("http://141.218.60.56/~jnz1568/getInfo.php?workbook=08_01.xlsx&amp;sheet=A0&amp;row=126&amp;col=17&amp;number=3.7776&amp;sourceID=12","3.7776")</f>
        <v>3.7776</v>
      </c>
      <c r="R126" s="4" t="str">
        <f>HYPERLINK("http://141.218.60.56/~jnz1568/getInfo.php?workbook=08_01.xlsx&amp;sheet=A0&amp;row=126&amp;col=18&amp;number=&amp;sourceID=12","")</f>
        <v/>
      </c>
      <c r="S126" s="4" t="str">
        <f>HYPERLINK("http://141.218.60.56/~jnz1568/getInfo.php?workbook=08_01.xlsx&amp;sheet=A0&amp;row=126&amp;col=19&amp;number=0.72945&amp;sourceID=12","0.72945")</f>
        <v>0.72945</v>
      </c>
      <c r="T126" s="4" t="str">
        <f>HYPERLINK("http://141.218.60.56/~jnz1568/getInfo.php?workbook=08_01.xlsx&amp;sheet=A0&amp;row=126&amp;col=20&amp;number=&amp;sourceID=12","")</f>
        <v/>
      </c>
      <c r="U126" s="4" t="str">
        <f>HYPERLINK("http://141.218.60.56/~jnz1568/getInfo.php?workbook=08_01.xlsx&amp;sheet=A0&amp;row=126&amp;col=21&amp;number=0.7294&amp;sourceID=30","0.7294")</f>
        <v>0.7294</v>
      </c>
      <c r="V126" s="4" t="str">
        <f>HYPERLINK("http://141.218.60.56/~jnz1568/getInfo.php?workbook=08_01.xlsx&amp;sheet=A0&amp;row=126&amp;col=22&amp;number=&amp;sourceID=30","")</f>
        <v/>
      </c>
      <c r="W126" s="4" t="str">
        <f>HYPERLINK("http://141.218.60.56/~jnz1568/getInfo.php?workbook=08_01.xlsx&amp;sheet=A0&amp;row=126&amp;col=23&amp;number=&amp;sourceID=30","")</f>
        <v/>
      </c>
      <c r="X126" s="4" t="str">
        <f>HYPERLINK("http://141.218.60.56/~jnz1568/getInfo.php?workbook=08_01.xlsx&amp;sheet=A0&amp;row=126&amp;col=24&amp;number=&amp;sourceID=30","")</f>
        <v/>
      </c>
      <c r="Y126" s="4" t="str">
        <f>HYPERLINK("http://141.218.60.56/~jnz1568/getInfo.php?workbook=08_01.xlsx&amp;sheet=A0&amp;row=126&amp;col=25&amp;number=0.7294&amp;sourceID=30","0.7294")</f>
        <v>0.7294</v>
      </c>
      <c r="Z126" s="4" t="str">
        <f>HYPERLINK("http://141.218.60.56/~jnz1568/getInfo.php?workbook=08_01.xlsx&amp;sheet=A0&amp;row=126&amp;col=26&amp;number=&amp;sourceID=13","")</f>
        <v/>
      </c>
      <c r="AA126" s="4" t="str">
        <f>HYPERLINK("http://141.218.60.56/~jnz1568/getInfo.php?workbook=08_01.xlsx&amp;sheet=A0&amp;row=126&amp;col=27&amp;number=&amp;sourceID=13","")</f>
        <v/>
      </c>
      <c r="AB126" s="4" t="str">
        <f>HYPERLINK("http://141.218.60.56/~jnz1568/getInfo.php?workbook=08_01.xlsx&amp;sheet=A0&amp;row=126&amp;col=28&amp;number=&amp;sourceID=13","")</f>
        <v/>
      </c>
      <c r="AC126" s="4" t="str">
        <f>HYPERLINK("http://141.218.60.56/~jnz1568/getInfo.php?workbook=08_01.xlsx&amp;sheet=A0&amp;row=126&amp;col=29&amp;number=&amp;sourceID=13","")</f>
        <v/>
      </c>
      <c r="AD126" s="4" t="str">
        <f>HYPERLINK("http://141.218.60.56/~jnz1568/getInfo.php?workbook=08_01.xlsx&amp;sheet=A0&amp;row=126&amp;col=30&amp;number=&amp;sourceID=13","")</f>
        <v/>
      </c>
      <c r="AE126" s="4" t="str">
        <f>HYPERLINK("http://141.218.60.56/~jnz1568/getInfo.php?workbook=08_01.xlsx&amp;sheet=A0&amp;row=126&amp;col=31&amp;number=&amp;sourceID=13","")</f>
        <v/>
      </c>
      <c r="AF126" s="4" t="str">
        <f>HYPERLINK("http://141.218.60.56/~jnz1568/getInfo.php?workbook=08_01.xlsx&amp;sheet=A0&amp;row=126&amp;col=32&amp;number=&amp;sourceID=20","")</f>
        <v/>
      </c>
    </row>
    <row r="127" spans="1:32">
      <c r="A127" s="3">
        <v>8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HYPERLINK("http://141.218.60.56/~jnz1568/getInfo.php?workbook=08_01.xlsx&amp;sheet=A0&amp;row=127&amp;col=6&amp;number=&amp;sourceID=18","")</f>
        <v/>
      </c>
      <c r="G127" s="4" t="str">
        <f>HYPERLINK("http://141.218.60.56/~jnz1568/getInfo.php?workbook=08_01.xlsx&amp;sheet=A0&amp;row=127&amp;col=7&amp;number==&amp;sourceID=11","=")</f>
        <v>=</v>
      </c>
      <c r="H127" s="4" t="str">
        <f>HYPERLINK("http://141.218.60.56/~jnz1568/getInfo.php?workbook=08_01.xlsx&amp;sheet=A0&amp;row=127&amp;col=8&amp;number=&amp;sourceID=11","")</f>
        <v/>
      </c>
      <c r="I127" s="4" t="str">
        <f>HYPERLINK("http://141.218.60.56/~jnz1568/getInfo.php?workbook=08_01.xlsx&amp;sheet=A0&amp;row=127&amp;col=9&amp;number=&amp;sourceID=11","")</f>
        <v/>
      </c>
      <c r="J127" s="4" t="str">
        <f>HYPERLINK("http://141.218.60.56/~jnz1568/getInfo.php?workbook=08_01.xlsx&amp;sheet=A0&amp;row=127&amp;col=10&amp;number=&amp;sourceID=11","")</f>
        <v/>
      </c>
      <c r="K127" s="4" t="str">
        <f>HYPERLINK("http://141.218.60.56/~jnz1568/getInfo.php?workbook=08_01.xlsx&amp;sheet=A0&amp;row=127&amp;col=11&amp;number=0.00026366&amp;sourceID=11","0.00026366")</f>
        <v>0.00026366</v>
      </c>
      <c r="L127" s="4" t="str">
        <f>HYPERLINK("http://141.218.60.56/~jnz1568/getInfo.php?workbook=08_01.xlsx&amp;sheet=A0&amp;row=127&amp;col=12&amp;number=&amp;sourceID=11","")</f>
        <v/>
      </c>
      <c r="M127" s="4" t="str">
        <f>HYPERLINK("http://141.218.60.56/~jnz1568/getInfo.php?workbook=08_01.xlsx&amp;sheet=A0&amp;row=127&amp;col=13&amp;number=&amp;sourceID=11","")</f>
        <v/>
      </c>
      <c r="N127" s="4" t="str">
        <f>HYPERLINK("http://141.218.60.56/~jnz1568/getInfo.php?workbook=08_01.xlsx&amp;sheet=A0&amp;row=127&amp;col=14&amp;number=0.00026367&amp;sourceID=12","0.00026367")</f>
        <v>0.00026367</v>
      </c>
      <c r="O127" s="4" t="str">
        <f>HYPERLINK("http://141.218.60.56/~jnz1568/getInfo.php?workbook=08_01.xlsx&amp;sheet=A0&amp;row=127&amp;col=15&amp;number=&amp;sourceID=12","")</f>
        <v/>
      </c>
      <c r="P127" s="4" t="str">
        <f>HYPERLINK("http://141.218.60.56/~jnz1568/getInfo.php?workbook=08_01.xlsx&amp;sheet=A0&amp;row=127&amp;col=16&amp;number=&amp;sourceID=12","")</f>
        <v/>
      </c>
      <c r="Q127" s="4" t="str">
        <f>HYPERLINK("http://141.218.60.56/~jnz1568/getInfo.php?workbook=08_01.xlsx&amp;sheet=A0&amp;row=127&amp;col=17&amp;number=&amp;sourceID=12","")</f>
        <v/>
      </c>
      <c r="R127" s="4" t="str">
        <f>HYPERLINK("http://141.218.60.56/~jnz1568/getInfo.php?workbook=08_01.xlsx&amp;sheet=A0&amp;row=127&amp;col=18&amp;number=0.00026367&amp;sourceID=12","0.00026367")</f>
        <v>0.00026367</v>
      </c>
      <c r="S127" s="4" t="str">
        <f>HYPERLINK("http://141.218.60.56/~jnz1568/getInfo.php?workbook=08_01.xlsx&amp;sheet=A0&amp;row=127&amp;col=19&amp;number=&amp;sourceID=12","")</f>
        <v/>
      </c>
      <c r="T127" s="4" t="str">
        <f>HYPERLINK("http://141.218.60.56/~jnz1568/getInfo.php?workbook=08_01.xlsx&amp;sheet=A0&amp;row=127&amp;col=20&amp;number=&amp;sourceID=12","")</f>
        <v/>
      </c>
      <c r="U127" s="4" t="str">
        <f>HYPERLINK("http://141.218.60.56/~jnz1568/getInfo.php?workbook=08_01.xlsx&amp;sheet=A0&amp;row=127&amp;col=21&amp;number=0.0002655&amp;sourceID=30","0.0002655")</f>
        <v>0.0002655</v>
      </c>
      <c r="V127" s="4" t="str">
        <f>HYPERLINK("http://141.218.60.56/~jnz1568/getInfo.php?workbook=08_01.xlsx&amp;sheet=A0&amp;row=127&amp;col=22&amp;number=&amp;sourceID=30","")</f>
        <v/>
      </c>
      <c r="W127" s="4" t="str">
        <f>HYPERLINK("http://141.218.60.56/~jnz1568/getInfo.php?workbook=08_01.xlsx&amp;sheet=A0&amp;row=127&amp;col=23&amp;number=&amp;sourceID=30","")</f>
        <v/>
      </c>
      <c r="X127" s="4" t="str">
        <f>HYPERLINK("http://141.218.60.56/~jnz1568/getInfo.php?workbook=08_01.xlsx&amp;sheet=A0&amp;row=127&amp;col=24&amp;number=0.0002655&amp;sourceID=30","0.0002655")</f>
        <v>0.0002655</v>
      </c>
      <c r="Y127" s="4" t="str">
        <f>HYPERLINK("http://141.218.60.56/~jnz1568/getInfo.php?workbook=08_01.xlsx&amp;sheet=A0&amp;row=127&amp;col=25&amp;number=&amp;sourceID=30","")</f>
        <v/>
      </c>
      <c r="Z127" s="4" t="str">
        <f>HYPERLINK("http://141.218.60.56/~jnz1568/getInfo.php?workbook=08_01.xlsx&amp;sheet=A0&amp;row=127&amp;col=26&amp;number=&amp;sourceID=13","")</f>
        <v/>
      </c>
      <c r="AA127" s="4" t="str">
        <f>HYPERLINK("http://141.218.60.56/~jnz1568/getInfo.php?workbook=08_01.xlsx&amp;sheet=A0&amp;row=127&amp;col=27&amp;number=&amp;sourceID=13","")</f>
        <v/>
      </c>
      <c r="AB127" s="4" t="str">
        <f>HYPERLINK("http://141.218.60.56/~jnz1568/getInfo.php?workbook=08_01.xlsx&amp;sheet=A0&amp;row=127&amp;col=28&amp;number=&amp;sourceID=13","")</f>
        <v/>
      </c>
      <c r="AC127" s="4" t="str">
        <f>HYPERLINK("http://141.218.60.56/~jnz1568/getInfo.php?workbook=08_01.xlsx&amp;sheet=A0&amp;row=127&amp;col=29&amp;number=&amp;sourceID=13","")</f>
        <v/>
      </c>
      <c r="AD127" s="4" t="str">
        <f>HYPERLINK("http://141.218.60.56/~jnz1568/getInfo.php?workbook=08_01.xlsx&amp;sheet=A0&amp;row=127&amp;col=30&amp;number=&amp;sourceID=13","")</f>
        <v/>
      </c>
      <c r="AE127" s="4" t="str">
        <f>HYPERLINK("http://141.218.60.56/~jnz1568/getInfo.php?workbook=08_01.xlsx&amp;sheet=A0&amp;row=127&amp;col=31&amp;number=&amp;sourceID=13","")</f>
        <v/>
      </c>
      <c r="AF127" s="4" t="str">
        <f>HYPERLINK("http://141.218.60.56/~jnz1568/getInfo.php?workbook=08_01.xlsx&amp;sheet=A0&amp;row=127&amp;col=32&amp;number=&amp;sourceID=20","")</f>
        <v/>
      </c>
    </row>
    <row r="128" spans="1:32">
      <c r="A128" s="3">
        <v>8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HYPERLINK("http://141.218.60.56/~jnz1568/getInfo.php?workbook=08_01.xlsx&amp;sheet=A0&amp;row=128&amp;col=6&amp;number=&amp;sourceID=18","")</f>
        <v/>
      </c>
      <c r="G128" s="4" t="str">
        <f>HYPERLINK("http://141.218.60.56/~jnz1568/getInfo.php?workbook=08_01.xlsx&amp;sheet=A0&amp;row=128&amp;col=7&amp;number==&amp;sourceID=11","=")</f>
        <v>=</v>
      </c>
      <c r="H128" s="4" t="str">
        <f>HYPERLINK("http://141.218.60.56/~jnz1568/getInfo.php?workbook=08_01.xlsx&amp;sheet=A0&amp;row=128&amp;col=8&amp;number=3026100000&amp;sourceID=11","3026100000")</f>
        <v>3026100000</v>
      </c>
      <c r="I128" s="4" t="str">
        <f>HYPERLINK("http://141.218.60.56/~jnz1568/getInfo.php?workbook=08_01.xlsx&amp;sheet=A0&amp;row=128&amp;col=9&amp;number=&amp;sourceID=11","")</f>
        <v/>
      </c>
      <c r="J128" s="4" t="str">
        <f>HYPERLINK("http://141.218.60.56/~jnz1568/getInfo.php?workbook=08_01.xlsx&amp;sheet=A0&amp;row=128&amp;col=10&amp;number=&amp;sourceID=11","")</f>
        <v/>
      </c>
      <c r="K128" s="4" t="str">
        <f>HYPERLINK("http://141.218.60.56/~jnz1568/getInfo.php?workbook=08_01.xlsx&amp;sheet=A0&amp;row=128&amp;col=11&amp;number=&amp;sourceID=11","")</f>
        <v/>
      </c>
      <c r="L128" s="4" t="str">
        <f>HYPERLINK("http://141.218.60.56/~jnz1568/getInfo.php?workbook=08_01.xlsx&amp;sheet=A0&amp;row=128&amp;col=12&amp;number=&amp;sourceID=11","")</f>
        <v/>
      </c>
      <c r="M128" s="4" t="str">
        <f>HYPERLINK("http://141.218.60.56/~jnz1568/getInfo.php?workbook=08_01.xlsx&amp;sheet=A0&amp;row=128&amp;col=13&amp;number=&amp;sourceID=11","")</f>
        <v/>
      </c>
      <c r="N128" s="4" t="str">
        <f>HYPERLINK("http://141.218.60.56/~jnz1568/getInfo.php?workbook=08_01.xlsx&amp;sheet=A0&amp;row=128&amp;col=14&amp;number=3026200000&amp;sourceID=12","3026200000")</f>
        <v>3026200000</v>
      </c>
      <c r="O128" s="4" t="str">
        <f>HYPERLINK("http://141.218.60.56/~jnz1568/getInfo.php?workbook=08_01.xlsx&amp;sheet=A0&amp;row=128&amp;col=15&amp;number=3026200000&amp;sourceID=12","3026200000")</f>
        <v>3026200000</v>
      </c>
      <c r="P128" s="4" t="str">
        <f>HYPERLINK("http://141.218.60.56/~jnz1568/getInfo.php?workbook=08_01.xlsx&amp;sheet=A0&amp;row=128&amp;col=16&amp;number=&amp;sourceID=12","")</f>
        <v/>
      </c>
      <c r="Q128" s="4" t="str">
        <f>HYPERLINK("http://141.218.60.56/~jnz1568/getInfo.php?workbook=08_01.xlsx&amp;sheet=A0&amp;row=128&amp;col=17&amp;number=&amp;sourceID=12","")</f>
        <v/>
      </c>
      <c r="R128" s="4" t="str">
        <f>HYPERLINK("http://141.218.60.56/~jnz1568/getInfo.php?workbook=08_01.xlsx&amp;sheet=A0&amp;row=128&amp;col=18&amp;number=&amp;sourceID=12","")</f>
        <v/>
      </c>
      <c r="S128" s="4" t="str">
        <f>HYPERLINK("http://141.218.60.56/~jnz1568/getInfo.php?workbook=08_01.xlsx&amp;sheet=A0&amp;row=128&amp;col=19&amp;number=&amp;sourceID=12","")</f>
        <v/>
      </c>
      <c r="T128" s="4" t="str">
        <f>HYPERLINK("http://141.218.60.56/~jnz1568/getInfo.php?workbook=08_01.xlsx&amp;sheet=A0&amp;row=128&amp;col=20&amp;number=&amp;sourceID=12","")</f>
        <v/>
      </c>
      <c r="U128" s="4" t="str">
        <f>HYPERLINK("http://141.218.60.56/~jnz1568/getInfo.php?workbook=08_01.xlsx&amp;sheet=A0&amp;row=128&amp;col=21&amp;number=3026000000&amp;sourceID=30","3026000000")</f>
        <v>3026000000</v>
      </c>
      <c r="V128" s="4" t="str">
        <f>HYPERLINK("http://141.218.60.56/~jnz1568/getInfo.php?workbook=08_01.xlsx&amp;sheet=A0&amp;row=128&amp;col=22&amp;number=3026000000&amp;sourceID=30","3026000000")</f>
        <v>3026000000</v>
      </c>
      <c r="W128" s="4" t="str">
        <f>HYPERLINK("http://141.218.60.56/~jnz1568/getInfo.php?workbook=08_01.xlsx&amp;sheet=A0&amp;row=128&amp;col=23&amp;number=&amp;sourceID=30","")</f>
        <v/>
      </c>
      <c r="X128" s="4" t="str">
        <f>HYPERLINK("http://141.218.60.56/~jnz1568/getInfo.php?workbook=08_01.xlsx&amp;sheet=A0&amp;row=128&amp;col=24&amp;number=&amp;sourceID=30","")</f>
        <v/>
      </c>
      <c r="Y128" s="4" t="str">
        <f>HYPERLINK("http://141.218.60.56/~jnz1568/getInfo.php?workbook=08_01.xlsx&amp;sheet=A0&amp;row=128&amp;col=25&amp;number=&amp;sourceID=30","")</f>
        <v/>
      </c>
      <c r="Z128" s="4" t="str">
        <f>HYPERLINK("http://141.218.60.56/~jnz1568/getInfo.php?workbook=08_01.xlsx&amp;sheet=A0&amp;row=128&amp;col=26&amp;number=&amp;sourceID=13","")</f>
        <v/>
      </c>
      <c r="AA128" s="4" t="str">
        <f>HYPERLINK("http://141.218.60.56/~jnz1568/getInfo.php?workbook=08_01.xlsx&amp;sheet=A0&amp;row=128&amp;col=27&amp;number=&amp;sourceID=13","")</f>
        <v/>
      </c>
      <c r="AB128" s="4" t="str">
        <f>HYPERLINK("http://141.218.60.56/~jnz1568/getInfo.php?workbook=08_01.xlsx&amp;sheet=A0&amp;row=128&amp;col=28&amp;number=&amp;sourceID=13","")</f>
        <v/>
      </c>
      <c r="AC128" s="4" t="str">
        <f>HYPERLINK("http://141.218.60.56/~jnz1568/getInfo.php?workbook=08_01.xlsx&amp;sheet=A0&amp;row=128&amp;col=29&amp;number=&amp;sourceID=13","")</f>
        <v/>
      </c>
      <c r="AD128" s="4" t="str">
        <f>HYPERLINK("http://141.218.60.56/~jnz1568/getInfo.php?workbook=08_01.xlsx&amp;sheet=A0&amp;row=128&amp;col=30&amp;number=&amp;sourceID=13","")</f>
        <v/>
      </c>
      <c r="AE128" s="4" t="str">
        <f>HYPERLINK("http://141.218.60.56/~jnz1568/getInfo.php?workbook=08_01.xlsx&amp;sheet=A0&amp;row=128&amp;col=31&amp;number=&amp;sourceID=13","")</f>
        <v/>
      </c>
      <c r="AF128" s="4" t="str">
        <f>HYPERLINK("http://141.218.60.56/~jnz1568/getInfo.php?workbook=08_01.xlsx&amp;sheet=A0&amp;row=128&amp;col=32&amp;number=&amp;sourceID=20","")</f>
        <v/>
      </c>
    </row>
    <row r="129" spans="1:32">
      <c r="A129" s="3">
        <v>8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HYPERLINK("http://141.218.60.56/~jnz1568/getInfo.php?workbook=08_01.xlsx&amp;sheet=A0&amp;row=129&amp;col=6&amp;number=&amp;sourceID=18","")</f>
        <v/>
      </c>
      <c r="G129" s="4" t="str">
        <f>HYPERLINK("http://141.218.60.56/~jnz1568/getInfo.php?workbook=08_01.xlsx&amp;sheet=A0&amp;row=129&amp;col=7&amp;number==&amp;sourceID=11","=")</f>
        <v>=</v>
      </c>
      <c r="H129" s="4" t="str">
        <f>HYPERLINK("http://141.218.60.56/~jnz1568/getInfo.php?workbook=08_01.xlsx&amp;sheet=A0&amp;row=129&amp;col=8&amp;number=779440000&amp;sourceID=11","779440000")</f>
        <v>779440000</v>
      </c>
      <c r="I129" s="4" t="str">
        <f>HYPERLINK("http://141.218.60.56/~jnz1568/getInfo.php?workbook=08_01.xlsx&amp;sheet=A0&amp;row=129&amp;col=9&amp;number=&amp;sourceID=11","")</f>
        <v/>
      </c>
      <c r="J129" s="4" t="str">
        <f>HYPERLINK("http://141.218.60.56/~jnz1568/getInfo.php?workbook=08_01.xlsx&amp;sheet=A0&amp;row=129&amp;col=10&amp;number=&amp;sourceID=11","")</f>
        <v/>
      </c>
      <c r="K129" s="4" t="str">
        <f>HYPERLINK("http://141.218.60.56/~jnz1568/getInfo.php?workbook=08_01.xlsx&amp;sheet=A0&amp;row=129&amp;col=11&amp;number=&amp;sourceID=11","")</f>
        <v/>
      </c>
      <c r="L129" s="4" t="str">
        <f>HYPERLINK("http://141.218.60.56/~jnz1568/getInfo.php?workbook=08_01.xlsx&amp;sheet=A0&amp;row=129&amp;col=12&amp;number=0.0085901&amp;sourceID=11","0.0085901")</f>
        <v>0.0085901</v>
      </c>
      <c r="M129" s="4" t="str">
        <f>HYPERLINK("http://141.218.60.56/~jnz1568/getInfo.php?workbook=08_01.xlsx&amp;sheet=A0&amp;row=129&amp;col=13&amp;number=&amp;sourceID=11","")</f>
        <v/>
      </c>
      <c r="N129" s="4" t="str">
        <f>HYPERLINK("http://141.218.60.56/~jnz1568/getInfo.php?workbook=08_01.xlsx&amp;sheet=A0&amp;row=129&amp;col=14&amp;number=779460000&amp;sourceID=12","779460000")</f>
        <v>779460000</v>
      </c>
      <c r="O129" s="4" t="str">
        <f>HYPERLINK("http://141.218.60.56/~jnz1568/getInfo.php?workbook=08_01.xlsx&amp;sheet=A0&amp;row=129&amp;col=15&amp;number=779460000&amp;sourceID=12","779460000")</f>
        <v>779460000</v>
      </c>
      <c r="P129" s="4" t="str">
        <f>HYPERLINK("http://141.218.60.56/~jnz1568/getInfo.php?workbook=08_01.xlsx&amp;sheet=A0&amp;row=129&amp;col=16&amp;number=&amp;sourceID=12","")</f>
        <v/>
      </c>
      <c r="Q129" s="4" t="str">
        <f>HYPERLINK("http://141.218.60.56/~jnz1568/getInfo.php?workbook=08_01.xlsx&amp;sheet=A0&amp;row=129&amp;col=17&amp;number=&amp;sourceID=12","")</f>
        <v/>
      </c>
      <c r="R129" s="4" t="str">
        <f>HYPERLINK("http://141.218.60.56/~jnz1568/getInfo.php?workbook=08_01.xlsx&amp;sheet=A0&amp;row=129&amp;col=18&amp;number=&amp;sourceID=12","")</f>
        <v/>
      </c>
      <c r="S129" s="4" t="str">
        <f>HYPERLINK("http://141.218.60.56/~jnz1568/getInfo.php?workbook=08_01.xlsx&amp;sheet=A0&amp;row=129&amp;col=19&amp;number=0.0085904&amp;sourceID=12","0.0085904")</f>
        <v>0.0085904</v>
      </c>
      <c r="T129" s="4" t="str">
        <f>HYPERLINK("http://141.218.60.56/~jnz1568/getInfo.php?workbook=08_01.xlsx&amp;sheet=A0&amp;row=129&amp;col=20&amp;number=&amp;sourceID=12","")</f>
        <v/>
      </c>
      <c r="U129" s="4" t="str">
        <f>HYPERLINK("http://141.218.60.56/~jnz1568/getInfo.php?workbook=08_01.xlsx&amp;sheet=A0&amp;row=129&amp;col=21&amp;number=779500000.009&amp;sourceID=30","779500000.009")</f>
        <v>779500000.009</v>
      </c>
      <c r="V129" s="4" t="str">
        <f>HYPERLINK("http://141.218.60.56/~jnz1568/getInfo.php?workbook=08_01.xlsx&amp;sheet=A0&amp;row=129&amp;col=22&amp;number=779500000&amp;sourceID=30","779500000")</f>
        <v>779500000</v>
      </c>
      <c r="W129" s="4" t="str">
        <f>HYPERLINK("http://141.218.60.56/~jnz1568/getInfo.php?workbook=08_01.xlsx&amp;sheet=A0&amp;row=129&amp;col=23&amp;number=&amp;sourceID=30","")</f>
        <v/>
      </c>
      <c r="X129" s="4" t="str">
        <f>HYPERLINK("http://141.218.60.56/~jnz1568/getInfo.php?workbook=08_01.xlsx&amp;sheet=A0&amp;row=129&amp;col=24&amp;number=&amp;sourceID=30","")</f>
        <v/>
      </c>
      <c r="Y129" s="4" t="str">
        <f>HYPERLINK("http://141.218.60.56/~jnz1568/getInfo.php?workbook=08_01.xlsx&amp;sheet=A0&amp;row=129&amp;col=25&amp;number=0.00859&amp;sourceID=30","0.00859")</f>
        <v>0.00859</v>
      </c>
      <c r="Z129" s="4" t="str">
        <f>HYPERLINK("http://141.218.60.56/~jnz1568/getInfo.php?workbook=08_01.xlsx&amp;sheet=A0&amp;row=129&amp;col=26&amp;number=&amp;sourceID=13","")</f>
        <v/>
      </c>
      <c r="AA129" s="4" t="str">
        <f>HYPERLINK("http://141.218.60.56/~jnz1568/getInfo.php?workbook=08_01.xlsx&amp;sheet=A0&amp;row=129&amp;col=27&amp;number=&amp;sourceID=13","")</f>
        <v/>
      </c>
      <c r="AB129" s="4" t="str">
        <f>HYPERLINK("http://141.218.60.56/~jnz1568/getInfo.php?workbook=08_01.xlsx&amp;sheet=A0&amp;row=129&amp;col=28&amp;number=&amp;sourceID=13","")</f>
        <v/>
      </c>
      <c r="AC129" s="4" t="str">
        <f>HYPERLINK("http://141.218.60.56/~jnz1568/getInfo.php?workbook=08_01.xlsx&amp;sheet=A0&amp;row=129&amp;col=29&amp;number=&amp;sourceID=13","")</f>
        <v/>
      </c>
      <c r="AD129" s="4" t="str">
        <f>HYPERLINK("http://141.218.60.56/~jnz1568/getInfo.php?workbook=08_01.xlsx&amp;sheet=A0&amp;row=129&amp;col=30&amp;number=&amp;sourceID=13","")</f>
        <v/>
      </c>
      <c r="AE129" s="4" t="str">
        <f>HYPERLINK("http://141.218.60.56/~jnz1568/getInfo.php?workbook=08_01.xlsx&amp;sheet=A0&amp;row=129&amp;col=31&amp;number=&amp;sourceID=13","")</f>
        <v/>
      </c>
      <c r="AF129" s="4" t="str">
        <f>HYPERLINK("http://141.218.60.56/~jnz1568/getInfo.php?workbook=08_01.xlsx&amp;sheet=A0&amp;row=129&amp;col=32&amp;number=&amp;sourceID=20","")</f>
        <v/>
      </c>
    </row>
    <row r="130" spans="1:32">
      <c r="A130" s="3">
        <v>8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HYPERLINK("http://141.218.60.56/~jnz1568/getInfo.php?workbook=08_01.xlsx&amp;sheet=A0&amp;row=130&amp;col=6&amp;number=&amp;sourceID=18","")</f>
        <v/>
      </c>
      <c r="G130" s="4" t="str">
        <f>HYPERLINK("http://141.218.60.56/~jnz1568/getInfo.php?workbook=08_01.xlsx&amp;sheet=A0&amp;row=130&amp;col=7&amp;number==&amp;sourceID=11","=")</f>
        <v>=</v>
      </c>
      <c r="H130" s="4" t="str">
        <f>HYPERLINK("http://141.218.60.56/~jnz1568/getInfo.php?workbook=08_01.xlsx&amp;sheet=A0&amp;row=130&amp;col=8&amp;number=&amp;sourceID=11","")</f>
        <v/>
      </c>
      <c r="I130" s="4" t="str">
        <f>HYPERLINK("http://141.218.60.56/~jnz1568/getInfo.php?workbook=08_01.xlsx&amp;sheet=A0&amp;row=130&amp;col=9&amp;number=119230&amp;sourceID=11","119230")</f>
        <v>119230</v>
      </c>
      <c r="J130" s="4" t="str">
        <f>HYPERLINK("http://141.218.60.56/~jnz1568/getInfo.php?workbook=08_01.xlsx&amp;sheet=A0&amp;row=130&amp;col=10&amp;number=&amp;sourceID=11","")</f>
        <v/>
      </c>
      <c r="K130" s="4" t="str">
        <f>HYPERLINK("http://141.218.60.56/~jnz1568/getInfo.php?workbook=08_01.xlsx&amp;sheet=A0&amp;row=130&amp;col=11&amp;number=0.055558&amp;sourceID=11","0.055558")</f>
        <v>0.055558</v>
      </c>
      <c r="L130" s="4" t="str">
        <f>HYPERLINK("http://141.218.60.56/~jnz1568/getInfo.php?workbook=08_01.xlsx&amp;sheet=A0&amp;row=130&amp;col=12&amp;number=&amp;sourceID=11","")</f>
        <v/>
      </c>
      <c r="M130" s="4" t="str">
        <f>HYPERLINK("http://141.218.60.56/~jnz1568/getInfo.php?workbook=08_01.xlsx&amp;sheet=A0&amp;row=130&amp;col=13&amp;number=&amp;sourceID=11","")</f>
        <v/>
      </c>
      <c r="N130" s="4" t="str">
        <f>HYPERLINK("http://141.218.60.56/~jnz1568/getInfo.php?workbook=08_01.xlsx&amp;sheet=A0&amp;row=130&amp;col=14&amp;number=119240&amp;sourceID=12","119240")</f>
        <v>119240</v>
      </c>
      <c r="O130" s="4" t="str">
        <f>HYPERLINK("http://141.218.60.56/~jnz1568/getInfo.php?workbook=08_01.xlsx&amp;sheet=A0&amp;row=130&amp;col=15&amp;number=&amp;sourceID=12","")</f>
        <v/>
      </c>
      <c r="P130" s="4" t="str">
        <f>HYPERLINK("http://141.218.60.56/~jnz1568/getInfo.php?workbook=08_01.xlsx&amp;sheet=A0&amp;row=130&amp;col=16&amp;number=119240&amp;sourceID=12","119240")</f>
        <v>119240</v>
      </c>
      <c r="Q130" s="4" t="str">
        <f>HYPERLINK("http://141.218.60.56/~jnz1568/getInfo.php?workbook=08_01.xlsx&amp;sheet=A0&amp;row=130&amp;col=17&amp;number=&amp;sourceID=12","")</f>
        <v/>
      </c>
      <c r="R130" s="4" t="str">
        <f>HYPERLINK("http://141.218.60.56/~jnz1568/getInfo.php?workbook=08_01.xlsx&amp;sheet=A0&amp;row=130&amp;col=18&amp;number=0.055561&amp;sourceID=12","0.055561")</f>
        <v>0.055561</v>
      </c>
      <c r="S130" s="4" t="str">
        <f>HYPERLINK("http://141.218.60.56/~jnz1568/getInfo.php?workbook=08_01.xlsx&amp;sheet=A0&amp;row=130&amp;col=19&amp;number=&amp;sourceID=12","")</f>
        <v/>
      </c>
      <c r="T130" s="4" t="str">
        <f>HYPERLINK("http://141.218.60.56/~jnz1568/getInfo.php?workbook=08_01.xlsx&amp;sheet=A0&amp;row=130&amp;col=20&amp;number=&amp;sourceID=12","")</f>
        <v/>
      </c>
      <c r="U130" s="4" t="str">
        <f>HYPERLINK("http://141.218.60.56/~jnz1568/getInfo.php?workbook=08_01.xlsx&amp;sheet=A0&amp;row=130&amp;col=21&amp;number=119200.05554&amp;sourceID=30","119200.05554")</f>
        <v>119200.05554</v>
      </c>
      <c r="V130" s="4" t="str">
        <f>HYPERLINK("http://141.218.60.56/~jnz1568/getInfo.php?workbook=08_01.xlsx&amp;sheet=A0&amp;row=130&amp;col=22&amp;number=&amp;sourceID=30","")</f>
        <v/>
      </c>
      <c r="W130" s="4" t="str">
        <f>HYPERLINK("http://141.218.60.56/~jnz1568/getInfo.php?workbook=08_01.xlsx&amp;sheet=A0&amp;row=130&amp;col=23&amp;number=119200&amp;sourceID=30","119200")</f>
        <v>119200</v>
      </c>
      <c r="X130" s="4" t="str">
        <f>HYPERLINK("http://141.218.60.56/~jnz1568/getInfo.php?workbook=08_01.xlsx&amp;sheet=A0&amp;row=130&amp;col=24&amp;number=0.05554&amp;sourceID=30","0.05554")</f>
        <v>0.05554</v>
      </c>
      <c r="Y130" s="4" t="str">
        <f>HYPERLINK("http://141.218.60.56/~jnz1568/getInfo.php?workbook=08_01.xlsx&amp;sheet=A0&amp;row=130&amp;col=25&amp;number=&amp;sourceID=30","")</f>
        <v/>
      </c>
      <c r="Z130" s="4" t="str">
        <f>HYPERLINK("http://141.218.60.56/~jnz1568/getInfo.php?workbook=08_01.xlsx&amp;sheet=A0&amp;row=130&amp;col=26&amp;number=&amp;sourceID=13","")</f>
        <v/>
      </c>
      <c r="AA130" s="4" t="str">
        <f>HYPERLINK("http://141.218.60.56/~jnz1568/getInfo.php?workbook=08_01.xlsx&amp;sheet=A0&amp;row=130&amp;col=27&amp;number=&amp;sourceID=13","")</f>
        <v/>
      </c>
      <c r="AB130" s="4" t="str">
        <f>HYPERLINK("http://141.218.60.56/~jnz1568/getInfo.php?workbook=08_01.xlsx&amp;sheet=A0&amp;row=130&amp;col=28&amp;number=&amp;sourceID=13","")</f>
        <v/>
      </c>
      <c r="AC130" s="4" t="str">
        <f>HYPERLINK("http://141.218.60.56/~jnz1568/getInfo.php?workbook=08_01.xlsx&amp;sheet=A0&amp;row=130&amp;col=29&amp;number=&amp;sourceID=13","")</f>
        <v/>
      </c>
      <c r="AD130" s="4" t="str">
        <f>HYPERLINK("http://141.218.60.56/~jnz1568/getInfo.php?workbook=08_01.xlsx&amp;sheet=A0&amp;row=130&amp;col=30&amp;number=&amp;sourceID=13","")</f>
        <v/>
      </c>
      <c r="AE130" s="4" t="str">
        <f>HYPERLINK("http://141.218.60.56/~jnz1568/getInfo.php?workbook=08_01.xlsx&amp;sheet=A0&amp;row=130&amp;col=31&amp;number=&amp;sourceID=13","")</f>
        <v/>
      </c>
      <c r="AF130" s="4" t="str">
        <f>HYPERLINK("http://141.218.60.56/~jnz1568/getInfo.php?workbook=08_01.xlsx&amp;sheet=A0&amp;row=130&amp;col=32&amp;number=&amp;sourceID=20","")</f>
        <v/>
      </c>
    </row>
    <row r="131" spans="1:32">
      <c r="A131" s="3">
        <v>8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HYPERLINK("http://141.218.60.56/~jnz1568/getInfo.php?workbook=08_01.xlsx&amp;sheet=A0&amp;row=131&amp;col=6&amp;number=&amp;sourceID=18","")</f>
        <v/>
      </c>
      <c r="G131" s="4" t="str">
        <f>HYPERLINK("http://141.218.60.56/~jnz1568/getInfo.php?workbook=08_01.xlsx&amp;sheet=A0&amp;row=131&amp;col=7&amp;number==&amp;sourceID=11","=")</f>
        <v>=</v>
      </c>
      <c r="H131" s="4" t="str">
        <f>HYPERLINK("http://141.218.60.56/~jnz1568/getInfo.php?workbook=08_01.xlsx&amp;sheet=A0&amp;row=131&amp;col=8&amp;number=&amp;sourceID=11","")</f>
        <v/>
      </c>
      <c r="I131" s="4" t="str">
        <f>HYPERLINK("http://141.218.60.56/~jnz1568/getInfo.php?workbook=08_01.xlsx&amp;sheet=A0&amp;row=131&amp;col=9&amp;number=12400&amp;sourceID=11","12400")</f>
        <v>12400</v>
      </c>
      <c r="J131" s="4" t="str">
        <f>HYPERLINK("http://141.218.60.56/~jnz1568/getInfo.php?workbook=08_01.xlsx&amp;sheet=A0&amp;row=131&amp;col=10&amp;number=&amp;sourceID=11","")</f>
        <v/>
      </c>
      <c r="K131" s="4" t="str">
        <f>HYPERLINK("http://141.218.60.56/~jnz1568/getInfo.php?workbook=08_01.xlsx&amp;sheet=A0&amp;row=131&amp;col=11&amp;number=&amp;sourceID=11","")</f>
        <v/>
      </c>
      <c r="L131" s="4" t="str">
        <f>HYPERLINK("http://141.218.60.56/~jnz1568/getInfo.php?workbook=08_01.xlsx&amp;sheet=A0&amp;row=131&amp;col=12&amp;number=&amp;sourceID=11","")</f>
        <v/>
      </c>
      <c r="M131" s="4" t="str">
        <f>HYPERLINK("http://141.218.60.56/~jnz1568/getInfo.php?workbook=08_01.xlsx&amp;sheet=A0&amp;row=131&amp;col=13&amp;number=8.2557e-08&amp;sourceID=11","8.2557e-08")</f>
        <v>8.2557e-08</v>
      </c>
      <c r="N131" s="4" t="str">
        <f>HYPERLINK("http://141.218.60.56/~jnz1568/getInfo.php?workbook=08_01.xlsx&amp;sheet=A0&amp;row=131&amp;col=14&amp;number=12401&amp;sourceID=12","12401")</f>
        <v>12401</v>
      </c>
      <c r="O131" s="4" t="str">
        <f>HYPERLINK("http://141.218.60.56/~jnz1568/getInfo.php?workbook=08_01.xlsx&amp;sheet=A0&amp;row=131&amp;col=15&amp;number=&amp;sourceID=12","")</f>
        <v/>
      </c>
      <c r="P131" s="4" t="str">
        <f>HYPERLINK("http://141.218.60.56/~jnz1568/getInfo.php?workbook=08_01.xlsx&amp;sheet=A0&amp;row=131&amp;col=16&amp;number=12401&amp;sourceID=12","12401")</f>
        <v>12401</v>
      </c>
      <c r="Q131" s="4" t="str">
        <f>HYPERLINK("http://141.218.60.56/~jnz1568/getInfo.php?workbook=08_01.xlsx&amp;sheet=A0&amp;row=131&amp;col=17&amp;number=&amp;sourceID=12","")</f>
        <v/>
      </c>
      <c r="R131" s="4" t="str">
        <f>HYPERLINK("http://141.218.60.56/~jnz1568/getInfo.php?workbook=08_01.xlsx&amp;sheet=A0&amp;row=131&amp;col=18&amp;number=&amp;sourceID=12","")</f>
        <v/>
      </c>
      <c r="S131" s="4" t="str">
        <f>HYPERLINK("http://141.218.60.56/~jnz1568/getInfo.php?workbook=08_01.xlsx&amp;sheet=A0&amp;row=131&amp;col=19&amp;number=&amp;sourceID=12","")</f>
        <v/>
      </c>
      <c r="T131" s="4" t="str">
        <f>HYPERLINK("http://141.218.60.56/~jnz1568/getInfo.php?workbook=08_01.xlsx&amp;sheet=A0&amp;row=131&amp;col=20&amp;number=8.256e-08&amp;sourceID=12","8.256e-08")</f>
        <v>8.256e-08</v>
      </c>
      <c r="U131" s="4" t="str">
        <f>HYPERLINK("http://141.218.60.56/~jnz1568/getInfo.php?workbook=08_01.xlsx&amp;sheet=A0&amp;row=131&amp;col=21&amp;number=12400&amp;sourceID=30","12400")</f>
        <v>12400</v>
      </c>
      <c r="V131" s="4" t="str">
        <f>HYPERLINK("http://141.218.60.56/~jnz1568/getInfo.php?workbook=08_01.xlsx&amp;sheet=A0&amp;row=131&amp;col=22&amp;number=&amp;sourceID=30","")</f>
        <v/>
      </c>
      <c r="W131" s="4" t="str">
        <f>HYPERLINK("http://141.218.60.56/~jnz1568/getInfo.php?workbook=08_01.xlsx&amp;sheet=A0&amp;row=131&amp;col=23&amp;number=12400&amp;sourceID=30","12400")</f>
        <v>12400</v>
      </c>
      <c r="X131" s="4" t="str">
        <f>HYPERLINK("http://141.218.60.56/~jnz1568/getInfo.php?workbook=08_01.xlsx&amp;sheet=A0&amp;row=131&amp;col=24&amp;number=&amp;sourceID=30","")</f>
        <v/>
      </c>
      <c r="Y131" s="4" t="str">
        <f>HYPERLINK("http://141.218.60.56/~jnz1568/getInfo.php?workbook=08_01.xlsx&amp;sheet=A0&amp;row=131&amp;col=25&amp;number=&amp;sourceID=30","")</f>
        <v/>
      </c>
      <c r="Z131" s="4" t="str">
        <f>HYPERLINK("http://141.218.60.56/~jnz1568/getInfo.php?workbook=08_01.xlsx&amp;sheet=A0&amp;row=131&amp;col=26&amp;number=&amp;sourceID=13","")</f>
        <v/>
      </c>
      <c r="AA131" s="4" t="str">
        <f>HYPERLINK("http://141.218.60.56/~jnz1568/getInfo.php?workbook=08_01.xlsx&amp;sheet=A0&amp;row=131&amp;col=27&amp;number=&amp;sourceID=13","")</f>
        <v/>
      </c>
      <c r="AB131" s="4" t="str">
        <f>HYPERLINK("http://141.218.60.56/~jnz1568/getInfo.php?workbook=08_01.xlsx&amp;sheet=A0&amp;row=131&amp;col=28&amp;number=&amp;sourceID=13","")</f>
        <v/>
      </c>
      <c r="AC131" s="4" t="str">
        <f>HYPERLINK("http://141.218.60.56/~jnz1568/getInfo.php?workbook=08_01.xlsx&amp;sheet=A0&amp;row=131&amp;col=29&amp;number=&amp;sourceID=13","")</f>
        <v/>
      </c>
      <c r="AD131" s="4" t="str">
        <f>HYPERLINK("http://141.218.60.56/~jnz1568/getInfo.php?workbook=08_01.xlsx&amp;sheet=A0&amp;row=131&amp;col=30&amp;number=&amp;sourceID=13","")</f>
        <v/>
      </c>
      <c r="AE131" s="4" t="str">
        <f>HYPERLINK("http://141.218.60.56/~jnz1568/getInfo.php?workbook=08_01.xlsx&amp;sheet=A0&amp;row=131&amp;col=31&amp;number=&amp;sourceID=13","")</f>
        <v/>
      </c>
      <c r="AF131" s="4" t="str">
        <f>HYPERLINK("http://141.218.60.56/~jnz1568/getInfo.php?workbook=08_01.xlsx&amp;sheet=A0&amp;row=131&amp;col=32&amp;number=&amp;sourceID=20","")</f>
        <v/>
      </c>
    </row>
    <row r="132" spans="1:32">
      <c r="A132" s="3">
        <v>8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HYPERLINK("http://141.218.60.56/~jnz1568/getInfo.php?workbook=08_01.xlsx&amp;sheet=A0&amp;row=132&amp;col=6&amp;number=&amp;sourceID=18","")</f>
        <v/>
      </c>
      <c r="G132" s="4" t="str">
        <f>HYPERLINK("http://141.218.60.56/~jnz1568/getInfo.php?workbook=08_01.xlsx&amp;sheet=A0&amp;row=132&amp;col=7&amp;number==&amp;sourceID=11","=")</f>
        <v>=</v>
      </c>
      <c r="H132" s="4" t="str">
        <f>HYPERLINK("http://141.218.60.56/~jnz1568/getInfo.php?workbook=08_01.xlsx&amp;sheet=A0&amp;row=132&amp;col=8&amp;number=&amp;sourceID=11","")</f>
        <v/>
      </c>
      <c r="I132" s="4" t="str">
        <f>HYPERLINK("http://141.218.60.56/~jnz1568/getInfo.php?workbook=08_01.xlsx&amp;sheet=A0&amp;row=132&amp;col=9&amp;number=&amp;sourceID=11","")</f>
        <v/>
      </c>
      <c r="J132" s="4" t="str">
        <f>HYPERLINK("http://141.218.60.56/~jnz1568/getInfo.php?workbook=08_01.xlsx&amp;sheet=A0&amp;row=132&amp;col=10&amp;number=1.2889&amp;sourceID=11","1.2889")</f>
        <v>1.2889</v>
      </c>
      <c r="K132" s="4" t="str">
        <f>HYPERLINK("http://141.218.60.56/~jnz1568/getInfo.php?workbook=08_01.xlsx&amp;sheet=A0&amp;row=132&amp;col=11&amp;number=&amp;sourceID=11","")</f>
        <v/>
      </c>
      <c r="L132" s="4" t="str">
        <f>HYPERLINK("http://141.218.60.56/~jnz1568/getInfo.php?workbook=08_01.xlsx&amp;sheet=A0&amp;row=132&amp;col=12&amp;number=0.091793&amp;sourceID=11","0.091793")</f>
        <v>0.091793</v>
      </c>
      <c r="M132" s="4" t="str">
        <f>HYPERLINK("http://141.218.60.56/~jnz1568/getInfo.php?workbook=08_01.xlsx&amp;sheet=A0&amp;row=132&amp;col=13&amp;number=&amp;sourceID=11","")</f>
        <v/>
      </c>
      <c r="N132" s="4" t="str">
        <f>HYPERLINK("http://141.218.60.56/~jnz1568/getInfo.php?workbook=08_01.xlsx&amp;sheet=A0&amp;row=132&amp;col=14&amp;number=1.3808&amp;sourceID=12","1.3808")</f>
        <v>1.3808</v>
      </c>
      <c r="O132" s="4" t="str">
        <f>HYPERLINK("http://141.218.60.56/~jnz1568/getInfo.php?workbook=08_01.xlsx&amp;sheet=A0&amp;row=132&amp;col=15&amp;number=&amp;sourceID=12","")</f>
        <v/>
      </c>
      <c r="P132" s="4" t="str">
        <f>HYPERLINK("http://141.218.60.56/~jnz1568/getInfo.php?workbook=08_01.xlsx&amp;sheet=A0&amp;row=132&amp;col=16&amp;number=&amp;sourceID=12","")</f>
        <v/>
      </c>
      <c r="Q132" s="4" t="str">
        <f>HYPERLINK("http://141.218.60.56/~jnz1568/getInfo.php?workbook=08_01.xlsx&amp;sheet=A0&amp;row=132&amp;col=17&amp;number=1.289&amp;sourceID=12","1.289")</f>
        <v>1.289</v>
      </c>
      <c r="R132" s="4" t="str">
        <f>HYPERLINK("http://141.218.60.56/~jnz1568/getInfo.php?workbook=08_01.xlsx&amp;sheet=A0&amp;row=132&amp;col=18&amp;number=&amp;sourceID=12","")</f>
        <v/>
      </c>
      <c r="S132" s="4" t="str">
        <f>HYPERLINK("http://141.218.60.56/~jnz1568/getInfo.php?workbook=08_01.xlsx&amp;sheet=A0&amp;row=132&amp;col=19&amp;number=0.091796&amp;sourceID=12","0.091796")</f>
        <v>0.091796</v>
      </c>
      <c r="T132" s="4" t="str">
        <f>HYPERLINK("http://141.218.60.56/~jnz1568/getInfo.php?workbook=08_01.xlsx&amp;sheet=A0&amp;row=132&amp;col=20&amp;number=&amp;sourceID=12","")</f>
        <v/>
      </c>
      <c r="U132" s="4" t="str">
        <f>HYPERLINK("http://141.218.60.56/~jnz1568/getInfo.php?workbook=08_01.xlsx&amp;sheet=A0&amp;row=132&amp;col=21&amp;number=0.0918&amp;sourceID=30","0.0918")</f>
        <v>0.0918</v>
      </c>
      <c r="V132" s="4" t="str">
        <f>HYPERLINK("http://141.218.60.56/~jnz1568/getInfo.php?workbook=08_01.xlsx&amp;sheet=A0&amp;row=132&amp;col=22&amp;number=&amp;sourceID=30","")</f>
        <v/>
      </c>
      <c r="W132" s="4" t="str">
        <f>HYPERLINK("http://141.218.60.56/~jnz1568/getInfo.php?workbook=08_01.xlsx&amp;sheet=A0&amp;row=132&amp;col=23&amp;number=&amp;sourceID=30","")</f>
        <v/>
      </c>
      <c r="X132" s="4" t="str">
        <f>HYPERLINK("http://141.218.60.56/~jnz1568/getInfo.php?workbook=08_01.xlsx&amp;sheet=A0&amp;row=132&amp;col=24&amp;number=&amp;sourceID=30","")</f>
        <v/>
      </c>
      <c r="Y132" s="4" t="str">
        <f>HYPERLINK("http://141.218.60.56/~jnz1568/getInfo.php?workbook=08_01.xlsx&amp;sheet=A0&amp;row=132&amp;col=25&amp;number=0.0918&amp;sourceID=30","0.0918")</f>
        <v>0.0918</v>
      </c>
      <c r="Z132" s="4" t="str">
        <f>HYPERLINK("http://141.218.60.56/~jnz1568/getInfo.php?workbook=08_01.xlsx&amp;sheet=A0&amp;row=132&amp;col=26&amp;number=&amp;sourceID=13","")</f>
        <v/>
      </c>
      <c r="AA132" s="4" t="str">
        <f>HYPERLINK("http://141.218.60.56/~jnz1568/getInfo.php?workbook=08_01.xlsx&amp;sheet=A0&amp;row=132&amp;col=27&amp;number=&amp;sourceID=13","")</f>
        <v/>
      </c>
      <c r="AB132" s="4" t="str">
        <f>HYPERLINK("http://141.218.60.56/~jnz1568/getInfo.php?workbook=08_01.xlsx&amp;sheet=A0&amp;row=132&amp;col=28&amp;number=&amp;sourceID=13","")</f>
        <v/>
      </c>
      <c r="AC132" s="4" t="str">
        <f>HYPERLINK("http://141.218.60.56/~jnz1568/getInfo.php?workbook=08_01.xlsx&amp;sheet=A0&amp;row=132&amp;col=29&amp;number=&amp;sourceID=13","")</f>
        <v/>
      </c>
      <c r="AD132" s="4" t="str">
        <f>HYPERLINK("http://141.218.60.56/~jnz1568/getInfo.php?workbook=08_01.xlsx&amp;sheet=A0&amp;row=132&amp;col=30&amp;number=&amp;sourceID=13","")</f>
        <v/>
      </c>
      <c r="AE132" s="4" t="str">
        <f>HYPERLINK("http://141.218.60.56/~jnz1568/getInfo.php?workbook=08_01.xlsx&amp;sheet=A0&amp;row=132&amp;col=31&amp;number=&amp;sourceID=13","")</f>
        <v/>
      </c>
      <c r="AF132" s="4" t="str">
        <f>HYPERLINK("http://141.218.60.56/~jnz1568/getInfo.php?workbook=08_01.xlsx&amp;sheet=A0&amp;row=132&amp;col=32&amp;number=&amp;sourceID=20","")</f>
        <v/>
      </c>
    </row>
    <row r="133" spans="1:32">
      <c r="A133" s="3">
        <v>8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HYPERLINK("http://141.218.60.56/~jnz1568/getInfo.php?workbook=08_01.xlsx&amp;sheet=A0&amp;row=133&amp;col=6&amp;number=&amp;sourceID=18","")</f>
        <v/>
      </c>
      <c r="G133" s="4" t="str">
        <f>HYPERLINK("http://141.218.60.56/~jnz1568/getInfo.php?workbook=08_01.xlsx&amp;sheet=A0&amp;row=133&amp;col=7&amp;number==&amp;sourceID=11","=")</f>
        <v>=</v>
      </c>
      <c r="H133" s="4" t="str">
        <f>HYPERLINK("http://141.218.60.56/~jnz1568/getInfo.php?workbook=08_01.xlsx&amp;sheet=A0&amp;row=133&amp;col=8&amp;number=&amp;sourceID=11","")</f>
        <v/>
      </c>
      <c r="I133" s="4" t="str">
        <f>HYPERLINK("http://141.218.60.56/~jnz1568/getInfo.php?workbook=08_01.xlsx&amp;sheet=A0&amp;row=133&amp;col=9&amp;number=&amp;sourceID=11","")</f>
        <v/>
      </c>
      <c r="J133" s="4" t="str">
        <f>HYPERLINK("http://141.218.60.56/~jnz1568/getInfo.php?workbook=08_01.xlsx&amp;sheet=A0&amp;row=133&amp;col=10&amp;number=&amp;sourceID=11","")</f>
        <v/>
      </c>
      <c r="K133" s="4" t="str">
        <f>HYPERLINK("http://141.218.60.56/~jnz1568/getInfo.php?workbook=08_01.xlsx&amp;sheet=A0&amp;row=133&amp;col=11&amp;number=&amp;sourceID=11","")</f>
        <v/>
      </c>
      <c r="L133" s="4" t="str">
        <f>HYPERLINK("http://141.218.60.56/~jnz1568/getInfo.php?workbook=08_01.xlsx&amp;sheet=A0&amp;row=133&amp;col=12&amp;number=&amp;sourceID=11","")</f>
        <v/>
      </c>
      <c r="M133" s="4" t="str">
        <f>HYPERLINK("http://141.218.60.56/~jnz1568/getInfo.php?workbook=08_01.xlsx&amp;sheet=A0&amp;row=133&amp;col=13&amp;number=2.229e-06&amp;sourceID=11","2.229e-06")</f>
        <v>2.229e-06</v>
      </c>
      <c r="N133" s="4" t="str">
        <f>HYPERLINK("http://141.218.60.56/~jnz1568/getInfo.php?workbook=08_01.xlsx&amp;sheet=A0&amp;row=133&amp;col=14&amp;number=2.2291e-06&amp;sourceID=12","2.2291e-06")</f>
        <v>2.2291e-06</v>
      </c>
      <c r="O133" s="4" t="str">
        <f>HYPERLINK("http://141.218.60.56/~jnz1568/getInfo.php?workbook=08_01.xlsx&amp;sheet=A0&amp;row=133&amp;col=15&amp;number=&amp;sourceID=12","")</f>
        <v/>
      </c>
      <c r="P133" s="4" t="str">
        <f>HYPERLINK("http://141.218.60.56/~jnz1568/getInfo.php?workbook=08_01.xlsx&amp;sheet=A0&amp;row=133&amp;col=16&amp;number=&amp;sourceID=12","")</f>
        <v/>
      </c>
      <c r="Q133" s="4" t="str">
        <f>HYPERLINK("http://141.218.60.56/~jnz1568/getInfo.php?workbook=08_01.xlsx&amp;sheet=A0&amp;row=133&amp;col=17&amp;number=&amp;sourceID=12","")</f>
        <v/>
      </c>
      <c r="R133" s="4" t="str">
        <f>HYPERLINK("http://141.218.60.56/~jnz1568/getInfo.php?workbook=08_01.xlsx&amp;sheet=A0&amp;row=133&amp;col=18&amp;number=&amp;sourceID=12","")</f>
        <v/>
      </c>
      <c r="S133" s="4" t="str">
        <f>HYPERLINK("http://141.218.60.56/~jnz1568/getInfo.php?workbook=08_01.xlsx&amp;sheet=A0&amp;row=133&amp;col=19&amp;number=&amp;sourceID=12","")</f>
        <v/>
      </c>
      <c r="T133" s="4" t="str">
        <f>HYPERLINK("http://141.218.60.56/~jnz1568/getInfo.php?workbook=08_01.xlsx&amp;sheet=A0&amp;row=133&amp;col=20&amp;number=2.2291e-06&amp;sourceID=12","2.2291e-06")</f>
        <v>2.2291e-06</v>
      </c>
      <c r="U133" s="4" t="str">
        <f>HYPERLINK("http://141.218.60.56/~jnz1568/getInfo.php?workbook=08_01.xlsx&amp;sheet=A0&amp;row=133&amp;col=21&amp;number=&amp;sourceID=30","")</f>
        <v/>
      </c>
      <c r="V133" s="4" t="str">
        <f>HYPERLINK("http://141.218.60.56/~jnz1568/getInfo.php?workbook=08_01.xlsx&amp;sheet=A0&amp;row=133&amp;col=22&amp;number=&amp;sourceID=30","")</f>
        <v/>
      </c>
      <c r="W133" s="4" t="str">
        <f>HYPERLINK("http://141.218.60.56/~jnz1568/getInfo.php?workbook=08_01.xlsx&amp;sheet=A0&amp;row=133&amp;col=23&amp;number=&amp;sourceID=30","")</f>
        <v/>
      </c>
      <c r="X133" s="4" t="str">
        <f>HYPERLINK("http://141.218.60.56/~jnz1568/getInfo.php?workbook=08_01.xlsx&amp;sheet=A0&amp;row=133&amp;col=24&amp;number=&amp;sourceID=30","")</f>
        <v/>
      </c>
      <c r="Y133" s="4" t="str">
        <f>HYPERLINK("http://141.218.60.56/~jnz1568/getInfo.php?workbook=08_01.xlsx&amp;sheet=A0&amp;row=133&amp;col=25&amp;number=&amp;sourceID=30","")</f>
        <v/>
      </c>
      <c r="Z133" s="4" t="str">
        <f>HYPERLINK("http://141.218.60.56/~jnz1568/getInfo.php?workbook=08_01.xlsx&amp;sheet=A0&amp;row=133&amp;col=26&amp;number=&amp;sourceID=13","")</f>
        <v/>
      </c>
      <c r="AA133" s="4" t="str">
        <f>HYPERLINK("http://141.218.60.56/~jnz1568/getInfo.php?workbook=08_01.xlsx&amp;sheet=A0&amp;row=133&amp;col=27&amp;number=&amp;sourceID=13","")</f>
        <v/>
      </c>
      <c r="AB133" s="4" t="str">
        <f>HYPERLINK("http://141.218.60.56/~jnz1568/getInfo.php?workbook=08_01.xlsx&amp;sheet=A0&amp;row=133&amp;col=28&amp;number=&amp;sourceID=13","")</f>
        <v/>
      </c>
      <c r="AC133" s="4" t="str">
        <f>HYPERLINK("http://141.218.60.56/~jnz1568/getInfo.php?workbook=08_01.xlsx&amp;sheet=A0&amp;row=133&amp;col=29&amp;number=&amp;sourceID=13","")</f>
        <v/>
      </c>
      <c r="AD133" s="4" t="str">
        <f>HYPERLINK("http://141.218.60.56/~jnz1568/getInfo.php?workbook=08_01.xlsx&amp;sheet=A0&amp;row=133&amp;col=30&amp;number=&amp;sourceID=13","")</f>
        <v/>
      </c>
      <c r="AE133" s="4" t="str">
        <f>HYPERLINK("http://141.218.60.56/~jnz1568/getInfo.php?workbook=08_01.xlsx&amp;sheet=A0&amp;row=133&amp;col=31&amp;number=&amp;sourceID=13","")</f>
        <v/>
      </c>
      <c r="AF133" s="4" t="str">
        <f>HYPERLINK("http://141.218.60.56/~jnz1568/getInfo.php?workbook=08_01.xlsx&amp;sheet=A0&amp;row=133&amp;col=32&amp;number=&amp;sourceID=20","")</f>
        <v/>
      </c>
    </row>
    <row r="134" spans="1:32">
      <c r="A134" s="3">
        <v>8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HYPERLINK("http://141.218.60.56/~jnz1568/getInfo.php?workbook=08_01.xlsx&amp;sheet=A0&amp;row=134&amp;col=6&amp;number=&amp;sourceID=18","")</f>
        <v/>
      </c>
      <c r="G134" s="4" t="str">
        <f>HYPERLINK("http://141.218.60.56/~jnz1568/getInfo.php?workbook=08_01.xlsx&amp;sheet=A0&amp;row=134&amp;col=7&amp;number==SUM(H134:M134)&amp;sourceID=11","=SUM(H134:M134)")</f>
        <v>=SUM(H134:M134)</v>
      </c>
      <c r="H134" s="4" t="str">
        <f>HYPERLINK("http://141.218.60.56/~jnz1568/getInfo.php?workbook=08_01.xlsx&amp;sheet=A0&amp;row=134&amp;col=8&amp;number=&amp;sourceID=11","")</f>
        <v/>
      </c>
      <c r="I134" s="4" t="str">
        <f>HYPERLINK("http://141.218.60.56/~jnz1568/getInfo.php?workbook=08_01.xlsx&amp;sheet=A0&amp;row=134&amp;col=9&amp;number=&amp;sourceID=11","")</f>
        <v/>
      </c>
      <c r="J134" s="4" t="str">
        <f>HYPERLINK("http://141.218.60.56/~jnz1568/getInfo.php?workbook=08_01.xlsx&amp;sheet=A0&amp;row=134&amp;col=10&amp;number=&amp;sourceID=11","")</f>
        <v/>
      </c>
      <c r="K134" s="4" t="str">
        <f>HYPERLINK("http://141.218.60.56/~jnz1568/getInfo.php?workbook=08_01.xlsx&amp;sheet=A0&amp;row=134&amp;col=11&amp;number=309.22&amp;sourceID=11","309.22")</f>
        <v>309.22</v>
      </c>
      <c r="L134" s="4" t="str">
        <f>HYPERLINK("http://141.218.60.56/~jnz1568/getInfo.php?workbook=08_01.xlsx&amp;sheet=A0&amp;row=134&amp;col=12&amp;number=&amp;sourceID=11","")</f>
        <v/>
      </c>
      <c r="M134" s="4" t="str">
        <f>HYPERLINK("http://141.218.60.56/~jnz1568/getInfo.php?workbook=08_01.xlsx&amp;sheet=A0&amp;row=134&amp;col=13&amp;number=&amp;sourceID=11","")</f>
        <v/>
      </c>
      <c r="N134" s="4" t="str">
        <f>HYPERLINK("http://141.218.60.56/~jnz1568/getInfo.php?workbook=08_01.xlsx&amp;sheet=A0&amp;row=134&amp;col=14&amp;number=309.21&amp;sourceID=12","309.21")</f>
        <v>309.21</v>
      </c>
      <c r="O134" s="4" t="str">
        <f>HYPERLINK("http://141.218.60.56/~jnz1568/getInfo.php?workbook=08_01.xlsx&amp;sheet=A0&amp;row=134&amp;col=15&amp;number=&amp;sourceID=12","")</f>
        <v/>
      </c>
      <c r="P134" s="4" t="str">
        <f>HYPERLINK("http://141.218.60.56/~jnz1568/getInfo.php?workbook=08_01.xlsx&amp;sheet=A0&amp;row=134&amp;col=16&amp;number=&amp;sourceID=12","")</f>
        <v/>
      </c>
      <c r="Q134" s="4" t="str">
        <f>HYPERLINK("http://141.218.60.56/~jnz1568/getInfo.php?workbook=08_01.xlsx&amp;sheet=A0&amp;row=134&amp;col=17&amp;number=&amp;sourceID=12","")</f>
        <v/>
      </c>
      <c r="R134" s="4" t="str">
        <f>HYPERLINK("http://141.218.60.56/~jnz1568/getInfo.php?workbook=08_01.xlsx&amp;sheet=A0&amp;row=134&amp;col=18&amp;number=309.21&amp;sourceID=12","309.21")</f>
        <v>309.21</v>
      </c>
      <c r="S134" s="4" t="str">
        <f>HYPERLINK("http://141.218.60.56/~jnz1568/getInfo.php?workbook=08_01.xlsx&amp;sheet=A0&amp;row=134&amp;col=19&amp;number=&amp;sourceID=12","")</f>
        <v/>
      </c>
      <c r="T134" s="4" t="str">
        <f>HYPERLINK("http://141.218.60.56/~jnz1568/getInfo.php?workbook=08_01.xlsx&amp;sheet=A0&amp;row=134&amp;col=20&amp;number=&amp;sourceID=12","")</f>
        <v/>
      </c>
      <c r="U134" s="4" t="str">
        <f>HYPERLINK("http://141.218.60.56/~jnz1568/getInfo.php?workbook=08_01.xlsx&amp;sheet=A0&amp;row=134&amp;col=21&amp;number=309.2&amp;sourceID=30","309.2")</f>
        <v>309.2</v>
      </c>
      <c r="V134" s="4" t="str">
        <f>HYPERLINK("http://141.218.60.56/~jnz1568/getInfo.php?workbook=08_01.xlsx&amp;sheet=A0&amp;row=134&amp;col=22&amp;number=&amp;sourceID=30","")</f>
        <v/>
      </c>
      <c r="W134" s="4" t="str">
        <f>HYPERLINK("http://141.218.60.56/~jnz1568/getInfo.php?workbook=08_01.xlsx&amp;sheet=A0&amp;row=134&amp;col=23&amp;number=&amp;sourceID=30","")</f>
        <v/>
      </c>
      <c r="X134" s="4" t="str">
        <f>HYPERLINK("http://141.218.60.56/~jnz1568/getInfo.php?workbook=08_01.xlsx&amp;sheet=A0&amp;row=134&amp;col=24&amp;number=309.2&amp;sourceID=30","309.2")</f>
        <v>309.2</v>
      </c>
      <c r="Y134" s="4" t="str">
        <f>HYPERLINK("http://141.218.60.56/~jnz1568/getInfo.php?workbook=08_01.xlsx&amp;sheet=A0&amp;row=134&amp;col=25&amp;number=&amp;sourceID=30","")</f>
        <v/>
      </c>
      <c r="Z134" s="4" t="str">
        <f>HYPERLINK("http://141.218.60.56/~jnz1568/getInfo.php?workbook=08_01.xlsx&amp;sheet=A0&amp;row=134&amp;col=26&amp;number=&amp;sourceID=13","")</f>
        <v/>
      </c>
      <c r="AA134" s="4" t="str">
        <f>HYPERLINK("http://141.218.60.56/~jnz1568/getInfo.php?workbook=08_01.xlsx&amp;sheet=A0&amp;row=134&amp;col=27&amp;number=&amp;sourceID=13","")</f>
        <v/>
      </c>
      <c r="AB134" s="4" t="str">
        <f>HYPERLINK("http://141.218.60.56/~jnz1568/getInfo.php?workbook=08_01.xlsx&amp;sheet=A0&amp;row=134&amp;col=28&amp;number=&amp;sourceID=13","")</f>
        <v/>
      </c>
      <c r="AC134" s="4" t="str">
        <f>HYPERLINK("http://141.218.60.56/~jnz1568/getInfo.php?workbook=08_01.xlsx&amp;sheet=A0&amp;row=134&amp;col=29&amp;number=&amp;sourceID=13","")</f>
        <v/>
      </c>
      <c r="AD134" s="4" t="str">
        <f>HYPERLINK("http://141.218.60.56/~jnz1568/getInfo.php?workbook=08_01.xlsx&amp;sheet=A0&amp;row=134&amp;col=30&amp;number=&amp;sourceID=13","")</f>
        <v/>
      </c>
      <c r="AE134" s="4" t="str">
        <f>HYPERLINK("http://141.218.60.56/~jnz1568/getInfo.php?workbook=08_01.xlsx&amp;sheet=A0&amp;row=134&amp;col=31&amp;number=&amp;sourceID=13","")</f>
        <v/>
      </c>
      <c r="AF134" s="4" t="str">
        <f>HYPERLINK("http://141.218.60.56/~jnz1568/getInfo.php?workbook=08_01.xlsx&amp;sheet=A0&amp;row=134&amp;col=32&amp;number=&amp;sourceID=20","")</f>
        <v/>
      </c>
    </row>
    <row r="135" spans="1:32">
      <c r="A135" s="3">
        <v>8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HYPERLINK("http://141.218.60.56/~jnz1568/getInfo.php?workbook=08_01.xlsx&amp;sheet=A0&amp;row=135&amp;col=6&amp;number=&amp;sourceID=18","")</f>
        <v/>
      </c>
      <c r="G135" s="4" t="str">
        <f>HYPERLINK("http://141.218.60.56/~jnz1568/getInfo.php?workbook=08_01.xlsx&amp;sheet=A0&amp;row=135&amp;col=7&amp;number==&amp;sourceID=11","=")</f>
        <v>=</v>
      </c>
      <c r="H135" s="4" t="str">
        <f>HYPERLINK("http://141.218.60.56/~jnz1568/getInfo.php?workbook=08_01.xlsx&amp;sheet=A0&amp;row=135&amp;col=8&amp;number=1763800000&amp;sourceID=11","1763800000")</f>
        <v>1763800000</v>
      </c>
      <c r="I135" s="4" t="str">
        <f>HYPERLINK("http://141.218.60.56/~jnz1568/getInfo.php?workbook=08_01.xlsx&amp;sheet=A0&amp;row=135&amp;col=9&amp;number=&amp;sourceID=11","")</f>
        <v/>
      </c>
      <c r="J135" s="4" t="str">
        <f>HYPERLINK("http://141.218.60.56/~jnz1568/getInfo.php?workbook=08_01.xlsx&amp;sheet=A0&amp;row=135&amp;col=10&amp;number=&amp;sourceID=11","")</f>
        <v/>
      </c>
      <c r="K135" s="4" t="str">
        <f>HYPERLINK("http://141.218.60.56/~jnz1568/getInfo.php?workbook=08_01.xlsx&amp;sheet=A0&amp;row=135&amp;col=11&amp;number=&amp;sourceID=11","")</f>
        <v/>
      </c>
      <c r="L135" s="4" t="str">
        <f>HYPERLINK("http://141.218.60.56/~jnz1568/getInfo.php?workbook=08_01.xlsx&amp;sheet=A0&amp;row=135&amp;col=12&amp;number=&amp;sourceID=11","")</f>
        <v/>
      </c>
      <c r="M135" s="4" t="str">
        <f>HYPERLINK("http://141.218.60.56/~jnz1568/getInfo.php?workbook=08_01.xlsx&amp;sheet=A0&amp;row=135&amp;col=13&amp;number=&amp;sourceID=11","")</f>
        <v/>
      </c>
      <c r="N135" s="4" t="str">
        <f>HYPERLINK("http://141.218.60.56/~jnz1568/getInfo.php?workbook=08_01.xlsx&amp;sheet=A0&amp;row=135&amp;col=14&amp;number=1763900000&amp;sourceID=12","1763900000")</f>
        <v>1763900000</v>
      </c>
      <c r="O135" s="4" t="str">
        <f>HYPERLINK("http://141.218.60.56/~jnz1568/getInfo.php?workbook=08_01.xlsx&amp;sheet=A0&amp;row=135&amp;col=15&amp;number=1763900000&amp;sourceID=12","1763900000")</f>
        <v>1763900000</v>
      </c>
      <c r="P135" s="4" t="str">
        <f>HYPERLINK("http://141.218.60.56/~jnz1568/getInfo.php?workbook=08_01.xlsx&amp;sheet=A0&amp;row=135&amp;col=16&amp;number=&amp;sourceID=12","")</f>
        <v/>
      </c>
      <c r="Q135" s="4" t="str">
        <f>HYPERLINK("http://141.218.60.56/~jnz1568/getInfo.php?workbook=08_01.xlsx&amp;sheet=A0&amp;row=135&amp;col=17&amp;number=&amp;sourceID=12","")</f>
        <v/>
      </c>
      <c r="R135" s="4" t="str">
        <f>HYPERLINK("http://141.218.60.56/~jnz1568/getInfo.php?workbook=08_01.xlsx&amp;sheet=A0&amp;row=135&amp;col=18&amp;number=&amp;sourceID=12","")</f>
        <v/>
      </c>
      <c r="S135" s="4" t="str">
        <f>HYPERLINK("http://141.218.60.56/~jnz1568/getInfo.php?workbook=08_01.xlsx&amp;sheet=A0&amp;row=135&amp;col=19&amp;number=&amp;sourceID=12","")</f>
        <v/>
      </c>
      <c r="T135" s="4" t="str">
        <f>HYPERLINK("http://141.218.60.56/~jnz1568/getInfo.php?workbook=08_01.xlsx&amp;sheet=A0&amp;row=135&amp;col=20&amp;number=&amp;sourceID=12","")</f>
        <v/>
      </c>
      <c r="U135" s="4" t="str">
        <f>HYPERLINK("http://141.218.60.56/~jnz1568/getInfo.php?workbook=08_01.xlsx&amp;sheet=A0&amp;row=135&amp;col=21&amp;number=1764000000&amp;sourceID=30","1764000000")</f>
        <v>1764000000</v>
      </c>
      <c r="V135" s="4" t="str">
        <f>HYPERLINK("http://141.218.60.56/~jnz1568/getInfo.php?workbook=08_01.xlsx&amp;sheet=A0&amp;row=135&amp;col=22&amp;number=1764000000&amp;sourceID=30","1764000000")</f>
        <v>1764000000</v>
      </c>
      <c r="W135" s="4" t="str">
        <f>HYPERLINK("http://141.218.60.56/~jnz1568/getInfo.php?workbook=08_01.xlsx&amp;sheet=A0&amp;row=135&amp;col=23&amp;number=&amp;sourceID=30","")</f>
        <v/>
      </c>
      <c r="X135" s="4" t="str">
        <f>HYPERLINK("http://141.218.60.56/~jnz1568/getInfo.php?workbook=08_01.xlsx&amp;sheet=A0&amp;row=135&amp;col=24&amp;number=&amp;sourceID=30","")</f>
        <v/>
      </c>
      <c r="Y135" s="4" t="str">
        <f>HYPERLINK("http://141.218.60.56/~jnz1568/getInfo.php?workbook=08_01.xlsx&amp;sheet=A0&amp;row=135&amp;col=25&amp;number=&amp;sourceID=30","")</f>
        <v/>
      </c>
      <c r="Z135" s="4" t="str">
        <f>HYPERLINK("http://141.218.60.56/~jnz1568/getInfo.php?workbook=08_01.xlsx&amp;sheet=A0&amp;row=135&amp;col=26&amp;number=&amp;sourceID=13","")</f>
        <v/>
      </c>
      <c r="AA135" s="4" t="str">
        <f>HYPERLINK("http://141.218.60.56/~jnz1568/getInfo.php?workbook=08_01.xlsx&amp;sheet=A0&amp;row=135&amp;col=27&amp;number=&amp;sourceID=13","")</f>
        <v/>
      </c>
      <c r="AB135" s="4" t="str">
        <f>HYPERLINK("http://141.218.60.56/~jnz1568/getInfo.php?workbook=08_01.xlsx&amp;sheet=A0&amp;row=135&amp;col=28&amp;number=&amp;sourceID=13","")</f>
        <v/>
      </c>
      <c r="AC135" s="4" t="str">
        <f>HYPERLINK("http://141.218.60.56/~jnz1568/getInfo.php?workbook=08_01.xlsx&amp;sheet=A0&amp;row=135&amp;col=29&amp;number=&amp;sourceID=13","")</f>
        <v/>
      </c>
      <c r="AD135" s="4" t="str">
        <f>HYPERLINK("http://141.218.60.56/~jnz1568/getInfo.php?workbook=08_01.xlsx&amp;sheet=A0&amp;row=135&amp;col=30&amp;number=&amp;sourceID=13","")</f>
        <v/>
      </c>
      <c r="AE135" s="4" t="str">
        <f>HYPERLINK("http://141.218.60.56/~jnz1568/getInfo.php?workbook=08_01.xlsx&amp;sheet=A0&amp;row=135&amp;col=31&amp;number=&amp;sourceID=13","")</f>
        <v/>
      </c>
      <c r="AF135" s="4" t="str">
        <f>HYPERLINK("http://141.218.60.56/~jnz1568/getInfo.php?workbook=08_01.xlsx&amp;sheet=A0&amp;row=135&amp;col=32&amp;number=&amp;sourceID=20","")</f>
        <v/>
      </c>
    </row>
    <row r="136" spans="1:32">
      <c r="A136" s="3">
        <v>8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HYPERLINK("http://141.218.60.56/~jnz1568/getInfo.php?workbook=08_01.xlsx&amp;sheet=A0&amp;row=136&amp;col=6&amp;number=&amp;sourceID=18","")</f>
        <v/>
      </c>
      <c r="G136" s="4" t="str">
        <f>HYPERLINK("http://141.218.60.56/~jnz1568/getInfo.php?workbook=08_01.xlsx&amp;sheet=A0&amp;row=136&amp;col=7&amp;number==&amp;sourceID=11","=")</f>
        <v>=</v>
      </c>
      <c r="H136" s="4" t="str">
        <f>HYPERLINK("http://141.218.60.56/~jnz1568/getInfo.php?workbook=08_01.xlsx&amp;sheet=A0&amp;row=136&amp;col=8&amp;number=&amp;sourceID=11","")</f>
        <v/>
      </c>
      <c r="I136" s="4" t="str">
        <f>HYPERLINK("http://141.218.60.56/~jnz1568/getInfo.php?workbook=08_01.xlsx&amp;sheet=A0&amp;row=136&amp;col=9&amp;number=&amp;sourceID=11","")</f>
        <v/>
      </c>
      <c r="J136" s="4" t="str">
        <f>HYPERLINK("http://141.218.60.56/~jnz1568/getInfo.php?workbook=08_01.xlsx&amp;sheet=A0&amp;row=136&amp;col=10&amp;number=&amp;sourceID=11","")</f>
        <v/>
      </c>
      <c r="K136" s="4" t="str">
        <f>HYPERLINK("http://141.218.60.56/~jnz1568/getInfo.php?workbook=08_01.xlsx&amp;sheet=A0&amp;row=136&amp;col=11&amp;number=1.1673&amp;sourceID=11","1.1673")</f>
        <v>1.1673</v>
      </c>
      <c r="L136" s="4" t="str">
        <f>HYPERLINK("http://141.218.60.56/~jnz1568/getInfo.php?workbook=08_01.xlsx&amp;sheet=A0&amp;row=136&amp;col=12&amp;number=&amp;sourceID=11","")</f>
        <v/>
      </c>
      <c r="M136" s="4" t="str">
        <f>HYPERLINK("http://141.218.60.56/~jnz1568/getInfo.php?workbook=08_01.xlsx&amp;sheet=A0&amp;row=136&amp;col=13&amp;number=&amp;sourceID=11","")</f>
        <v/>
      </c>
      <c r="N136" s="4" t="str">
        <f>HYPERLINK("http://141.218.60.56/~jnz1568/getInfo.php?workbook=08_01.xlsx&amp;sheet=A0&amp;row=136&amp;col=14&amp;number=1.1669&amp;sourceID=12","1.1669")</f>
        <v>1.1669</v>
      </c>
      <c r="O136" s="4" t="str">
        <f>HYPERLINK("http://141.218.60.56/~jnz1568/getInfo.php?workbook=08_01.xlsx&amp;sheet=A0&amp;row=136&amp;col=15&amp;number=&amp;sourceID=12","")</f>
        <v/>
      </c>
      <c r="P136" s="4" t="str">
        <f>HYPERLINK("http://141.218.60.56/~jnz1568/getInfo.php?workbook=08_01.xlsx&amp;sheet=A0&amp;row=136&amp;col=16&amp;number=&amp;sourceID=12","")</f>
        <v/>
      </c>
      <c r="Q136" s="4" t="str">
        <f>HYPERLINK("http://141.218.60.56/~jnz1568/getInfo.php?workbook=08_01.xlsx&amp;sheet=A0&amp;row=136&amp;col=17&amp;number=&amp;sourceID=12","")</f>
        <v/>
      </c>
      <c r="R136" s="4" t="str">
        <f>HYPERLINK("http://141.218.60.56/~jnz1568/getInfo.php?workbook=08_01.xlsx&amp;sheet=A0&amp;row=136&amp;col=18&amp;number=1.1669&amp;sourceID=12","1.1669")</f>
        <v>1.1669</v>
      </c>
      <c r="S136" s="4" t="str">
        <f>HYPERLINK("http://141.218.60.56/~jnz1568/getInfo.php?workbook=08_01.xlsx&amp;sheet=A0&amp;row=136&amp;col=19&amp;number=&amp;sourceID=12","")</f>
        <v/>
      </c>
      <c r="T136" s="4" t="str">
        <f>HYPERLINK("http://141.218.60.56/~jnz1568/getInfo.php?workbook=08_01.xlsx&amp;sheet=A0&amp;row=136&amp;col=20&amp;number=&amp;sourceID=12","")</f>
        <v/>
      </c>
      <c r="U136" s="4" t="str">
        <f>HYPERLINK("http://141.218.60.56/~jnz1568/getInfo.php?workbook=08_01.xlsx&amp;sheet=A0&amp;row=136&amp;col=21&amp;number=1.167&amp;sourceID=30","1.167")</f>
        <v>1.167</v>
      </c>
      <c r="V136" s="4" t="str">
        <f>HYPERLINK("http://141.218.60.56/~jnz1568/getInfo.php?workbook=08_01.xlsx&amp;sheet=A0&amp;row=136&amp;col=22&amp;number=&amp;sourceID=30","")</f>
        <v/>
      </c>
      <c r="W136" s="4" t="str">
        <f>HYPERLINK("http://141.218.60.56/~jnz1568/getInfo.php?workbook=08_01.xlsx&amp;sheet=A0&amp;row=136&amp;col=23&amp;number=&amp;sourceID=30","")</f>
        <v/>
      </c>
      <c r="X136" s="4" t="str">
        <f>HYPERLINK("http://141.218.60.56/~jnz1568/getInfo.php?workbook=08_01.xlsx&amp;sheet=A0&amp;row=136&amp;col=24&amp;number=1.167&amp;sourceID=30","1.167")</f>
        <v>1.167</v>
      </c>
      <c r="Y136" s="4" t="str">
        <f>HYPERLINK("http://141.218.60.56/~jnz1568/getInfo.php?workbook=08_01.xlsx&amp;sheet=A0&amp;row=136&amp;col=25&amp;number=&amp;sourceID=30","")</f>
        <v/>
      </c>
      <c r="Z136" s="4" t="str">
        <f>HYPERLINK("http://141.218.60.56/~jnz1568/getInfo.php?workbook=08_01.xlsx&amp;sheet=A0&amp;row=136&amp;col=26&amp;number=&amp;sourceID=13","")</f>
        <v/>
      </c>
      <c r="AA136" s="4" t="str">
        <f>HYPERLINK("http://141.218.60.56/~jnz1568/getInfo.php?workbook=08_01.xlsx&amp;sheet=A0&amp;row=136&amp;col=27&amp;number=&amp;sourceID=13","")</f>
        <v/>
      </c>
      <c r="AB136" s="4" t="str">
        <f>HYPERLINK("http://141.218.60.56/~jnz1568/getInfo.php?workbook=08_01.xlsx&amp;sheet=A0&amp;row=136&amp;col=28&amp;number=&amp;sourceID=13","")</f>
        <v/>
      </c>
      <c r="AC136" s="4" t="str">
        <f>HYPERLINK("http://141.218.60.56/~jnz1568/getInfo.php?workbook=08_01.xlsx&amp;sheet=A0&amp;row=136&amp;col=29&amp;number=&amp;sourceID=13","")</f>
        <v/>
      </c>
      <c r="AD136" s="4" t="str">
        <f>HYPERLINK("http://141.218.60.56/~jnz1568/getInfo.php?workbook=08_01.xlsx&amp;sheet=A0&amp;row=136&amp;col=30&amp;number=&amp;sourceID=13","")</f>
        <v/>
      </c>
      <c r="AE136" s="4" t="str">
        <f>HYPERLINK("http://141.218.60.56/~jnz1568/getInfo.php?workbook=08_01.xlsx&amp;sheet=A0&amp;row=136&amp;col=31&amp;number=&amp;sourceID=13","")</f>
        <v/>
      </c>
      <c r="AF136" s="4" t="str">
        <f>HYPERLINK("http://141.218.60.56/~jnz1568/getInfo.php?workbook=08_01.xlsx&amp;sheet=A0&amp;row=136&amp;col=32&amp;number=&amp;sourceID=20","")</f>
        <v/>
      </c>
    </row>
    <row r="137" spans="1:32">
      <c r="A137" s="3">
        <v>8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HYPERLINK("http://141.218.60.56/~jnz1568/getInfo.php?workbook=08_01.xlsx&amp;sheet=A0&amp;row=137&amp;col=6&amp;number=&amp;sourceID=18","")</f>
        <v/>
      </c>
      <c r="G137" s="4" t="str">
        <f>HYPERLINK("http://141.218.60.56/~jnz1568/getInfo.php?workbook=08_01.xlsx&amp;sheet=A0&amp;row=137&amp;col=7&amp;number==&amp;sourceID=11","=")</f>
        <v>=</v>
      </c>
      <c r="H137" s="4" t="str">
        <f>HYPERLINK("http://141.218.60.56/~jnz1568/getInfo.php?workbook=08_01.xlsx&amp;sheet=A0&amp;row=137&amp;col=8&amp;number=3550700000&amp;sourceID=11","3550700000")</f>
        <v>3550700000</v>
      </c>
      <c r="I137" s="4" t="str">
        <f>HYPERLINK("http://141.218.60.56/~jnz1568/getInfo.php?workbook=08_01.xlsx&amp;sheet=A0&amp;row=137&amp;col=9&amp;number=&amp;sourceID=11","")</f>
        <v/>
      </c>
      <c r="J137" s="4" t="str">
        <f>HYPERLINK("http://141.218.60.56/~jnz1568/getInfo.php?workbook=08_01.xlsx&amp;sheet=A0&amp;row=137&amp;col=10&amp;number=&amp;sourceID=11","")</f>
        <v/>
      </c>
      <c r="K137" s="4" t="str">
        <f>HYPERLINK("http://141.218.60.56/~jnz1568/getInfo.php?workbook=08_01.xlsx&amp;sheet=A0&amp;row=137&amp;col=11&amp;number=&amp;sourceID=11","")</f>
        <v/>
      </c>
      <c r="L137" s="4" t="str">
        <f>HYPERLINK("http://141.218.60.56/~jnz1568/getInfo.php?workbook=08_01.xlsx&amp;sheet=A0&amp;row=137&amp;col=12&amp;number=85.342&amp;sourceID=11","85.342")</f>
        <v>85.342</v>
      </c>
      <c r="M137" s="4" t="str">
        <f>HYPERLINK("http://141.218.60.56/~jnz1568/getInfo.php?workbook=08_01.xlsx&amp;sheet=A0&amp;row=137&amp;col=13&amp;number=&amp;sourceID=11","")</f>
        <v/>
      </c>
      <c r="N137" s="4" t="str">
        <f>HYPERLINK("http://141.218.60.56/~jnz1568/getInfo.php?workbook=08_01.xlsx&amp;sheet=A0&amp;row=137&amp;col=14&amp;number=3550800000&amp;sourceID=12","3550800000")</f>
        <v>3550800000</v>
      </c>
      <c r="O137" s="4" t="str">
        <f>HYPERLINK("http://141.218.60.56/~jnz1568/getInfo.php?workbook=08_01.xlsx&amp;sheet=A0&amp;row=137&amp;col=15&amp;number=3550800000&amp;sourceID=12","3550800000")</f>
        <v>3550800000</v>
      </c>
      <c r="P137" s="4" t="str">
        <f>HYPERLINK("http://141.218.60.56/~jnz1568/getInfo.php?workbook=08_01.xlsx&amp;sheet=A0&amp;row=137&amp;col=16&amp;number=&amp;sourceID=12","")</f>
        <v/>
      </c>
      <c r="Q137" s="4" t="str">
        <f>HYPERLINK("http://141.218.60.56/~jnz1568/getInfo.php?workbook=08_01.xlsx&amp;sheet=A0&amp;row=137&amp;col=17&amp;number=&amp;sourceID=12","")</f>
        <v/>
      </c>
      <c r="R137" s="4" t="str">
        <f>HYPERLINK("http://141.218.60.56/~jnz1568/getInfo.php?workbook=08_01.xlsx&amp;sheet=A0&amp;row=137&amp;col=18&amp;number=&amp;sourceID=12","")</f>
        <v/>
      </c>
      <c r="S137" s="4" t="str">
        <f>HYPERLINK("http://141.218.60.56/~jnz1568/getInfo.php?workbook=08_01.xlsx&amp;sheet=A0&amp;row=137&amp;col=19&amp;number=85.345&amp;sourceID=12","85.345")</f>
        <v>85.345</v>
      </c>
      <c r="T137" s="4" t="str">
        <f>HYPERLINK("http://141.218.60.56/~jnz1568/getInfo.php?workbook=08_01.xlsx&amp;sheet=A0&amp;row=137&amp;col=20&amp;number=&amp;sourceID=12","")</f>
        <v/>
      </c>
      <c r="U137" s="4" t="str">
        <f>HYPERLINK("http://141.218.60.56/~jnz1568/getInfo.php?workbook=08_01.xlsx&amp;sheet=A0&amp;row=137&amp;col=21&amp;number=3551000085.35&amp;sourceID=30","3551000085.35")</f>
        <v>3551000085.35</v>
      </c>
      <c r="V137" s="4" t="str">
        <f>HYPERLINK("http://141.218.60.56/~jnz1568/getInfo.php?workbook=08_01.xlsx&amp;sheet=A0&amp;row=137&amp;col=22&amp;number=3551000000&amp;sourceID=30","3551000000")</f>
        <v>3551000000</v>
      </c>
      <c r="W137" s="4" t="str">
        <f>HYPERLINK("http://141.218.60.56/~jnz1568/getInfo.php?workbook=08_01.xlsx&amp;sheet=A0&amp;row=137&amp;col=23&amp;number=&amp;sourceID=30","")</f>
        <v/>
      </c>
      <c r="X137" s="4" t="str">
        <f>HYPERLINK("http://141.218.60.56/~jnz1568/getInfo.php?workbook=08_01.xlsx&amp;sheet=A0&amp;row=137&amp;col=24&amp;number=&amp;sourceID=30","")</f>
        <v/>
      </c>
      <c r="Y137" s="4" t="str">
        <f>HYPERLINK("http://141.218.60.56/~jnz1568/getInfo.php?workbook=08_01.xlsx&amp;sheet=A0&amp;row=137&amp;col=25&amp;number=85.35&amp;sourceID=30","85.35")</f>
        <v>85.35</v>
      </c>
      <c r="Z137" s="4" t="str">
        <f>HYPERLINK("http://141.218.60.56/~jnz1568/getInfo.php?workbook=08_01.xlsx&amp;sheet=A0&amp;row=137&amp;col=26&amp;number=&amp;sourceID=13","")</f>
        <v/>
      </c>
      <c r="AA137" s="4" t="str">
        <f>HYPERLINK("http://141.218.60.56/~jnz1568/getInfo.php?workbook=08_01.xlsx&amp;sheet=A0&amp;row=137&amp;col=27&amp;number=&amp;sourceID=13","")</f>
        <v/>
      </c>
      <c r="AB137" s="4" t="str">
        <f>HYPERLINK("http://141.218.60.56/~jnz1568/getInfo.php?workbook=08_01.xlsx&amp;sheet=A0&amp;row=137&amp;col=28&amp;number=&amp;sourceID=13","")</f>
        <v/>
      </c>
      <c r="AC137" s="4" t="str">
        <f>HYPERLINK("http://141.218.60.56/~jnz1568/getInfo.php?workbook=08_01.xlsx&amp;sheet=A0&amp;row=137&amp;col=29&amp;number=&amp;sourceID=13","")</f>
        <v/>
      </c>
      <c r="AD137" s="4" t="str">
        <f>HYPERLINK("http://141.218.60.56/~jnz1568/getInfo.php?workbook=08_01.xlsx&amp;sheet=A0&amp;row=137&amp;col=30&amp;number=&amp;sourceID=13","")</f>
        <v/>
      </c>
      <c r="AE137" s="4" t="str">
        <f>HYPERLINK("http://141.218.60.56/~jnz1568/getInfo.php?workbook=08_01.xlsx&amp;sheet=A0&amp;row=137&amp;col=31&amp;number=&amp;sourceID=13","")</f>
        <v/>
      </c>
      <c r="AF137" s="4" t="str">
        <f>HYPERLINK("http://141.218.60.56/~jnz1568/getInfo.php?workbook=08_01.xlsx&amp;sheet=A0&amp;row=137&amp;col=32&amp;number=&amp;sourceID=20","")</f>
        <v/>
      </c>
    </row>
    <row r="138" spans="1:32">
      <c r="A138" s="3">
        <v>8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HYPERLINK("http://141.218.60.56/~jnz1568/getInfo.php?workbook=08_01.xlsx&amp;sheet=A0&amp;row=138&amp;col=6&amp;number=&amp;sourceID=18","")</f>
        <v/>
      </c>
      <c r="G138" s="4" t="str">
        <f>HYPERLINK("http://141.218.60.56/~jnz1568/getInfo.php?workbook=08_01.xlsx&amp;sheet=A0&amp;row=138&amp;col=7&amp;number==&amp;sourceID=11","=")</f>
        <v>=</v>
      </c>
      <c r="H138" s="4" t="str">
        <f>HYPERLINK("http://141.218.60.56/~jnz1568/getInfo.php?workbook=08_01.xlsx&amp;sheet=A0&amp;row=138&amp;col=8&amp;number=1237900000&amp;sourceID=11","1237900000")</f>
        <v>1237900000</v>
      </c>
      <c r="I138" s="4" t="str">
        <f>HYPERLINK("http://141.218.60.56/~jnz1568/getInfo.php?workbook=08_01.xlsx&amp;sheet=A0&amp;row=138&amp;col=9&amp;number=&amp;sourceID=11","")</f>
        <v/>
      </c>
      <c r="J138" s="4" t="str">
        <f>HYPERLINK("http://141.218.60.56/~jnz1568/getInfo.php?workbook=08_01.xlsx&amp;sheet=A0&amp;row=138&amp;col=10&amp;number=&amp;sourceID=11","")</f>
        <v/>
      </c>
      <c r="K138" s="4" t="str">
        <f>HYPERLINK("http://141.218.60.56/~jnz1568/getInfo.php?workbook=08_01.xlsx&amp;sheet=A0&amp;row=138&amp;col=11&amp;number=&amp;sourceID=11","")</f>
        <v/>
      </c>
      <c r="L138" s="4" t="str">
        <f>HYPERLINK("http://141.218.60.56/~jnz1568/getInfo.php?workbook=08_01.xlsx&amp;sheet=A0&amp;row=138&amp;col=12&amp;number=&amp;sourceID=11","")</f>
        <v/>
      </c>
      <c r="M138" s="4" t="str">
        <f>HYPERLINK("http://141.218.60.56/~jnz1568/getInfo.php?workbook=08_01.xlsx&amp;sheet=A0&amp;row=138&amp;col=13&amp;number=&amp;sourceID=11","")</f>
        <v/>
      </c>
      <c r="N138" s="4" t="str">
        <f>HYPERLINK("http://141.218.60.56/~jnz1568/getInfo.php?workbook=08_01.xlsx&amp;sheet=A0&amp;row=138&amp;col=14&amp;number=1237900000&amp;sourceID=12","1237900000")</f>
        <v>1237900000</v>
      </c>
      <c r="O138" s="4" t="str">
        <f>HYPERLINK("http://141.218.60.56/~jnz1568/getInfo.php?workbook=08_01.xlsx&amp;sheet=A0&amp;row=138&amp;col=15&amp;number=1237900000&amp;sourceID=12","1237900000")</f>
        <v>1237900000</v>
      </c>
      <c r="P138" s="4" t="str">
        <f>HYPERLINK("http://141.218.60.56/~jnz1568/getInfo.php?workbook=08_01.xlsx&amp;sheet=A0&amp;row=138&amp;col=16&amp;number=&amp;sourceID=12","")</f>
        <v/>
      </c>
      <c r="Q138" s="4" t="str">
        <f>HYPERLINK("http://141.218.60.56/~jnz1568/getInfo.php?workbook=08_01.xlsx&amp;sheet=A0&amp;row=138&amp;col=17&amp;number=&amp;sourceID=12","")</f>
        <v/>
      </c>
      <c r="R138" s="4" t="str">
        <f>HYPERLINK("http://141.218.60.56/~jnz1568/getInfo.php?workbook=08_01.xlsx&amp;sheet=A0&amp;row=138&amp;col=18&amp;number=&amp;sourceID=12","")</f>
        <v/>
      </c>
      <c r="S138" s="4" t="str">
        <f>HYPERLINK("http://141.218.60.56/~jnz1568/getInfo.php?workbook=08_01.xlsx&amp;sheet=A0&amp;row=138&amp;col=19&amp;number=&amp;sourceID=12","")</f>
        <v/>
      </c>
      <c r="T138" s="4" t="str">
        <f>HYPERLINK("http://141.218.60.56/~jnz1568/getInfo.php?workbook=08_01.xlsx&amp;sheet=A0&amp;row=138&amp;col=20&amp;number=&amp;sourceID=12","")</f>
        <v/>
      </c>
      <c r="U138" s="4" t="str">
        <f>HYPERLINK("http://141.218.60.56/~jnz1568/getInfo.php?workbook=08_01.xlsx&amp;sheet=A0&amp;row=138&amp;col=21&amp;number=1238000000&amp;sourceID=30","1238000000")</f>
        <v>1238000000</v>
      </c>
      <c r="V138" s="4" t="str">
        <f>HYPERLINK("http://141.218.60.56/~jnz1568/getInfo.php?workbook=08_01.xlsx&amp;sheet=A0&amp;row=138&amp;col=22&amp;number=1238000000&amp;sourceID=30","1238000000")</f>
        <v>1238000000</v>
      </c>
      <c r="W138" s="4" t="str">
        <f>HYPERLINK("http://141.218.60.56/~jnz1568/getInfo.php?workbook=08_01.xlsx&amp;sheet=A0&amp;row=138&amp;col=23&amp;number=&amp;sourceID=30","")</f>
        <v/>
      </c>
      <c r="X138" s="4" t="str">
        <f>HYPERLINK("http://141.218.60.56/~jnz1568/getInfo.php?workbook=08_01.xlsx&amp;sheet=A0&amp;row=138&amp;col=24&amp;number=&amp;sourceID=30","")</f>
        <v/>
      </c>
      <c r="Y138" s="4" t="str">
        <f>HYPERLINK("http://141.218.60.56/~jnz1568/getInfo.php?workbook=08_01.xlsx&amp;sheet=A0&amp;row=138&amp;col=25&amp;number=&amp;sourceID=30","")</f>
        <v/>
      </c>
      <c r="Z138" s="4" t="str">
        <f>HYPERLINK("http://141.218.60.56/~jnz1568/getInfo.php?workbook=08_01.xlsx&amp;sheet=A0&amp;row=138&amp;col=26&amp;number=&amp;sourceID=13","")</f>
        <v/>
      </c>
      <c r="AA138" s="4" t="str">
        <f>HYPERLINK("http://141.218.60.56/~jnz1568/getInfo.php?workbook=08_01.xlsx&amp;sheet=A0&amp;row=138&amp;col=27&amp;number=&amp;sourceID=13","")</f>
        <v/>
      </c>
      <c r="AB138" s="4" t="str">
        <f>HYPERLINK("http://141.218.60.56/~jnz1568/getInfo.php?workbook=08_01.xlsx&amp;sheet=A0&amp;row=138&amp;col=28&amp;number=&amp;sourceID=13","")</f>
        <v/>
      </c>
      <c r="AC138" s="4" t="str">
        <f>HYPERLINK("http://141.218.60.56/~jnz1568/getInfo.php?workbook=08_01.xlsx&amp;sheet=A0&amp;row=138&amp;col=29&amp;number=&amp;sourceID=13","")</f>
        <v/>
      </c>
      <c r="AD138" s="4" t="str">
        <f>HYPERLINK("http://141.218.60.56/~jnz1568/getInfo.php?workbook=08_01.xlsx&amp;sheet=A0&amp;row=138&amp;col=30&amp;number=&amp;sourceID=13","")</f>
        <v/>
      </c>
      <c r="AE138" s="4" t="str">
        <f>HYPERLINK("http://141.218.60.56/~jnz1568/getInfo.php?workbook=08_01.xlsx&amp;sheet=A0&amp;row=138&amp;col=31&amp;number=&amp;sourceID=13","")</f>
        <v/>
      </c>
      <c r="AF138" s="4" t="str">
        <f>HYPERLINK("http://141.218.60.56/~jnz1568/getInfo.php?workbook=08_01.xlsx&amp;sheet=A0&amp;row=138&amp;col=32&amp;number=&amp;sourceID=20","")</f>
        <v/>
      </c>
    </row>
    <row r="139" spans="1:32">
      <c r="A139" s="3">
        <v>8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HYPERLINK("http://141.218.60.56/~jnz1568/getInfo.php?workbook=08_01.xlsx&amp;sheet=A0&amp;row=139&amp;col=6&amp;number=&amp;sourceID=18","")</f>
        <v/>
      </c>
      <c r="G139" s="4" t="str">
        <f>HYPERLINK("http://141.218.60.56/~jnz1568/getInfo.php?workbook=08_01.xlsx&amp;sheet=A0&amp;row=139&amp;col=7&amp;number==&amp;sourceID=11","=")</f>
        <v>=</v>
      </c>
      <c r="H139" s="4" t="str">
        <f>HYPERLINK("http://141.218.60.56/~jnz1568/getInfo.php?workbook=08_01.xlsx&amp;sheet=A0&amp;row=139&amp;col=8&amp;number=&amp;sourceID=11","")</f>
        <v/>
      </c>
      <c r="I139" s="4" t="str">
        <f>HYPERLINK("http://141.218.60.56/~jnz1568/getInfo.php?workbook=08_01.xlsx&amp;sheet=A0&amp;row=139&amp;col=9&amp;number=&amp;sourceID=11","")</f>
        <v/>
      </c>
      <c r="J139" s="4" t="str">
        <f>HYPERLINK("http://141.218.60.56/~jnz1568/getInfo.php?workbook=08_01.xlsx&amp;sheet=A0&amp;row=139&amp;col=10&amp;number=&amp;sourceID=11","")</f>
        <v/>
      </c>
      <c r="K139" s="4" t="str">
        <f>HYPERLINK("http://141.218.60.56/~jnz1568/getInfo.php?workbook=08_01.xlsx&amp;sheet=A0&amp;row=139&amp;col=11&amp;number=0.027902&amp;sourceID=11","0.027902")</f>
        <v>0.027902</v>
      </c>
      <c r="L139" s="4" t="str">
        <f>HYPERLINK("http://141.218.60.56/~jnz1568/getInfo.php?workbook=08_01.xlsx&amp;sheet=A0&amp;row=139&amp;col=12&amp;number=&amp;sourceID=11","")</f>
        <v/>
      </c>
      <c r="M139" s="4" t="str">
        <f>HYPERLINK("http://141.218.60.56/~jnz1568/getInfo.php?workbook=08_01.xlsx&amp;sheet=A0&amp;row=139&amp;col=13&amp;number=&amp;sourceID=11","")</f>
        <v/>
      </c>
      <c r="N139" s="4" t="str">
        <f>HYPERLINK("http://141.218.60.56/~jnz1568/getInfo.php?workbook=08_01.xlsx&amp;sheet=A0&amp;row=139&amp;col=14&amp;number=0.027903&amp;sourceID=12","0.027903")</f>
        <v>0.027903</v>
      </c>
      <c r="O139" s="4" t="str">
        <f>HYPERLINK("http://141.218.60.56/~jnz1568/getInfo.php?workbook=08_01.xlsx&amp;sheet=A0&amp;row=139&amp;col=15&amp;number=&amp;sourceID=12","")</f>
        <v/>
      </c>
      <c r="P139" s="4" t="str">
        <f>HYPERLINK("http://141.218.60.56/~jnz1568/getInfo.php?workbook=08_01.xlsx&amp;sheet=A0&amp;row=139&amp;col=16&amp;number=&amp;sourceID=12","")</f>
        <v/>
      </c>
      <c r="Q139" s="4" t="str">
        <f>HYPERLINK("http://141.218.60.56/~jnz1568/getInfo.php?workbook=08_01.xlsx&amp;sheet=A0&amp;row=139&amp;col=17&amp;number=&amp;sourceID=12","")</f>
        <v/>
      </c>
      <c r="R139" s="4" t="str">
        <f>HYPERLINK("http://141.218.60.56/~jnz1568/getInfo.php?workbook=08_01.xlsx&amp;sheet=A0&amp;row=139&amp;col=18&amp;number=0.027903&amp;sourceID=12","0.027903")</f>
        <v>0.027903</v>
      </c>
      <c r="S139" s="4" t="str">
        <f>HYPERLINK("http://141.218.60.56/~jnz1568/getInfo.php?workbook=08_01.xlsx&amp;sheet=A0&amp;row=139&amp;col=19&amp;number=&amp;sourceID=12","")</f>
        <v/>
      </c>
      <c r="T139" s="4" t="str">
        <f>HYPERLINK("http://141.218.60.56/~jnz1568/getInfo.php?workbook=08_01.xlsx&amp;sheet=A0&amp;row=139&amp;col=20&amp;number=&amp;sourceID=12","")</f>
        <v/>
      </c>
      <c r="U139" s="4" t="str">
        <f>HYPERLINK("http://141.218.60.56/~jnz1568/getInfo.php?workbook=08_01.xlsx&amp;sheet=A0&amp;row=139&amp;col=21&amp;number=0.02787&amp;sourceID=30","0.02787")</f>
        <v>0.02787</v>
      </c>
      <c r="V139" s="4" t="str">
        <f>HYPERLINK("http://141.218.60.56/~jnz1568/getInfo.php?workbook=08_01.xlsx&amp;sheet=A0&amp;row=139&amp;col=22&amp;number=&amp;sourceID=30","")</f>
        <v/>
      </c>
      <c r="W139" s="4" t="str">
        <f>HYPERLINK("http://141.218.60.56/~jnz1568/getInfo.php?workbook=08_01.xlsx&amp;sheet=A0&amp;row=139&amp;col=23&amp;number=&amp;sourceID=30","")</f>
        <v/>
      </c>
      <c r="X139" s="4" t="str">
        <f>HYPERLINK("http://141.218.60.56/~jnz1568/getInfo.php?workbook=08_01.xlsx&amp;sheet=A0&amp;row=139&amp;col=24&amp;number=0.02787&amp;sourceID=30","0.02787")</f>
        <v>0.02787</v>
      </c>
      <c r="Y139" s="4" t="str">
        <f>HYPERLINK("http://141.218.60.56/~jnz1568/getInfo.php?workbook=08_01.xlsx&amp;sheet=A0&amp;row=139&amp;col=25&amp;number=&amp;sourceID=30","")</f>
        <v/>
      </c>
      <c r="Z139" s="4" t="str">
        <f>HYPERLINK("http://141.218.60.56/~jnz1568/getInfo.php?workbook=08_01.xlsx&amp;sheet=A0&amp;row=139&amp;col=26&amp;number=&amp;sourceID=13","")</f>
        <v/>
      </c>
      <c r="AA139" s="4" t="str">
        <f>HYPERLINK("http://141.218.60.56/~jnz1568/getInfo.php?workbook=08_01.xlsx&amp;sheet=A0&amp;row=139&amp;col=27&amp;number=&amp;sourceID=13","")</f>
        <v/>
      </c>
      <c r="AB139" s="4" t="str">
        <f>HYPERLINK("http://141.218.60.56/~jnz1568/getInfo.php?workbook=08_01.xlsx&amp;sheet=A0&amp;row=139&amp;col=28&amp;number=&amp;sourceID=13","")</f>
        <v/>
      </c>
      <c r="AC139" s="4" t="str">
        <f>HYPERLINK("http://141.218.60.56/~jnz1568/getInfo.php?workbook=08_01.xlsx&amp;sheet=A0&amp;row=139&amp;col=29&amp;number=&amp;sourceID=13","")</f>
        <v/>
      </c>
      <c r="AD139" s="4" t="str">
        <f>HYPERLINK("http://141.218.60.56/~jnz1568/getInfo.php?workbook=08_01.xlsx&amp;sheet=A0&amp;row=139&amp;col=30&amp;number=&amp;sourceID=13","")</f>
        <v/>
      </c>
      <c r="AE139" s="4" t="str">
        <f>HYPERLINK("http://141.218.60.56/~jnz1568/getInfo.php?workbook=08_01.xlsx&amp;sheet=A0&amp;row=139&amp;col=31&amp;number=&amp;sourceID=13","")</f>
        <v/>
      </c>
      <c r="AF139" s="4" t="str">
        <f>HYPERLINK("http://141.218.60.56/~jnz1568/getInfo.php?workbook=08_01.xlsx&amp;sheet=A0&amp;row=139&amp;col=32&amp;number=&amp;sourceID=20","")</f>
        <v/>
      </c>
    </row>
    <row r="140" spans="1:32">
      <c r="A140" s="3">
        <v>8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HYPERLINK("http://141.218.60.56/~jnz1568/getInfo.php?workbook=08_01.xlsx&amp;sheet=A0&amp;row=140&amp;col=6&amp;number=&amp;sourceID=18","")</f>
        <v/>
      </c>
      <c r="G140" s="4" t="str">
        <f>HYPERLINK("http://141.218.60.56/~jnz1568/getInfo.php?workbook=08_01.xlsx&amp;sheet=A0&amp;row=140&amp;col=7&amp;number==&amp;sourceID=11","=")</f>
        <v>=</v>
      </c>
      <c r="H140" s="4" t="str">
        <f>HYPERLINK("http://141.218.60.56/~jnz1568/getInfo.php?workbook=08_01.xlsx&amp;sheet=A0&amp;row=140&amp;col=8&amp;number=&amp;sourceID=11","")</f>
        <v/>
      </c>
      <c r="I140" s="4" t="str">
        <f>HYPERLINK("http://141.218.60.56/~jnz1568/getInfo.php?workbook=08_01.xlsx&amp;sheet=A0&amp;row=140&amp;col=9&amp;number=67176&amp;sourceID=11","67176")</f>
        <v>67176</v>
      </c>
      <c r="J140" s="4" t="str">
        <f>HYPERLINK("http://141.218.60.56/~jnz1568/getInfo.php?workbook=08_01.xlsx&amp;sheet=A0&amp;row=140&amp;col=10&amp;number=&amp;sourceID=11","")</f>
        <v/>
      </c>
      <c r="K140" s="4" t="str">
        <f>HYPERLINK("http://141.218.60.56/~jnz1568/getInfo.php?workbook=08_01.xlsx&amp;sheet=A0&amp;row=140&amp;col=11&amp;number=3.6685e-06&amp;sourceID=11","3.6685e-06")</f>
        <v>3.6685e-06</v>
      </c>
      <c r="L140" s="4" t="str">
        <f>HYPERLINK("http://141.218.60.56/~jnz1568/getInfo.php?workbook=08_01.xlsx&amp;sheet=A0&amp;row=140&amp;col=12&amp;number=&amp;sourceID=11","")</f>
        <v/>
      </c>
      <c r="M140" s="4" t="str">
        <f>HYPERLINK("http://141.218.60.56/~jnz1568/getInfo.php?workbook=08_01.xlsx&amp;sheet=A0&amp;row=140&amp;col=13&amp;number=&amp;sourceID=11","")</f>
        <v/>
      </c>
      <c r="N140" s="4" t="str">
        <f>HYPERLINK("http://141.218.60.56/~jnz1568/getInfo.php?workbook=08_01.xlsx&amp;sheet=A0&amp;row=140&amp;col=14&amp;number=67179&amp;sourceID=12","67179")</f>
        <v>67179</v>
      </c>
      <c r="O140" s="4" t="str">
        <f>HYPERLINK("http://141.218.60.56/~jnz1568/getInfo.php?workbook=08_01.xlsx&amp;sheet=A0&amp;row=140&amp;col=15&amp;number=&amp;sourceID=12","")</f>
        <v/>
      </c>
      <c r="P140" s="4" t="str">
        <f>HYPERLINK("http://141.218.60.56/~jnz1568/getInfo.php?workbook=08_01.xlsx&amp;sheet=A0&amp;row=140&amp;col=16&amp;number=67179&amp;sourceID=12","67179")</f>
        <v>67179</v>
      </c>
      <c r="Q140" s="4" t="str">
        <f>HYPERLINK("http://141.218.60.56/~jnz1568/getInfo.php?workbook=08_01.xlsx&amp;sheet=A0&amp;row=140&amp;col=17&amp;number=&amp;sourceID=12","")</f>
        <v/>
      </c>
      <c r="R140" s="4" t="str">
        <f>HYPERLINK("http://141.218.60.56/~jnz1568/getInfo.php?workbook=08_01.xlsx&amp;sheet=A0&amp;row=140&amp;col=18&amp;number=3.6669e-06&amp;sourceID=12","3.6669e-06")</f>
        <v>3.6669e-06</v>
      </c>
      <c r="S140" s="4" t="str">
        <f>HYPERLINK("http://141.218.60.56/~jnz1568/getInfo.php?workbook=08_01.xlsx&amp;sheet=A0&amp;row=140&amp;col=19&amp;number=&amp;sourceID=12","")</f>
        <v/>
      </c>
      <c r="T140" s="4" t="str">
        <f>HYPERLINK("http://141.218.60.56/~jnz1568/getInfo.php?workbook=08_01.xlsx&amp;sheet=A0&amp;row=140&amp;col=20&amp;number=&amp;sourceID=12","")</f>
        <v/>
      </c>
      <c r="U140" s="4" t="str">
        <f>HYPERLINK("http://141.218.60.56/~jnz1568/getInfo.php?workbook=08_01.xlsx&amp;sheet=A0&amp;row=140&amp;col=21&amp;number=67180.0000038&amp;sourceID=30","67180.0000038")</f>
        <v>67180.0000038</v>
      </c>
      <c r="V140" s="4" t="str">
        <f>HYPERLINK("http://141.218.60.56/~jnz1568/getInfo.php?workbook=08_01.xlsx&amp;sheet=A0&amp;row=140&amp;col=22&amp;number=&amp;sourceID=30","")</f>
        <v/>
      </c>
      <c r="W140" s="4" t="str">
        <f>HYPERLINK("http://141.218.60.56/~jnz1568/getInfo.php?workbook=08_01.xlsx&amp;sheet=A0&amp;row=140&amp;col=23&amp;number=67180&amp;sourceID=30","67180")</f>
        <v>67180</v>
      </c>
      <c r="X140" s="4" t="str">
        <f>HYPERLINK("http://141.218.60.56/~jnz1568/getInfo.php?workbook=08_01.xlsx&amp;sheet=A0&amp;row=140&amp;col=24&amp;number=3.842e-06&amp;sourceID=30","3.842e-06")</f>
        <v>3.842e-06</v>
      </c>
      <c r="Y140" s="4" t="str">
        <f>HYPERLINK("http://141.218.60.56/~jnz1568/getInfo.php?workbook=08_01.xlsx&amp;sheet=A0&amp;row=140&amp;col=25&amp;number=&amp;sourceID=30","")</f>
        <v/>
      </c>
      <c r="Z140" s="4" t="str">
        <f>HYPERLINK("http://141.218.60.56/~jnz1568/getInfo.php?workbook=08_01.xlsx&amp;sheet=A0&amp;row=140&amp;col=26&amp;number=&amp;sourceID=13","")</f>
        <v/>
      </c>
      <c r="AA140" s="4" t="str">
        <f>HYPERLINK("http://141.218.60.56/~jnz1568/getInfo.php?workbook=08_01.xlsx&amp;sheet=A0&amp;row=140&amp;col=27&amp;number=&amp;sourceID=13","")</f>
        <v/>
      </c>
      <c r="AB140" s="4" t="str">
        <f>HYPERLINK("http://141.218.60.56/~jnz1568/getInfo.php?workbook=08_01.xlsx&amp;sheet=A0&amp;row=140&amp;col=28&amp;number=&amp;sourceID=13","")</f>
        <v/>
      </c>
      <c r="AC140" s="4" t="str">
        <f>HYPERLINK("http://141.218.60.56/~jnz1568/getInfo.php?workbook=08_01.xlsx&amp;sheet=A0&amp;row=140&amp;col=29&amp;number=&amp;sourceID=13","")</f>
        <v/>
      </c>
      <c r="AD140" s="4" t="str">
        <f>HYPERLINK("http://141.218.60.56/~jnz1568/getInfo.php?workbook=08_01.xlsx&amp;sheet=A0&amp;row=140&amp;col=30&amp;number=&amp;sourceID=13","")</f>
        <v/>
      </c>
      <c r="AE140" s="4" t="str">
        <f>HYPERLINK("http://141.218.60.56/~jnz1568/getInfo.php?workbook=08_01.xlsx&amp;sheet=A0&amp;row=140&amp;col=31&amp;number=&amp;sourceID=13","")</f>
        <v/>
      </c>
      <c r="AF140" s="4" t="str">
        <f>HYPERLINK("http://141.218.60.56/~jnz1568/getInfo.php?workbook=08_01.xlsx&amp;sheet=A0&amp;row=140&amp;col=32&amp;number=&amp;sourceID=20","")</f>
        <v/>
      </c>
    </row>
    <row r="141" spans="1:32">
      <c r="A141" s="3">
        <v>8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HYPERLINK("http://141.218.60.56/~jnz1568/getInfo.php?workbook=08_01.xlsx&amp;sheet=A0&amp;row=141&amp;col=6&amp;number=&amp;sourceID=18","")</f>
        <v/>
      </c>
      <c r="G141" s="4" t="str">
        <f>HYPERLINK("http://141.218.60.56/~jnz1568/getInfo.php?workbook=08_01.xlsx&amp;sheet=A0&amp;row=141&amp;col=7&amp;number==&amp;sourceID=11","=")</f>
        <v>=</v>
      </c>
      <c r="H141" s="4" t="str">
        <f>HYPERLINK("http://141.218.60.56/~jnz1568/getInfo.php?workbook=08_01.xlsx&amp;sheet=A0&amp;row=141&amp;col=8&amp;number=2490500000&amp;sourceID=11","2490500000")</f>
        <v>2490500000</v>
      </c>
      <c r="I141" s="4" t="str">
        <f>HYPERLINK("http://141.218.60.56/~jnz1568/getInfo.php?workbook=08_01.xlsx&amp;sheet=A0&amp;row=141&amp;col=9&amp;number=&amp;sourceID=11","")</f>
        <v/>
      </c>
      <c r="J141" s="4" t="str">
        <f>HYPERLINK("http://141.218.60.56/~jnz1568/getInfo.php?workbook=08_01.xlsx&amp;sheet=A0&amp;row=141&amp;col=10&amp;number=&amp;sourceID=11","")</f>
        <v/>
      </c>
      <c r="K141" s="4" t="str">
        <f>HYPERLINK("http://141.218.60.56/~jnz1568/getInfo.php?workbook=08_01.xlsx&amp;sheet=A0&amp;row=141&amp;col=11&amp;number=&amp;sourceID=11","")</f>
        <v/>
      </c>
      <c r="L141" s="4" t="str">
        <f>HYPERLINK("http://141.218.60.56/~jnz1568/getInfo.php?workbook=08_01.xlsx&amp;sheet=A0&amp;row=141&amp;col=12&amp;number=6.8605&amp;sourceID=11","6.8605")</f>
        <v>6.8605</v>
      </c>
      <c r="M141" s="4" t="str">
        <f>HYPERLINK("http://141.218.60.56/~jnz1568/getInfo.php?workbook=08_01.xlsx&amp;sheet=A0&amp;row=141&amp;col=13&amp;number=&amp;sourceID=11","")</f>
        <v/>
      </c>
      <c r="N141" s="4" t="str">
        <f>HYPERLINK("http://141.218.60.56/~jnz1568/getInfo.php?workbook=08_01.xlsx&amp;sheet=A0&amp;row=141&amp;col=14&amp;number=2490600000&amp;sourceID=12","2490600000")</f>
        <v>2490600000</v>
      </c>
      <c r="O141" s="4" t="str">
        <f>HYPERLINK("http://141.218.60.56/~jnz1568/getInfo.php?workbook=08_01.xlsx&amp;sheet=A0&amp;row=141&amp;col=15&amp;number=2490600000&amp;sourceID=12","2490600000")</f>
        <v>2490600000</v>
      </c>
      <c r="P141" s="4" t="str">
        <f>HYPERLINK("http://141.218.60.56/~jnz1568/getInfo.php?workbook=08_01.xlsx&amp;sheet=A0&amp;row=141&amp;col=16&amp;number=&amp;sourceID=12","")</f>
        <v/>
      </c>
      <c r="Q141" s="4" t="str">
        <f>HYPERLINK("http://141.218.60.56/~jnz1568/getInfo.php?workbook=08_01.xlsx&amp;sheet=A0&amp;row=141&amp;col=17&amp;number=&amp;sourceID=12","")</f>
        <v/>
      </c>
      <c r="R141" s="4" t="str">
        <f>HYPERLINK("http://141.218.60.56/~jnz1568/getInfo.php?workbook=08_01.xlsx&amp;sheet=A0&amp;row=141&amp;col=18&amp;number=&amp;sourceID=12","")</f>
        <v/>
      </c>
      <c r="S141" s="4" t="str">
        <f>HYPERLINK("http://141.218.60.56/~jnz1568/getInfo.php?workbook=08_01.xlsx&amp;sheet=A0&amp;row=141&amp;col=19&amp;number=6.8607&amp;sourceID=12","6.8607")</f>
        <v>6.8607</v>
      </c>
      <c r="T141" s="4" t="str">
        <f>HYPERLINK("http://141.218.60.56/~jnz1568/getInfo.php?workbook=08_01.xlsx&amp;sheet=A0&amp;row=141&amp;col=20&amp;number=&amp;sourceID=12","")</f>
        <v/>
      </c>
      <c r="U141" s="4" t="str">
        <f>HYPERLINK("http://141.218.60.56/~jnz1568/getInfo.php?workbook=08_01.xlsx&amp;sheet=A0&amp;row=141&amp;col=21&amp;number=2491000006.86&amp;sourceID=30","2491000006.86")</f>
        <v>2491000006.86</v>
      </c>
      <c r="V141" s="4" t="str">
        <f>HYPERLINK("http://141.218.60.56/~jnz1568/getInfo.php?workbook=08_01.xlsx&amp;sheet=A0&amp;row=141&amp;col=22&amp;number=2491000000&amp;sourceID=30","2491000000")</f>
        <v>2491000000</v>
      </c>
      <c r="W141" s="4" t="str">
        <f>HYPERLINK("http://141.218.60.56/~jnz1568/getInfo.php?workbook=08_01.xlsx&amp;sheet=A0&amp;row=141&amp;col=23&amp;number=&amp;sourceID=30","")</f>
        <v/>
      </c>
      <c r="X141" s="4" t="str">
        <f>HYPERLINK("http://141.218.60.56/~jnz1568/getInfo.php?workbook=08_01.xlsx&amp;sheet=A0&amp;row=141&amp;col=24&amp;number=&amp;sourceID=30","")</f>
        <v/>
      </c>
      <c r="Y141" s="4" t="str">
        <f>HYPERLINK("http://141.218.60.56/~jnz1568/getInfo.php?workbook=08_01.xlsx&amp;sheet=A0&amp;row=141&amp;col=25&amp;number=6.861&amp;sourceID=30","6.861")</f>
        <v>6.861</v>
      </c>
      <c r="Z141" s="4" t="str">
        <f>HYPERLINK("http://141.218.60.56/~jnz1568/getInfo.php?workbook=08_01.xlsx&amp;sheet=A0&amp;row=141&amp;col=26&amp;number=&amp;sourceID=13","")</f>
        <v/>
      </c>
      <c r="AA141" s="4" t="str">
        <f>HYPERLINK("http://141.218.60.56/~jnz1568/getInfo.php?workbook=08_01.xlsx&amp;sheet=A0&amp;row=141&amp;col=27&amp;number=&amp;sourceID=13","")</f>
        <v/>
      </c>
      <c r="AB141" s="4" t="str">
        <f>HYPERLINK("http://141.218.60.56/~jnz1568/getInfo.php?workbook=08_01.xlsx&amp;sheet=A0&amp;row=141&amp;col=28&amp;number=&amp;sourceID=13","")</f>
        <v/>
      </c>
      <c r="AC141" s="4" t="str">
        <f>HYPERLINK("http://141.218.60.56/~jnz1568/getInfo.php?workbook=08_01.xlsx&amp;sheet=A0&amp;row=141&amp;col=29&amp;number=&amp;sourceID=13","")</f>
        <v/>
      </c>
      <c r="AD141" s="4" t="str">
        <f>HYPERLINK("http://141.218.60.56/~jnz1568/getInfo.php?workbook=08_01.xlsx&amp;sheet=A0&amp;row=141&amp;col=30&amp;number=&amp;sourceID=13","")</f>
        <v/>
      </c>
      <c r="AE141" s="4" t="str">
        <f>HYPERLINK("http://141.218.60.56/~jnz1568/getInfo.php?workbook=08_01.xlsx&amp;sheet=A0&amp;row=141&amp;col=31&amp;number=&amp;sourceID=13","")</f>
        <v/>
      </c>
      <c r="AF141" s="4" t="str">
        <f>HYPERLINK("http://141.218.60.56/~jnz1568/getInfo.php?workbook=08_01.xlsx&amp;sheet=A0&amp;row=141&amp;col=32&amp;number=&amp;sourceID=20","")</f>
        <v/>
      </c>
    </row>
    <row r="142" spans="1:32">
      <c r="A142" s="3">
        <v>8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HYPERLINK("http://141.218.60.56/~jnz1568/getInfo.php?workbook=08_01.xlsx&amp;sheet=A0&amp;row=142&amp;col=6&amp;number=&amp;sourceID=18","")</f>
        <v/>
      </c>
      <c r="G142" s="4" t="str">
        <f>HYPERLINK("http://141.218.60.56/~jnz1568/getInfo.php?workbook=08_01.xlsx&amp;sheet=A0&amp;row=142&amp;col=7&amp;number==&amp;sourceID=11","=")</f>
        <v>=</v>
      </c>
      <c r="H142" s="4" t="str">
        <f>HYPERLINK("http://141.218.60.56/~jnz1568/getInfo.php?workbook=08_01.xlsx&amp;sheet=A0&amp;row=142&amp;col=8&amp;number=&amp;sourceID=11","")</f>
        <v/>
      </c>
      <c r="I142" s="4" t="str">
        <f>HYPERLINK("http://141.218.60.56/~jnz1568/getInfo.php?workbook=08_01.xlsx&amp;sheet=A0&amp;row=142&amp;col=9&amp;number=100790&amp;sourceID=11","100790")</f>
        <v>100790</v>
      </c>
      <c r="J142" s="4" t="str">
        <f>HYPERLINK("http://141.218.60.56/~jnz1568/getInfo.php?workbook=08_01.xlsx&amp;sheet=A0&amp;row=142&amp;col=10&amp;number=&amp;sourceID=11","")</f>
        <v/>
      </c>
      <c r="K142" s="4" t="str">
        <f>HYPERLINK("http://141.218.60.56/~jnz1568/getInfo.php?workbook=08_01.xlsx&amp;sheet=A0&amp;row=142&amp;col=11&amp;number=&amp;sourceID=11","")</f>
        <v/>
      </c>
      <c r="L142" s="4" t="str">
        <f>HYPERLINK("http://141.218.60.56/~jnz1568/getInfo.php?workbook=08_01.xlsx&amp;sheet=A0&amp;row=142&amp;col=12&amp;number=&amp;sourceID=11","")</f>
        <v/>
      </c>
      <c r="M142" s="4" t="str">
        <f>HYPERLINK("http://141.218.60.56/~jnz1568/getInfo.php?workbook=08_01.xlsx&amp;sheet=A0&amp;row=142&amp;col=13&amp;number=0.0003288&amp;sourceID=11","0.0003288")</f>
        <v>0.0003288</v>
      </c>
      <c r="N142" s="4" t="str">
        <f>HYPERLINK("http://141.218.60.56/~jnz1568/getInfo.php?workbook=08_01.xlsx&amp;sheet=A0&amp;row=142&amp;col=14&amp;number=100800&amp;sourceID=12","100800")</f>
        <v>100800</v>
      </c>
      <c r="O142" s="4" t="str">
        <f>HYPERLINK("http://141.218.60.56/~jnz1568/getInfo.php?workbook=08_01.xlsx&amp;sheet=A0&amp;row=142&amp;col=15&amp;number=&amp;sourceID=12","")</f>
        <v/>
      </c>
      <c r="P142" s="4" t="str">
        <f>HYPERLINK("http://141.218.60.56/~jnz1568/getInfo.php?workbook=08_01.xlsx&amp;sheet=A0&amp;row=142&amp;col=16&amp;number=100800&amp;sourceID=12","100800")</f>
        <v>100800</v>
      </c>
      <c r="Q142" s="4" t="str">
        <f>HYPERLINK("http://141.218.60.56/~jnz1568/getInfo.php?workbook=08_01.xlsx&amp;sheet=A0&amp;row=142&amp;col=17&amp;number=&amp;sourceID=12","")</f>
        <v/>
      </c>
      <c r="R142" s="4" t="str">
        <f>HYPERLINK("http://141.218.60.56/~jnz1568/getInfo.php?workbook=08_01.xlsx&amp;sheet=A0&amp;row=142&amp;col=18&amp;number=&amp;sourceID=12","")</f>
        <v/>
      </c>
      <c r="S142" s="4" t="str">
        <f>HYPERLINK("http://141.218.60.56/~jnz1568/getInfo.php?workbook=08_01.xlsx&amp;sheet=A0&amp;row=142&amp;col=19&amp;number=&amp;sourceID=12","")</f>
        <v/>
      </c>
      <c r="T142" s="4" t="str">
        <f>HYPERLINK("http://141.218.60.56/~jnz1568/getInfo.php?workbook=08_01.xlsx&amp;sheet=A0&amp;row=142&amp;col=20&amp;number=0.00032881&amp;sourceID=12","0.00032881")</f>
        <v>0.00032881</v>
      </c>
      <c r="U142" s="4" t="str">
        <f>HYPERLINK("http://141.218.60.56/~jnz1568/getInfo.php?workbook=08_01.xlsx&amp;sheet=A0&amp;row=142&amp;col=21&amp;number=100800&amp;sourceID=30","100800")</f>
        <v>100800</v>
      </c>
      <c r="V142" s="4" t="str">
        <f>HYPERLINK("http://141.218.60.56/~jnz1568/getInfo.php?workbook=08_01.xlsx&amp;sheet=A0&amp;row=142&amp;col=22&amp;number=&amp;sourceID=30","")</f>
        <v/>
      </c>
      <c r="W142" s="4" t="str">
        <f>HYPERLINK("http://141.218.60.56/~jnz1568/getInfo.php?workbook=08_01.xlsx&amp;sheet=A0&amp;row=142&amp;col=23&amp;number=100800&amp;sourceID=30","100800")</f>
        <v>100800</v>
      </c>
      <c r="X142" s="4" t="str">
        <f>HYPERLINK("http://141.218.60.56/~jnz1568/getInfo.php?workbook=08_01.xlsx&amp;sheet=A0&amp;row=142&amp;col=24&amp;number=&amp;sourceID=30","")</f>
        <v/>
      </c>
      <c r="Y142" s="4" t="str">
        <f>HYPERLINK("http://141.218.60.56/~jnz1568/getInfo.php?workbook=08_01.xlsx&amp;sheet=A0&amp;row=142&amp;col=25&amp;number=&amp;sourceID=30","")</f>
        <v/>
      </c>
      <c r="Z142" s="4" t="str">
        <f>HYPERLINK("http://141.218.60.56/~jnz1568/getInfo.php?workbook=08_01.xlsx&amp;sheet=A0&amp;row=142&amp;col=26&amp;number=&amp;sourceID=13","")</f>
        <v/>
      </c>
      <c r="AA142" s="4" t="str">
        <f>HYPERLINK("http://141.218.60.56/~jnz1568/getInfo.php?workbook=08_01.xlsx&amp;sheet=A0&amp;row=142&amp;col=27&amp;number=&amp;sourceID=13","")</f>
        <v/>
      </c>
      <c r="AB142" s="4" t="str">
        <f>HYPERLINK("http://141.218.60.56/~jnz1568/getInfo.php?workbook=08_01.xlsx&amp;sheet=A0&amp;row=142&amp;col=28&amp;number=&amp;sourceID=13","")</f>
        <v/>
      </c>
      <c r="AC142" s="4" t="str">
        <f>HYPERLINK("http://141.218.60.56/~jnz1568/getInfo.php?workbook=08_01.xlsx&amp;sheet=A0&amp;row=142&amp;col=29&amp;number=&amp;sourceID=13","")</f>
        <v/>
      </c>
      <c r="AD142" s="4" t="str">
        <f>HYPERLINK("http://141.218.60.56/~jnz1568/getInfo.php?workbook=08_01.xlsx&amp;sheet=A0&amp;row=142&amp;col=30&amp;number=&amp;sourceID=13","")</f>
        <v/>
      </c>
      <c r="AE142" s="4" t="str">
        <f>HYPERLINK("http://141.218.60.56/~jnz1568/getInfo.php?workbook=08_01.xlsx&amp;sheet=A0&amp;row=142&amp;col=31&amp;number=&amp;sourceID=13","")</f>
        <v/>
      </c>
      <c r="AF142" s="4" t="str">
        <f>HYPERLINK("http://141.218.60.56/~jnz1568/getInfo.php?workbook=08_01.xlsx&amp;sheet=A0&amp;row=142&amp;col=32&amp;number=&amp;sourceID=20","")</f>
        <v/>
      </c>
    </row>
    <row r="143" spans="1:32">
      <c r="A143" s="3">
        <v>8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HYPERLINK("http://141.218.60.56/~jnz1568/getInfo.php?workbook=08_01.xlsx&amp;sheet=A0&amp;row=143&amp;col=6&amp;number=&amp;sourceID=18","")</f>
        <v/>
      </c>
      <c r="G143" s="4" t="str">
        <f>HYPERLINK("http://141.218.60.56/~jnz1568/getInfo.php?workbook=08_01.xlsx&amp;sheet=A0&amp;row=143&amp;col=7&amp;number==&amp;sourceID=11","=")</f>
        <v>=</v>
      </c>
      <c r="H143" s="4" t="str">
        <f>HYPERLINK("http://141.218.60.56/~jnz1568/getInfo.php?workbook=08_01.xlsx&amp;sheet=A0&amp;row=143&amp;col=8&amp;number=882460000&amp;sourceID=11","882460000")</f>
        <v>882460000</v>
      </c>
      <c r="I143" s="4" t="str">
        <f>HYPERLINK("http://141.218.60.56/~jnz1568/getInfo.php?workbook=08_01.xlsx&amp;sheet=A0&amp;row=143&amp;col=9&amp;number=&amp;sourceID=11","")</f>
        <v/>
      </c>
      <c r="J143" s="4" t="str">
        <f>HYPERLINK("http://141.218.60.56/~jnz1568/getInfo.php?workbook=08_01.xlsx&amp;sheet=A0&amp;row=143&amp;col=10&amp;number=&amp;sourceID=11","")</f>
        <v/>
      </c>
      <c r="K143" s="4" t="str">
        <f>HYPERLINK("http://141.218.60.56/~jnz1568/getInfo.php?workbook=08_01.xlsx&amp;sheet=A0&amp;row=143&amp;col=11&amp;number=&amp;sourceID=11","")</f>
        <v/>
      </c>
      <c r="L143" s="4" t="str">
        <f>HYPERLINK("http://141.218.60.56/~jnz1568/getInfo.php?workbook=08_01.xlsx&amp;sheet=A0&amp;row=143&amp;col=12&amp;number=&amp;sourceID=11","")</f>
        <v/>
      </c>
      <c r="M143" s="4" t="str">
        <f>HYPERLINK("http://141.218.60.56/~jnz1568/getInfo.php?workbook=08_01.xlsx&amp;sheet=A0&amp;row=143&amp;col=13&amp;number=&amp;sourceID=11","")</f>
        <v/>
      </c>
      <c r="N143" s="4" t="str">
        <f>HYPERLINK("http://141.218.60.56/~jnz1568/getInfo.php?workbook=08_01.xlsx&amp;sheet=A0&amp;row=143&amp;col=14&amp;number=882490000&amp;sourceID=12","882490000")</f>
        <v>882490000</v>
      </c>
      <c r="O143" s="4" t="str">
        <f>HYPERLINK("http://141.218.60.56/~jnz1568/getInfo.php?workbook=08_01.xlsx&amp;sheet=A0&amp;row=143&amp;col=15&amp;number=882490000&amp;sourceID=12","882490000")</f>
        <v>882490000</v>
      </c>
      <c r="P143" s="4" t="str">
        <f>HYPERLINK("http://141.218.60.56/~jnz1568/getInfo.php?workbook=08_01.xlsx&amp;sheet=A0&amp;row=143&amp;col=16&amp;number=&amp;sourceID=12","")</f>
        <v/>
      </c>
      <c r="Q143" s="4" t="str">
        <f>HYPERLINK("http://141.218.60.56/~jnz1568/getInfo.php?workbook=08_01.xlsx&amp;sheet=A0&amp;row=143&amp;col=17&amp;number=&amp;sourceID=12","")</f>
        <v/>
      </c>
      <c r="R143" s="4" t="str">
        <f>HYPERLINK("http://141.218.60.56/~jnz1568/getInfo.php?workbook=08_01.xlsx&amp;sheet=A0&amp;row=143&amp;col=18&amp;number=&amp;sourceID=12","")</f>
        <v/>
      </c>
      <c r="S143" s="4" t="str">
        <f>HYPERLINK("http://141.218.60.56/~jnz1568/getInfo.php?workbook=08_01.xlsx&amp;sheet=A0&amp;row=143&amp;col=19&amp;number=&amp;sourceID=12","")</f>
        <v/>
      </c>
      <c r="T143" s="4" t="str">
        <f>HYPERLINK("http://141.218.60.56/~jnz1568/getInfo.php?workbook=08_01.xlsx&amp;sheet=A0&amp;row=143&amp;col=20&amp;number=&amp;sourceID=12","")</f>
        <v/>
      </c>
      <c r="U143" s="4" t="str">
        <f>HYPERLINK("http://141.218.60.56/~jnz1568/getInfo.php?workbook=08_01.xlsx&amp;sheet=A0&amp;row=143&amp;col=21&amp;number=882500000&amp;sourceID=30","882500000")</f>
        <v>882500000</v>
      </c>
      <c r="V143" s="4" t="str">
        <f>HYPERLINK("http://141.218.60.56/~jnz1568/getInfo.php?workbook=08_01.xlsx&amp;sheet=A0&amp;row=143&amp;col=22&amp;number=882500000&amp;sourceID=30","882500000")</f>
        <v>882500000</v>
      </c>
      <c r="W143" s="4" t="str">
        <f>HYPERLINK("http://141.218.60.56/~jnz1568/getInfo.php?workbook=08_01.xlsx&amp;sheet=A0&amp;row=143&amp;col=23&amp;number=&amp;sourceID=30","")</f>
        <v/>
      </c>
      <c r="X143" s="4" t="str">
        <f>HYPERLINK("http://141.218.60.56/~jnz1568/getInfo.php?workbook=08_01.xlsx&amp;sheet=A0&amp;row=143&amp;col=24&amp;number=&amp;sourceID=30","")</f>
        <v/>
      </c>
      <c r="Y143" s="4" t="str">
        <f>HYPERLINK("http://141.218.60.56/~jnz1568/getInfo.php?workbook=08_01.xlsx&amp;sheet=A0&amp;row=143&amp;col=25&amp;number=&amp;sourceID=30","")</f>
        <v/>
      </c>
      <c r="Z143" s="4" t="str">
        <f>HYPERLINK("http://141.218.60.56/~jnz1568/getInfo.php?workbook=08_01.xlsx&amp;sheet=A0&amp;row=143&amp;col=26&amp;number=&amp;sourceID=13","")</f>
        <v/>
      </c>
      <c r="AA143" s="4" t="str">
        <f>HYPERLINK("http://141.218.60.56/~jnz1568/getInfo.php?workbook=08_01.xlsx&amp;sheet=A0&amp;row=143&amp;col=27&amp;number=&amp;sourceID=13","")</f>
        <v/>
      </c>
      <c r="AB143" s="4" t="str">
        <f>HYPERLINK("http://141.218.60.56/~jnz1568/getInfo.php?workbook=08_01.xlsx&amp;sheet=A0&amp;row=143&amp;col=28&amp;number=&amp;sourceID=13","")</f>
        <v/>
      </c>
      <c r="AC143" s="4" t="str">
        <f>HYPERLINK("http://141.218.60.56/~jnz1568/getInfo.php?workbook=08_01.xlsx&amp;sheet=A0&amp;row=143&amp;col=29&amp;number=&amp;sourceID=13","")</f>
        <v/>
      </c>
      <c r="AD143" s="4" t="str">
        <f>HYPERLINK("http://141.218.60.56/~jnz1568/getInfo.php?workbook=08_01.xlsx&amp;sheet=A0&amp;row=143&amp;col=30&amp;number=&amp;sourceID=13","")</f>
        <v/>
      </c>
      <c r="AE143" s="4" t="str">
        <f>HYPERLINK("http://141.218.60.56/~jnz1568/getInfo.php?workbook=08_01.xlsx&amp;sheet=A0&amp;row=143&amp;col=31&amp;number=&amp;sourceID=13","")</f>
        <v/>
      </c>
      <c r="AF143" s="4" t="str">
        <f>HYPERLINK("http://141.218.60.56/~jnz1568/getInfo.php?workbook=08_01.xlsx&amp;sheet=A0&amp;row=143&amp;col=32&amp;number=&amp;sourceID=20","")</f>
        <v/>
      </c>
    </row>
    <row r="144" spans="1:32">
      <c r="A144" s="3">
        <v>8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HYPERLINK("http://141.218.60.56/~jnz1568/getInfo.php?workbook=08_01.xlsx&amp;sheet=A0&amp;row=144&amp;col=6&amp;number=&amp;sourceID=18","")</f>
        <v/>
      </c>
      <c r="G144" s="4" t="str">
        <f>HYPERLINK("http://141.218.60.56/~jnz1568/getInfo.php?workbook=08_01.xlsx&amp;sheet=A0&amp;row=144&amp;col=7&amp;number==&amp;sourceID=11","=")</f>
        <v>=</v>
      </c>
      <c r="H144" s="4" t="str">
        <f>HYPERLINK("http://141.218.60.56/~jnz1568/getInfo.php?workbook=08_01.xlsx&amp;sheet=A0&amp;row=144&amp;col=8&amp;number=&amp;sourceID=11","")</f>
        <v/>
      </c>
      <c r="I144" s="4" t="str">
        <f>HYPERLINK("http://141.218.60.56/~jnz1568/getInfo.php?workbook=08_01.xlsx&amp;sheet=A0&amp;row=144&amp;col=9&amp;number=&amp;sourceID=11","")</f>
        <v/>
      </c>
      <c r="J144" s="4" t="str">
        <f>HYPERLINK("http://141.218.60.56/~jnz1568/getInfo.php?workbook=08_01.xlsx&amp;sheet=A0&amp;row=144&amp;col=10&amp;number=&amp;sourceID=11","")</f>
        <v/>
      </c>
      <c r="K144" s="4" t="str">
        <f>HYPERLINK("http://141.218.60.56/~jnz1568/getInfo.php?workbook=08_01.xlsx&amp;sheet=A0&amp;row=144&amp;col=11&amp;number=0.00079289&amp;sourceID=11","0.00079289")</f>
        <v>0.00079289</v>
      </c>
      <c r="L144" s="4" t="str">
        <f>HYPERLINK("http://141.218.60.56/~jnz1568/getInfo.php?workbook=08_01.xlsx&amp;sheet=A0&amp;row=144&amp;col=12&amp;number=&amp;sourceID=11","")</f>
        <v/>
      </c>
      <c r="M144" s="4" t="str">
        <f>HYPERLINK("http://141.218.60.56/~jnz1568/getInfo.php?workbook=08_01.xlsx&amp;sheet=A0&amp;row=144&amp;col=13&amp;number=&amp;sourceID=11","")</f>
        <v/>
      </c>
      <c r="N144" s="4" t="str">
        <f>HYPERLINK("http://141.218.60.56/~jnz1568/getInfo.php?workbook=08_01.xlsx&amp;sheet=A0&amp;row=144&amp;col=14&amp;number=0.00079292&amp;sourceID=12","0.00079292")</f>
        <v>0.00079292</v>
      </c>
      <c r="O144" s="4" t="str">
        <f>HYPERLINK("http://141.218.60.56/~jnz1568/getInfo.php?workbook=08_01.xlsx&amp;sheet=A0&amp;row=144&amp;col=15&amp;number=&amp;sourceID=12","")</f>
        <v/>
      </c>
      <c r="P144" s="4" t="str">
        <f>HYPERLINK("http://141.218.60.56/~jnz1568/getInfo.php?workbook=08_01.xlsx&amp;sheet=A0&amp;row=144&amp;col=16&amp;number=&amp;sourceID=12","")</f>
        <v/>
      </c>
      <c r="Q144" s="4" t="str">
        <f>HYPERLINK("http://141.218.60.56/~jnz1568/getInfo.php?workbook=08_01.xlsx&amp;sheet=A0&amp;row=144&amp;col=17&amp;number=&amp;sourceID=12","")</f>
        <v/>
      </c>
      <c r="R144" s="4" t="str">
        <f>HYPERLINK("http://141.218.60.56/~jnz1568/getInfo.php?workbook=08_01.xlsx&amp;sheet=A0&amp;row=144&amp;col=18&amp;number=0.00079292&amp;sourceID=12","0.00079292")</f>
        <v>0.00079292</v>
      </c>
      <c r="S144" s="4" t="str">
        <f>HYPERLINK("http://141.218.60.56/~jnz1568/getInfo.php?workbook=08_01.xlsx&amp;sheet=A0&amp;row=144&amp;col=19&amp;number=&amp;sourceID=12","")</f>
        <v/>
      </c>
      <c r="T144" s="4" t="str">
        <f>HYPERLINK("http://141.218.60.56/~jnz1568/getInfo.php?workbook=08_01.xlsx&amp;sheet=A0&amp;row=144&amp;col=20&amp;number=&amp;sourceID=12","")</f>
        <v/>
      </c>
      <c r="U144" s="4" t="str">
        <f>HYPERLINK("http://141.218.60.56/~jnz1568/getInfo.php?workbook=08_01.xlsx&amp;sheet=A0&amp;row=144&amp;col=21&amp;number=0.0007888&amp;sourceID=30","0.0007888")</f>
        <v>0.0007888</v>
      </c>
      <c r="V144" s="4" t="str">
        <f>HYPERLINK("http://141.218.60.56/~jnz1568/getInfo.php?workbook=08_01.xlsx&amp;sheet=A0&amp;row=144&amp;col=22&amp;number=&amp;sourceID=30","")</f>
        <v/>
      </c>
      <c r="W144" s="4" t="str">
        <f>HYPERLINK("http://141.218.60.56/~jnz1568/getInfo.php?workbook=08_01.xlsx&amp;sheet=A0&amp;row=144&amp;col=23&amp;number=&amp;sourceID=30","")</f>
        <v/>
      </c>
      <c r="X144" s="4" t="str">
        <f>HYPERLINK("http://141.218.60.56/~jnz1568/getInfo.php?workbook=08_01.xlsx&amp;sheet=A0&amp;row=144&amp;col=24&amp;number=0.0007888&amp;sourceID=30","0.0007888")</f>
        <v>0.0007888</v>
      </c>
      <c r="Y144" s="4" t="str">
        <f>HYPERLINK("http://141.218.60.56/~jnz1568/getInfo.php?workbook=08_01.xlsx&amp;sheet=A0&amp;row=144&amp;col=25&amp;number=&amp;sourceID=30","")</f>
        <v/>
      </c>
      <c r="Z144" s="4" t="str">
        <f>HYPERLINK("http://141.218.60.56/~jnz1568/getInfo.php?workbook=08_01.xlsx&amp;sheet=A0&amp;row=144&amp;col=26&amp;number=&amp;sourceID=13","")</f>
        <v/>
      </c>
      <c r="AA144" s="4" t="str">
        <f>HYPERLINK("http://141.218.60.56/~jnz1568/getInfo.php?workbook=08_01.xlsx&amp;sheet=A0&amp;row=144&amp;col=27&amp;number=&amp;sourceID=13","")</f>
        <v/>
      </c>
      <c r="AB144" s="4" t="str">
        <f>HYPERLINK("http://141.218.60.56/~jnz1568/getInfo.php?workbook=08_01.xlsx&amp;sheet=A0&amp;row=144&amp;col=28&amp;number=&amp;sourceID=13","")</f>
        <v/>
      </c>
      <c r="AC144" s="4" t="str">
        <f>HYPERLINK("http://141.218.60.56/~jnz1568/getInfo.php?workbook=08_01.xlsx&amp;sheet=A0&amp;row=144&amp;col=29&amp;number=&amp;sourceID=13","")</f>
        <v/>
      </c>
      <c r="AD144" s="4" t="str">
        <f>HYPERLINK("http://141.218.60.56/~jnz1568/getInfo.php?workbook=08_01.xlsx&amp;sheet=A0&amp;row=144&amp;col=30&amp;number=&amp;sourceID=13","")</f>
        <v/>
      </c>
      <c r="AE144" s="4" t="str">
        <f>HYPERLINK("http://141.218.60.56/~jnz1568/getInfo.php?workbook=08_01.xlsx&amp;sheet=A0&amp;row=144&amp;col=31&amp;number=&amp;sourceID=13","")</f>
        <v/>
      </c>
      <c r="AF144" s="4" t="str">
        <f>HYPERLINK("http://141.218.60.56/~jnz1568/getInfo.php?workbook=08_01.xlsx&amp;sheet=A0&amp;row=144&amp;col=32&amp;number=&amp;sourceID=20","")</f>
        <v/>
      </c>
    </row>
    <row r="145" spans="1:32">
      <c r="A145" s="3">
        <v>8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HYPERLINK("http://141.218.60.56/~jnz1568/getInfo.php?workbook=08_01.xlsx&amp;sheet=A0&amp;row=145&amp;col=6&amp;number=&amp;sourceID=18","")</f>
        <v/>
      </c>
      <c r="G145" s="4" t="str">
        <f>HYPERLINK("http://141.218.60.56/~jnz1568/getInfo.php?workbook=08_01.xlsx&amp;sheet=A0&amp;row=145&amp;col=7&amp;number==&amp;sourceID=11","=")</f>
        <v>=</v>
      </c>
      <c r="H145" s="4" t="str">
        <f>HYPERLINK("http://141.218.60.56/~jnz1568/getInfo.php?workbook=08_01.xlsx&amp;sheet=A0&amp;row=145&amp;col=8&amp;number=&amp;sourceID=11","")</f>
        <v/>
      </c>
      <c r="I145" s="4" t="str">
        <f>HYPERLINK("http://141.218.60.56/~jnz1568/getInfo.php?workbook=08_01.xlsx&amp;sheet=A0&amp;row=145&amp;col=9&amp;number=34155&amp;sourceID=11","34155")</f>
        <v>34155</v>
      </c>
      <c r="J145" s="4" t="str">
        <f>HYPERLINK("http://141.218.60.56/~jnz1568/getInfo.php?workbook=08_01.xlsx&amp;sheet=A0&amp;row=145&amp;col=10&amp;number=&amp;sourceID=11","")</f>
        <v/>
      </c>
      <c r="K145" s="4" t="str">
        <f>HYPERLINK("http://141.218.60.56/~jnz1568/getInfo.php?workbook=08_01.xlsx&amp;sheet=A0&amp;row=145&amp;col=11&amp;number=8.5443e-07&amp;sourceID=11","8.5443e-07")</f>
        <v>8.5443e-07</v>
      </c>
      <c r="L145" s="4" t="str">
        <f>HYPERLINK("http://141.218.60.56/~jnz1568/getInfo.php?workbook=08_01.xlsx&amp;sheet=A0&amp;row=145&amp;col=12&amp;number=&amp;sourceID=11","")</f>
        <v/>
      </c>
      <c r="M145" s="4" t="str">
        <f>HYPERLINK("http://141.218.60.56/~jnz1568/getInfo.php?workbook=08_01.xlsx&amp;sheet=A0&amp;row=145&amp;col=13&amp;number=&amp;sourceID=11","")</f>
        <v/>
      </c>
      <c r="N145" s="4" t="str">
        <f>HYPERLINK("http://141.218.60.56/~jnz1568/getInfo.php?workbook=08_01.xlsx&amp;sheet=A0&amp;row=145&amp;col=14&amp;number=34156&amp;sourceID=12","34156")</f>
        <v>34156</v>
      </c>
      <c r="O145" s="4" t="str">
        <f>HYPERLINK("http://141.218.60.56/~jnz1568/getInfo.php?workbook=08_01.xlsx&amp;sheet=A0&amp;row=145&amp;col=15&amp;number=&amp;sourceID=12","")</f>
        <v/>
      </c>
      <c r="P145" s="4" t="str">
        <f>HYPERLINK("http://141.218.60.56/~jnz1568/getInfo.php?workbook=08_01.xlsx&amp;sheet=A0&amp;row=145&amp;col=16&amp;number=34156&amp;sourceID=12","34156")</f>
        <v>34156</v>
      </c>
      <c r="Q145" s="4" t="str">
        <f>HYPERLINK("http://141.218.60.56/~jnz1568/getInfo.php?workbook=08_01.xlsx&amp;sheet=A0&amp;row=145&amp;col=17&amp;number=&amp;sourceID=12","")</f>
        <v/>
      </c>
      <c r="R145" s="4" t="str">
        <f>HYPERLINK("http://141.218.60.56/~jnz1568/getInfo.php?workbook=08_01.xlsx&amp;sheet=A0&amp;row=145&amp;col=18&amp;number=8.5446e-07&amp;sourceID=12","8.5446e-07")</f>
        <v>8.5446e-07</v>
      </c>
      <c r="S145" s="4" t="str">
        <f>HYPERLINK("http://141.218.60.56/~jnz1568/getInfo.php?workbook=08_01.xlsx&amp;sheet=A0&amp;row=145&amp;col=19&amp;number=&amp;sourceID=12","")</f>
        <v/>
      </c>
      <c r="T145" s="4" t="str">
        <f>HYPERLINK("http://141.218.60.56/~jnz1568/getInfo.php?workbook=08_01.xlsx&amp;sheet=A0&amp;row=145&amp;col=20&amp;number=&amp;sourceID=12","")</f>
        <v/>
      </c>
      <c r="U145" s="4" t="str">
        <f>HYPERLINK("http://141.218.60.56/~jnz1568/getInfo.php?workbook=08_01.xlsx&amp;sheet=A0&amp;row=145&amp;col=21&amp;number=34160.0000009&amp;sourceID=30","34160.0000009")</f>
        <v>34160.0000009</v>
      </c>
      <c r="V145" s="4" t="str">
        <f>HYPERLINK("http://141.218.60.56/~jnz1568/getInfo.php?workbook=08_01.xlsx&amp;sheet=A0&amp;row=145&amp;col=22&amp;number=&amp;sourceID=30","")</f>
        <v/>
      </c>
      <c r="W145" s="4" t="str">
        <f>HYPERLINK("http://141.218.60.56/~jnz1568/getInfo.php?workbook=08_01.xlsx&amp;sheet=A0&amp;row=145&amp;col=23&amp;number=34160&amp;sourceID=30","34160")</f>
        <v>34160</v>
      </c>
      <c r="X145" s="4" t="str">
        <f>HYPERLINK("http://141.218.60.56/~jnz1568/getInfo.php?workbook=08_01.xlsx&amp;sheet=A0&amp;row=145&amp;col=24&amp;number=9.208e-07&amp;sourceID=30","9.208e-07")</f>
        <v>9.208e-07</v>
      </c>
      <c r="Y145" s="4" t="str">
        <f>HYPERLINK("http://141.218.60.56/~jnz1568/getInfo.php?workbook=08_01.xlsx&amp;sheet=A0&amp;row=145&amp;col=25&amp;number=&amp;sourceID=30","")</f>
        <v/>
      </c>
      <c r="Z145" s="4" t="str">
        <f>HYPERLINK("http://141.218.60.56/~jnz1568/getInfo.php?workbook=08_01.xlsx&amp;sheet=A0&amp;row=145&amp;col=26&amp;number=&amp;sourceID=13","")</f>
        <v/>
      </c>
      <c r="AA145" s="4" t="str">
        <f>HYPERLINK("http://141.218.60.56/~jnz1568/getInfo.php?workbook=08_01.xlsx&amp;sheet=A0&amp;row=145&amp;col=27&amp;number=&amp;sourceID=13","")</f>
        <v/>
      </c>
      <c r="AB145" s="4" t="str">
        <f>HYPERLINK("http://141.218.60.56/~jnz1568/getInfo.php?workbook=08_01.xlsx&amp;sheet=A0&amp;row=145&amp;col=28&amp;number=&amp;sourceID=13","")</f>
        <v/>
      </c>
      <c r="AC145" s="4" t="str">
        <f>HYPERLINK("http://141.218.60.56/~jnz1568/getInfo.php?workbook=08_01.xlsx&amp;sheet=A0&amp;row=145&amp;col=29&amp;number=&amp;sourceID=13","")</f>
        <v/>
      </c>
      <c r="AD145" s="4" t="str">
        <f>HYPERLINK("http://141.218.60.56/~jnz1568/getInfo.php?workbook=08_01.xlsx&amp;sheet=A0&amp;row=145&amp;col=30&amp;number=&amp;sourceID=13","")</f>
        <v/>
      </c>
      <c r="AE145" s="4" t="str">
        <f>HYPERLINK("http://141.218.60.56/~jnz1568/getInfo.php?workbook=08_01.xlsx&amp;sheet=A0&amp;row=145&amp;col=31&amp;number=&amp;sourceID=13","")</f>
        <v/>
      </c>
      <c r="AF145" s="4" t="str">
        <f>HYPERLINK("http://141.218.60.56/~jnz1568/getInfo.php?workbook=08_01.xlsx&amp;sheet=A0&amp;row=145&amp;col=32&amp;number=&amp;sourceID=20","")</f>
        <v/>
      </c>
    </row>
    <row r="146" spans="1:32">
      <c r="A146" s="3">
        <v>8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HYPERLINK("http://141.218.60.56/~jnz1568/getInfo.php?workbook=08_01.xlsx&amp;sheet=A0&amp;row=146&amp;col=6&amp;number=&amp;sourceID=18","")</f>
        <v/>
      </c>
      <c r="G146" s="4" t="str">
        <f>HYPERLINK("http://141.218.60.56/~jnz1568/getInfo.php?workbook=08_01.xlsx&amp;sheet=A0&amp;row=146&amp;col=7&amp;number==&amp;sourceID=11","=")</f>
        <v>=</v>
      </c>
      <c r="H146" s="4" t="str">
        <f>HYPERLINK("http://141.218.60.56/~jnz1568/getInfo.php?workbook=08_01.xlsx&amp;sheet=A0&amp;row=146&amp;col=8&amp;number=1775700000&amp;sourceID=11","1775700000")</f>
        <v>1775700000</v>
      </c>
      <c r="I146" s="4" t="str">
        <f>HYPERLINK("http://141.218.60.56/~jnz1568/getInfo.php?workbook=08_01.xlsx&amp;sheet=A0&amp;row=146&amp;col=9&amp;number=&amp;sourceID=11","")</f>
        <v/>
      </c>
      <c r="J146" s="4" t="str">
        <f>HYPERLINK("http://141.218.60.56/~jnz1568/getInfo.php?workbook=08_01.xlsx&amp;sheet=A0&amp;row=146&amp;col=10&amp;number=&amp;sourceID=11","")</f>
        <v/>
      </c>
      <c r="K146" s="4" t="str">
        <f>HYPERLINK("http://141.218.60.56/~jnz1568/getInfo.php?workbook=08_01.xlsx&amp;sheet=A0&amp;row=146&amp;col=11&amp;number=&amp;sourceID=11","")</f>
        <v/>
      </c>
      <c r="L146" s="4" t="str">
        <f>HYPERLINK("http://141.218.60.56/~jnz1568/getInfo.php?workbook=08_01.xlsx&amp;sheet=A0&amp;row=146&amp;col=12&amp;number=0.48922&amp;sourceID=11","0.48922")</f>
        <v>0.48922</v>
      </c>
      <c r="M146" s="4" t="str">
        <f>HYPERLINK("http://141.218.60.56/~jnz1568/getInfo.php?workbook=08_01.xlsx&amp;sheet=A0&amp;row=146&amp;col=13&amp;number=&amp;sourceID=11","")</f>
        <v/>
      </c>
      <c r="N146" s="4" t="str">
        <f>HYPERLINK("http://141.218.60.56/~jnz1568/getInfo.php?workbook=08_01.xlsx&amp;sheet=A0&amp;row=146&amp;col=14&amp;number=1775700000&amp;sourceID=12","1775700000")</f>
        <v>1775700000</v>
      </c>
      <c r="O146" s="4" t="str">
        <f>HYPERLINK("http://141.218.60.56/~jnz1568/getInfo.php?workbook=08_01.xlsx&amp;sheet=A0&amp;row=146&amp;col=15&amp;number=1775700000&amp;sourceID=12","1775700000")</f>
        <v>1775700000</v>
      </c>
      <c r="P146" s="4" t="str">
        <f>HYPERLINK("http://141.218.60.56/~jnz1568/getInfo.php?workbook=08_01.xlsx&amp;sheet=A0&amp;row=146&amp;col=16&amp;number=&amp;sourceID=12","")</f>
        <v/>
      </c>
      <c r="Q146" s="4" t="str">
        <f>HYPERLINK("http://141.218.60.56/~jnz1568/getInfo.php?workbook=08_01.xlsx&amp;sheet=A0&amp;row=146&amp;col=17&amp;number=&amp;sourceID=12","")</f>
        <v/>
      </c>
      <c r="R146" s="4" t="str">
        <f>HYPERLINK("http://141.218.60.56/~jnz1568/getInfo.php?workbook=08_01.xlsx&amp;sheet=A0&amp;row=146&amp;col=18&amp;number=&amp;sourceID=12","")</f>
        <v/>
      </c>
      <c r="S146" s="4" t="str">
        <f>HYPERLINK("http://141.218.60.56/~jnz1568/getInfo.php?workbook=08_01.xlsx&amp;sheet=A0&amp;row=146&amp;col=19&amp;number=0.48924&amp;sourceID=12","0.48924")</f>
        <v>0.48924</v>
      </c>
      <c r="T146" s="4" t="str">
        <f>HYPERLINK("http://141.218.60.56/~jnz1568/getInfo.php?workbook=08_01.xlsx&amp;sheet=A0&amp;row=146&amp;col=20&amp;number=&amp;sourceID=12","")</f>
        <v/>
      </c>
      <c r="U146" s="4" t="str">
        <f>HYPERLINK("http://141.218.60.56/~jnz1568/getInfo.php?workbook=08_01.xlsx&amp;sheet=A0&amp;row=146&amp;col=21&amp;number=1776000000.49&amp;sourceID=30","1776000000.49")</f>
        <v>1776000000.49</v>
      </c>
      <c r="V146" s="4" t="str">
        <f>HYPERLINK("http://141.218.60.56/~jnz1568/getInfo.php?workbook=08_01.xlsx&amp;sheet=A0&amp;row=146&amp;col=22&amp;number=1776000000&amp;sourceID=30","1776000000")</f>
        <v>1776000000</v>
      </c>
      <c r="W146" s="4" t="str">
        <f>HYPERLINK("http://141.218.60.56/~jnz1568/getInfo.php?workbook=08_01.xlsx&amp;sheet=A0&amp;row=146&amp;col=23&amp;number=&amp;sourceID=30","")</f>
        <v/>
      </c>
      <c r="X146" s="4" t="str">
        <f>HYPERLINK("http://141.218.60.56/~jnz1568/getInfo.php?workbook=08_01.xlsx&amp;sheet=A0&amp;row=146&amp;col=24&amp;number=&amp;sourceID=30","")</f>
        <v/>
      </c>
      <c r="Y146" s="4" t="str">
        <f>HYPERLINK("http://141.218.60.56/~jnz1568/getInfo.php?workbook=08_01.xlsx&amp;sheet=A0&amp;row=146&amp;col=25&amp;number=0.4892&amp;sourceID=30","0.4892")</f>
        <v>0.4892</v>
      </c>
      <c r="Z146" s="4" t="str">
        <f>HYPERLINK("http://141.218.60.56/~jnz1568/getInfo.php?workbook=08_01.xlsx&amp;sheet=A0&amp;row=146&amp;col=26&amp;number=&amp;sourceID=13","")</f>
        <v/>
      </c>
      <c r="AA146" s="4" t="str">
        <f>HYPERLINK("http://141.218.60.56/~jnz1568/getInfo.php?workbook=08_01.xlsx&amp;sheet=A0&amp;row=146&amp;col=27&amp;number=&amp;sourceID=13","")</f>
        <v/>
      </c>
      <c r="AB146" s="4" t="str">
        <f>HYPERLINK("http://141.218.60.56/~jnz1568/getInfo.php?workbook=08_01.xlsx&amp;sheet=A0&amp;row=146&amp;col=28&amp;number=&amp;sourceID=13","")</f>
        <v/>
      </c>
      <c r="AC146" s="4" t="str">
        <f>HYPERLINK("http://141.218.60.56/~jnz1568/getInfo.php?workbook=08_01.xlsx&amp;sheet=A0&amp;row=146&amp;col=29&amp;number=&amp;sourceID=13","")</f>
        <v/>
      </c>
      <c r="AD146" s="4" t="str">
        <f>HYPERLINK("http://141.218.60.56/~jnz1568/getInfo.php?workbook=08_01.xlsx&amp;sheet=A0&amp;row=146&amp;col=30&amp;number=&amp;sourceID=13","")</f>
        <v/>
      </c>
      <c r="AE146" s="4" t="str">
        <f>HYPERLINK("http://141.218.60.56/~jnz1568/getInfo.php?workbook=08_01.xlsx&amp;sheet=A0&amp;row=146&amp;col=31&amp;number=&amp;sourceID=13","")</f>
        <v/>
      </c>
      <c r="AF146" s="4" t="str">
        <f>HYPERLINK("http://141.218.60.56/~jnz1568/getInfo.php?workbook=08_01.xlsx&amp;sheet=A0&amp;row=146&amp;col=32&amp;number=&amp;sourceID=20","")</f>
        <v/>
      </c>
    </row>
    <row r="147" spans="1:32">
      <c r="A147" s="3">
        <v>8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HYPERLINK("http://141.218.60.56/~jnz1568/getInfo.php?workbook=08_01.xlsx&amp;sheet=A0&amp;row=147&amp;col=6&amp;number=&amp;sourceID=18","")</f>
        <v/>
      </c>
      <c r="G147" s="4" t="str">
        <f>HYPERLINK("http://141.218.60.56/~jnz1568/getInfo.php?workbook=08_01.xlsx&amp;sheet=A0&amp;row=147&amp;col=7&amp;number==&amp;sourceID=11","=")</f>
        <v>=</v>
      </c>
      <c r="H147" s="4" t="str">
        <f>HYPERLINK("http://141.218.60.56/~jnz1568/getInfo.php?workbook=08_01.xlsx&amp;sheet=A0&amp;row=147&amp;col=8&amp;number=&amp;sourceID=11","")</f>
        <v/>
      </c>
      <c r="I147" s="4" t="str">
        <f>HYPERLINK("http://141.218.60.56/~jnz1568/getInfo.php?workbook=08_01.xlsx&amp;sheet=A0&amp;row=147&amp;col=9&amp;number=&amp;sourceID=11","")</f>
        <v/>
      </c>
      <c r="J147" s="4" t="str">
        <f>HYPERLINK("http://141.218.60.56/~jnz1568/getInfo.php?workbook=08_01.xlsx&amp;sheet=A0&amp;row=147&amp;col=10&amp;number=0.22957&amp;sourceID=11","0.22957")</f>
        <v>0.22957</v>
      </c>
      <c r="K147" s="4" t="str">
        <f>HYPERLINK("http://141.218.60.56/~jnz1568/getInfo.php?workbook=08_01.xlsx&amp;sheet=A0&amp;row=147&amp;col=11&amp;number=&amp;sourceID=11","")</f>
        <v/>
      </c>
      <c r="L147" s="4" t="str">
        <f>HYPERLINK("http://141.218.60.56/~jnz1568/getInfo.php?workbook=08_01.xlsx&amp;sheet=A0&amp;row=147&amp;col=12&amp;number=6.84e-13&amp;sourceID=11","6.84e-13")</f>
        <v>6.84e-13</v>
      </c>
      <c r="M147" s="4" t="str">
        <f>HYPERLINK("http://141.218.60.56/~jnz1568/getInfo.php?workbook=08_01.xlsx&amp;sheet=A0&amp;row=147&amp;col=13&amp;number=&amp;sourceID=11","")</f>
        <v/>
      </c>
      <c r="N147" s="4" t="str">
        <f>HYPERLINK("http://141.218.60.56/~jnz1568/getInfo.php?workbook=08_01.xlsx&amp;sheet=A0&amp;row=147&amp;col=14&amp;number=0.22958&amp;sourceID=12","0.22958")</f>
        <v>0.22958</v>
      </c>
      <c r="O147" s="4" t="str">
        <f>HYPERLINK("http://141.218.60.56/~jnz1568/getInfo.php?workbook=08_01.xlsx&amp;sheet=A0&amp;row=147&amp;col=15&amp;number=&amp;sourceID=12","")</f>
        <v/>
      </c>
      <c r="P147" s="4" t="str">
        <f>HYPERLINK("http://141.218.60.56/~jnz1568/getInfo.php?workbook=08_01.xlsx&amp;sheet=A0&amp;row=147&amp;col=16&amp;number=&amp;sourceID=12","")</f>
        <v/>
      </c>
      <c r="Q147" s="4" t="str">
        <f>HYPERLINK("http://141.218.60.56/~jnz1568/getInfo.php?workbook=08_01.xlsx&amp;sheet=A0&amp;row=147&amp;col=17&amp;number=0.22958&amp;sourceID=12","0.22958")</f>
        <v>0.22958</v>
      </c>
      <c r="R147" s="4" t="str">
        <f>HYPERLINK("http://141.218.60.56/~jnz1568/getInfo.php?workbook=08_01.xlsx&amp;sheet=A0&amp;row=147&amp;col=18&amp;number=&amp;sourceID=12","")</f>
        <v/>
      </c>
      <c r="S147" s="4" t="str">
        <f>HYPERLINK("http://141.218.60.56/~jnz1568/getInfo.php?workbook=08_01.xlsx&amp;sheet=A0&amp;row=147&amp;col=19&amp;number=6.84e-13&amp;sourceID=12","6.84e-13")</f>
        <v>6.84e-13</v>
      </c>
      <c r="T147" s="4" t="str">
        <f>HYPERLINK("http://141.218.60.56/~jnz1568/getInfo.php?workbook=08_01.xlsx&amp;sheet=A0&amp;row=147&amp;col=20&amp;number=&amp;sourceID=12","")</f>
        <v/>
      </c>
      <c r="U147" s="4" t="str">
        <f>HYPERLINK("http://141.218.60.56/~jnz1568/getInfo.php?workbook=08_01.xlsx&amp;sheet=A0&amp;row=147&amp;col=21&amp;number=9.36e-13&amp;sourceID=30","9.36e-13")</f>
        <v>9.36e-13</v>
      </c>
      <c r="V147" s="4" t="str">
        <f>HYPERLINK("http://141.218.60.56/~jnz1568/getInfo.php?workbook=08_01.xlsx&amp;sheet=A0&amp;row=147&amp;col=22&amp;number=&amp;sourceID=30","")</f>
        <v/>
      </c>
      <c r="W147" s="4" t="str">
        <f>HYPERLINK("http://141.218.60.56/~jnz1568/getInfo.php?workbook=08_01.xlsx&amp;sheet=A0&amp;row=147&amp;col=23&amp;number=&amp;sourceID=30","")</f>
        <v/>
      </c>
      <c r="X147" s="4" t="str">
        <f>HYPERLINK("http://141.218.60.56/~jnz1568/getInfo.php?workbook=08_01.xlsx&amp;sheet=A0&amp;row=147&amp;col=24&amp;number=&amp;sourceID=30","")</f>
        <v/>
      </c>
      <c r="Y147" s="4" t="str">
        <f>HYPERLINK("http://141.218.60.56/~jnz1568/getInfo.php?workbook=08_01.xlsx&amp;sheet=A0&amp;row=147&amp;col=25&amp;number=9.36e-13&amp;sourceID=30","9.36e-13")</f>
        <v>9.36e-13</v>
      </c>
      <c r="Z147" s="4" t="str">
        <f>HYPERLINK("http://141.218.60.56/~jnz1568/getInfo.php?workbook=08_01.xlsx&amp;sheet=A0&amp;row=147&amp;col=26&amp;number=&amp;sourceID=13","")</f>
        <v/>
      </c>
      <c r="AA147" s="4" t="str">
        <f>HYPERLINK("http://141.218.60.56/~jnz1568/getInfo.php?workbook=08_01.xlsx&amp;sheet=A0&amp;row=147&amp;col=27&amp;number=&amp;sourceID=13","")</f>
        <v/>
      </c>
      <c r="AB147" s="4" t="str">
        <f>HYPERLINK("http://141.218.60.56/~jnz1568/getInfo.php?workbook=08_01.xlsx&amp;sheet=A0&amp;row=147&amp;col=28&amp;number=&amp;sourceID=13","")</f>
        <v/>
      </c>
      <c r="AC147" s="4" t="str">
        <f>HYPERLINK("http://141.218.60.56/~jnz1568/getInfo.php?workbook=08_01.xlsx&amp;sheet=A0&amp;row=147&amp;col=29&amp;number=&amp;sourceID=13","")</f>
        <v/>
      </c>
      <c r="AD147" s="4" t="str">
        <f>HYPERLINK("http://141.218.60.56/~jnz1568/getInfo.php?workbook=08_01.xlsx&amp;sheet=A0&amp;row=147&amp;col=30&amp;number=&amp;sourceID=13","")</f>
        <v/>
      </c>
      <c r="AE147" s="4" t="str">
        <f>HYPERLINK("http://141.218.60.56/~jnz1568/getInfo.php?workbook=08_01.xlsx&amp;sheet=A0&amp;row=147&amp;col=31&amp;number=&amp;sourceID=13","")</f>
        <v/>
      </c>
      <c r="AF147" s="4" t="str">
        <f>HYPERLINK("http://141.218.60.56/~jnz1568/getInfo.php?workbook=08_01.xlsx&amp;sheet=A0&amp;row=147&amp;col=32&amp;number=&amp;sourceID=20","")</f>
        <v/>
      </c>
    </row>
    <row r="148" spans="1:32">
      <c r="A148" s="3">
        <v>8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HYPERLINK("http://141.218.60.56/~jnz1568/getInfo.php?workbook=08_01.xlsx&amp;sheet=A0&amp;row=148&amp;col=6&amp;number=&amp;sourceID=18","")</f>
        <v/>
      </c>
      <c r="G148" s="4" t="str">
        <f>HYPERLINK("http://141.218.60.56/~jnz1568/getInfo.php?workbook=08_01.xlsx&amp;sheet=A0&amp;row=148&amp;col=7&amp;number==&amp;sourceID=11","=")</f>
        <v>=</v>
      </c>
      <c r="H148" s="4" t="str">
        <f>HYPERLINK("http://141.218.60.56/~jnz1568/getInfo.php?workbook=08_01.xlsx&amp;sheet=A0&amp;row=148&amp;col=8&amp;number=&amp;sourceID=11","")</f>
        <v/>
      </c>
      <c r="I148" s="4" t="str">
        <f>HYPERLINK("http://141.218.60.56/~jnz1568/getInfo.php?workbook=08_01.xlsx&amp;sheet=A0&amp;row=148&amp;col=9&amp;number=51247&amp;sourceID=11","51247")</f>
        <v>51247</v>
      </c>
      <c r="J148" s="4" t="str">
        <f>HYPERLINK("http://141.218.60.56/~jnz1568/getInfo.php?workbook=08_01.xlsx&amp;sheet=A0&amp;row=148&amp;col=10&amp;number=&amp;sourceID=11","")</f>
        <v/>
      </c>
      <c r="K148" s="4" t="str">
        <f>HYPERLINK("http://141.218.60.56/~jnz1568/getInfo.php?workbook=08_01.xlsx&amp;sheet=A0&amp;row=148&amp;col=11&amp;number=&amp;sourceID=11","")</f>
        <v/>
      </c>
      <c r="L148" s="4" t="str">
        <f>HYPERLINK("http://141.218.60.56/~jnz1568/getInfo.php?workbook=08_01.xlsx&amp;sheet=A0&amp;row=148&amp;col=12&amp;number=&amp;sourceID=11","")</f>
        <v/>
      </c>
      <c r="M148" s="4" t="str">
        <f>HYPERLINK("http://141.218.60.56/~jnz1568/getInfo.php?workbook=08_01.xlsx&amp;sheet=A0&amp;row=148&amp;col=13&amp;number=1.6719e-05&amp;sourceID=11","1.6719e-05")</f>
        <v>1.6719e-05</v>
      </c>
      <c r="N148" s="4" t="str">
        <f>HYPERLINK("http://141.218.60.56/~jnz1568/getInfo.php?workbook=08_01.xlsx&amp;sheet=A0&amp;row=148&amp;col=14&amp;number=51249&amp;sourceID=12","51249")</f>
        <v>51249</v>
      </c>
      <c r="O148" s="4" t="str">
        <f>HYPERLINK("http://141.218.60.56/~jnz1568/getInfo.php?workbook=08_01.xlsx&amp;sheet=A0&amp;row=148&amp;col=15&amp;number=&amp;sourceID=12","")</f>
        <v/>
      </c>
      <c r="P148" s="4" t="str">
        <f>HYPERLINK("http://141.218.60.56/~jnz1568/getInfo.php?workbook=08_01.xlsx&amp;sheet=A0&amp;row=148&amp;col=16&amp;number=51249&amp;sourceID=12","51249")</f>
        <v>51249</v>
      </c>
      <c r="Q148" s="4" t="str">
        <f>HYPERLINK("http://141.218.60.56/~jnz1568/getInfo.php?workbook=08_01.xlsx&amp;sheet=A0&amp;row=148&amp;col=17&amp;number=&amp;sourceID=12","")</f>
        <v/>
      </c>
      <c r="R148" s="4" t="str">
        <f>HYPERLINK("http://141.218.60.56/~jnz1568/getInfo.php?workbook=08_01.xlsx&amp;sheet=A0&amp;row=148&amp;col=18&amp;number=&amp;sourceID=12","")</f>
        <v/>
      </c>
      <c r="S148" s="4" t="str">
        <f>HYPERLINK("http://141.218.60.56/~jnz1568/getInfo.php?workbook=08_01.xlsx&amp;sheet=A0&amp;row=148&amp;col=19&amp;number=&amp;sourceID=12","")</f>
        <v/>
      </c>
      <c r="T148" s="4" t="str">
        <f>HYPERLINK("http://141.218.60.56/~jnz1568/getInfo.php?workbook=08_01.xlsx&amp;sheet=A0&amp;row=148&amp;col=20&amp;number=1.672e-05&amp;sourceID=12","1.672e-05")</f>
        <v>1.672e-05</v>
      </c>
      <c r="U148" s="4" t="str">
        <f>HYPERLINK("http://141.218.60.56/~jnz1568/getInfo.php?workbook=08_01.xlsx&amp;sheet=A0&amp;row=148&amp;col=21&amp;number=51250&amp;sourceID=30","51250")</f>
        <v>51250</v>
      </c>
      <c r="V148" s="4" t="str">
        <f>HYPERLINK("http://141.218.60.56/~jnz1568/getInfo.php?workbook=08_01.xlsx&amp;sheet=A0&amp;row=148&amp;col=22&amp;number=&amp;sourceID=30","")</f>
        <v/>
      </c>
      <c r="W148" s="4" t="str">
        <f>HYPERLINK("http://141.218.60.56/~jnz1568/getInfo.php?workbook=08_01.xlsx&amp;sheet=A0&amp;row=148&amp;col=23&amp;number=51250&amp;sourceID=30","51250")</f>
        <v>51250</v>
      </c>
      <c r="X148" s="4" t="str">
        <f>HYPERLINK("http://141.218.60.56/~jnz1568/getInfo.php?workbook=08_01.xlsx&amp;sheet=A0&amp;row=148&amp;col=24&amp;number=&amp;sourceID=30","")</f>
        <v/>
      </c>
      <c r="Y148" s="4" t="str">
        <f>HYPERLINK("http://141.218.60.56/~jnz1568/getInfo.php?workbook=08_01.xlsx&amp;sheet=A0&amp;row=148&amp;col=25&amp;number=&amp;sourceID=30","")</f>
        <v/>
      </c>
      <c r="Z148" s="4" t="str">
        <f>HYPERLINK("http://141.218.60.56/~jnz1568/getInfo.php?workbook=08_01.xlsx&amp;sheet=A0&amp;row=148&amp;col=26&amp;number=&amp;sourceID=13","")</f>
        <v/>
      </c>
      <c r="AA148" s="4" t="str">
        <f>HYPERLINK("http://141.218.60.56/~jnz1568/getInfo.php?workbook=08_01.xlsx&amp;sheet=A0&amp;row=148&amp;col=27&amp;number=&amp;sourceID=13","")</f>
        <v/>
      </c>
      <c r="AB148" s="4" t="str">
        <f>HYPERLINK("http://141.218.60.56/~jnz1568/getInfo.php?workbook=08_01.xlsx&amp;sheet=A0&amp;row=148&amp;col=28&amp;number=&amp;sourceID=13","")</f>
        <v/>
      </c>
      <c r="AC148" s="4" t="str">
        <f>HYPERLINK("http://141.218.60.56/~jnz1568/getInfo.php?workbook=08_01.xlsx&amp;sheet=A0&amp;row=148&amp;col=29&amp;number=&amp;sourceID=13","")</f>
        <v/>
      </c>
      <c r="AD148" s="4" t="str">
        <f>HYPERLINK("http://141.218.60.56/~jnz1568/getInfo.php?workbook=08_01.xlsx&amp;sheet=A0&amp;row=148&amp;col=30&amp;number=&amp;sourceID=13","")</f>
        <v/>
      </c>
      <c r="AE148" s="4" t="str">
        <f>HYPERLINK("http://141.218.60.56/~jnz1568/getInfo.php?workbook=08_01.xlsx&amp;sheet=A0&amp;row=148&amp;col=31&amp;number=&amp;sourceID=13","")</f>
        <v/>
      </c>
      <c r="AF148" s="4" t="str">
        <f>HYPERLINK("http://141.218.60.56/~jnz1568/getInfo.php?workbook=08_01.xlsx&amp;sheet=A0&amp;row=148&amp;col=32&amp;number=&amp;sourceID=20","")</f>
        <v/>
      </c>
    </row>
    <row r="149" spans="1:32">
      <c r="A149" s="3">
        <v>8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HYPERLINK("http://141.218.60.56/~jnz1568/getInfo.php?workbook=08_01.xlsx&amp;sheet=A0&amp;row=149&amp;col=6&amp;number=&amp;sourceID=18","")</f>
        <v/>
      </c>
      <c r="G149" s="4" t="str">
        <f>HYPERLINK("http://141.218.60.56/~jnz1568/getInfo.php?workbook=08_01.xlsx&amp;sheet=A0&amp;row=149&amp;col=7&amp;number==&amp;sourceID=11","=")</f>
        <v>=</v>
      </c>
      <c r="H149" s="4" t="str">
        <f>HYPERLINK("http://141.218.60.56/~jnz1568/getInfo.php?workbook=08_01.xlsx&amp;sheet=A0&amp;row=149&amp;col=8&amp;number=&amp;sourceID=11","")</f>
        <v/>
      </c>
      <c r="I149" s="4" t="str">
        <f>HYPERLINK("http://141.218.60.56/~jnz1568/getInfo.php?workbook=08_01.xlsx&amp;sheet=A0&amp;row=149&amp;col=9&amp;number=&amp;sourceID=11","")</f>
        <v/>
      </c>
      <c r="J149" s="4" t="str">
        <f>HYPERLINK("http://141.218.60.56/~jnz1568/getInfo.php?workbook=08_01.xlsx&amp;sheet=A0&amp;row=149&amp;col=10&amp;number=0.30599&amp;sourceID=11","0.30599")</f>
        <v>0.30599</v>
      </c>
      <c r="K149" s="4" t="str">
        <f>HYPERLINK("http://141.218.60.56/~jnz1568/getInfo.php?workbook=08_01.xlsx&amp;sheet=A0&amp;row=149&amp;col=11&amp;number=&amp;sourceID=11","")</f>
        <v/>
      </c>
      <c r="L149" s="4" t="str">
        <f>HYPERLINK("http://141.218.60.56/~jnz1568/getInfo.php?workbook=08_01.xlsx&amp;sheet=A0&amp;row=149&amp;col=12&amp;number=&amp;sourceID=11","")</f>
        <v/>
      </c>
      <c r="M149" s="4" t="str">
        <f>HYPERLINK("http://141.218.60.56/~jnz1568/getInfo.php?workbook=08_01.xlsx&amp;sheet=A0&amp;row=149&amp;col=13&amp;number=&amp;sourceID=11","")</f>
        <v/>
      </c>
      <c r="N149" s="4" t="str">
        <f>HYPERLINK("http://141.218.60.56/~jnz1568/getInfo.php?workbook=08_01.xlsx&amp;sheet=A0&amp;row=149&amp;col=14&amp;number=0.306&amp;sourceID=12","0.306")</f>
        <v>0.306</v>
      </c>
      <c r="O149" s="4" t="str">
        <f>HYPERLINK("http://141.218.60.56/~jnz1568/getInfo.php?workbook=08_01.xlsx&amp;sheet=A0&amp;row=149&amp;col=15&amp;number=&amp;sourceID=12","")</f>
        <v/>
      </c>
      <c r="P149" s="4" t="str">
        <f>HYPERLINK("http://141.218.60.56/~jnz1568/getInfo.php?workbook=08_01.xlsx&amp;sheet=A0&amp;row=149&amp;col=16&amp;number=&amp;sourceID=12","")</f>
        <v/>
      </c>
      <c r="Q149" s="4" t="str">
        <f>HYPERLINK("http://141.218.60.56/~jnz1568/getInfo.php?workbook=08_01.xlsx&amp;sheet=A0&amp;row=149&amp;col=17&amp;number=0.306&amp;sourceID=12","0.306")</f>
        <v>0.306</v>
      </c>
      <c r="R149" s="4" t="str">
        <f>HYPERLINK("http://141.218.60.56/~jnz1568/getInfo.php?workbook=08_01.xlsx&amp;sheet=A0&amp;row=149&amp;col=18&amp;number=&amp;sourceID=12","")</f>
        <v/>
      </c>
      <c r="S149" s="4" t="str">
        <f>HYPERLINK("http://141.218.60.56/~jnz1568/getInfo.php?workbook=08_01.xlsx&amp;sheet=A0&amp;row=149&amp;col=19&amp;number=&amp;sourceID=12","")</f>
        <v/>
      </c>
      <c r="T149" s="4" t="str">
        <f>HYPERLINK("http://141.218.60.56/~jnz1568/getInfo.php?workbook=08_01.xlsx&amp;sheet=A0&amp;row=149&amp;col=20&amp;number=&amp;sourceID=12","")</f>
        <v/>
      </c>
      <c r="U149" s="4" t="str">
        <f>HYPERLINK("http://141.218.60.56/~jnz1568/getInfo.php?workbook=08_01.xlsx&amp;sheet=A0&amp;row=149&amp;col=21&amp;number=&amp;sourceID=30","")</f>
        <v/>
      </c>
      <c r="V149" s="4" t="str">
        <f>HYPERLINK("http://141.218.60.56/~jnz1568/getInfo.php?workbook=08_01.xlsx&amp;sheet=A0&amp;row=149&amp;col=22&amp;number=&amp;sourceID=30","")</f>
        <v/>
      </c>
      <c r="W149" s="4" t="str">
        <f>HYPERLINK("http://141.218.60.56/~jnz1568/getInfo.php?workbook=08_01.xlsx&amp;sheet=A0&amp;row=149&amp;col=23&amp;number=&amp;sourceID=30","")</f>
        <v/>
      </c>
      <c r="X149" s="4" t="str">
        <f>HYPERLINK("http://141.218.60.56/~jnz1568/getInfo.php?workbook=08_01.xlsx&amp;sheet=A0&amp;row=149&amp;col=24&amp;number=&amp;sourceID=30","")</f>
        <v/>
      </c>
      <c r="Y149" s="4" t="str">
        <f>HYPERLINK("http://141.218.60.56/~jnz1568/getInfo.php?workbook=08_01.xlsx&amp;sheet=A0&amp;row=149&amp;col=25&amp;number=&amp;sourceID=30","")</f>
        <v/>
      </c>
      <c r="Z149" s="4" t="str">
        <f>HYPERLINK("http://141.218.60.56/~jnz1568/getInfo.php?workbook=08_01.xlsx&amp;sheet=A0&amp;row=149&amp;col=26&amp;number=&amp;sourceID=13","")</f>
        <v/>
      </c>
      <c r="AA149" s="4" t="str">
        <f>HYPERLINK("http://141.218.60.56/~jnz1568/getInfo.php?workbook=08_01.xlsx&amp;sheet=A0&amp;row=149&amp;col=27&amp;number=&amp;sourceID=13","")</f>
        <v/>
      </c>
      <c r="AB149" s="4" t="str">
        <f>HYPERLINK("http://141.218.60.56/~jnz1568/getInfo.php?workbook=08_01.xlsx&amp;sheet=A0&amp;row=149&amp;col=28&amp;number=&amp;sourceID=13","")</f>
        <v/>
      </c>
      <c r="AC149" s="4" t="str">
        <f>HYPERLINK("http://141.218.60.56/~jnz1568/getInfo.php?workbook=08_01.xlsx&amp;sheet=A0&amp;row=149&amp;col=29&amp;number=&amp;sourceID=13","")</f>
        <v/>
      </c>
      <c r="AD149" s="4" t="str">
        <f>HYPERLINK("http://141.218.60.56/~jnz1568/getInfo.php?workbook=08_01.xlsx&amp;sheet=A0&amp;row=149&amp;col=30&amp;number=&amp;sourceID=13","")</f>
        <v/>
      </c>
      <c r="AE149" s="4" t="str">
        <f>HYPERLINK("http://141.218.60.56/~jnz1568/getInfo.php?workbook=08_01.xlsx&amp;sheet=A0&amp;row=149&amp;col=31&amp;number=&amp;sourceID=13","")</f>
        <v/>
      </c>
      <c r="AF149" s="4" t="str">
        <f>HYPERLINK("http://141.218.60.56/~jnz1568/getInfo.php?workbook=08_01.xlsx&amp;sheet=A0&amp;row=149&amp;col=32&amp;number=&amp;sourceID=20","")</f>
        <v/>
      </c>
    </row>
    <row r="150" spans="1:32">
      <c r="A150" s="3">
        <v>8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HYPERLINK("http://141.218.60.56/~jnz1568/getInfo.php?workbook=08_01.xlsx&amp;sheet=A0&amp;row=150&amp;col=6&amp;number=&amp;sourceID=18","")</f>
        <v/>
      </c>
      <c r="G150" s="4" t="str">
        <f>HYPERLINK("http://141.218.60.56/~jnz1568/getInfo.php?workbook=08_01.xlsx&amp;sheet=A0&amp;row=150&amp;col=7&amp;number==&amp;sourceID=11","=")</f>
        <v>=</v>
      </c>
      <c r="H150" s="4" t="str">
        <f>HYPERLINK("http://141.218.60.56/~jnz1568/getInfo.php?workbook=08_01.xlsx&amp;sheet=A0&amp;row=150&amp;col=8&amp;number=&amp;sourceID=11","")</f>
        <v/>
      </c>
      <c r="I150" s="4" t="str">
        <f>HYPERLINK("http://141.218.60.56/~jnz1568/getInfo.php?workbook=08_01.xlsx&amp;sheet=A0&amp;row=150&amp;col=9&amp;number=48343000&amp;sourceID=11","48343000")</f>
        <v>48343000</v>
      </c>
      <c r="J150" s="4" t="str">
        <f>HYPERLINK("http://141.218.60.56/~jnz1568/getInfo.php?workbook=08_01.xlsx&amp;sheet=A0&amp;row=150&amp;col=10&amp;number=&amp;sourceID=11","")</f>
        <v/>
      </c>
      <c r="K150" s="4" t="str">
        <f>HYPERLINK("http://141.218.60.56/~jnz1568/getInfo.php?workbook=08_01.xlsx&amp;sheet=A0&amp;row=150&amp;col=11&amp;number=2.7731&amp;sourceID=11","2.7731")</f>
        <v>2.7731</v>
      </c>
      <c r="L150" s="4" t="str">
        <f>HYPERLINK("http://141.218.60.56/~jnz1568/getInfo.php?workbook=08_01.xlsx&amp;sheet=A0&amp;row=150&amp;col=12&amp;number=&amp;sourceID=11","")</f>
        <v/>
      </c>
      <c r="M150" s="4" t="str">
        <f>HYPERLINK("http://141.218.60.56/~jnz1568/getInfo.php?workbook=08_01.xlsx&amp;sheet=A0&amp;row=150&amp;col=13&amp;number=&amp;sourceID=11","")</f>
        <v/>
      </c>
      <c r="N150" s="4" t="str">
        <f>HYPERLINK("http://141.218.60.56/~jnz1568/getInfo.php?workbook=08_01.xlsx&amp;sheet=A0&amp;row=150&amp;col=14&amp;number=48345000&amp;sourceID=12","48345000")</f>
        <v>48345000</v>
      </c>
      <c r="O150" s="4" t="str">
        <f>HYPERLINK("http://141.218.60.56/~jnz1568/getInfo.php?workbook=08_01.xlsx&amp;sheet=A0&amp;row=150&amp;col=15&amp;number=&amp;sourceID=12","")</f>
        <v/>
      </c>
      <c r="P150" s="4" t="str">
        <f>HYPERLINK("http://141.218.60.56/~jnz1568/getInfo.php?workbook=08_01.xlsx&amp;sheet=A0&amp;row=150&amp;col=16&amp;number=48345000&amp;sourceID=12","48345000")</f>
        <v>48345000</v>
      </c>
      <c r="Q150" s="4" t="str">
        <f>HYPERLINK("http://141.218.60.56/~jnz1568/getInfo.php?workbook=08_01.xlsx&amp;sheet=A0&amp;row=150&amp;col=17&amp;number=&amp;sourceID=12","")</f>
        <v/>
      </c>
      <c r="R150" s="4" t="str">
        <f>HYPERLINK("http://141.218.60.56/~jnz1568/getInfo.php?workbook=08_01.xlsx&amp;sheet=A0&amp;row=150&amp;col=18&amp;number=2.7733&amp;sourceID=12","2.7733")</f>
        <v>2.7733</v>
      </c>
      <c r="S150" s="4" t="str">
        <f>HYPERLINK("http://141.218.60.56/~jnz1568/getInfo.php?workbook=08_01.xlsx&amp;sheet=A0&amp;row=150&amp;col=19&amp;number=&amp;sourceID=12","")</f>
        <v/>
      </c>
      <c r="T150" s="4" t="str">
        <f>HYPERLINK("http://141.218.60.56/~jnz1568/getInfo.php?workbook=08_01.xlsx&amp;sheet=A0&amp;row=150&amp;col=20&amp;number=&amp;sourceID=12","")</f>
        <v/>
      </c>
      <c r="U150" s="4" t="str">
        <f>HYPERLINK("http://141.218.60.56/~jnz1568/getInfo.php?workbook=08_01.xlsx&amp;sheet=A0&amp;row=150&amp;col=21&amp;number=48340002.773&amp;sourceID=30","48340002.773")</f>
        <v>48340002.773</v>
      </c>
      <c r="V150" s="4" t="str">
        <f>HYPERLINK("http://141.218.60.56/~jnz1568/getInfo.php?workbook=08_01.xlsx&amp;sheet=A0&amp;row=150&amp;col=22&amp;number=&amp;sourceID=30","")</f>
        <v/>
      </c>
      <c r="W150" s="4" t="str">
        <f>HYPERLINK("http://141.218.60.56/~jnz1568/getInfo.php?workbook=08_01.xlsx&amp;sheet=A0&amp;row=150&amp;col=23&amp;number=48340000&amp;sourceID=30","48340000")</f>
        <v>48340000</v>
      </c>
      <c r="X150" s="4" t="str">
        <f>HYPERLINK("http://141.218.60.56/~jnz1568/getInfo.php?workbook=08_01.xlsx&amp;sheet=A0&amp;row=150&amp;col=24&amp;number=2.773&amp;sourceID=30","2.773")</f>
        <v>2.773</v>
      </c>
      <c r="Y150" s="4" t="str">
        <f>HYPERLINK("http://141.218.60.56/~jnz1568/getInfo.php?workbook=08_01.xlsx&amp;sheet=A0&amp;row=150&amp;col=25&amp;number=&amp;sourceID=30","")</f>
        <v/>
      </c>
      <c r="Z150" s="4" t="str">
        <f>HYPERLINK("http://141.218.60.56/~jnz1568/getInfo.php?workbook=08_01.xlsx&amp;sheet=A0&amp;row=150&amp;col=26&amp;number=&amp;sourceID=13","")</f>
        <v/>
      </c>
      <c r="AA150" s="4" t="str">
        <f>HYPERLINK("http://141.218.60.56/~jnz1568/getInfo.php?workbook=08_01.xlsx&amp;sheet=A0&amp;row=150&amp;col=27&amp;number=&amp;sourceID=13","")</f>
        <v/>
      </c>
      <c r="AB150" s="4" t="str">
        <f>HYPERLINK("http://141.218.60.56/~jnz1568/getInfo.php?workbook=08_01.xlsx&amp;sheet=A0&amp;row=150&amp;col=28&amp;number=&amp;sourceID=13","")</f>
        <v/>
      </c>
      <c r="AC150" s="4" t="str">
        <f>HYPERLINK("http://141.218.60.56/~jnz1568/getInfo.php?workbook=08_01.xlsx&amp;sheet=A0&amp;row=150&amp;col=29&amp;number=&amp;sourceID=13","")</f>
        <v/>
      </c>
      <c r="AD150" s="4" t="str">
        <f>HYPERLINK("http://141.218.60.56/~jnz1568/getInfo.php?workbook=08_01.xlsx&amp;sheet=A0&amp;row=150&amp;col=30&amp;number=&amp;sourceID=13","")</f>
        <v/>
      </c>
      <c r="AE150" s="4" t="str">
        <f>HYPERLINK("http://141.218.60.56/~jnz1568/getInfo.php?workbook=08_01.xlsx&amp;sheet=A0&amp;row=150&amp;col=31&amp;number=&amp;sourceID=13","")</f>
        <v/>
      </c>
      <c r="AF150" s="4" t="str">
        <f>HYPERLINK("http://141.218.60.56/~jnz1568/getInfo.php?workbook=08_01.xlsx&amp;sheet=A0&amp;row=150&amp;col=32&amp;number=&amp;sourceID=20","")</f>
        <v/>
      </c>
    </row>
    <row r="151" spans="1:32">
      <c r="A151" s="3">
        <v>8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HYPERLINK("http://141.218.60.56/~jnz1568/getInfo.php?workbook=08_01.xlsx&amp;sheet=A0&amp;row=151&amp;col=6&amp;number=&amp;sourceID=18","")</f>
        <v/>
      </c>
      <c r="G151" s="4" t="str">
        <f>HYPERLINK("http://141.218.60.56/~jnz1568/getInfo.php?workbook=08_01.xlsx&amp;sheet=A0&amp;row=151&amp;col=7&amp;number==&amp;sourceID=11","=")</f>
        <v>=</v>
      </c>
      <c r="H151" s="4" t="str">
        <f>HYPERLINK("http://141.218.60.56/~jnz1568/getInfo.php?workbook=08_01.xlsx&amp;sheet=A0&amp;row=151&amp;col=8&amp;number=32271000000&amp;sourceID=11","32271000000")</f>
        <v>32271000000</v>
      </c>
      <c r="I151" s="4" t="str">
        <f>HYPERLINK("http://141.218.60.56/~jnz1568/getInfo.php?workbook=08_01.xlsx&amp;sheet=A0&amp;row=151&amp;col=9&amp;number=&amp;sourceID=11","")</f>
        <v/>
      </c>
      <c r="J151" s="4" t="str">
        <f>HYPERLINK("http://141.218.60.56/~jnz1568/getInfo.php?workbook=08_01.xlsx&amp;sheet=A0&amp;row=151&amp;col=10&amp;number=&amp;sourceID=11","")</f>
        <v/>
      </c>
      <c r="K151" s="4" t="str">
        <f>HYPERLINK("http://141.218.60.56/~jnz1568/getInfo.php?workbook=08_01.xlsx&amp;sheet=A0&amp;row=151&amp;col=11&amp;number=&amp;sourceID=11","")</f>
        <v/>
      </c>
      <c r="L151" s="4" t="str">
        <f>HYPERLINK("http://141.218.60.56/~jnz1568/getInfo.php?workbook=08_01.xlsx&amp;sheet=A0&amp;row=151&amp;col=12&amp;number=31.03&amp;sourceID=11","31.03")</f>
        <v>31.03</v>
      </c>
      <c r="M151" s="4" t="str">
        <f>HYPERLINK("http://141.218.60.56/~jnz1568/getInfo.php?workbook=08_01.xlsx&amp;sheet=A0&amp;row=151&amp;col=13&amp;number=&amp;sourceID=11","")</f>
        <v/>
      </c>
      <c r="N151" s="4" t="str">
        <f>HYPERLINK("http://141.218.60.56/~jnz1568/getInfo.php?workbook=08_01.xlsx&amp;sheet=A0&amp;row=151&amp;col=14&amp;number=32272000000&amp;sourceID=12","32272000000")</f>
        <v>32272000000</v>
      </c>
      <c r="O151" s="4" t="str">
        <f>HYPERLINK("http://141.218.60.56/~jnz1568/getInfo.php?workbook=08_01.xlsx&amp;sheet=A0&amp;row=151&amp;col=15&amp;number=32272000000&amp;sourceID=12","32272000000")</f>
        <v>32272000000</v>
      </c>
      <c r="P151" s="4" t="str">
        <f>HYPERLINK("http://141.218.60.56/~jnz1568/getInfo.php?workbook=08_01.xlsx&amp;sheet=A0&amp;row=151&amp;col=16&amp;number=&amp;sourceID=12","")</f>
        <v/>
      </c>
      <c r="Q151" s="4" t="str">
        <f>HYPERLINK("http://141.218.60.56/~jnz1568/getInfo.php?workbook=08_01.xlsx&amp;sheet=A0&amp;row=151&amp;col=17&amp;number=&amp;sourceID=12","")</f>
        <v/>
      </c>
      <c r="R151" s="4" t="str">
        <f>HYPERLINK("http://141.218.60.56/~jnz1568/getInfo.php?workbook=08_01.xlsx&amp;sheet=A0&amp;row=151&amp;col=18&amp;number=&amp;sourceID=12","")</f>
        <v/>
      </c>
      <c r="S151" s="4" t="str">
        <f>HYPERLINK("http://141.218.60.56/~jnz1568/getInfo.php?workbook=08_01.xlsx&amp;sheet=A0&amp;row=151&amp;col=19&amp;number=31.031&amp;sourceID=12","31.031")</f>
        <v>31.031</v>
      </c>
      <c r="T151" s="4" t="str">
        <f>HYPERLINK("http://141.218.60.56/~jnz1568/getInfo.php?workbook=08_01.xlsx&amp;sheet=A0&amp;row=151&amp;col=20&amp;number=&amp;sourceID=12","")</f>
        <v/>
      </c>
      <c r="U151" s="4" t="str">
        <f>HYPERLINK("http://141.218.60.56/~jnz1568/getInfo.php?workbook=08_01.xlsx&amp;sheet=A0&amp;row=151&amp;col=21&amp;number=32270000031.0&amp;sourceID=30","32270000031.0")</f>
        <v>32270000031.0</v>
      </c>
      <c r="V151" s="4" t="str">
        <f>HYPERLINK("http://141.218.60.56/~jnz1568/getInfo.php?workbook=08_01.xlsx&amp;sheet=A0&amp;row=151&amp;col=22&amp;number=32270000000&amp;sourceID=30","32270000000")</f>
        <v>32270000000</v>
      </c>
      <c r="W151" s="4" t="str">
        <f>HYPERLINK("http://141.218.60.56/~jnz1568/getInfo.php?workbook=08_01.xlsx&amp;sheet=A0&amp;row=151&amp;col=23&amp;number=&amp;sourceID=30","")</f>
        <v/>
      </c>
      <c r="X151" s="4" t="str">
        <f>HYPERLINK("http://141.218.60.56/~jnz1568/getInfo.php?workbook=08_01.xlsx&amp;sheet=A0&amp;row=151&amp;col=24&amp;number=&amp;sourceID=30","")</f>
        <v/>
      </c>
      <c r="Y151" s="4" t="str">
        <f>HYPERLINK("http://141.218.60.56/~jnz1568/getInfo.php?workbook=08_01.xlsx&amp;sheet=A0&amp;row=151&amp;col=25&amp;number=31.03&amp;sourceID=30","31.03")</f>
        <v>31.03</v>
      </c>
      <c r="Z151" s="4" t="str">
        <f>HYPERLINK("http://141.218.60.56/~jnz1568/getInfo.php?workbook=08_01.xlsx&amp;sheet=A0&amp;row=151&amp;col=26&amp;number=&amp;sourceID=13","")</f>
        <v/>
      </c>
      <c r="AA151" s="4" t="str">
        <f>HYPERLINK("http://141.218.60.56/~jnz1568/getInfo.php?workbook=08_01.xlsx&amp;sheet=A0&amp;row=151&amp;col=27&amp;number=&amp;sourceID=13","")</f>
        <v/>
      </c>
      <c r="AB151" s="4" t="str">
        <f>HYPERLINK("http://141.218.60.56/~jnz1568/getInfo.php?workbook=08_01.xlsx&amp;sheet=A0&amp;row=151&amp;col=28&amp;number=&amp;sourceID=13","")</f>
        <v/>
      </c>
      <c r="AC151" s="4" t="str">
        <f>HYPERLINK("http://141.218.60.56/~jnz1568/getInfo.php?workbook=08_01.xlsx&amp;sheet=A0&amp;row=151&amp;col=29&amp;number=&amp;sourceID=13","")</f>
        <v/>
      </c>
      <c r="AD151" s="4" t="str">
        <f>HYPERLINK("http://141.218.60.56/~jnz1568/getInfo.php?workbook=08_01.xlsx&amp;sheet=A0&amp;row=151&amp;col=30&amp;number=&amp;sourceID=13","")</f>
        <v/>
      </c>
      <c r="AE151" s="4" t="str">
        <f>HYPERLINK("http://141.218.60.56/~jnz1568/getInfo.php?workbook=08_01.xlsx&amp;sheet=A0&amp;row=151&amp;col=31&amp;number=&amp;sourceID=13","")</f>
        <v/>
      </c>
      <c r="AF151" s="4" t="str">
        <f>HYPERLINK("http://141.218.60.56/~jnz1568/getInfo.php?workbook=08_01.xlsx&amp;sheet=A0&amp;row=151&amp;col=32&amp;number=&amp;sourceID=20","")</f>
        <v/>
      </c>
    </row>
    <row r="152" spans="1:32">
      <c r="A152" s="3">
        <v>8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HYPERLINK("http://141.218.60.56/~jnz1568/getInfo.php?workbook=08_01.xlsx&amp;sheet=A0&amp;row=152&amp;col=6&amp;number=&amp;sourceID=18","")</f>
        <v/>
      </c>
      <c r="G152" s="4" t="str">
        <f>HYPERLINK("http://141.218.60.56/~jnz1568/getInfo.php?workbook=08_01.xlsx&amp;sheet=A0&amp;row=152&amp;col=7&amp;number==&amp;sourceID=11","=")</f>
        <v>=</v>
      </c>
      <c r="H152" s="4" t="str">
        <f>HYPERLINK("http://141.218.60.56/~jnz1568/getInfo.php?workbook=08_01.xlsx&amp;sheet=A0&amp;row=152&amp;col=8&amp;number=&amp;sourceID=11","")</f>
        <v/>
      </c>
      <c r="I152" s="4" t="str">
        <f>HYPERLINK("http://141.218.60.56/~jnz1568/getInfo.php?workbook=08_01.xlsx&amp;sheet=A0&amp;row=152&amp;col=9&amp;number=256260&amp;sourceID=11","256260")</f>
        <v>256260</v>
      </c>
      <c r="J152" s="4" t="str">
        <f>HYPERLINK("http://141.218.60.56/~jnz1568/getInfo.php?workbook=08_01.xlsx&amp;sheet=A0&amp;row=152&amp;col=10&amp;number=&amp;sourceID=11","")</f>
        <v/>
      </c>
      <c r="K152" s="4" t="str">
        <f>HYPERLINK("http://141.218.60.56/~jnz1568/getInfo.php?workbook=08_01.xlsx&amp;sheet=A0&amp;row=152&amp;col=11&amp;number=0.036308&amp;sourceID=11","0.036308")</f>
        <v>0.036308</v>
      </c>
      <c r="L152" s="4" t="str">
        <f>HYPERLINK("http://141.218.60.56/~jnz1568/getInfo.php?workbook=08_01.xlsx&amp;sheet=A0&amp;row=152&amp;col=12&amp;number=&amp;sourceID=11","")</f>
        <v/>
      </c>
      <c r="M152" s="4" t="str">
        <f>HYPERLINK("http://141.218.60.56/~jnz1568/getInfo.php?workbook=08_01.xlsx&amp;sheet=A0&amp;row=152&amp;col=13&amp;number=&amp;sourceID=11","")</f>
        <v/>
      </c>
      <c r="N152" s="4" t="str">
        <f>HYPERLINK("http://141.218.60.56/~jnz1568/getInfo.php?workbook=08_01.xlsx&amp;sheet=A0&amp;row=152&amp;col=14&amp;number=256260&amp;sourceID=12","256260")</f>
        <v>256260</v>
      </c>
      <c r="O152" s="4" t="str">
        <f>HYPERLINK("http://141.218.60.56/~jnz1568/getInfo.php?workbook=08_01.xlsx&amp;sheet=A0&amp;row=152&amp;col=15&amp;number=&amp;sourceID=12","")</f>
        <v/>
      </c>
      <c r="P152" s="4" t="str">
        <f>HYPERLINK("http://141.218.60.56/~jnz1568/getInfo.php?workbook=08_01.xlsx&amp;sheet=A0&amp;row=152&amp;col=16&amp;number=256260&amp;sourceID=12","256260")</f>
        <v>256260</v>
      </c>
      <c r="Q152" s="4" t="str">
        <f>HYPERLINK("http://141.218.60.56/~jnz1568/getInfo.php?workbook=08_01.xlsx&amp;sheet=A0&amp;row=152&amp;col=17&amp;number=&amp;sourceID=12","")</f>
        <v/>
      </c>
      <c r="R152" s="4" t="str">
        <f>HYPERLINK("http://141.218.60.56/~jnz1568/getInfo.php?workbook=08_01.xlsx&amp;sheet=A0&amp;row=152&amp;col=18&amp;number=0.036286&amp;sourceID=12","0.036286")</f>
        <v>0.036286</v>
      </c>
      <c r="S152" s="4" t="str">
        <f>HYPERLINK("http://141.218.60.56/~jnz1568/getInfo.php?workbook=08_01.xlsx&amp;sheet=A0&amp;row=152&amp;col=19&amp;number=&amp;sourceID=12","")</f>
        <v/>
      </c>
      <c r="T152" s="4" t="str">
        <f>HYPERLINK("http://141.218.60.56/~jnz1568/getInfo.php?workbook=08_01.xlsx&amp;sheet=A0&amp;row=152&amp;col=20&amp;number=&amp;sourceID=12","")</f>
        <v/>
      </c>
      <c r="U152" s="4" t="str">
        <f>HYPERLINK("http://141.218.60.56/~jnz1568/getInfo.php?workbook=08_01.xlsx&amp;sheet=A0&amp;row=152&amp;col=21&amp;number=256300.03632&amp;sourceID=30","256300.03632")</f>
        <v>256300.03632</v>
      </c>
      <c r="V152" s="4" t="str">
        <f>HYPERLINK("http://141.218.60.56/~jnz1568/getInfo.php?workbook=08_01.xlsx&amp;sheet=A0&amp;row=152&amp;col=22&amp;number=&amp;sourceID=30","")</f>
        <v/>
      </c>
      <c r="W152" s="4" t="str">
        <f>HYPERLINK("http://141.218.60.56/~jnz1568/getInfo.php?workbook=08_01.xlsx&amp;sheet=A0&amp;row=152&amp;col=23&amp;number=256300&amp;sourceID=30","256300")</f>
        <v>256300</v>
      </c>
      <c r="X152" s="4" t="str">
        <f>HYPERLINK("http://141.218.60.56/~jnz1568/getInfo.php?workbook=08_01.xlsx&amp;sheet=A0&amp;row=152&amp;col=24&amp;number=0.03632&amp;sourceID=30","0.03632")</f>
        <v>0.03632</v>
      </c>
      <c r="Y152" s="4" t="str">
        <f>HYPERLINK("http://141.218.60.56/~jnz1568/getInfo.php?workbook=08_01.xlsx&amp;sheet=A0&amp;row=152&amp;col=25&amp;number=&amp;sourceID=30","")</f>
        <v/>
      </c>
      <c r="Z152" s="4" t="str">
        <f>HYPERLINK("http://141.218.60.56/~jnz1568/getInfo.php?workbook=08_01.xlsx&amp;sheet=A0&amp;row=152&amp;col=26&amp;number=&amp;sourceID=13","")</f>
        <v/>
      </c>
      <c r="AA152" s="4" t="str">
        <f>HYPERLINK("http://141.218.60.56/~jnz1568/getInfo.php?workbook=08_01.xlsx&amp;sheet=A0&amp;row=152&amp;col=27&amp;number=&amp;sourceID=13","")</f>
        <v/>
      </c>
      <c r="AB152" s="4" t="str">
        <f>HYPERLINK("http://141.218.60.56/~jnz1568/getInfo.php?workbook=08_01.xlsx&amp;sheet=A0&amp;row=152&amp;col=28&amp;number=&amp;sourceID=13","")</f>
        <v/>
      </c>
      <c r="AC152" s="4" t="str">
        <f>HYPERLINK("http://141.218.60.56/~jnz1568/getInfo.php?workbook=08_01.xlsx&amp;sheet=A0&amp;row=152&amp;col=29&amp;number=&amp;sourceID=13","")</f>
        <v/>
      </c>
      <c r="AD152" s="4" t="str">
        <f>HYPERLINK("http://141.218.60.56/~jnz1568/getInfo.php?workbook=08_01.xlsx&amp;sheet=A0&amp;row=152&amp;col=30&amp;number=&amp;sourceID=13","")</f>
        <v/>
      </c>
      <c r="AE152" s="4" t="str">
        <f>HYPERLINK("http://141.218.60.56/~jnz1568/getInfo.php?workbook=08_01.xlsx&amp;sheet=A0&amp;row=152&amp;col=31&amp;number=&amp;sourceID=13","")</f>
        <v/>
      </c>
      <c r="AF152" s="4" t="str">
        <f>HYPERLINK("http://141.218.60.56/~jnz1568/getInfo.php?workbook=08_01.xlsx&amp;sheet=A0&amp;row=152&amp;col=32&amp;number=&amp;sourceID=20","")</f>
        <v/>
      </c>
    </row>
    <row r="153" spans="1:32">
      <c r="A153" s="3">
        <v>8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HYPERLINK("http://141.218.60.56/~jnz1568/getInfo.php?workbook=08_01.xlsx&amp;sheet=A0&amp;row=153&amp;col=6&amp;number=&amp;sourceID=18","")</f>
        <v/>
      </c>
      <c r="G153" s="4" t="str">
        <f>HYPERLINK("http://141.218.60.56/~jnz1568/getInfo.php?workbook=08_01.xlsx&amp;sheet=A0&amp;row=153&amp;col=7&amp;number==&amp;sourceID=11","=")</f>
        <v>=</v>
      </c>
      <c r="H153" s="4" t="str">
        <f>HYPERLINK("http://141.218.60.56/~jnz1568/getInfo.php?workbook=08_01.xlsx&amp;sheet=A0&amp;row=153&amp;col=8&amp;number=6431900000&amp;sourceID=11","6431900000")</f>
        <v>6431900000</v>
      </c>
      <c r="I153" s="4" t="str">
        <f>HYPERLINK("http://141.218.60.56/~jnz1568/getInfo.php?workbook=08_01.xlsx&amp;sheet=A0&amp;row=153&amp;col=9&amp;number=&amp;sourceID=11","")</f>
        <v/>
      </c>
      <c r="J153" s="4" t="str">
        <f>HYPERLINK("http://141.218.60.56/~jnz1568/getInfo.php?workbook=08_01.xlsx&amp;sheet=A0&amp;row=153&amp;col=10&amp;number=11.949&amp;sourceID=11","11.949")</f>
        <v>11.949</v>
      </c>
      <c r="K153" s="4" t="str">
        <f>HYPERLINK("http://141.218.60.56/~jnz1568/getInfo.php?workbook=08_01.xlsx&amp;sheet=A0&amp;row=153&amp;col=11&amp;number=&amp;sourceID=11","")</f>
        <v/>
      </c>
      <c r="L153" s="4" t="str">
        <f>HYPERLINK("http://141.218.60.56/~jnz1568/getInfo.php?workbook=08_01.xlsx&amp;sheet=A0&amp;row=153&amp;col=12&amp;number=&amp;sourceID=11","")</f>
        <v/>
      </c>
      <c r="M153" s="4" t="str">
        <f>HYPERLINK("http://141.218.60.56/~jnz1568/getInfo.php?workbook=08_01.xlsx&amp;sheet=A0&amp;row=153&amp;col=13&amp;number=&amp;sourceID=11","")</f>
        <v/>
      </c>
      <c r="N153" s="4" t="str">
        <f>HYPERLINK("http://141.218.60.56/~jnz1568/getInfo.php?workbook=08_01.xlsx&amp;sheet=A0&amp;row=153&amp;col=14&amp;number=6432100000&amp;sourceID=12","6432100000")</f>
        <v>6432100000</v>
      </c>
      <c r="O153" s="4" t="str">
        <f>HYPERLINK("http://141.218.60.56/~jnz1568/getInfo.php?workbook=08_01.xlsx&amp;sheet=A0&amp;row=153&amp;col=15&amp;number=6432100000&amp;sourceID=12","6432100000")</f>
        <v>6432100000</v>
      </c>
      <c r="P153" s="4" t="str">
        <f>HYPERLINK("http://141.218.60.56/~jnz1568/getInfo.php?workbook=08_01.xlsx&amp;sheet=A0&amp;row=153&amp;col=16&amp;number=&amp;sourceID=12","")</f>
        <v/>
      </c>
      <c r="Q153" s="4" t="str">
        <f>HYPERLINK("http://141.218.60.56/~jnz1568/getInfo.php?workbook=08_01.xlsx&amp;sheet=A0&amp;row=153&amp;col=17&amp;number=11.949&amp;sourceID=12","11.949")</f>
        <v>11.949</v>
      </c>
      <c r="R153" s="4" t="str">
        <f>HYPERLINK("http://141.218.60.56/~jnz1568/getInfo.php?workbook=08_01.xlsx&amp;sheet=A0&amp;row=153&amp;col=18&amp;number=&amp;sourceID=12","")</f>
        <v/>
      </c>
      <c r="S153" s="4" t="str">
        <f>HYPERLINK("http://141.218.60.56/~jnz1568/getInfo.php?workbook=08_01.xlsx&amp;sheet=A0&amp;row=153&amp;col=19&amp;number=&amp;sourceID=12","")</f>
        <v/>
      </c>
      <c r="T153" s="4" t="str">
        <f>HYPERLINK("http://141.218.60.56/~jnz1568/getInfo.php?workbook=08_01.xlsx&amp;sheet=A0&amp;row=153&amp;col=20&amp;number=&amp;sourceID=12","")</f>
        <v/>
      </c>
      <c r="U153" s="4" t="str">
        <f>HYPERLINK("http://141.218.60.56/~jnz1568/getInfo.php?workbook=08_01.xlsx&amp;sheet=A0&amp;row=153&amp;col=21&amp;number=6432000000&amp;sourceID=30","6432000000")</f>
        <v>6432000000</v>
      </c>
      <c r="V153" s="4" t="str">
        <f>HYPERLINK("http://141.218.60.56/~jnz1568/getInfo.php?workbook=08_01.xlsx&amp;sheet=A0&amp;row=153&amp;col=22&amp;number=6432000000&amp;sourceID=30","6432000000")</f>
        <v>6432000000</v>
      </c>
      <c r="W153" s="4" t="str">
        <f>HYPERLINK("http://141.218.60.56/~jnz1568/getInfo.php?workbook=08_01.xlsx&amp;sheet=A0&amp;row=153&amp;col=23&amp;number=&amp;sourceID=30","")</f>
        <v/>
      </c>
      <c r="X153" s="4" t="str">
        <f>HYPERLINK("http://141.218.60.56/~jnz1568/getInfo.php?workbook=08_01.xlsx&amp;sheet=A0&amp;row=153&amp;col=24&amp;number=&amp;sourceID=30","")</f>
        <v/>
      </c>
      <c r="Y153" s="4" t="str">
        <f>HYPERLINK("http://141.218.60.56/~jnz1568/getInfo.php?workbook=08_01.xlsx&amp;sheet=A0&amp;row=153&amp;col=25&amp;number=&amp;sourceID=30","")</f>
        <v/>
      </c>
      <c r="Z153" s="4" t="str">
        <f>HYPERLINK("http://141.218.60.56/~jnz1568/getInfo.php?workbook=08_01.xlsx&amp;sheet=A0&amp;row=153&amp;col=26&amp;number=&amp;sourceID=13","")</f>
        <v/>
      </c>
      <c r="AA153" s="4" t="str">
        <f>HYPERLINK("http://141.218.60.56/~jnz1568/getInfo.php?workbook=08_01.xlsx&amp;sheet=A0&amp;row=153&amp;col=27&amp;number=&amp;sourceID=13","")</f>
        <v/>
      </c>
      <c r="AB153" s="4" t="str">
        <f>HYPERLINK("http://141.218.60.56/~jnz1568/getInfo.php?workbook=08_01.xlsx&amp;sheet=A0&amp;row=153&amp;col=28&amp;number=&amp;sourceID=13","")</f>
        <v/>
      </c>
      <c r="AC153" s="4" t="str">
        <f>HYPERLINK("http://141.218.60.56/~jnz1568/getInfo.php?workbook=08_01.xlsx&amp;sheet=A0&amp;row=153&amp;col=29&amp;number=&amp;sourceID=13","")</f>
        <v/>
      </c>
      <c r="AD153" s="4" t="str">
        <f>HYPERLINK("http://141.218.60.56/~jnz1568/getInfo.php?workbook=08_01.xlsx&amp;sheet=A0&amp;row=153&amp;col=30&amp;number=&amp;sourceID=13","")</f>
        <v/>
      </c>
      <c r="AE153" s="4" t="str">
        <f>HYPERLINK("http://141.218.60.56/~jnz1568/getInfo.php?workbook=08_01.xlsx&amp;sheet=A0&amp;row=153&amp;col=31&amp;number=&amp;sourceID=13","")</f>
        <v/>
      </c>
      <c r="AF153" s="4" t="str">
        <f>HYPERLINK("http://141.218.60.56/~jnz1568/getInfo.php?workbook=08_01.xlsx&amp;sheet=A0&amp;row=153&amp;col=32&amp;number=&amp;sourceID=20","")</f>
        <v/>
      </c>
    </row>
    <row r="154" spans="1:32">
      <c r="A154" s="3">
        <v>8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HYPERLINK("http://141.218.60.56/~jnz1568/getInfo.php?workbook=08_01.xlsx&amp;sheet=A0&amp;row=154&amp;col=6&amp;number=&amp;sourceID=18","")</f>
        <v/>
      </c>
      <c r="G154" s="4" t="str">
        <f>HYPERLINK("http://141.218.60.56/~jnz1568/getInfo.php?workbook=08_01.xlsx&amp;sheet=A0&amp;row=154&amp;col=7&amp;number==&amp;sourceID=11","=")</f>
        <v>=</v>
      </c>
      <c r="H154" s="4" t="str">
        <f>HYPERLINK("http://141.218.60.56/~jnz1568/getInfo.php?workbook=08_01.xlsx&amp;sheet=A0&amp;row=154&amp;col=8&amp;number=11594000000&amp;sourceID=11","11594000000")</f>
        <v>11594000000</v>
      </c>
      <c r="I154" s="4" t="str">
        <f>HYPERLINK("http://141.218.60.56/~jnz1568/getInfo.php?workbook=08_01.xlsx&amp;sheet=A0&amp;row=154&amp;col=9&amp;number=&amp;sourceID=11","")</f>
        <v/>
      </c>
      <c r="J154" s="4" t="str">
        <f>HYPERLINK("http://141.218.60.56/~jnz1568/getInfo.php?workbook=08_01.xlsx&amp;sheet=A0&amp;row=154&amp;col=10&amp;number=&amp;sourceID=11","")</f>
        <v/>
      </c>
      <c r="K154" s="4" t="str">
        <f>HYPERLINK("http://141.218.60.56/~jnz1568/getInfo.php?workbook=08_01.xlsx&amp;sheet=A0&amp;row=154&amp;col=11&amp;number=&amp;sourceID=11","")</f>
        <v/>
      </c>
      <c r="L154" s="4" t="str">
        <f>HYPERLINK("http://141.218.60.56/~jnz1568/getInfo.php?workbook=08_01.xlsx&amp;sheet=A0&amp;row=154&amp;col=12&amp;number=1.2794&amp;sourceID=11","1.2794")</f>
        <v>1.2794</v>
      </c>
      <c r="M154" s="4" t="str">
        <f>HYPERLINK("http://141.218.60.56/~jnz1568/getInfo.php?workbook=08_01.xlsx&amp;sheet=A0&amp;row=154&amp;col=13&amp;number=&amp;sourceID=11","")</f>
        <v/>
      </c>
      <c r="N154" s="4" t="str">
        <f>HYPERLINK("http://141.218.60.56/~jnz1568/getInfo.php?workbook=08_01.xlsx&amp;sheet=A0&amp;row=154&amp;col=14&amp;number=11595000000&amp;sourceID=12","11595000000")</f>
        <v>11595000000</v>
      </c>
      <c r="O154" s="4" t="str">
        <f>HYPERLINK("http://141.218.60.56/~jnz1568/getInfo.php?workbook=08_01.xlsx&amp;sheet=A0&amp;row=154&amp;col=15&amp;number=11595000000&amp;sourceID=12","11595000000")</f>
        <v>11595000000</v>
      </c>
      <c r="P154" s="4" t="str">
        <f>HYPERLINK("http://141.218.60.56/~jnz1568/getInfo.php?workbook=08_01.xlsx&amp;sheet=A0&amp;row=154&amp;col=16&amp;number=&amp;sourceID=12","")</f>
        <v/>
      </c>
      <c r="Q154" s="4" t="str">
        <f>HYPERLINK("http://141.218.60.56/~jnz1568/getInfo.php?workbook=08_01.xlsx&amp;sheet=A0&amp;row=154&amp;col=17&amp;number=&amp;sourceID=12","")</f>
        <v/>
      </c>
      <c r="R154" s="4" t="str">
        <f>HYPERLINK("http://141.218.60.56/~jnz1568/getInfo.php?workbook=08_01.xlsx&amp;sheet=A0&amp;row=154&amp;col=18&amp;number=&amp;sourceID=12","")</f>
        <v/>
      </c>
      <c r="S154" s="4" t="str">
        <f>HYPERLINK("http://141.218.60.56/~jnz1568/getInfo.php?workbook=08_01.xlsx&amp;sheet=A0&amp;row=154&amp;col=19&amp;number=1.2794&amp;sourceID=12","1.2794")</f>
        <v>1.2794</v>
      </c>
      <c r="T154" s="4" t="str">
        <f>HYPERLINK("http://141.218.60.56/~jnz1568/getInfo.php?workbook=08_01.xlsx&amp;sheet=A0&amp;row=154&amp;col=20&amp;number=&amp;sourceID=12","")</f>
        <v/>
      </c>
      <c r="U154" s="4" t="str">
        <f>HYPERLINK("http://141.218.60.56/~jnz1568/getInfo.php?workbook=08_01.xlsx&amp;sheet=A0&amp;row=154&amp;col=21&amp;number=11590000001.3&amp;sourceID=30","11590000001.3")</f>
        <v>11590000001.3</v>
      </c>
      <c r="V154" s="4" t="str">
        <f>HYPERLINK("http://141.218.60.56/~jnz1568/getInfo.php?workbook=08_01.xlsx&amp;sheet=A0&amp;row=154&amp;col=22&amp;number=11590000000&amp;sourceID=30","11590000000")</f>
        <v>11590000000</v>
      </c>
      <c r="W154" s="4" t="str">
        <f>HYPERLINK("http://141.218.60.56/~jnz1568/getInfo.php?workbook=08_01.xlsx&amp;sheet=A0&amp;row=154&amp;col=23&amp;number=&amp;sourceID=30","")</f>
        <v/>
      </c>
      <c r="X154" s="4" t="str">
        <f>HYPERLINK("http://141.218.60.56/~jnz1568/getInfo.php?workbook=08_01.xlsx&amp;sheet=A0&amp;row=154&amp;col=24&amp;number=&amp;sourceID=30","")</f>
        <v/>
      </c>
      <c r="Y154" s="4" t="str">
        <f>HYPERLINK("http://141.218.60.56/~jnz1568/getInfo.php?workbook=08_01.xlsx&amp;sheet=A0&amp;row=154&amp;col=25&amp;number=1.279&amp;sourceID=30","1.279")</f>
        <v>1.279</v>
      </c>
      <c r="Z154" s="4" t="str">
        <f>HYPERLINK("http://141.218.60.56/~jnz1568/getInfo.php?workbook=08_01.xlsx&amp;sheet=A0&amp;row=154&amp;col=26&amp;number=&amp;sourceID=13","")</f>
        <v/>
      </c>
      <c r="AA154" s="4" t="str">
        <f>HYPERLINK("http://141.218.60.56/~jnz1568/getInfo.php?workbook=08_01.xlsx&amp;sheet=A0&amp;row=154&amp;col=27&amp;number=&amp;sourceID=13","")</f>
        <v/>
      </c>
      <c r="AB154" s="4" t="str">
        <f>HYPERLINK("http://141.218.60.56/~jnz1568/getInfo.php?workbook=08_01.xlsx&amp;sheet=A0&amp;row=154&amp;col=28&amp;number=&amp;sourceID=13","")</f>
        <v/>
      </c>
      <c r="AC154" s="4" t="str">
        <f>HYPERLINK("http://141.218.60.56/~jnz1568/getInfo.php?workbook=08_01.xlsx&amp;sheet=A0&amp;row=154&amp;col=29&amp;number=&amp;sourceID=13","")</f>
        <v/>
      </c>
      <c r="AD154" s="4" t="str">
        <f>HYPERLINK("http://141.218.60.56/~jnz1568/getInfo.php?workbook=08_01.xlsx&amp;sheet=A0&amp;row=154&amp;col=30&amp;number=&amp;sourceID=13","")</f>
        <v/>
      </c>
      <c r="AE154" s="4" t="str">
        <f>HYPERLINK("http://141.218.60.56/~jnz1568/getInfo.php?workbook=08_01.xlsx&amp;sheet=A0&amp;row=154&amp;col=31&amp;number=&amp;sourceID=13","")</f>
        <v/>
      </c>
      <c r="AF154" s="4" t="str">
        <f>HYPERLINK("http://141.218.60.56/~jnz1568/getInfo.php?workbook=08_01.xlsx&amp;sheet=A0&amp;row=154&amp;col=32&amp;number=&amp;sourceID=20","")</f>
        <v/>
      </c>
    </row>
    <row r="155" spans="1:32">
      <c r="A155" s="3">
        <v>8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HYPERLINK("http://141.218.60.56/~jnz1568/getInfo.php?workbook=08_01.xlsx&amp;sheet=A0&amp;row=155&amp;col=6&amp;number=&amp;sourceID=18","")</f>
        <v/>
      </c>
      <c r="G155" s="4" t="str">
        <f>HYPERLINK("http://141.218.60.56/~jnz1568/getInfo.php?workbook=08_01.xlsx&amp;sheet=A0&amp;row=155&amp;col=7&amp;number==&amp;sourceID=11","=")</f>
        <v>=</v>
      </c>
      <c r="H155" s="4" t="str">
        <f>HYPERLINK("http://141.218.60.56/~jnz1568/getInfo.php?workbook=08_01.xlsx&amp;sheet=A0&amp;row=155&amp;col=8&amp;number=&amp;sourceID=11","")</f>
        <v/>
      </c>
      <c r="I155" s="4" t="str">
        <f>HYPERLINK("http://141.218.60.56/~jnz1568/getInfo.php?workbook=08_01.xlsx&amp;sheet=A0&amp;row=155&amp;col=9&amp;number=286390&amp;sourceID=11","286390")</f>
        <v>286390</v>
      </c>
      <c r="J155" s="4" t="str">
        <f>HYPERLINK("http://141.218.60.56/~jnz1568/getInfo.php?workbook=08_01.xlsx&amp;sheet=A0&amp;row=155&amp;col=10&amp;number=&amp;sourceID=11","")</f>
        <v/>
      </c>
      <c r="K155" s="4" t="str">
        <f>HYPERLINK("http://141.218.60.56/~jnz1568/getInfo.php?workbook=08_01.xlsx&amp;sheet=A0&amp;row=155&amp;col=11&amp;number=0.00075742&amp;sourceID=11","0.00075742")</f>
        <v>0.00075742</v>
      </c>
      <c r="L155" s="4" t="str">
        <f>HYPERLINK("http://141.218.60.56/~jnz1568/getInfo.php?workbook=08_01.xlsx&amp;sheet=A0&amp;row=155&amp;col=12&amp;number=&amp;sourceID=11","")</f>
        <v/>
      </c>
      <c r="M155" s="4" t="str">
        <f>HYPERLINK("http://141.218.60.56/~jnz1568/getInfo.php?workbook=08_01.xlsx&amp;sheet=A0&amp;row=155&amp;col=13&amp;number=&amp;sourceID=11","")</f>
        <v/>
      </c>
      <c r="N155" s="4" t="str">
        <f>HYPERLINK("http://141.218.60.56/~jnz1568/getInfo.php?workbook=08_01.xlsx&amp;sheet=A0&amp;row=155&amp;col=14&amp;number=286400&amp;sourceID=12","286400")</f>
        <v>286400</v>
      </c>
      <c r="O155" s="4" t="str">
        <f>HYPERLINK("http://141.218.60.56/~jnz1568/getInfo.php?workbook=08_01.xlsx&amp;sheet=A0&amp;row=155&amp;col=15&amp;number=&amp;sourceID=12","")</f>
        <v/>
      </c>
      <c r="P155" s="4" t="str">
        <f>HYPERLINK("http://141.218.60.56/~jnz1568/getInfo.php?workbook=08_01.xlsx&amp;sheet=A0&amp;row=155&amp;col=16&amp;number=286400&amp;sourceID=12","286400")</f>
        <v>286400</v>
      </c>
      <c r="Q155" s="4" t="str">
        <f>HYPERLINK("http://141.218.60.56/~jnz1568/getInfo.php?workbook=08_01.xlsx&amp;sheet=A0&amp;row=155&amp;col=17&amp;number=&amp;sourceID=12","")</f>
        <v/>
      </c>
      <c r="R155" s="4" t="str">
        <f>HYPERLINK("http://141.218.60.56/~jnz1568/getInfo.php?workbook=08_01.xlsx&amp;sheet=A0&amp;row=155&amp;col=18&amp;number=0.00075746&amp;sourceID=12","0.00075746")</f>
        <v>0.00075746</v>
      </c>
      <c r="S155" s="4" t="str">
        <f>HYPERLINK("http://141.218.60.56/~jnz1568/getInfo.php?workbook=08_01.xlsx&amp;sheet=A0&amp;row=155&amp;col=19&amp;number=&amp;sourceID=12","")</f>
        <v/>
      </c>
      <c r="T155" s="4" t="str">
        <f>HYPERLINK("http://141.218.60.56/~jnz1568/getInfo.php?workbook=08_01.xlsx&amp;sheet=A0&amp;row=155&amp;col=20&amp;number=&amp;sourceID=12","")</f>
        <v/>
      </c>
      <c r="U155" s="4" t="str">
        <f>HYPERLINK("http://141.218.60.56/~jnz1568/getInfo.php?workbook=08_01.xlsx&amp;sheet=A0&amp;row=155&amp;col=21&amp;number=286400.000757&amp;sourceID=30","286400.000757")</f>
        <v>286400.000757</v>
      </c>
      <c r="V155" s="4" t="str">
        <f>HYPERLINK("http://141.218.60.56/~jnz1568/getInfo.php?workbook=08_01.xlsx&amp;sheet=A0&amp;row=155&amp;col=22&amp;number=&amp;sourceID=30","")</f>
        <v/>
      </c>
      <c r="W155" s="4" t="str">
        <f>HYPERLINK("http://141.218.60.56/~jnz1568/getInfo.php?workbook=08_01.xlsx&amp;sheet=A0&amp;row=155&amp;col=23&amp;number=286400&amp;sourceID=30","286400")</f>
        <v>286400</v>
      </c>
      <c r="X155" s="4" t="str">
        <f>HYPERLINK("http://141.218.60.56/~jnz1568/getInfo.php?workbook=08_01.xlsx&amp;sheet=A0&amp;row=155&amp;col=24&amp;number=0.0007574&amp;sourceID=30","0.0007574")</f>
        <v>0.0007574</v>
      </c>
      <c r="Y155" s="4" t="str">
        <f>HYPERLINK("http://141.218.60.56/~jnz1568/getInfo.php?workbook=08_01.xlsx&amp;sheet=A0&amp;row=155&amp;col=25&amp;number=&amp;sourceID=30","")</f>
        <v/>
      </c>
      <c r="Z155" s="4" t="str">
        <f>HYPERLINK("http://141.218.60.56/~jnz1568/getInfo.php?workbook=08_01.xlsx&amp;sheet=A0&amp;row=155&amp;col=26&amp;number=&amp;sourceID=13","")</f>
        <v/>
      </c>
      <c r="AA155" s="4" t="str">
        <f>HYPERLINK("http://141.218.60.56/~jnz1568/getInfo.php?workbook=08_01.xlsx&amp;sheet=A0&amp;row=155&amp;col=27&amp;number=&amp;sourceID=13","")</f>
        <v/>
      </c>
      <c r="AB155" s="4" t="str">
        <f>HYPERLINK("http://141.218.60.56/~jnz1568/getInfo.php?workbook=08_01.xlsx&amp;sheet=A0&amp;row=155&amp;col=28&amp;number=&amp;sourceID=13","")</f>
        <v/>
      </c>
      <c r="AC155" s="4" t="str">
        <f>HYPERLINK("http://141.218.60.56/~jnz1568/getInfo.php?workbook=08_01.xlsx&amp;sheet=A0&amp;row=155&amp;col=29&amp;number=&amp;sourceID=13","")</f>
        <v/>
      </c>
      <c r="AD155" s="4" t="str">
        <f>HYPERLINK("http://141.218.60.56/~jnz1568/getInfo.php?workbook=08_01.xlsx&amp;sheet=A0&amp;row=155&amp;col=30&amp;number=&amp;sourceID=13","")</f>
        <v/>
      </c>
      <c r="AE155" s="4" t="str">
        <f>HYPERLINK("http://141.218.60.56/~jnz1568/getInfo.php?workbook=08_01.xlsx&amp;sheet=A0&amp;row=155&amp;col=31&amp;number=&amp;sourceID=13","")</f>
        <v/>
      </c>
      <c r="AF155" s="4" t="str">
        <f>HYPERLINK("http://141.218.60.56/~jnz1568/getInfo.php?workbook=08_01.xlsx&amp;sheet=A0&amp;row=155&amp;col=32&amp;number=&amp;sourceID=20","")</f>
        <v/>
      </c>
    </row>
    <row r="156" spans="1:32">
      <c r="A156" s="3">
        <v>8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HYPERLINK("http://141.218.60.56/~jnz1568/getInfo.php?workbook=08_01.xlsx&amp;sheet=A0&amp;row=156&amp;col=6&amp;number=&amp;sourceID=18","")</f>
        <v/>
      </c>
      <c r="G156" s="4" t="str">
        <f>HYPERLINK("http://141.218.60.56/~jnz1568/getInfo.php?workbook=08_01.xlsx&amp;sheet=A0&amp;row=156&amp;col=7&amp;number==&amp;sourceID=11","=")</f>
        <v>=</v>
      </c>
      <c r="H156" s="4" t="str">
        <f>HYPERLINK("http://141.218.60.56/~jnz1568/getInfo.php?workbook=08_01.xlsx&amp;sheet=A0&amp;row=156&amp;col=8&amp;number=&amp;sourceID=11","")</f>
        <v/>
      </c>
      <c r="I156" s="4" t="str">
        <f>HYPERLINK("http://141.218.60.56/~jnz1568/getInfo.php?workbook=08_01.xlsx&amp;sheet=A0&amp;row=156&amp;col=9&amp;number=105260&amp;sourceID=11","105260")</f>
        <v>105260</v>
      </c>
      <c r="J156" s="4" t="str">
        <f>HYPERLINK("http://141.218.60.56/~jnz1568/getInfo.php?workbook=08_01.xlsx&amp;sheet=A0&amp;row=156&amp;col=10&amp;number=&amp;sourceID=11","")</f>
        <v/>
      </c>
      <c r="K156" s="4" t="str">
        <f>HYPERLINK("http://141.218.60.56/~jnz1568/getInfo.php?workbook=08_01.xlsx&amp;sheet=A0&amp;row=156&amp;col=11&amp;number=0.020221&amp;sourceID=11","0.020221")</f>
        <v>0.020221</v>
      </c>
      <c r="L156" s="4" t="str">
        <f>HYPERLINK("http://141.218.60.56/~jnz1568/getInfo.php?workbook=08_01.xlsx&amp;sheet=A0&amp;row=156&amp;col=12&amp;number=&amp;sourceID=11","")</f>
        <v/>
      </c>
      <c r="M156" s="4" t="str">
        <f>HYPERLINK("http://141.218.60.56/~jnz1568/getInfo.php?workbook=08_01.xlsx&amp;sheet=A0&amp;row=156&amp;col=13&amp;number=1.2622e-05&amp;sourceID=11","1.2622e-05")</f>
        <v>1.2622e-05</v>
      </c>
      <c r="N156" s="4" t="str">
        <f>HYPERLINK("http://141.218.60.56/~jnz1568/getInfo.php?workbook=08_01.xlsx&amp;sheet=A0&amp;row=156&amp;col=14&amp;number=105260&amp;sourceID=12","105260")</f>
        <v>105260</v>
      </c>
      <c r="O156" s="4" t="str">
        <f>HYPERLINK("http://141.218.60.56/~jnz1568/getInfo.php?workbook=08_01.xlsx&amp;sheet=A0&amp;row=156&amp;col=15&amp;number=&amp;sourceID=12","")</f>
        <v/>
      </c>
      <c r="P156" s="4" t="str">
        <f>HYPERLINK("http://141.218.60.56/~jnz1568/getInfo.php?workbook=08_01.xlsx&amp;sheet=A0&amp;row=156&amp;col=16&amp;number=105260&amp;sourceID=12","105260")</f>
        <v>105260</v>
      </c>
      <c r="Q156" s="4" t="str">
        <f>HYPERLINK("http://141.218.60.56/~jnz1568/getInfo.php?workbook=08_01.xlsx&amp;sheet=A0&amp;row=156&amp;col=17&amp;number=&amp;sourceID=12","")</f>
        <v/>
      </c>
      <c r="R156" s="4" t="str">
        <f>HYPERLINK("http://141.218.60.56/~jnz1568/getInfo.php?workbook=08_01.xlsx&amp;sheet=A0&amp;row=156&amp;col=18&amp;number=0.020222&amp;sourceID=12","0.020222")</f>
        <v>0.020222</v>
      </c>
      <c r="S156" s="4" t="str">
        <f>HYPERLINK("http://141.218.60.56/~jnz1568/getInfo.php?workbook=08_01.xlsx&amp;sheet=A0&amp;row=156&amp;col=19&amp;number=&amp;sourceID=12","")</f>
        <v/>
      </c>
      <c r="T156" s="4" t="str">
        <f>HYPERLINK("http://141.218.60.56/~jnz1568/getInfo.php?workbook=08_01.xlsx&amp;sheet=A0&amp;row=156&amp;col=20&amp;number=1.2622e-05&amp;sourceID=12","1.2622e-05")</f>
        <v>1.2622e-05</v>
      </c>
      <c r="U156" s="4" t="str">
        <f>HYPERLINK("http://141.218.60.56/~jnz1568/getInfo.php?workbook=08_01.xlsx&amp;sheet=A0&amp;row=156&amp;col=21&amp;number=105300.02023&amp;sourceID=30","105300.02023")</f>
        <v>105300.02023</v>
      </c>
      <c r="V156" s="4" t="str">
        <f>HYPERLINK("http://141.218.60.56/~jnz1568/getInfo.php?workbook=08_01.xlsx&amp;sheet=A0&amp;row=156&amp;col=22&amp;number=&amp;sourceID=30","")</f>
        <v/>
      </c>
      <c r="W156" s="4" t="str">
        <f>HYPERLINK("http://141.218.60.56/~jnz1568/getInfo.php?workbook=08_01.xlsx&amp;sheet=A0&amp;row=156&amp;col=23&amp;number=105300&amp;sourceID=30","105300")</f>
        <v>105300</v>
      </c>
      <c r="X156" s="4" t="str">
        <f>HYPERLINK("http://141.218.60.56/~jnz1568/getInfo.php?workbook=08_01.xlsx&amp;sheet=A0&amp;row=156&amp;col=24&amp;number=0.02023&amp;sourceID=30","0.02023")</f>
        <v>0.02023</v>
      </c>
      <c r="Y156" s="4" t="str">
        <f>HYPERLINK("http://141.218.60.56/~jnz1568/getInfo.php?workbook=08_01.xlsx&amp;sheet=A0&amp;row=156&amp;col=25&amp;number=&amp;sourceID=30","")</f>
        <v/>
      </c>
      <c r="Z156" s="4" t="str">
        <f>HYPERLINK("http://141.218.60.56/~jnz1568/getInfo.php?workbook=08_01.xlsx&amp;sheet=A0&amp;row=156&amp;col=26&amp;number=&amp;sourceID=13","")</f>
        <v/>
      </c>
      <c r="AA156" s="4" t="str">
        <f>HYPERLINK("http://141.218.60.56/~jnz1568/getInfo.php?workbook=08_01.xlsx&amp;sheet=A0&amp;row=156&amp;col=27&amp;number=&amp;sourceID=13","")</f>
        <v/>
      </c>
      <c r="AB156" s="4" t="str">
        <f>HYPERLINK("http://141.218.60.56/~jnz1568/getInfo.php?workbook=08_01.xlsx&amp;sheet=A0&amp;row=156&amp;col=28&amp;number=&amp;sourceID=13","")</f>
        <v/>
      </c>
      <c r="AC156" s="4" t="str">
        <f>HYPERLINK("http://141.218.60.56/~jnz1568/getInfo.php?workbook=08_01.xlsx&amp;sheet=A0&amp;row=156&amp;col=29&amp;number=&amp;sourceID=13","")</f>
        <v/>
      </c>
      <c r="AD156" s="4" t="str">
        <f>HYPERLINK("http://141.218.60.56/~jnz1568/getInfo.php?workbook=08_01.xlsx&amp;sheet=A0&amp;row=156&amp;col=30&amp;number=&amp;sourceID=13","")</f>
        <v/>
      </c>
      <c r="AE156" s="4" t="str">
        <f>HYPERLINK("http://141.218.60.56/~jnz1568/getInfo.php?workbook=08_01.xlsx&amp;sheet=A0&amp;row=156&amp;col=31&amp;number=&amp;sourceID=13","")</f>
        <v/>
      </c>
      <c r="AF156" s="4" t="str">
        <f>HYPERLINK("http://141.218.60.56/~jnz1568/getInfo.php?workbook=08_01.xlsx&amp;sheet=A0&amp;row=156&amp;col=32&amp;number=&amp;sourceID=20","")</f>
        <v/>
      </c>
    </row>
    <row r="157" spans="1:32">
      <c r="A157" s="3">
        <v>8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HYPERLINK("http://141.218.60.56/~jnz1568/getInfo.php?workbook=08_01.xlsx&amp;sheet=A0&amp;row=157&amp;col=6&amp;number=&amp;sourceID=18","")</f>
        <v/>
      </c>
      <c r="G157" s="4" t="str">
        <f>HYPERLINK("http://141.218.60.56/~jnz1568/getInfo.php?workbook=08_01.xlsx&amp;sheet=A0&amp;row=157&amp;col=7&amp;number==&amp;sourceID=11","=")</f>
        <v>=</v>
      </c>
      <c r="H157" s="4" t="str">
        <f>HYPERLINK("http://141.218.60.56/~jnz1568/getInfo.php?workbook=08_01.xlsx&amp;sheet=A0&amp;row=157&amp;col=8&amp;number=2317000000&amp;sourceID=11","2317000000")</f>
        <v>2317000000</v>
      </c>
      <c r="I157" s="4" t="str">
        <f>HYPERLINK("http://141.218.60.56/~jnz1568/getInfo.php?workbook=08_01.xlsx&amp;sheet=A0&amp;row=157&amp;col=9&amp;number=&amp;sourceID=11","")</f>
        <v/>
      </c>
      <c r="J157" s="4" t="str">
        <f>HYPERLINK("http://141.218.60.56/~jnz1568/getInfo.php?workbook=08_01.xlsx&amp;sheet=A0&amp;row=157&amp;col=10&amp;number=1.2563&amp;sourceID=11","1.2563")</f>
        <v>1.2563</v>
      </c>
      <c r="K157" s="4" t="str">
        <f>HYPERLINK("http://141.218.60.56/~jnz1568/getInfo.php?workbook=08_01.xlsx&amp;sheet=A0&amp;row=157&amp;col=11&amp;number=&amp;sourceID=11","")</f>
        <v/>
      </c>
      <c r="L157" s="4" t="str">
        <f>HYPERLINK("http://141.218.60.56/~jnz1568/getInfo.php?workbook=08_01.xlsx&amp;sheet=A0&amp;row=157&amp;col=12&amp;number=&amp;sourceID=11","")</f>
        <v/>
      </c>
      <c r="M157" s="4" t="str">
        <f>HYPERLINK("http://141.218.60.56/~jnz1568/getInfo.php?workbook=08_01.xlsx&amp;sheet=A0&amp;row=157&amp;col=13&amp;number=&amp;sourceID=11","")</f>
        <v/>
      </c>
      <c r="N157" s="4" t="str">
        <f>HYPERLINK("http://141.218.60.56/~jnz1568/getInfo.php?workbook=08_01.xlsx&amp;sheet=A0&amp;row=157&amp;col=14&amp;number=2317100000&amp;sourceID=12","2317100000")</f>
        <v>2317100000</v>
      </c>
      <c r="O157" s="4" t="str">
        <f>HYPERLINK("http://141.218.60.56/~jnz1568/getInfo.php?workbook=08_01.xlsx&amp;sheet=A0&amp;row=157&amp;col=15&amp;number=2317100000&amp;sourceID=12","2317100000")</f>
        <v>2317100000</v>
      </c>
      <c r="P157" s="4" t="str">
        <f>HYPERLINK("http://141.218.60.56/~jnz1568/getInfo.php?workbook=08_01.xlsx&amp;sheet=A0&amp;row=157&amp;col=16&amp;number=&amp;sourceID=12","")</f>
        <v/>
      </c>
      <c r="Q157" s="4" t="str">
        <f>HYPERLINK("http://141.218.60.56/~jnz1568/getInfo.php?workbook=08_01.xlsx&amp;sheet=A0&amp;row=157&amp;col=17&amp;number=1.2563&amp;sourceID=12","1.2563")</f>
        <v>1.2563</v>
      </c>
      <c r="R157" s="4" t="str">
        <f>HYPERLINK("http://141.218.60.56/~jnz1568/getInfo.php?workbook=08_01.xlsx&amp;sheet=A0&amp;row=157&amp;col=18&amp;number=&amp;sourceID=12","")</f>
        <v/>
      </c>
      <c r="S157" s="4" t="str">
        <f>HYPERLINK("http://141.218.60.56/~jnz1568/getInfo.php?workbook=08_01.xlsx&amp;sheet=A0&amp;row=157&amp;col=19&amp;number=&amp;sourceID=12","")</f>
        <v/>
      </c>
      <c r="T157" s="4" t="str">
        <f>HYPERLINK("http://141.218.60.56/~jnz1568/getInfo.php?workbook=08_01.xlsx&amp;sheet=A0&amp;row=157&amp;col=20&amp;number=&amp;sourceID=12","")</f>
        <v/>
      </c>
      <c r="U157" s="4" t="str">
        <f>HYPERLINK("http://141.218.60.56/~jnz1568/getInfo.php?workbook=08_01.xlsx&amp;sheet=A0&amp;row=157&amp;col=21&amp;number=2317000000&amp;sourceID=30","2317000000")</f>
        <v>2317000000</v>
      </c>
      <c r="V157" s="4" t="str">
        <f>HYPERLINK("http://141.218.60.56/~jnz1568/getInfo.php?workbook=08_01.xlsx&amp;sheet=A0&amp;row=157&amp;col=22&amp;number=2317000000&amp;sourceID=30","2317000000")</f>
        <v>2317000000</v>
      </c>
      <c r="W157" s="4" t="str">
        <f>HYPERLINK("http://141.218.60.56/~jnz1568/getInfo.php?workbook=08_01.xlsx&amp;sheet=A0&amp;row=157&amp;col=23&amp;number=&amp;sourceID=30","")</f>
        <v/>
      </c>
      <c r="X157" s="4" t="str">
        <f>HYPERLINK("http://141.218.60.56/~jnz1568/getInfo.php?workbook=08_01.xlsx&amp;sheet=A0&amp;row=157&amp;col=24&amp;number=&amp;sourceID=30","")</f>
        <v/>
      </c>
      <c r="Y157" s="4" t="str">
        <f>HYPERLINK("http://141.218.60.56/~jnz1568/getInfo.php?workbook=08_01.xlsx&amp;sheet=A0&amp;row=157&amp;col=25&amp;number=&amp;sourceID=30","")</f>
        <v/>
      </c>
      <c r="Z157" s="4" t="str">
        <f>HYPERLINK("http://141.218.60.56/~jnz1568/getInfo.php?workbook=08_01.xlsx&amp;sheet=A0&amp;row=157&amp;col=26&amp;number=&amp;sourceID=13","")</f>
        <v/>
      </c>
      <c r="AA157" s="4" t="str">
        <f>HYPERLINK("http://141.218.60.56/~jnz1568/getInfo.php?workbook=08_01.xlsx&amp;sheet=A0&amp;row=157&amp;col=27&amp;number=&amp;sourceID=13","")</f>
        <v/>
      </c>
      <c r="AB157" s="4" t="str">
        <f>HYPERLINK("http://141.218.60.56/~jnz1568/getInfo.php?workbook=08_01.xlsx&amp;sheet=A0&amp;row=157&amp;col=28&amp;number=&amp;sourceID=13","")</f>
        <v/>
      </c>
      <c r="AC157" s="4" t="str">
        <f>HYPERLINK("http://141.218.60.56/~jnz1568/getInfo.php?workbook=08_01.xlsx&amp;sheet=A0&amp;row=157&amp;col=29&amp;number=&amp;sourceID=13","")</f>
        <v/>
      </c>
      <c r="AD157" s="4" t="str">
        <f>HYPERLINK("http://141.218.60.56/~jnz1568/getInfo.php?workbook=08_01.xlsx&amp;sheet=A0&amp;row=157&amp;col=30&amp;number=&amp;sourceID=13","")</f>
        <v/>
      </c>
      <c r="AE157" s="4" t="str">
        <f>HYPERLINK("http://141.218.60.56/~jnz1568/getInfo.php?workbook=08_01.xlsx&amp;sheet=A0&amp;row=157&amp;col=31&amp;number=&amp;sourceID=13","")</f>
        <v/>
      </c>
      <c r="AF157" s="4" t="str">
        <f>HYPERLINK("http://141.218.60.56/~jnz1568/getInfo.php?workbook=08_01.xlsx&amp;sheet=A0&amp;row=157&amp;col=32&amp;number=&amp;sourceID=20","")</f>
        <v/>
      </c>
    </row>
    <row r="158" spans="1:32">
      <c r="A158" s="3">
        <v>8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HYPERLINK("http://141.218.60.56/~jnz1568/getInfo.php?workbook=08_01.xlsx&amp;sheet=A0&amp;row=158&amp;col=6&amp;number=&amp;sourceID=18","")</f>
        <v/>
      </c>
      <c r="G158" s="4" t="str">
        <f>HYPERLINK("http://141.218.60.56/~jnz1568/getInfo.php?workbook=08_01.xlsx&amp;sheet=A0&amp;row=158&amp;col=7&amp;number==&amp;sourceID=11","=")</f>
        <v>=</v>
      </c>
      <c r="H158" s="4" t="str">
        <f>HYPERLINK("http://141.218.60.56/~jnz1568/getInfo.php?workbook=08_01.xlsx&amp;sheet=A0&amp;row=158&amp;col=8&amp;number=&amp;sourceID=11","")</f>
        <v/>
      </c>
      <c r="I158" s="4" t="str">
        <f>HYPERLINK("http://141.218.60.56/~jnz1568/getInfo.php?workbook=08_01.xlsx&amp;sheet=A0&amp;row=158&amp;col=9&amp;number=45066&amp;sourceID=11","45066")</f>
        <v>45066</v>
      </c>
      <c r="J158" s="4" t="str">
        <f>HYPERLINK("http://141.218.60.56/~jnz1568/getInfo.php?workbook=08_01.xlsx&amp;sheet=A0&amp;row=158&amp;col=10&amp;number=&amp;sourceID=11","")</f>
        <v/>
      </c>
      <c r="K158" s="4" t="str">
        <f>HYPERLINK("http://141.218.60.56/~jnz1568/getInfo.php?workbook=08_01.xlsx&amp;sheet=A0&amp;row=158&amp;col=11&amp;number=0.043637&amp;sourceID=11","0.043637")</f>
        <v>0.043637</v>
      </c>
      <c r="L158" s="4" t="str">
        <f>HYPERLINK("http://141.218.60.56/~jnz1568/getInfo.php?workbook=08_01.xlsx&amp;sheet=A0&amp;row=158&amp;col=12&amp;number=&amp;sourceID=11","")</f>
        <v/>
      </c>
      <c r="M158" s="4" t="str">
        <f>HYPERLINK("http://141.218.60.56/~jnz1568/getInfo.php?workbook=08_01.xlsx&amp;sheet=A0&amp;row=158&amp;col=13&amp;number=8.4031e-06&amp;sourceID=11","8.4031e-06")</f>
        <v>8.4031e-06</v>
      </c>
      <c r="N158" s="4" t="str">
        <f>HYPERLINK("http://141.218.60.56/~jnz1568/getInfo.php?workbook=08_01.xlsx&amp;sheet=A0&amp;row=158&amp;col=14&amp;number=45068&amp;sourceID=12","45068")</f>
        <v>45068</v>
      </c>
      <c r="O158" s="4" t="str">
        <f>HYPERLINK("http://141.218.60.56/~jnz1568/getInfo.php?workbook=08_01.xlsx&amp;sheet=A0&amp;row=158&amp;col=15&amp;number=&amp;sourceID=12","")</f>
        <v/>
      </c>
      <c r="P158" s="4" t="str">
        <f>HYPERLINK("http://141.218.60.56/~jnz1568/getInfo.php?workbook=08_01.xlsx&amp;sheet=A0&amp;row=158&amp;col=16&amp;number=45068&amp;sourceID=12","45068")</f>
        <v>45068</v>
      </c>
      <c r="Q158" s="4" t="str">
        <f>HYPERLINK("http://141.218.60.56/~jnz1568/getInfo.php?workbook=08_01.xlsx&amp;sheet=A0&amp;row=158&amp;col=17&amp;number=&amp;sourceID=12","")</f>
        <v/>
      </c>
      <c r="R158" s="4" t="str">
        <f>HYPERLINK("http://141.218.60.56/~jnz1568/getInfo.php?workbook=08_01.xlsx&amp;sheet=A0&amp;row=158&amp;col=18&amp;number=0.043639&amp;sourceID=12","0.043639")</f>
        <v>0.043639</v>
      </c>
      <c r="S158" s="4" t="str">
        <f>HYPERLINK("http://141.218.60.56/~jnz1568/getInfo.php?workbook=08_01.xlsx&amp;sheet=A0&amp;row=158&amp;col=19&amp;number=&amp;sourceID=12","")</f>
        <v/>
      </c>
      <c r="T158" s="4" t="str">
        <f>HYPERLINK("http://141.218.60.56/~jnz1568/getInfo.php?workbook=08_01.xlsx&amp;sheet=A0&amp;row=158&amp;col=20&amp;number=8.4034e-06&amp;sourceID=12","8.4034e-06")</f>
        <v>8.4034e-06</v>
      </c>
      <c r="U158" s="4" t="str">
        <f>HYPERLINK("http://141.218.60.56/~jnz1568/getInfo.php?workbook=08_01.xlsx&amp;sheet=A0&amp;row=158&amp;col=21&amp;number=45070.04363&amp;sourceID=30","45070.04363")</f>
        <v>45070.04363</v>
      </c>
      <c r="V158" s="4" t="str">
        <f>HYPERLINK("http://141.218.60.56/~jnz1568/getInfo.php?workbook=08_01.xlsx&amp;sheet=A0&amp;row=158&amp;col=22&amp;number=&amp;sourceID=30","")</f>
        <v/>
      </c>
      <c r="W158" s="4" t="str">
        <f>HYPERLINK("http://141.218.60.56/~jnz1568/getInfo.php?workbook=08_01.xlsx&amp;sheet=A0&amp;row=158&amp;col=23&amp;number=45070&amp;sourceID=30","45070")</f>
        <v>45070</v>
      </c>
      <c r="X158" s="4" t="str">
        <f>HYPERLINK("http://141.218.60.56/~jnz1568/getInfo.php?workbook=08_01.xlsx&amp;sheet=A0&amp;row=158&amp;col=24&amp;number=0.04363&amp;sourceID=30","0.04363")</f>
        <v>0.04363</v>
      </c>
      <c r="Y158" s="4" t="str">
        <f>HYPERLINK("http://141.218.60.56/~jnz1568/getInfo.php?workbook=08_01.xlsx&amp;sheet=A0&amp;row=158&amp;col=25&amp;number=&amp;sourceID=30","")</f>
        <v/>
      </c>
      <c r="Z158" s="4" t="str">
        <f>HYPERLINK("http://141.218.60.56/~jnz1568/getInfo.php?workbook=08_01.xlsx&amp;sheet=A0&amp;row=158&amp;col=26&amp;number=&amp;sourceID=13","")</f>
        <v/>
      </c>
      <c r="AA158" s="4" t="str">
        <f>HYPERLINK("http://141.218.60.56/~jnz1568/getInfo.php?workbook=08_01.xlsx&amp;sheet=A0&amp;row=158&amp;col=27&amp;number=&amp;sourceID=13","")</f>
        <v/>
      </c>
      <c r="AB158" s="4" t="str">
        <f>HYPERLINK("http://141.218.60.56/~jnz1568/getInfo.php?workbook=08_01.xlsx&amp;sheet=A0&amp;row=158&amp;col=28&amp;number=&amp;sourceID=13","")</f>
        <v/>
      </c>
      <c r="AC158" s="4" t="str">
        <f>HYPERLINK("http://141.218.60.56/~jnz1568/getInfo.php?workbook=08_01.xlsx&amp;sheet=A0&amp;row=158&amp;col=29&amp;number=&amp;sourceID=13","")</f>
        <v/>
      </c>
      <c r="AD158" s="4" t="str">
        <f>HYPERLINK("http://141.218.60.56/~jnz1568/getInfo.php?workbook=08_01.xlsx&amp;sheet=A0&amp;row=158&amp;col=30&amp;number=&amp;sourceID=13","")</f>
        <v/>
      </c>
      <c r="AE158" s="4" t="str">
        <f>HYPERLINK("http://141.218.60.56/~jnz1568/getInfo.php?workbook=08_01.xlsx&amp;sheet=A0&amp;row=158&amp;col=31&amp;number=&amp;sourceID=13","")</f>
        <v/>
      </c>
      <c r="AF158" s="4" t="str">
        <f>HYPERLINK("http://141.218.60.56/~jnz1568/getInfo.php?workbook=08_01.xlsx&amp;sheet=A0&amp;row=158&amp;col=32&amp;number=&amp;sourceID=20","")</f>
        <v/>
      </c>
    </row>
    <row r="159" spans="1:32">
      <c r="A159" s="3">
        <v>8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HYPERLINK("http://141.218.60.56/~jnz1568/getInfo.php?workbook=08_01.xlsx&amp;sheet=A0&amp;row=159&amp;col=6&amp;number=&amp;sourceID=18","")</f>
        <v/>
      </c>
      <c r="G159" s="4" t="str">
        <f>HYPERLINK("http://141.218.60.56/~jnz1568/getInfo.php?workbook=08_01.xlsx&amp;sheet=A0&amp;row=159&amp;col=7&amp;number==&amp;sourceID=11","=")</f>
        <v>=</v>
      </c>
      <c r="H159" s="4" t="str">
        <f>HYPERLINK("http://141.218.60.56/~jnz1568/getInfo.php?workbook=08_01.xlsx&amp;sheet=A0&amp;row=159&amp;col=8&amp;number=5069300000&amp;sourceID=11","5069300000")</f>
        <v>5069300000</v>
      </c>
      <c r="I159" s="4" t="str">
        <f>HYPERLINK("http://141.218.60.56/~jnz1568/getInfo.php?workbook=08_01.xlsx&amp;sheet=A0&amp;row=159&amp;col=9&amp;number=&amp;sourceID=11","")</f>
        <v/>
      </c>
      <c r="J159" s="4" t="str">
        <f>HYPERLINK("http://141.218.60.56/~jnz1568/getInfo.php?workbook=08_01.xlsx&amp;sheet=A0&amp;row=159&amp;col=10&amp;number=&amp;sourceID=11","")</f>
        <v/>
      </c>
      <c r="K159" s="4" t="str">
        <f>HYPERLINK("http://141.218.60.56/~jnz1568/getInfo.php?workbook=08_01.xlsx&amp;sheet=A0&amp;row=159&amp;col=11&amp;number=&amp;sourceID=11","")</f>
        <v/>
      </c>
      <c r="L159" s="4" t="str">
        <f>HYPERLINK("http://141.218.60.56/~jnz1568/getInfo.php?workbook=08_01.xlsx&amp;sheet=A0&amp;row=159&amp;col=12&amp;number=0.056053&amp;sourceID=11","0.056053")</f>
        <v>0.056053</v>
      </c>
      <c r="M159" s="4" t="str">
        <f>HYPERLINK("http://141.218.60.56/~jnz1568/getInfo.php?workbook=08_01.xlsx&amp;sheet=A0&amp;row=159&amp;col=13&amp;number=&amp;sourceID=11","")</f>
        <v/>
      </c>
      <c r="N159" s="4" t="str">
        <f>HYPERLINK("http://141.218.60.56/~jnz1568/getInfo.php?workbook=08_01.xlsx&amp;sheet=A0&amp;row=159&amp;col=14&amp;number=5069500000&amp;sourceID=12","5069500000")</f>
        <v>5069500000</v>
      </c>
      <c r="O159" s="4" t="str">
        <f>HYPERLINK("http://141.218.60.56/~jnz1568/getInfo.php?workbook=08_01.xlsx&amp;sheet=A0&amp;row=159&amp;col=15&amp;number=5069500000&amp;sourceID=12","5069500000")</f>
        <v>5069500000</v>
      </c>
      <c r="P159" s="4" t="str">
        <f>HYPERLINK("http://141.218.60.56/~jnz1568/getInfo.php?workbook=08_01.xlsx&amp;sheet=A0&amp;row=159&amp;col=16&amp;number=&amp;sourceID=12","")</f>
        <v/>
      </c>
      <c r="Q159" s="4" t="str">
        <f>HYPERLINK("http://141.218.60.56/~jnz1568/getInfo.php?workbook=08_01.xlsx&amp;sheet=A0&amp;row=159&amp;col=17&amp;number=&amp;sourceID=12","")</f>
        <v/>
      </c>
      <c r="R159" s="4" t="str">
        <f>HYPERLINK("http://141.218.60.56/~jnz1568/getInfo.php?workbook=08_01.xlsx&amp;sheet=A0&amp;row=159&amp;col=18&amp;number=&amp;sourceID=12","")</f>
        <v/>
      </c>
      <c r="S159" s="4" t="str">
        <f>HYPERLINK("http://141.218.60.56/~jnz1568/getInfo.php?workbook=08_01.xlsx&amp;sheet=A0&amp;row=159&amp;col=19&amp;number=0.056055&amp;sourceID=12","0.056055")</f>
        <v>0.056055</v>
      </c>
      <c r="T159" s="4" t="str">
        <f>HYPERLINK("http://141.218.60.56/~jnz1568/getInfo.php?workbook=08_01.xlsx&amp;sheet=A0&amp;row=159&amp;col=20&amp;number=&amp;sourceID=12","")</f>
        <v/>
      </c>
      <c r="U159" s="4" t="str">
        <f>HYPERLINK("http://141.218.60.56/~jnz1568/getInfo.php?workbook=08_01.xlsx&amp;sheet=A0&amp;row=159&amp;col=21&amp;number=5069000000.06&amp;sourceID=30","5069000000.06")</f>
        <v>5069000000.06</v>
      </c>
      <c r="V159" s="4" t="str">
        <f>HYPERLINK("http://141.218.60.56/~jnz1568/getInfo.php?workbook=08_01.xlsx&amp;sheet=A0&amp;row=159&amp;col=22&amp;number=5069000000&amp;sourceID=30","5069000000")</f>
        <v>5069000000</v>
      </c>
      <c r="W159" s="4" t="str">
        <f>HYPERLINK("http://141.218.60.56/~jnz1568/getInfo.php?workbook=08_01.xlsx&amp;sheet=A0&amp;row=159&amp;col=23&amp;number=&amp;sourceID=30","")</f>
        <v/>
      </c>
      <c r="X159" s="4" t="str">
        <f>HYPERLINK("http://141.218.60.56/~jnz1568/getInfo.php?workbook=08_01.xlsx&amp;sheet=A0&amp;row=159&amp;col=24&amp;number=&amp;sourceID=30","")</f>
        <v/>
      </c>
      <c r="Y159" s="4" t="str">
        <f>HYPERLINK("http://141.218.60.56/~jnz1568/getInfo.php?workbook=08_01.xlsx&amp;sheet=A0&amp;row=159&amp;col=25&amp;number=0.05605&amp;sourceID=30","0.05605")</f>
        <v>0.05605</v>
      </c>
      <c r="Z159" s="4" t="str">
        <f>HYPERLINK("http://141.218.60.56/~jnz1568/getInfo.php?workbook=08_01.xlsx&amp;sheet=A0&amp;row=159&amp;col=26&amp;number=&amp;sourceID=13","")</f>
        <v/>
      </c>
      <c r="AA159" s="4" t="str">
        <f>HYPERLINK("http://141.218.60.56/~jnz1568/getInfo.php?workbook=08_01.xlsx&amp;sheet=A0&amp;row=159&amp;col=27&amp;number=&amp;sourceID=13","")</f>
        <v/>
      </c>
      <c r="AB159" s="4" t="str">
        <f>HYPERLINK("http://141.218.60.56/~jnz1568/getInfo.php?workbook=08_01.xlsx&amp;sheet=A0&amp;row=159&amp;col=28&amp;number=&amp;sourceID=13","")</f>
        <v/>
      </c>
      <c r="AC159" s="4" t="str">
        <f>HYPERLINK("http://141.218.60.56/~jnz1568/getInfo.php?workbook=08_01.xlsx&amp;sheet=A0&amp;row=159&amp;col=29&amp;number=&amp;sourceID=13","")</f>
        <v/>
      </c>
      <c r="AD159" s="4" t="str">
        <f>HYPERLINK("http://141.218.60.56/~jnz1568/getInfo.php?workbook=08_01.xlsx&amp;sheet=A0&amp;row=159&amp;col=30&amp;number=&amp;sourceID=13","")</f>
        <v/>
      </c>
      <c r="AE159" s="4" t="str">
        <f>HYPERLINK("http://141.218.60.56/~jnz1568/getInfo.php?workbook=08_01.xlsx&amp;sheet=A0&amp;row=159&amp;col=31&amp;number=&amp;sourceID=13","")</f>
        <v/>
      </c>
      <c r="AF159" s="4" t="str">
        <f>HYPERLINK("http://141.218.60.56/~jnz1568/getInfo.php?workbook=08_01.xlsx&amp;sheet=A0&amp;row=159&amp;col=32&amp;number=&amp;sourceID=20","")</f>
        <v/>
      </c>
    </row>
    <row r="160" spans="1:32">
      <c r="A160" s="3">
        <v>8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HYPERLINK("http://141.218.60.56/~jnz1568/getInfo.php?workbook=08_01.xlsx&amp;sheet=A0&amp;row=160&amp;col=6&amp;number=&amp;sourceID=18","")</f>
        <v/>
      </c>
      <c r="G160" s="4" t="str">
        <f>HYPERLINK("http://141.218.60.56/~jnz1568/getInfo.php?workbook=08_01.xlsx&amp;sheet=A0&amp;row=160&amp;col=7&amp;number==&amp;sourceID=11","=")</f>
        <v>=</v>
      </c>
      <c r="H160" s="4" t="str">
        <f>HYPERLINK("http://141.218.60.56/~jnz1568/getInfo.php?workbook=08_01.xlsx&amp;sheet=A0&amp;row=160&amp;col=8&amp;number=&amp;sourceID=11","")</f>
        <v/>
      </c>
      <c r="I160" s="4" t="str">
        <f>HYPERLINK("http://141.218.60.56/~jnz1568/getInfo.php?workbook=08_01.xlsx&amp;sheet=A0&amp;row=160&amp;col=9&amp;number=141820&amp;sourceID=11","141820")</f>
        <v>141820</v>
      </c>
      <c r="J160" s="4" t="str">
        <f>HYPERLINK("http://141.218.60.56/~jnz1568/getInfo.php?workbook=08_01.xlsx&amp;sheet=A0&amp;row=160&amp;col=10&amp;number=&amp;sourceID=11","")</f>
        <v/>
      </c>
      <c r="K160" s="4" t="str">
        <f>HYPERLINK("http://141.218.60.56/~jnz1568/getInfo.php?workbook=08_01.xlsx&amp;sheet=A0&amp;row=160&amp;col=11&amp;number=1.0099e-05&amp;sourceID=11","1.0099e-05")</f>
        <v>1.0099e-05</v>
      </c>
      <c r="L160" s="4" t="str">
        <f>HYPERLINK("http://141.218.60.56/~jnz1568/getInfo.php?workbook=08_01.xlsx&amp;sheet=A0&amp;row=160&amp;col=12&amp;number=&amp;sourceID=11","")</f>
        <v/>
      </c>
      <c r="M160" s="4" t="str">
        <f>HYPERLINK("http://141.218.60.56/~jnz1568/getInfo.php?workbook=08_01.xlsx&amp;sheet=A0&amp;row=160&amp;col=13&amp;number=&amp;sourceID=11","")</f>
        <v/>
      </c>
      <c r="N160" s="4" t="str">
        <f>HYPERLINK("http://141.218.60.56/~jnz1568/getInfo.php?workbook=08_01.xlsx&amp;sheet=A0&amp;row=160&amp;col=14&amp;number=141820&amp;sourceID=12","141820")</f>
        <v>141820</v>
      </c>
      <c r="O160" s="4" t="str">
        <f>HYPERLINK("http://141.218.60.56/~jnz1568/getInfo.php?workbook=08_01.xlsx&amp;sheet=A0&amp;row=160&amp;col=15&amp;number=&amp;sourceID=12","")</f>
        <v/>
      </c>
      <c r="P160" s="4" t="str">
        <f>HYPERLINK("http://141.218.60.56/~jnz1568/getInfo.php?workbook=08_01.xlsx&amp;sheet=A0&amp;row=160&amp;col=16&amp;number=141820&amp;sourceID=12","141820")</f>
        <v>141820</v>
      </c>
      <c r="Q160" s="4" t="str">
        <f>HYPERLINK("http://141.218.60.56/~jnz1568/getInfo.php?workbook=08_01.xlsx&amp;sheet=A0&amp;row=160&amp;col=17&amp;number=&amp;sourceID=12","")</f>
        <v/>
      </c>
      <c r="R160" s="4" t="str">
        <f>HYPERLINK("http://141.218.60.56/~jnz1568/getInfo.php?workbook=08_01.xlsx&amp;sheet=A0&amp;row=160&amp;col=18&amp;number=1.0099e-05&amp;sourceID=12","1.0099e-05")</f>
        <v>1.0099e-05</v>
      </c>
      <c r="S160" s="4" t="str">
        <f>HYPERLINK("http://141.218.60.56/~jnz1568/getInfo.php?workbook=08_01.xlsx&amp;sheet=A0&amp;row=160&amp;col=19&amp;number=&amp;sourceID=12","")</f>
        <v/>
      </c>
      <c r="T160" s="4" t="str">
        <f>HYPERLINK("http://141.218.60.56/~jnz1568/getInfo.php?workbook=08_01.xlsx&amp;sheet=A0&amp;row=160&amp;col=20&amp;number=&amp;sourceID=12","")</f>
        <v/>
      </c>
      <c r="U160" s="4" t="str">
        <f>HYPERLINK("http://141.218.60.56/~jnz1568/getInfo.php?workbook=08_01.xlsx&amp;sheet=A0&amp;row=160&amp;col=21&amp;number=141800.00001&amp;sourceID=30","141800.00001")</f>
        <v>141800.00001</v>
      </c>
      <c r="V160" s="4" t="str">
        <f>HYPERLINK("http://141.218.60.56/~jnz1568/getInfo.php?workbook=08_01.xlsx&amp;sheet=A0&amp;row=160&amp;col=22&amp;number=&amp;sourceID=30","")</f>
        <v/>
      </c>
      <c r="W160" s="4" t="str">
        <f>HYPERLINK("http://141.218.60.56/~jnz1568/getInfo.php?workbook=08_01.xlsx&amp;sheet=A0&amp;row=160&amp;col=23&amp;number=141800&amp;sourceID=30","141800")</f>
        <v>141800</v>
      </c>
      <c r="X160" s="4" t="str">
        <f>HYPERLINK("http://141.218.60.56/~jnz1568/getInfo.php?workbook=08_01.xlsx&amp;sheet=A0&amp;row=160&amp;col=24&amp;number=1.001e-05&amp;sourceID=30","1.001e-05")</f>
        <v>1.001e-05</v>
      </c>
      <c r="Y160" s="4" t="str">
        <f>HYPERLINK("http://141.218.60.56/~jnz1568/getInfo.php?workbook=08_01.xlsx&amp;sheet=A0&amp;row=160&amp;col=25&amp;number=&amp;sourceID=30","")</f>
        <v/>
      </c>
      <c r="Z160" s="4" t="str">
        <f>HYPERLINK("http://141.218.60.56/~jnz1568/getInfo.php?workbook=08_01.xlsx&amp;sheet=A0&amp;row=160&amp;col=26&amp;number=&amp;sourceID=13","")</f>
        <v/>
      </c>
      <c r="AA160" s="4" t="str">
        <f>HYPERLINK("http://141.218.60.56/~jnz1568/getInfo.php?workbook=08_01.xlsx&amp;sheet=A0&amp;row=160&amp;col=27&amp;number=&amp;sourceID=13","")</f>
        <v/>
      </c>
      <c r="AB160" s="4" t="str">
        <f>HYPERLINK("http://141.218.60.56/~jnz1568/getInfo.php?workbook=08_01.xlsx&amp;sheet=A0&amp;row=160&amp;col=28&amp;number=&amp;sourceID=13","")</f>
        <v/>
      </c>
      <c r="AC160" s="4" t="str">
        <f>HYPERLINK("http://141.218.60.56/~jnz1568/getInfo.php?workbook=08_01.xlsx&amp;sheet=A0&amp;row=160&amp;col=29&amp;number=&amp;sourceID=13","")</f>
        <v/>
      </c>
      <c r="AD160" s="4" t="str">
        <f>HYPERLINK("http://141.218.60.56/~jnz1568/getInfo.php?workbook=08_01.xlsx&amp;sheet=A0&amp;row=160&amp;col=30&amp;number=&amp;sourceID=13","")</f>
        <v/>
      </c>
      <c r="AE160" s="4" t="str">
        <f>HYPERLINK("http://141.218.60.56/~jnz1568/getInfo.php?workbook=08_01.xlsx&amp;sheet=A0&amp;row=160&amp;col=31&amp;number=&amp;sourceID=13","")</f>
        <v/>
      </c>
      <c r="AF160" s="4" t="str">
        <f>HYPERLINK("http://141.218.60.56/~jnz1568/getInfo.php?workbook=08_01.xlsx&amp;sheet=A0&amp;row=160&amp;col=32&amp;number=&amp;sourceID=20","")</f>
        <v/>
      </c>
    </row>
    <row r="161" spans="1:32">
      <c r="A161" s="3">
        <v>8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HYPERLINK("http://141.218.60.56/~jnz1568/getInfo.php?workbook=08_01.xlsx&amp;sheet=A0&amp;row=161&amp;col=6&amp;number=&amp;sourceID=18","")</f>
        <v/>
      </c>
      <c r="G161" s="4" t="str">
        <f>HYPERLINK("http://141.218.60.56/~jnz1568/getInfo.php?workbook=08_01.xlsx&amp;sheet=A0&amp;row=161&amp;col=7&amp;number==&amp;sourceID=11","=")</f>
        <v>=</v>
      </c>
      <c r="H161" s="4" t="str">
        <f>HYPERLINK("http://141.218.60.56/~jnz1568/getInfo.php?workbook=08_01.xlsx&amp;sheet=A0&amp;row=161&amp;col=8&amp;number=&amp;sourceID=11","")</f>
        <v/>
      </c>
      <c r="I161" s="4" t="str">
        <f>HYPERLINK("http://141.218.60.56/~jnz1568/getInfo.php?workbook=08_01.xlsx&amp;sheet=A0&amp;row=161&amp;col=9&amp;number=48792&amp;sourceID=11","48792")</f>
        <v>48792</v>
      </c>
      <c r="J161" s="4" t="str">
        <f>HYPERLINK("http://141.218.60.56/~jnz1568/getInfo.php?workbook=08_01.xlsx&amp;sheet=A0&amp;row=161&amp;col=10&amp;number=&amp;sourceID=11","")</f>
        <v/>
      </c>
      <c r="K161" s="4" t="str">
        <f>HYPERLINK("http://141.218.60.56/~jnz1568/getInfo.php?workbook=08_01.xlsx&amp;sheet=A0&amp;row=161&amp;col=11&amp;number=0.00093801&amp;sourceID=11","0.00093801")</f>
        <v>0.00093801</v>
      </c>
      <c r="L161" s="4" t="str">
        <f>HYPERLINK("http://141.218.60.56/~jnz1568/getInfo.php?workbook=08_01.xlsx&amp;sheet=A0&amp;row=161&amp;col=12&amp;number=&amp;sourceID=11","")</f>
        <v/>
      </c>
      <c r="M161" s="4" t="str">
        <f>HYPERLINK("http://141.218.60.56/~jnz1568/getInfo.php?workbook=08_01.xlsx&amp;sheet=A0&amp;row=161&amp;col=13&amp;number=5.8584e-07&amp;sourceID=11","5.8584e-07")</f>
        <v>5.8584e-07</v>
      </c>
      <c r="N161" s="4" t="str">
        <f>HYPERLINK("http://141.218.60.56/~jnz1568/getInfo.php?workbook=08_01.xlsx&amp;sheet=A0&amp;row=161&amp;col=14&amp;number=48794&amp;sourceID=12","48794")</f>
        <v>48794</v>
      </c>
      <c r="O161" s="4" t="str">
        <f>HYPERLINK("http://141.218.60.56/~jnz1568/getInfo.php?workbook=08_01.xlsx&amp;sheet=A0&amp;row=161&amp;col=15&amp;number=&amp;sourceID=12","")</f>
        <v/>
      </c>
      <c r="P161" s="4" t="str">
        <f>HYPERLINK("http://141.218.60.56/~jnz1568/getInfo.php?workbook=08_01.xlsx&amp;sheet=A0&amp;row=161&amp;col=16&amp;number=48794&amp;sourceID=12","48794")</f>
        <v>48794</v>
      </c>
      <c r="Q161" s="4" t="str">
        <f>HYPERLINK("http://141.218.60.56/~jnz1568/getInfo.php?workbook=08_01.xlsx&amp;sheet=A0&amp;row=161&amp;col=17&amp;number=&amp;sourceID=12","")</f>
        <v/>
      </c>
      <c r="R161" s="4" t="str">
        <f>HYPERLINK("http://141.218.60.56/~jnz1568/getInfo.php?workbook=08_01.xlsx&amp;sheet=A0&amp;row=161&amp;col=18&amp;number=0.00093804&amp;sourceID=12","0.00093804")</f>
        <v>0.00093804</v>
      </c>
      <c r="S161" s="4" t="str">
        <f>HYPERLINK("http://141.218.60.56/~jnz1568/getInfo.php?workbook=08_01.xlsx&amp;sheet=A0&amp;row=161&amp;col=19&amp;number=&amp;sourceID=12","")</f>
        <v/>
      </c>
      <c r="T161" s="4" t="str">
        <f>HYPERLINK("http://141.218.60.56/~jnz1568/getInfo.php?workbook=08_01.xlsx&amp;sheet=A0&amp;row=161&amp;col=20&amp;number=5.8586e-07&amp;sourceID=12","5.8586e-07")</f>
        <v>5.8586e-07</v>
      </c>
      <c r="U161" s="4" t="str">
        <f>HYPERLINK("http://141.218.60.56/~jnz1568/getInfo.php?workbook=08_01.xlsx&amp;sheet=A0&amp;row=161&amp;col=21&amp;number=48790.0009397&amp;sourceID=30","48790.0009397")</f>
        <v>48790.0009397</v>
      </c>
      <c r="V161" s="4" t="str">
        <f>HYPERLINK("http://141.218.60.56/~jnz1568/getInfo.php?workbook=08_01.xlsx&amp;sheet=A0&amp;row=161&amp;col=22&amp;number=&amp;sourceID=30","")</f>
        <v/>
      </c>
      <c r="W161" s="4" t="str">
        <f>HYPERLINK("http://141.218.60.56/~jnz1568/getInfo.php?workbook=08_01.xlsx&amp;sheet=A0&amp;row=161&amp;col=23&amp;number=48790&amp;sourceID=30","48790")</f>
        <v>48790</v>
      </c>
      <c r="X161" s="4" t="str">
        <f>HYPERLINK("http://141.218.60.56/~jnz1568/getInfo.php?workbook=08_01.xlsx&amp;sheet=A0&amp;row=161&amp;col=24&amp;number=0.0009397&amp;sourceID=30","0.0009397")</f>
        <v>0.0009397</v>
      </c>
      <c r="Y161" s="4" t="str">
        <f>HYPERLINK("http://141.218.60.56/~jnz1568/getInfo.php?workbook=08_01.xlsx&amp;sheet=A0&amp;row=161&amp;col=25&amp;number=&amp;sourceID=30","")</f>
        <v/>
      </c>
      <c r="Z161" s="4" t="str">
        <f>HYPERLINK("http://141.218.60.56/~jnz1568/getInfo.php?workbook=08_01.xlsx&amp;sheet=A0&amp;row=161&amp;col=26&amp;number=&amp;sourceID=13","")</f>
        <v/>
      </c>
      <c r="AA161" s="4" t="str">
        <f>HYPERLINK("http://141.218.60.56/~jnz1568/getInfo.php?workbook=08_01.xlsx&amp;sheet=A0&amp;row=161&amp;col=27&amp;number=&amp;sourceID=13","")</f>
        <v/>
      </c>
      <c r="AB161" s="4" t="str">
        <f>HYPERLINK("http://141.218.60.56/~jnz1568/getInfo.php?workbook=08_01.xlsx&amp;sheet=A0&amp;row=161&amp;col=28&amp;number=&amp;sourceID=13","")</f>
        <v/>
      </c>
      <c r="AC161" s="4" t="str">
        <f>HYPERLINK("http://141.218.60.56/~jnz1568/getInfo.php?workbook=08_01.xlsx&amp;sheet=A0&amp;row=161&amp;col=29&amp;number=&amp;sourceID=13","")</f>
        <v/>
      </c>
      <c r="AD161" s="4" t="str">
        <f>HYPERLINK("http://141.218.60.56/~jnz1568/getInfo.php?workbook=08_01.xlsx&amp;sheet=A0&amp;row=161&amp;col=30&amp;number=&amp;sourceID=13","")</f>
        <v/>
      </c>
      <c r="AE161" s="4" t="str">
        <f>HYPERLINK("http://141.218.60.56/~jnz1568/getInfo.php?workbook=08_01.xlsx&amp;sheet=A0&amp;row=161&amp;col=31&amp;number=&amp;sourceID=13","")</f>
        <v/>
      </c>
      <c r="AF161" s="4" t="str">
        <f>HYPERLINK("http://141.218.60.56/~jnz1568/getInfo.php?workbook=08_01.xlsx&amp;sheet=A0&amp;row=161&amp;col=32&amp;number=&amp;sourceID=20","")</f>
        <v/>
      </c>
    </row>
    <row r="162" spans="1:32">
      <c r="A162" s="3">
        <v>8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HYPERLINK("http://141.218.60.56/~jnz1568/getInfo.php?workbook=08_01.xlsx&amp;sheet=A0&amp;row=162&amp;col=6&amp;number=&amp;sourceID=18","")</f>
        <v/>
      </c>
      <c r="G162" s="4" t="str">
        <f>HYPERLINK("http://141.218.60.56/~jnz1568/getInfo.php?workbook=08_01.xlsx&amp;sheet=A0&amp;row=162&amp;col=7&amp;number==&amp;sourceID=11","=")</f>
        <v>=</v>
      </c>
      <c r="H162" s="4" t="str">
        <f>HYPERLINK("http://141.218.60.56/~jnz1568/getInfo.php?workbook=08_01.xlsx&amp;sheet=A0&amp;row=162&amp;col=8&amp;number=1015400000&amp;sourceID=11","1015400000")</f>
        <v>1015400000</v>
      </c>
      <c r="I162" s="4" t="str">
        <f>HYPERLINK("http://141.218.60.56/~jnz1568/getInfo.php?workbook=08_01.xlsx&amp;sheet=A0&amp;row=162&amp;col=9&amp;number=&amp;sourceID=11","")</f>
        <v/>
      </c>
      <c r="J162" s="4" t="str">
        <f>HYPERLINK("http://141.218.60.56/~jnz1568/getInfo.php?workbook=08_01.xlsx&amp;sheet=A0&amp;row=162&amp;col=10&amp;number=2.1967&amp;sourceID=11","2.1967")</f>
        <v>2.1967</v>
      </c>
      <c r="K162" s="4" t="str">
        <f>HYPERLINK("http://141.218.60.56/~jnz1568/getInfo.php?workbook=08_01.xlsx&amp;sheet=A0&amp;row=162&amp;col=11&amp;number=&amp;sourceID=11","")</f>
        <v/>
      </c>
      <c r="L162" s="4" t="str">
        <f>HYPERLINK("http://141.218.60.56/~jnz1568/getInfo.php?workbook=08_01.xlsx&amp;sheet=A0&amp;row=162&amp;col=12&amp;number=&amp;sourceID=11","")</f>
        <v/>
      </c>
      <c r="M162" s="4" t="str">
        <f>HYPERLINK("http://141.218.60.56/~jnz1568/getInfo.php?workbook=08_01.xlsx&amp;sheet=A0&amp;row=162&amp;col=13&amp;number=&amp;sourceID=11","")</f>
        <v/>
      </c>
      <c r="N162" s="4" t="str">
        <f>HYPERLINK("http://141.218.60.56/~jnz1568/getInfo.php?workbook=08_01.xlsx&amp;sheet=A0&amp;row=162&amp;col=14&amp;number=1015400000&amp;sourceID=12","1015400000")</f>
        <v>1015400000</v>
      </c>
      <c r="O162" s="4" t="str">
        <f>HYPERLINK("http://141.218.60.56/~jnz1568/getInfo.php?workbook=08_01.xlsx&amp;sheet=A0&amp;row=162&amp;col=15&amp;number=1015400000&amp;sourceID=12","1015400000")</f>
        <v>1015400000</v>
      </c>
      <c r="P162" s="4" t="str">
        <f>HYPERLINK("http://141.218.60.56/~jnz1568/getInfo.php?workbook=08_01.xlsx&amp;sheet=A0&amp;row=162&amp;col=16&amp;number=&amp;sourceID=12","")</f>
        <v/>
      </c>
      <c r="Q162" s="4" t="str">
        <f>HYPERLINK("http://141.218.60.56/~jnz1568/getInfo.php?workbook=08_01.xlsx&amp;sheet=A0&amp;row=162&amp;col=17&amp;number=2.1968&amp;sourceID=12","2.1968")</f>
        <v>2.1968</v>
      </c>
      <c r="R162" s="4" t="str">
        <f>HYPERLINK("http://141.218.60.56/~jnz1568/getInfo.php?workbook=08_01.xlsx&amp;sheet=A0&amp;row=162&amp;col=18&amp;number=&amp;sourceID=12","")</f>
        <v/>
      </c>
      <c r="S162" s="4" t="str">
        <f>HYPERLINK("http://141.218.60.56/~jnz1568/getInfo.php?workbook=08_01.xlsx&amp;sheet=A0&amp;row=162&amp;col=19&amp;number=&amp;sourceID=12","")</f>
        <v/>
      </c>
      <c r="T162" s="4" t="str">
        <f>HYPERLINK("http://141.218.60.56/~jnz1568/getInfo.php?workbook=08_01.xlsx&amp;sheet=A0&amp;row=162&amp;col=20&amp;number=&amp;sourceID=12","")</f>
        <v/>
      </c>
      <c r="U162" s="4" t="str">
        <f>HYPERLINK("http://141.218.60.56/~jnz1568/getInfo.php?workbook=08_01.xlsx&amp;sheet=A0&amp;row=162&amp;col=21&amp;number=1015000000&amp;sourceID=30","1015000000")</f>
        <v>1015000000</v>
      </c>
      <c r="V162" s="4" t="str">
        <f>HYPERLINK("http://141.218.60.56/~jnz1568/getInfo.php?workbook=08_01.xlsx&amp;sheet=A0&amp;row=162&amp;col=22&amp;number=1015000000&amp;sourceID=30","1015000000")</f>
        <v>1015000000</v>
      </c>
      <c r="W162" s="4" t="str">
        <f>HYPERLINK("http://141.218.60.56/~jnz1568/getInfo.php?workbook=08_01.xlsx&amp;sheet=A0&amp;row=162&amp;col=23&amp;number=&amp;sourceID=30","")</f>
        <v/>
      </c>
      <c r="X162" s="4" t="str">
        <f>HYPERLINK("http://141.218.60.56/~jnz1568/getInfo.php?workbook=08_01.xlsx&amp;sheet=A0&amp;row=162&amp;col=24&amp;number=&amp;sourceID=30","")</f>
        <v/>
      </c>
      <c r="Y162" s="4" t="str">
        <f>HYPERLINK("http://141.218.60.56/~jnz1568/getInfo.php?workbook=08_01.xlsx&amp;sheet=A0&amp;row=162&amp;col=25&amp;number=&amp;sourceID=30","")</f>
        <v/>
      </c>
      <c r="Z162" s="4" t="str">
        <f>HYPERLINK("http://141.218.60.56/~jnz1568/getInfo.php?workbook=08_01.xlsx&amp;sheet=A0&amp;row=162&amp;col=26&amp;number=&amp;sourceID=13","")</f>
        <v/>
      </c>
      <c r="AA162" s="4" t="str">
        <f>HYPERLINK("http://141.218.60.56/~jnz1568/getInfo.php?workbook=08_01.xlsx&amp;sheet=A0&amp;row=162&amp;col=27&amp;number=&amp;sourceID=13","")</f>
        <v/>
      </c>
      <c r="AB162" s="4" t="str">
        <f>HYPERLINK("http://141.218.60.56/~jnz1568/getInfo.php?workbook=08_01.xlsx&amp;sheet=A0&amp;row=162&amp;col=28&amp;number=&amp;sourceID=13","")</f>
        <v/>
      </c>
      <c r="AC162" s="4" t="str">
        <f>HYPERLINK("http://141.218.60.56/~jnz1568/getInfo.php?workbook=08_01.xlsx&amp;sheet=A0&amp;row=162&amp;col=29&amp;number=&amp;sourceID=13","")</f>
        <v/>
      </c>
      <c r="AD162" s="4" t="str">
        <f>HYPERLINK("http://141.218.60.56/~jnz1568/getInfo.php?workbook=08_01.xlsx&amp;sheet=A0&amp;row=162&amp;col=30&amp;number=&amp;sourceID=13","")</f>
        <v/>
      </c>
      <c r="AE162" s="4" t="str">
        <f>HYPERLINK("http://141.218.60.56/~jnz1568/getInfo.php?workbook=08_01.xlsx&amp;sheet=A0&amp;row=162&amp;col=31&amp;number=&amp;sourceID=13","")</f>
        <v/>
      </c>
      <c r="AF162" s="4" t="str">
        <f>HYPERLINK("http://141.218.60.56/~jnz1568/getInfo.php?workbook=08_01.xlsx&amp;sheet=A0&amp;row=162&amp;col=32&amp;number=&amp;sourceID=20","")</f>
        <v/>
      </c>
    </row>
    <row r="163" spans="1:32">
      <c r="A163" s="3">
        <v>8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HYPERLINK("http://141.218.60.56/~jnz1568/getInfo.php?workbook=08_01.xlsx&amp;sheet=A0&amp;row=163&amp;col=6&amp;number=&amp;sourceID=18","")</f>
        <v/>
      </c>
      <c r="G163" s="4" t="str">
        <f>HYPERLINK("http://141.218.60.56/~jnz1568/getInfo.php?workbook=08_01.xlsx&amp;sheet=A0&amp;row=163&amp;col=7&amp;number==&amp;sourceID=11","=")</f>
        <v>=</v>
      </c>
      <c r="H163" s="4" t="str">
        <f>HYPERLINK("http://141.218.60.56/~jnz1568/getInfo.php?workbook=08_01.xlsx&amp;sheet=A0&amp;row=163&amp;col=8&amp;number=207650000&amp;sourceID=11","207650000")</f>
        <v>207650000</v>
      </c>
      <c r="I163" s="4" t="str">
        <f>HYPERLINK("http://141.218.60.56/~jnz1568/getInfo.php?workbook=08_01.xlsx&amp;sheet=A0&amp;row=163&amp;col=9&amp;number=&amp;sourceID=11","")</f>
        <v/>
      </c>
      <c r="J163" s="4" t="str">
        <f>HYPERLINK("http://141.218.60.56/~jnz1568/getInfo.php?workbook=08_01.xlsx&amp;sheet=A0&amp;row=163&amp;col=10&amp;number=0.19761&amp;sourceID=11","0.19761")</f>
        <v>0.19761</v>
      </c>
      <c r="K163" s="4" t="str">
        <f>HYPERLINK("http://141.218.60.56/~jnz1568/getInfo.php?workbook=08_01.xlsx&amp;sheet=A0&amp;row=163&amp;col=11&amp;number=&amp;sourceID=11","")</f>
        <v/>
      </c>
      <c r="L163" s="4" t="str">
        <f>HYPERLINK("http://141.218.60.56/~jnz1568/getInfo.php?workbook=08_01.xlsx&amp;sheet=A0&amp;row=163&amp;col=12&amp;number=0.013628&amp;sourceID=11","0.013628")</f>
        <v>0.013628</v>
      </c>
      <c r="M163" s="4" t="str">
        <f>HYPERLINK("http://141.218.60.56/~jnz1568/getInfo.php?workbook=08_01.xlsx&amp;sheet=A0&amp;row=163&amp;col=13&amp;number=&amp;sourceID=11","")</f>
        <v/>
      </c>
      <c r="N163" s="4" t="str">
        <f>HYPERLINK("http://141.218.60.56/~jnz1568/getInfo.php?workbook=08_01.xlsx&amp;sheet=A0&amp;row=163&amp;col=14&amp;number=207650000&amp;sourceID=12","207650000")</f>
        <v>207650000</v>
      </c>
      <c r="O163" s="4" t="str">
        <f>HYPERLINK("http://141.218.60.56/~jnz1568/getInfo.php?workbook=08_01.xlsx&amp;sheet=A0&amp;row=163&amp;col=15&amp;number=207650000&amp;sourceID=12","207650000")</f>
        <v>207650000</v>
      </c>
      <c r="P163" s="4" t="str">
        <f>HYPERLINK("http://141.218.60.56/~jnz1568/getInfo.php?workbook=08_01.xlsx&amp;sheet=A0&amp;row=163&amp;col=16&amp;number=&amp;sourceID=12","")</f>
        <v/>
      </c>
      <c r="Q163" s="4" t="str">
        <f>HYPERLINK("http://141.218.60.56/~jnz1568/getInfo.php?workbook=08_01.xlsx&amp;sheet=A0&amp;row=163&amp;col=17&amp;number=0.19761&amp;sourceID=12","0.19761")</f>
        <v>0.19761</v>
      </c>
      <c r="R163" s="4" t="str">
        <f>HYPERLINK("http://141.218.60.56/~jnz1568/getInfo.php?workbook=08_01.xlsx&amp;sheet=A0&amp;row=163&amp;col=18&amp;number=&amp;sourceID=12","")</f>
        <v/>
      </c>
      <c r="S163" s="4" t="str">
        <f>HYPERLINK("http://141.218.60.56/~jnz1568/getInfo.php?workbook=08_01.xlsx&amp;sheet=A0&amp;row=163&amp;col=19&amp;number=0.013629&amp;sourceID=12","0.013629")</f>
        <v>0.013629</v>
      </c>
      <c r="T163" s="4" t="str">
        <f>HYPERLINK("http://141.218.60.56/~jnz1568/getInfo.php?workbook=08_01.xlsx&amp;sheet=A0&amp;row=163&amp;col=20&amp;number=&amp;sourceID=12","")</f>
        <v/>
      </c>
      <c r="U163" s="4" t="str">
        <f>HYPERLINK("http://141.218.60.56/~jnz1568/getInfo.php?workbook=08_01.xlsx&amp;sheet=A0&amp;row=163&amp;col=21&amp;number=207600000.014&amp;sourceID=30","207600000.014")</f>
        <v>207600000.014</v>
      </c>
      <c r="V163" s="4" t="str">
        <f>HYPERLINK("http://141.218.60.56/~jnz1568/getInfo.php?workbook=08_01.xlsx&amp;sheet=A0&amp;row=163&amp;col=22&amp;number=207600000&amp;sourceID=30","207600000")</f>
        <v>207600000</v>
      </c>
      <c r="W163" s="4" t="str">
        <f>HYPERLINK("http://141.218.60.56/~jnz1568/getInfo.php?workbook=08_01.xlsx&amp;sheet=A0&amp;row=163&amp;col=23&amp;number=&amp;sourceID=30","")</f>
        <v/>
      </c>
      <c r="X163" s="4" t="str">
        <f>HYPERLINK("http://141.218.60.56/~jnz1568/getInfo.php?workbook=08_01.xlsx&amp;sheet=A0&amp;row=163&amp;col=24&amp;number=&amp;sourceID=30","")</f>
        <v/>
      </c>
      <c r="Y163" s="4" t="str">
        <f>HYPERLINK("http://141.218.60.56/~jnz1568/getInfo.php?workbook=08_01.xlsx&amp;sheet=A0&amp;row=163&amp;col=25&amp;number=0.01363&amp;sourceID=30","0.01363")</f>
        <v>0.01363</v>
      </c>
      <c r="Z163" s="4" t="str">
        <f>HYPERLINK("http://141.218.60.56/~jnz1568/getInfo.php?workbook=08_01.xlsx&amp;sheet=A0&amp;row=163&amp;col=26&amp;number=&amp;sourceID=13","")</f>
        <v/>
      </c>
      <c r="AA163" s="4" t="str">
        <f>HYPERLINK("http://141.218.60.56/~jnz1568/getInfo.php?workbook=08_01.xlsx&amp;sheet=A0&amp;row=163&amp;col=27&amp;number=&amp;sourceID=13","")</f>
        <v/>
      </c>
      <c r="AB163" s="4" t="str">
        <f>HYPERLINK("http://141.218.60.56/~jnz1568/getInfo.php?workbook=08_01.xlsx&amp;sheet=A0&amp;row=163&amp;col=28&amp;number=&amp;sourceID=13","")</f>
        <v/>
      </c>
      <c r="AC163" s="4" t="str">
        <f>HYPERLINK("http://141.218.60.56/~jnz1568/getInfo.php?workbook=08_01.xlsx&amp;sheet=A0&amp;row=163&amp;col=29&amp;number=&amp;sourceID=13","")</f>
        <v/>
      </c>
      <c r="AD163" s="4" t="str">
        <f>HYPERLINK("http://141.218.60.56/~jnz1568/getInfo.php?workbook=08_01.xlsx&amp;sheet=A0&amp;row=163&amp;col=30&amp;number=&amp;sourceID=13","")</f>
        <v/>
      </c>
      <c r="AE163" s="4" t="str">
        <f>HYPERLINK("http://141.218.60.56/~jnz1568/getInfo.php?workbook=08_01.xlsx&amp;sheet=A0&amp;row=163&amp;col=31&amp;number=&amp;sourceID=13","")</f>
        <v/>
      </c>
      <c r="AF163" s="4" t="str">
        <f>HYPERLINK("http://141.218.60.56/~jnz1568/getInfo.php?workbook=08_01.xlsx&amp;sheet=A0&amp;row=163&amp;col=32&amp;number=&amp;sourceID=20","")</f>
        <v/>
      </c>
    </row>
    <row r="164" spans="1:32">
      <c r="A164" s="3">
        <v>8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HYPERLINK("http://141.218.60.56/~jnz1568/getInfo.php?workbook=08_01.xlsx&amp;sheet=A0&amp;row=164&amp;col=6&amp;number=&amp;sourceID=18","")</f>
        <v/>
      </c>
      <c r="G164" s="4" t="str">
        <f>HYPERLINK("http://141.218.60.56/~jnz1568/getInfo.php?workbook=08_01.xlsx&amp;sheet=A0&amp;row=164&amp;col=7&amp;number==&amp;sourceID=11","=")</f>
        <v>=</v>
      </c>
      <c r="H164" s="4" t="str">
        <f>HYPERLINK("http://141.218.60.56/~jnz1568/getInfo.php?workbook=08_01.xlsx&amp;sheet=A0&amp;row=164&amp;col=8&amp;number=&amp;sourceID=11","")</f>
        <v/>
      </c>
      <c r="I164" s="4" t="str">
        <f>HYPERLINK("http://141.218.60.56/~jnz1568/getInfo.php?workbook=08_01.xlsx&amp;sheet=A0&amp;row=164&amp;col=9&amp;number=20904&amp;sourceID=11","20904")</f>
        <v>20904</v>
      </c>
      <c r="J164" s="4" t="str">
        <f>HYPERLINK("http://141.218.60.56/~jnz1568/getInfo.php?workbook=08_01.xlsx&amp;sheet=A0&amp;row=164&amp;col=10&amp;number=&amp;sourceID=11","")</f>
        <v/>
      </c>
      <c r="K164" s="4" t="str">
        <f>HYPERLINK("http://141.218.60.56/~jnz1568/getInfo.php?workbook=08_01.xlsx&amp;sheet=A0&amp;row=164&amp;col=11&amp;number=0.0060538&amp;sourceID=11","0.0060538")</f>
        <v>0.0060538</v>
      </c>
      <c r="L164" s="4" t="str">
        <f>HYPERLINK("http://141.218.60.56/~jnz1568/getInfo.php?workbook=08_01.xlsx&amp;sheet=A0&amp;row=164&amp;col=12&amp;number=&amp;sourceID=11","")</f>
        <v/>
      </c>
      <c r="M164" s="4" t="str">
        <f>HYPERLINK("http://141.218.60.56/~jnz1568/getInfo.php?workbook=08_01.xlsx&amp;sheet=A0&amp;row=164&amp;col=13&amp;number=3.9016e-07&amp;sourceID=11","3.9016e-07")</f>
        <v>3.9016e-07</v>
      </c>
      <c r="N164" s="4" t="str">
        <f>HYPERLINK("http://141.218.60.56/~jnz1568/getInfo.php?workbook=08_01.xlsx&amp;sheet=A0&amp;row=164&amp;col=14&amp;number=20904&amp;sourceID=12","20904")</f>
        <v>20904</v>
      </c>
      <c r="O164" s="4" t="str">
        <f>HYPERLINK("http://141.218.60.56/~jnz1568/getInfo.php?workbook=08_01.xlsx&amp;sheet=A0&amp;row=164&amp;col=15&amp;number=&amp;sourceID=12","")</f>
        <v/>
      </c>
      <c r="P164" s="4" t="str">
        <f>HYPERLINK("http://141.218.60.56/~jnz1568/getInfo.php?workbook=08_01.xlsx&amp;sheet=A0&amp;row=164&amp;col=16&amp;number=20904&amp;sourceID=12","20904")</f>
        <v>20904</v>
      </c>
      <c r="Q164" s="4" t="str">
        <f>HYPERLINK("http://141.218.60.56/~jnz1568/getInfo.php?workbook=08_01.xlsx&amp;sheet=A0&amp;row=164&amp;col=17&amp;number=&amp;sourceID=12","")</f>
        <v/>
      </c>
      <c r="R164" s="4" t="str">
        <f>HYPERLINK("http://141.218.60.56/~jnz1568/getInfo.php?workbook=08_01.xlsx&amp;sheet=A0&amp;row=164&amp;col=18&amp;number=0.0060542&amp;sourceID=12","0.0060542")</f>
        <v>0.0060542</v>
      </c>
      <c r="S164" s="4" t="str">
        <f>HYPERLINK("http://141.218.60.56/~jnz1568/getInfo.php?workbook=08_01.xlsx&amp;sheet=A0&amp;row=164&amp;col=19&amp;number=&amp;sourceID=12","")</f>
        <v/>
      </c>
      <c r="T164" s="4" t="str">
        <f>HYPERLINK("http://141.218.60.56/~jnz1568/getInfo.php?workbook=08_01.xlsx&amp;sheet=A0&amp;row=164&amp;col=20&amp;number=3.9017e-07&amp;sourceID=12","3.9017e-07")</f>
        <v>3.9017e-07</v>
      </c>
      <c r="U164" s="4" t="str">
        <f>HYPERLINK("http://141.218.60.56/~jnz1568/getInfo.php?workbook=08_01.xlsx&amp;sheet=A0&amp;row=164&amp;col=21&amp;number=20900.006051&amp;sourceID=30","20900.006051")</f>
        <v>20900.006051</v>
      </c>
      <c r="V164" s="4" t="str">
        <f>HYPERLINK("http://141.218.60.56/~jnz1568/getInfo.php?workbook=08_01.xlsx&amp;sheet=A0&amp;row=164&amp;col=22&amp;number=&amp;sourceID=30","")</f>
        <v/>
      </c>
      <c r="W164" s="4" t="str">
        <f>HYPERLINK("http://141.218.60.56/~jnz1568/getInfo.php?workbook=08_01.xlsx&amp;sheet=A0&amp;row=164&amp;col=23&amp;number=20900&amp;sourceID=30","20900")</f>
        <v>20900</v>
      </c>
      <c r="X164" s="4" t="str">
        <f>HYPERLINK("http://141.218.60.56/~jnz1568/getInfo.php?workbook=08_01.xlsx&amp;sheet=A0&amp;row=164&amp;col=24&amp;number=0.006051&amp;sourceID=30","0.006051")</f>
        <v>0.006051</v>
      </c>
      <c r="Y164" s="4" t="str">
        <f>HYPERLINK("http://141.218.60.56/~jnz1568/getInfo.php?workbook=08_01.xlsx&amp;sheet=A0&amp;row=164&amp;col=25&amp;number=&amp;sourceID=30","")</f>
        <v/>
      </c>
      <c r="Z164" s="4" t="str">
        <f>HYPERLINK("http://141.218.60.56/~jnz1568/getInfo.php?workbook=08_01.xlsx&amp;sheet=A0&amp;row=164&amp;col=26&amp;number=&amp;sourceID=13","")</f>
        <v/>
      </c>
      <c r="AA164" s="4" t="str">
        <f>HYPERLINK("http://141.218.60.56/~jnz1568/getInfo.php?workbook=08_01.xlsx&amp;sheet=A0&amp;row=164&amp;col=27&amp;number=&amp;sourceID=13","")</f>
        <v/>
      </c>
      <c r="AB164" s="4" t="str">
        <f>HYPERLINK("http://141.218.60.56/~jnz1568/getInfo.php?workbook=08_01.xlsx&amp;sheet=A0&amp;row=164&amp;col=28&amp;number=&amp;sourceID=13","")</f>
        <v/>
      </c>
      <c r="AC164" s="4" t="str">
        <f>HYPERLINK("http://141.218.60.56/~jnz1568/getInfo.php?workbook=08_01.xlsx&amp;sheet=A0&amp;row=164&amp;col=29&amp;number=&amp;sourceID=13","")</f>
        <v/>
      </c>
      <c r="AD164" s="4" t="str">
        <f>HYPERLINK("http://141.218.60.56/~jnz1568/getInfo.php?workbook=08_01.xlsx&amp;sheet=A0&amp;row=164&amp;col=30&amp;number=&amp;sourceID=13","")</f>
        <v/>
      </c>
      <c r="AE164" s="4" t="str">
        <f>HYPERLINK("http://141.218.60.56/~jnz1568/getInfo.php?workbook=08_01.xlsx&amp;sheet=A0&amp;row=164&amp;col=31&amp;number=&amp;sourceID=13","")</f>
        <v/>
      </c>
      <c r="AF164" s="4" t="str">
        <f>HYPERLINK("http://141.218.60.56/~jnz1568/getInfo.php?workbook=08_01.xlsx&amp;sheet=A0&amp;row=164&amp;col=32&amp;number=&amp;sourceID=20","")</f>
        <v/>
      </c>
    </row>
    <row r="165" spans="1:32">
      <c r="A165" s="3">
        <v>8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HYPERLINK("http://141.218.60.56/~jnz1568/getInfo.php?workbook=08_01.xlsx&amp;sheet=A0&amp;row=165&amp;col=6&amp;number=&amp;sourceID=18","")</f>
        <v/>
      </c>
      <c r="G165" s="4" t="str">
        <f>HYPERLINK("http://141.218.60.56/~jnz1568/getInfo.php?workbook=08_01.xlsx&amp;sheet=A0&amp;row=165&amp;col=7&amp;number==&amp;sourceID=11","=")</f>
        <v>=</v>
      </c>
      <c r="H165" s="4" t="str">
        <f>HYPERLINK("http://141.218.60.56/~jnz1568/getInfo.php?workbook=08_01.xlsx&amp;sheet=A0&amp;row=165&amp;col=8&amp;number=&amp;sourceID=11","")</f>
        <v/>
      </c>
      <c r="I165" s="4" t="str">
        <f>HYPERLINK("http://141.218.60.56/~jnz1568/getInfo.php?workbook=08_01.xlsx&amp;sheet=A0&amp;row=165&amp;col=9&amp;number=&amp;sourceID=11","")</f>
        <v/>
      </c>
      <c r="J165" s="4" t="str">
        <f>HYPERLINK("http://141.218.60.56/~jnz1568/getInfo.php?workbook=08_01.xlsx&amp;sheet=A0&amp;row=165&amp;col=10&amp;number=0.10972&amp;sourceID=11","0.10972")</f>
        <v>0.10972</v>
      </c>
      <c r="K165" s="4" t="str">
        <f>HYPERLINK("http://141.218.60.56/~jnz1568/getInfo.php?workbook=08_01.xlsx&amp;sheet=A0&amp;row=165&amp;col=11&amp;number=&amp;sourceID=11","")</f>
        <v/>
      </c>
      <c r="L165" s="4" t="str">
        <f>HYPERLINK("http://141.218.60.56/~jnz1568/getInfo.php?workbook=08_01.xlsx&amp;sheet=A0&amp;row=165&amp;col=12&amp;number=0.023287&amp;sourceID=11","0.023287")</f>
        <v>0.023287</v>
      </c>
      <c r="M165" s="4" t="str">
        <f>HYPERLINK("http://141.218.60.56/~jnz1568/getInfo.php?workbook=08_01.xlsx&amp;sheet=A0&amp;row=165&amp;col=13&amp;number=&amp;sourceID=11","")</f>
        <v/>
      </c>
      <c r="N165" s="4" t="str">
        <f>HYPERLINK("http://141.218.60.56/~jnz1568/getInfo.php?workbook=08_01.xlsx&amp;sheet=A0&amp;row=165&amp;col=14&amp;number=0.13302&amp;sourceID=12","0.13302")</f>
        <v>0.13302</v>
      </c>
      <c r="O165" s="4" t="str">
        <f>HYPERLINK("http://141.218.60.56/~jnz1568/getInfo.php?workbook=08_01.xlsx&amp;sheet=A0&amp;row=165&amp;col=15&amp;number=&amp;sourceID=12","")</f>
        <v/>
      </c>
      <c r="P165" s="4" t="str">
        <f>HYPERLINK("http://141.218.60.56/~jnz1568/getInfo.php?workbook=08_01.xlsx&amp;sheet=A0&amp;row=165&amp;col=16&amp;number=&amp;sourceID=12","")</f>
        <v/>
      </c>
      <c r="Q165" s="4" t="str">
        <f>HYPERLINK("http://141.218.60.56/~jnz1568/getInfo.php?workbook=08_01.xlsx&amp;sheet=A0&amp;row=165&amp;col=17&amp;number=0.10973&amp;sourceID=12","0.10973")</f>
        <v>0.10973</v>
      </c>
      <c r="R165" s="4" t="str">
        <f>HYPERLINK("http://141.218.60.56/~jnz1568/getInfo.php?workbook=08_01.xlsx&amp;sheet=A0&amp;row=165&amp;col=18&amp;number=&amp;sourceID=12","")</f>
        <v/>
      </c>
      <c r="S165" s="4" t="str">
        <f>HYPERLINK("http://141.218.60.56/~jnz1568/getInfo.php?workbook=08_01.xlsx&amp;sheet=A0&amp;row=165&amp;col=19&amp;number=0.023288&amp;sourceID=12","0.023288")</f>
        <v>0.023288</v>
      </c>
      <c r="T165" s="4" t="str">
        <f>HYPERLINK("http://141.218.60.56/~jnz1568/getInfo.php?workbook=08_01.xlsx&amp;sheet=A0&amp;row=165&amp;col=20&amp;number=&amp;sourceID=12","")</f>
        <v/>
      </c>
      <c r="U165" s="4" t="str">
        <f>HYPERLINK("http://141.218.60.56/~jnz1568/getInfo.php?workbook=08_01.xlsx&amp;sheet=A0&amp;row=165&amp;col=21&amp;number=0.02329&amp;sourceID=30","0.02329")</f>
        <v>0.02329</v>
      </c>
      <c r="V165" s="4" t="str">
        <f>HYPERLINK("http://141.218.60.56/~jnz1568/getInfo.php?workbook=08_01.xlsx&amp;sheet=A0&amp;row=165&amp;col=22&amp;number=&amp;sourceID=30","")</f>
        <v/>
      </c>
      <c r="W165" s="4" t="str">
        <f>HYPERLINK("http://141.218.60.56/~jnz1568/getInfo.php?workbook=08_01.xlsx&amp;sheet=A0&amp;row=165&amp;col=23&amp;number=&amp;sourceID=30","")</f>
        <v/>
      </c>
      <c r="X165" s="4" t="str">
        <f>HYPERLINK("http://141.218.60.56/~jnz1568/getInfo.php?workbook=08_01.xlsx&amp;sheet=A0&amp;row=165&amp;col=24&amp;number=&amp;sourceID=30","")</f>
        <v/>
      </c>
      <c r="Y165" s="4" t="str">
        <f>HYPERLINK("http://141.218.60.56/~jnz1568/getInfo.php?workbook=08_01.xlsx&amp;sheet=A0&amp;row=165&amp;col=25&amp;number=0.02329&amp;sourceID=30","0.02329")</f>
        <v>0.02329</v>
      </c>
      <c r="Z165" s="4" t="str">
        <f>HYPERLINK("http://141.218.60.56/~jnz1568/getInfo.php?workbook=08_01.xlsx&amp;sheet=A0&amp;row=165&amp;col=26&amp;number=&amp;sourceID=13","")</f>
        <v/>
      </c>
      <c r="AA165" s="4" t="str">
        <f>HYPERLINK("http://141.218.60.56/~jnz1568/getInfo.php?workbook=08_01.xlsx&amp;sheet=A0&amp;row=165&amp;col=27&amp;number=&amp;sourceID=13","")</f>
        <v/>
      </c>
      <c r="AB165" s="4" t="str">
        <f>HYPERLINK("http://141.218.60.56/~jnz1568/getInfo.php?workbook=08_01.xlsx&amp;sheet=A0&amp;row=165&amp;col=28&amp;number=&amp;sourceID=13","")</f>
        <v/>
      </c>
      <c r="AC165" s="4" t="str">
        <f>HYPERLINK("http://141.218.60.56/~jnz1568/getInfo.php?workbook=08_01.xlsx&amp;sheet=A0&amp;row=165&amp;col=29&amp;number=&amp;sourceID=13","")</f>
        <v/>
      </c>
      <c r="AD165" s="4" t="str">
        <f>HYPERLINK("http://141.218.60.56/~jnz1568/getInfo.php?workbook=08_01.xlsx&amp;sheet=A0&amp;row=165&amp;col=30&amp;number=&amp;sourceID=13","")</f>
        <v/>
      </c>
      <c r="AE165" s="4" t="str">
        <f>HYPERLINK("http://141.218.60.56/~jnz1568/getInfo.php?workbook=08_01.xlsx&amp;sheet=A0&amp;row=165&amp;col=31&amp;number=&amp;sourceID=13","")</f>
        <v/>
      </c>
      <c r="AF165" s="4" t="str">
        <f>HYPERLINK("http://141.218.60.56/~jnz1568/getInfo.php?workbook=08_01.xlsx&amp;sheet=A0&amp;row=165&amp;col=32&amp;number=&amp;sourceID=20","")</f>
        <v/>
      </c>
    </row>
    <row r="166" spans="1:32">
      <c r="A166" s="3">
        <v>8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HYPERLINK("http://141.218.60.56/~jnz1568/getInfo.php?workbook=08_01.xlsx&amp;sheet=A0&amp;row=166&amp;col=6&amp;number=&amp;sourceID=18","")</f>
        <v/>
      </c>
      <c r="G166" s="4" t="str">
        <f>HYPERLINK("http://141.218.60.56/~jnz1568/getInfo.php?workbook=08_01.xlsx&amp;sheet=A0&amp;row=166&amp;col=7&amp;number==&amp;sourceID=11","=")</f>
        <v>=</v>
      </c>
      <c r="H166" s="4" t="str">
        <f>HYPERLINK("http://141.218.60.56/~jnz1568/getInfo.php?workbook=08_01.xlsx&amp;sheet=A0&amp;row=166&amp;col=8&amp;number=11.004&amp;sourceID=11","11.004")</f>
        <v>11.004</v>
      </c>
      <c r="I166" s="4" t="str">
        <f>HYPERLINK("http://141.218.60.56/~jnz1568/getInfo.php?workbook=08_01.xlsx&amp;sheet=A0&amp;row=166&amp;col=9&amp;number=&amp;sourceID=11","")</f>
        <v/>
      </c>
      <c r="J166" s="4" t="str">
        <f>HYPERLINK("http://141.218.60.56/~jnz1568/getInfo.php?workbook=08_01.xlsx&amp;sheet=A0&amp;row=166&amp;col=10&amp;number=&amp;sourceID=11","")</f>
        <v/>
      </c>
      <c r="K166" s="4" t="str">
        <f>HYPERLINK("http://141.218.60.56/~jnz1568/getInfo.php?workbook=08_01.xlsx&amp;sheet=A0&amp;row=166&amp;col=11&amp;number=&amp;sourceID=11","")</f>
        <v/>
      </c>
      <c r="L166" s="4" t="str">
        <f>HYPERLINK("http://141.218.60.56/~jnz1568/getInfo.php?workbook=08_01.xlsx&amp;sheet=A0&amp;row=166&amp;col=12&amp;number=0&amp;sourceID=11","0")</f>
        <v>0</v>
      </c>
      <c r="M166" s="4" t="str">
        <f>HYPERLINK("http://141.218.60.56/~jnz1568/getInfo.php?workbook=08_01.xlsx&amp;sheet=A0&amp;row=166&amp;col=13&amp;number=&amp;sourceID=11","")</f>
        <v/>
      </c>
      <c r="N166" s="4" t="str">
        <f>HYPERLINK("http://141.218.60.56/~jnz1568/getInfo.php?workbook=08_01.xlsx&amp;sheet=A0&amp;row=166&amp;col=14&amp;number=11.005&amp;sourceID=12","11.005")</f>
        <v>11.005</v>
      </c>
      <c r="O166" s="4" t="str">
        <f>HYPERLINK("http://141.218.60.56/~jnz1568/getInfo.php?workbook=08_01.xlsx&amp;sheet=A0&amp;row=166&amp;col=15&amp;number=11.005&amp;sourceID=12","11.005")</f>
        <v>11.005</v>
      </c>
      <c r="P166" s="4" t="str">
        <f>HYPERLINK("http://141.218.60.56/~jnz1568/getInfo.php?workbook=08_01.xlsx&amp;sheet=A0&amp;row=166&amp;col=16&amp;number=&amp;sourceID=12","")</f>
        <v/>
      </c>
      <c r="Q166" s="4" t="str">
        <f>HYPERLINK("http://141.218.60.56/~jnz1568/getInfo.php?workbook=08_01.xlsx&amp;sheet=A0&amp;row=166&amp;col=17&amp;number=&amp;sourceID=12","")</f>
        <v/>
      </c>
      <c r="R166" s="4" t="str">
        <f>HYPERLINK("http://141.218.60.56/~jnz1568/getInfo.php?workbook=08_01.xlsx&amp;sheet=A0&amp;row=166&amp;col=18&amp;number=&amp;sourceID=12","")</f>
        <v/>
      </c>
      <c r="S166" s="4" t="str">
        <f>HYPERLINK("http://141.218.60.56/~jnz1568/getInfo.php?workbook=08_01.xlsx&amp;sheet=A0&amp;row=166&amp;col=19&amp;number=0&amp;sourceID=12","0")</f>
        <v>0</v>
      </c>
      <c r="T166" s="4" t="str">
        <f>HYPERLINK("http://141.218.60.56/~jnz1568/getInfo.php?workbook=08_01.xlsx&amp;sheet=A0&amp;row=166&amp;col=20&amp;number=&amp;sourceID=12","")</f>
        <v/>
      </c>
      <c r="U166" s="4" t="str">
        <f>HYPERLINK("http://141.218.60.56/~jnz1568/getInfo.php?workbook=08_01.xlsx&amp;sheet=A0&amp;row=166&amp;col=21&amp;number=11.01&amp;sourceID=30","11.01")</f>
        <v>11.01</v>
      </c>
      <c r="V166" s="4" t="str">
        <f>HYPERLINK("http://141.218.60.56/~jnz1568/getInfo.php?workbook=08_01.xlsx&amp;sheet=A0&amp;row=166&amp;col=22&amp;number=11.01&amp;sourceID=30","11.01")</f>
        <v>11.01</v>
      </c>
      <c r="W166" s="4" t="str">
        <f>HYPERLINK("http://141.218.60.56/~jnz1568/getInfo.php?workbook=08_01.xlsx&amp;sheet=A0&amp;row=166&amp;col=23&amp;number=&amp;sourceID=30","")</f>
        <v/>
      </c>
      <c r="X166" s="4" t="str">
        <f>HYPERLINK("http://141.218.60.56/~jnz1568/getInfo.php?workbook=08_01.xlsx&amp;sheet=A0&amp;row=166&amp;col=24&amp;number=&amp;sourceID=30","")</f>
        <v/>
      </c>
      <c r="Y166" s="4" t="str">
        <f>HYPERLINK("http://141.218.60.56/~jnz1568/getInfo.php?workbook=08_01.xlsx&amp;sheet=A0&amp;row=166&amp;col=25&amp;number=0&amp;sourceID=30","0")</f>
        <v>0</v>
      </c>
      <c r="Z166" s="4" t="str">
        <f>HYPERLINK("http://141.218.60.56/~jnz1568/getInfo.php?workbook=08_01.xlsx&amp;sheet=A0&amp;row=166&amp;col=26&amp;number=&amp;sourceID=13","")</f>
        <v/>
      </c>
      <c r="AA166" s="4" t="str">
        <f>HYPERLINK("http://141.218.60.56/~jnz1568/getInfo.php?workbook=08_01.xlsx&amp;sheet=A0&amp;row=166&amp;col=27&amp;number=&amp;sourceID=13","")</f>
        <v/>
      </c>
      <c r="AB166" s="4" t="str">
        <f>HYPERLINK("http://141.218.60.56/~jnz1568/getInfo.php?workbook=08_01.xlsx&amp;sheet=A0&amp;row=166&amp;col=28&amp;number=&amp;sourceID=13","")</f>
        <v/>
      </c>
      <c r="AC166" s="4" t="str">
        <f>HYPERLINK("http://141.218.60.56/~jnz1568/getInfo.php?workbook=08_01.xlsx&amp;sheet=A0&amp;row=166&amp;col=29&amp;number=&amp;sourceID=13","")</f>
        <v/>
      </c>
      <c r="AD166" s="4" t="str">
        <f>HYPERLINK("http://141.218.60.56/~jnz1568/getInfo.php?workbook=08_01.xlsx&amp;sheet=A0&amp;row=166&amp;col=30&amp;number=&amp;sourceID=13","")</f>
        <v/>
      </c>
      <c r="AE166" s="4" t="str">
        <f>HYPERLINK("http://141.218.60.56/~jnz1568/getInfo.php?workbook=08_01.xlsx&amp;sheet=A0&amp;row=166&amp;col=31&amp;number=&amp;sourceID=13","")</f>
        <v/>
      </c>
      <c r="AF166" s="4" t="str">
        <f>HYPERLINK("http://141.218.60.56/~jnz1568/getInfo.php?workbook=08_01.xlsx&amp;sheet=A0&amp;row=166&amp;col=32&amp;number=&amp;sourceID=20","")</f>
        <v/>
      </c>
    </row>
    <row r="167" spans="1:32">
      <c r="A167" s="3">
        <v>8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HYPERLINK("http://141.218.60.56/~jnz1568/getInfo.php?workbook=08_01.xlsx&amp;sheet=A0&amp;row=167&amp;col=6&amp;number=&amp;sourceID=18","")</f>
        <v/>
      </c>
      <c r="G167" s="4" t="str">
        <f>HYPERLINK("http://141.218.60.56/~jnz1568/getInfo.php?workbook=08_01.xlsx&amp;sheet=A0&amp;row=167&amp;col=7&amp;number==&amp;sourceID=11","=")</f>
        <v>=</v>
      </c>
      <c r="H167" s="4" t="str">
        <f>HYPERLINK("http://141.218.60.56/~jnz1568/getInfo.php?workbook=08_01.xlsx&amp;sheet=A0&amp;row=167&amp;col=8&amp;number=&amp;sourceID=11","")</f>
        <v/>
      </c>
      <c r="I167" s="4" t="str">
        <f>HYPERLINK("http://141.218.60.56/~jnz1568/getInfo.php?workbook=08_01.xlsx&amp;sheet=A0&amp;row=167&amp;col=9&amp;number=8.7402e-11&amp;sourceID=11","8.7402e-11")</f>
        <v>8.7402e-11</v>
      </c>
      <c r="J167" s="4" t="str">
        <f>HYPERLINK("http://141.218.60.56/~jnz1568/getInfo.php?workbook=08_01.xlsx&amp;sheet=A0&amp;row=167&amp;col=10&amp;number=&amp;sourceID=11","")</f>
        <v/>
      </c>
      <c r="K167" s="4" t="str">
        <f>HYPERLINK("http://141.218.60.56/~jnz1568/getInfo.php?workbook=08_01.xlsx&amp;sheet=A0&amp;row=167&amp;col=11&amp;number=3e-15&amp;sourceID=11","3e-15")</f>
        <v>3e-15</v>
      </c>
      <c r="L167" s="4" t="str">
        <f>HYPERLINK("http://141.218.60.56/~jnz1568/getInfo.php?workbook=08_01.xlsx&amp;sheet=A0&amp;row=167&amp;col=12&amp;number=&amp;sourceID=11","")</f>
        <v/>
      </c>
      <c r="M167" s="4" t="str">
        <f>HYPERLINK("http://141.218.60.56/~jnz1568/getInfo.php?workbook=08_01.xlsx&amp;sheet=A0&amp;row=167&amp;col=13&amp;number=&amp;sourceID=11","")</f>
        <v/>
      </c>
      <c r="N167" s="4" t="str">
        <f>HYPERLINK("http://141.218.60.56/~jnz1568/getInfo.php?workbook=08_01.xlsx&amp;sheet=A0&amp;row=167&amp;col=14&amp;number=8.7419e-11&amp;sourceID=12","8.7419e-11")</f>
        <v>8.7419e-11</v>
      </c>
      <c r="O167" s="4" t="str">
        <f>HYPERLINK("http://141.218.60.56/~jnz1568/getInfo.php?workbook=08_01.xlsx&amp;sheet=A0&amp;row=167&amp;col=15&amp;number=&amp;sourceID=12","")</f>
        <v/>
      </c>
      <c r="P167" s="4" t="str">
        <f>HYPERLINK("http://141.218.60.56/~jnz1568/getInfo.php?workbook=08_01.xlsx&amp;sheet=A0&amp;row=167&amp;col=16&amp;number=8.7416e-11&amp;sourceID=12","8.7416e-11")</f>
        <v>8.7416e-11</v>
      </c>
      <c r="Q167" s="4" t="str">
        <f>HYPERLINK("http://141.218.60.56/~jnz1568/getInfo.php?workbook=08_01.xlsx&amp;sheet=A0&amp;row=167&amp;col=17&amp;number=&amp;sourceID=12","")</f>
        <v/>
      </c>
      <c r="R167" s="4" t="str">
        <f>HYPERLINK("http://141.218.60.56/~jnz1568/getInfo.php?workbook=08_01.xlsx&amp;sheet=A0&amp;row=167&amp;col=18&amp;number=3e-15&amp;sourceID=12","3e-15")</f>
        <v>3e-15</v>
      </c>
      <c r="S167" s="4" t="str">
        <f>HYPERLINK("http://141.218.60.56/~jnz1568/getInfo.php?workbook=08_01.xlsx&amp;sheet=A0&amp;row=167&amp;col=19&amp;number=&amp;sourceID=12","")</f>
        <v/>
      </c>
      <c r="T167" s="4" t="str">
        <f>HYPERLINK("http://141.218.60.56/~jnz1568/getInfo.php?workbook=08_01.xlsx&amp;sheet=A0&amp;row=167&amp;col=20&amp;number=&amp;sourceID=12","")</f>
        <v/>
      </c>
      <c r="U167" s="4" t="str">
        <f>HYPERLINK("http://141.218.60.56/~jnz1568/getInfo.php?workbook=08_01.xlsx&amp;sheet=A0&amp;row=167&amp;col=21&amp;number=8.7423e-11&amp;sourceID=30","8.7423e-11")</f>
        <v>8.7423e-11</v>
      </c>
      <c r="V167" s="4" t="str">
        <f>HYPERLINK("http://141.218.60.56/~jnz1568/getInfo.php?workbook=08_01.xlsx&amp;sheet=A0&amp;row=167&amp;col=22&amp;number=&amp;sourceID=30","")</f>
        <v/>
      </c>
      <c r="W167" s="4" t="str">
        <f>HYPERLINK("http://141.218.60.56/~jnz1568/getInfo.php?workbook=08_01.xlsx&amp;sheet=A0&amp;row=167&amp;col=23&amp;number=8.742e-11&amp;sourceID=30","8.742e-11")</f>
        <v>8.742e-11</v>
      </c>
      <c r="X167" s="4" t="str">
        <f>HYPERLINK("http://141.218.60.56/~jnz1568/getInfo.php?workbook=08_01.xlsx&amp;sheet=A0&amp;row=167&amp;col=24&amp;number=3e-15&amp;sourceID=30","3e-15")</f>
        <v>3e-15</v>
      </c>
      <c r="Y167" s="4" t="str">
        <f>HYPERLINK("http://141.218.60.56/~jnz1568/getInfo.php?workbook=08_01.xlsx&amp;sheet=A0&amp;row=167&amp;col=25&amp;number=&amp;sourceID=30","")</f>
        <v/>
      </c>
      <c r="Z167" s="4" t="str">
        <f>HYPERLINK("http://141.218.60.56/~jnz1568/getInfo.php?workbook=08_01.xlsx&amp;sheet=A0&amp;row=167&amp;col=26&amp;number=&amp;sourceID=13","")</f>
        <v/>
      </c>
      <c r="AA167" s="4" t="str">
        <f>HYPERLINK("http://141.218.60.56/~jnz1568/getInfo.php?workbook=08_01.xlsx&amp;sheet=A0&amp;row=167&amp;col=27&amp;number=&amp;sourceID=13","")</f>
        <v/>
      </c>
      <c r="AB167" s="4" t="str">
        <f>HYPERLINK("http://141.218.60.56/~jnz1568/getInfo.php?workbook=08_01.xlsx&amp;sheet=A0&amp;row=167&amp;col=28&amp;number=&amp;sourceID=13","")</f>
        <v/>
      </c>
      <c r="AC167" s="4" t="str">
        <f>HYPERLINK("http://141.218.60.56/~jnz1568/getInfo.php?workbook=08_01.xlsx&amp;sheet=A0&amp;row=167&amp;col=29&amp;number=&amp;sourceID=13","")</f>
        <v/>
      </c>
      <c r="AD167" s="4" t="str">
        <f>HYPERLINK("http://141.218.60.56/~jnz1568/getInfo.php?workbook=08_01.xlsx&amp;sheet=A0&amp;row=167&amp;col=30&amp;number=&amp;sourceID=13","")</f>
        <v/>
      </c>
      <c r="AE167" s="4" t="str">
        <f>HYPERLINK("http://141.218.60.56/~jnz1568/getInfo.php?workbook=08_01.xlsx&amp;sheet=A0&amp;row=167&amp;col=31&amp;number=&amp;sourceID=13","")</f>
        <v/>
      </c>
      <c r="AF167" s="4" t="str">
        <f>HYPERLINK("http://141.218.60.56/~jnz1568/getInfo.php?workbook=08_01.xlsx&amp;sheet=A0&amp;row=167&amp;col=32&amp;number=&amp;sourceID=20","")</f>
        <v/>
      </c>
    </row>
    <row r="168" spans="1:32">
      <c r="A168" s="3">
        <v>8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HYPERLINK("http://141.218.60.56/~jnz1568/getInfo.php?workbook=08_01.xlsx&amp;sheet=A0&amp;row=168&amp;col=6&amp;number=&amp;sourceID=18","")</f>
        <v/>
      </c>
      <c r="G168" s="4" t="str">
        <f>HYPERLINK("http://141.218.60.56/~jnz1568/getInfo.php?workbook=08_01.xlsx&amp;sheet=A0&amp;row=168&amp;col=7&amp;number==&amp;sourceID=11","=")</f>
        <v>=</v>
      </c>
      <c r="H168" s="4" t="str">
        <f>HYPERLINK("http://141.218.60.56/~jnz1568/getInfo.php?workbook=08_01.xlsx&amp;sheet=A0&amp;row=168&amp;col=8&amp;number=140830000000&amp;sourceID=11","140830000000")</f>
        <v>140830000000</v>
      </c>
      <c r="I168" s="4" t="str">
        <f>HYPERLINK("http://141.218.60.56/~jnz1568/getInfo.php?workbook=08_01.xlsx&amp;sheet=A0&amp;row=168&amp;col=9&amp;number=&amp;sourceID=11","")</f>
        <v/>
      </c>
      <c r="J168" s="4" t="str">
        <f>HYPERLINK("http://141.218.60.56/~jnz1568/getInfo.php?workbook=08_01.xlsx&amp;sheet=A0&amp;row=168&amp;col=10&amp;number=&amp;sourceID=11","")</f>
        <v/>
      </c>
      <c r="K168" s="4" t="str">
        <f>HYPERLINK("http://141.218.60.56/~jnz1568/getInfo.php?workbook=08_01.xlsx&amp;sheet=A0&amp;row=168&amp;col=11&amp;number=&amp;sourceID=11","")</f>
        <v/>
      </c>
      <c r="L168" s="4" t="str">
        <f>HYPERLINK("http://141.218.60.56/~jnz1568/getInfo.php?workbook=08_01.xlsx&amp;sheet=A0&amp;row=168&amp;col=12&amp;number=70712&amp;sourceID=11","70712")</f>
        <v>70712</v>
      </c>
      <c r="M168" s="4" t="str">
        <f>HYPERLINK("http://141.218.60.56/~jnz1568/getInfo.php?workbook=08_01.xlsx&amp;sheet=A0&amp;row=168&amp;col=13&amp;number=&amp;sourceID=11","")</f>
        <v/>
      </c>
      <c r="N168" s="4" t="str">
        <f>HYPERLINK("http://141.218.60.56/~jnz1568/getInfo.php?workbook=08_01.xlsx&amp;sheet=A0&amp;row=168&amp;col=14&amp;number=140830000000&amp;sourceID=12","140830000000")</f>
        <v>140830000000</v>
      </c>
      <c r="O168" s="4" t="str">
        <f>HYPERLINK("http://141.218.60.56/~jnz1568/getInfo.php?workbook=08_01.xlsx&amp;sheet=A0&amp;row=168&amp;col=15&amp;number=140830000000&amp;sourceID=12","140830000000")</f>
        <v>140830000000</v>
      </c>
      <c r="P168" s="4" t="str">
        <f>HYPERLINK("http://141.218.60.56/~jnz1568/getInfo.php?workbook=08_01.xlsx&amp;sheet=A0&amp;row=168&amp;col=16&amp;number=&amp;sourceID=12","")</f>
        <v/>
      </c>
      <c r="Q168" s="4" t="str">
        <f>HYPERLINK("http://141.218.60.56/~jnz1568/getInfo.php?workbook=08_01.xlsx&amp;sheet=A0&amp;row=168&amp;col=17&amp;number=&amp;sourceID=12","")</f>
        <v/>
      </c>
      <c r="R168" s="4" t="str">
        <f>HYPERLINK("http://141.218.60.56/~jnz1568/getInfo.php?workbook=08_01.xlsx&amp;sheet=A0&amp;row=168&amp;col=18&amp;number=&amp;sourceID=12","")</f>
        <v/>
      </c>
      <c r="S168" s="4" t="str">
        <f>HYPERLINK("http://141.218.60.56/~jnz1568/getInfo.php?workbook=08_01.xlsx&amp;sheet=A0&amp;row=168&amp;col=19&amp;number=70715&amp;sourceID=12","70715")</f>
        <v>70715</v>
      </c>
      <c r="T168" s="4" t="str">
        <f>HYPERLINK("http://141.218.60.56/~jnz1568/getInfo.php?workbook=08_01.xlsx&amp;sheet=A0&amp;row=168&amp;col=20&amp;number=&amp;sourceID=12","")</f>
        <v/>
      </c>
      <c r="U168" s="4" t="str">
        <f>HYPERLINK("http://141.218.60.56/~jnz1568/getInfo.php?workbook=08_01.xlsx&amp;sheet=A0&amp;row=168&amp;col=21&amp;number=140800070720&amp;sourceID=30","140800070720")</f>
        <v>140800070720</v>
      </c>
      <c r="V168" s="4" t="str">
        <f>HYPERLINK("http://141.218.60.56/~jnz1568/getInfo.php?workbook=08_01.xlsx&amp;sheet=A0&amp;row=168&amp;col=22&amp;number=140800000000&amp;sourceID=30","140800000000")</f>
        <v>140800000000</v>
      </c>
      <c r="W168" s="4" t="str">
        <f>HYPERLINK("http://141.218.60.56/~jnz1568/getInfo.php?workbook=08_01.xlsx&amp;sheet=A0&amp;row=168&amp;col=23&amp;number=&amp;sourceID=30","")</f>
        <v/>
      </c>
      <c r="X168" s="4" t="str">
        <f>HYPERLINK("http://141.218.60.56/~jnz1568/getInfo.php?workbook=08_01.xlsx&amp;sheet=A0&amp;row=168&amp;col=24&amp;number=&amp;sourceID=30","")</f>
        <v/>
      </c>
      <c r="Y168" s="4" t="str">
        <f>HYPERLINK("http://141.218.60.56/~jnz1568/getInfo.php?workbook=08_01.xlsx&amp;sheet=A0&amp;row=168&amp;col=25&amp;number=70720&amp;sourceID=30","70720")</f>
        <v>70720</v>
      </c>
      <c r="Z168" s="4" t="str">
        <f>HYPERLINK("http://141.218.60.56/~jnz1568/getInfo.php?workbook=08_01.xlsx&amp;sheet=A0&amp;row=168&amp;col=26&amp;number=&amp;sourceID=13","")</f>
        <v/>
      </c>
      <c r="AA168" s="4" t="str">
        <f>HYPERLINK("http://141.218.60.56/~jnz1568/getInfo.php?workbook=08_01.xlsx&amp;sheet=A0&amp;row=168&amp;col=27&amp;number=&amp;sourceID=13","")</f>
        <v/>
      </c>
      <c r="AB168" s="4" t="str">
        <f>HYPERLINK("http://141.218.60.56/~jnz1568/getInfo.php?workbook=08_01.xlsx&amp;sheet=A0&amp;row=168&amp;col=28&amp;number=&amp;sourceID=13","")</f>
        <v/>
      </c>
      <c r="AC168" s="4" t="str">
        <f>HYPERLINK("http://141.218.60.56/~jnz1568/getInfo.php?workbook=08_01.xlsx&amp;sheet=A0&amp;row=168&amp;col=29&amp;number=&amp;sourceID=13","")</f>
        <v/>
      </c>
      <c r="AD168" s="4" t="str">
        <f>HYPERLINK("http://141.218.60.56/~jnz1568/getInfo.php?workbook=08_01.xlsx&amp;sheet=A0&amp;row=168&amp;col=30&amp;number=&amp;sourceID=13","")</f>
        <v/>
      </c>
      <c r="AE168" s="4" t="str">
        <f>HYPERLINK("http://141.218.60.56/~jnz1568/getInfo.php?workbook=08_01.xlsx&amp;sheet=A0&amp;row=168&amp;col=31&amp;number=&amp;sourceID=13","")</f>
        <v/>
      </c>
      <c r="AF168" s="4" t="str">
        <f>HYPERLINK("http://141.218.60.56/~jnz1568/getInfo.php?workbook=08_01.xlsx&amp;sheet=A0&amp;row=168&amp;col=32&amp;number=&amp;sourceID=20","")</f>
        <v/>
      </c>
    </row>
    <row r="169" spans="1:32">
      <c r="A169" s="3">
        <v>8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HYPERLINK("http://141.218.60.56/~jnz1568/getInfo.php?workbook=08_01.xlsx&amp;sheet=A0&amp;row=169&amp;col=6&amp;number=&amp;sourceID=18","")</f>
        <v/>
      </c>
      <c r="G169" s="4" t="str">
        <f>HYPERLINK("http://141.218.60.56/~jnz1568/getInfo.php?workbook=08_01.xlsx&amp;sheet=A0&amp;row=169&amp;col=7&amp;number==&amp;sourceID=11","=")</f>
        <v>=</v>
      </c>
      <c r="H169" s="4" t="str">
        <f>HYPERLINK("http://141.218.60.56/~jnz1568/getInfo.php?workbook=08_01.xlsx&amp;sheet=A0&amp;row=169&amp;col=8&amp;number=&amp;sourceID=11","")</f>
        <v/>
      </c>
      <c r="I169" s="4" t="str">
        <f>HYPERLINK("http://141.218.60.56/~jnz1568/getInfo.php?workbook=08_01.xlsx&amp;sheet=A0&amp;row=169&amp;col=9&amp;number=692770&amp;sourceID=11","692770")</f>
        <v>692770</v>
      </c>
      <c r="J169" s="4" t="str">
        <f>HYPERLINK("http://141.218.60.56/~jnz1568/getInfo.php?workbook=08_01.xlsx&amp;sheet=A0&amp;row=169&amp;col=10&amp;number=&amp;sourceID=11","")</f>
        <v/>
      </c>
      <c r="K169" s="4" t="str">
        <f>HYPERLINK("http://141.218.60.56/~jnz1568/getInfo.php?workbook=08_01.xlsx&amp;sheet=A0&amp;row=169&amp;col=11&amp;number=1.0328&amp;sourceID=11","1.0328")</f>
        <v>1.0328</v>
      </c>
      <c r="L169" s="4" t="str">
        <f>HYPERLINK("http://141.218.60.56/~jnz1568/getInfo.php?workbook=08_01.xlsx&amp;sheet=A0&amp;row=169&amp;col=12&amp;number=&amp;sourceID=11","")</f>
        <v/>
      </c>
      <c r="M169" s="4" t="str">
        <f>HYPERLINK("http://141.218.60.56/~jnz1568/getInfo.php?workbook=08_01.xlsx&amp;sheet=A0&amp;row=169&amp;col=13&amp;number=&amp;sourceID=11","")</f>
        <v/>
      </c>
      <c r="N169" s="4" t="str">
        <f>HYPERLINK("http://141.218.60.56/~jnz1568/getInfo.php?workbook=08_01.xlsx&amp;sheet=A0&amp;row=169&amp;col=14&amp;number=692790&amp;sourceID=12","692790")</f>
        <v>692790</v>
      </c>
      <c r="O169" s="4" t="str">
        <f>HYPERLINK("http://141.218.60.56/~jnz1568/getInfo.php?workbook=08_01.xlsx&amp;sheet=A0&amp;row=169&amp;col=15&amp;number=&amp;sourceID=12","")</f>
        <v/>
      </c>
      <c r="P169" s="4" t="str">
        <f>HYPERLINK("http://141.218.60.56/~jnz1568/getInfo.php?workbook=08_01.xlsx&amp;sheet=A0&amp;row=169&amp;col=16&amp;number=692790&amp;sourceID=12","692790")</f>
        <v>692790</v>
      </c>
      <c r="Q169" s="4" t="str">
        <f>HYPERLINK("http://141.218.60.56/~jnz1568/getInfo.php?workbook=08_01.xlsx&amp;sheet=A0&amp;row=169&amp;col=17&amp;number=&amp;sourceID=12","")</f>
        <v/>
      </c>
      <c r="R169" s="4" t="str">
        <f>HYPERLINK("http://141.218.60.56/~jnz1568/getInfo.php?workbook=08_01.xlsx&amp;sheet=A0&amp;row=169&amp;col=18&amp;number=1.0329&amp;sourceID=12","1.0329")</f>
        <v>1.0329</v>
      </c>
      <c r="S169" s="4" t="str">
        <f>HYPERLINK("http://141.218.60.56/~jnz1568/getInfo.php?workbook=08_01.xlsx&amp;sheet=A0&amp;row=169&amp;col=19&amp;number=&amp;sourceID=12","")</f>
        <v/>
      </c>
      <c r="T169" s="4" t="str">
        <f>HYPERLINK("http://141.218.60.56/~jnz1568/getInfo.php?workbook=08_01.xlsx&amp;sheet=A0&amp;row=169&amp;col=20&amp;number=&amp;sourceID=12","")</f>
        <v/>
      </c>
      <c r="U169" s="4" t="str">
        <f>HYPERLINK("http://141.218.60.56/~jnz1568/getInfo.php?workbook=08_01.xlsx&amp;sheet=A0&amp;row=169&amp;col=21&amp;number=692801.033&amp;sourceID=30","692801.033")</f>
        <v>692801.033</v>
      </c>
      <c r="V169" s="4" t="str">
        <f>HYPERLINK("http://141.218.60.56/~jnz1568/getInfo.php?workbook=08_01.xlsx&amp;sheet=A0&amp;row=169&amp;col=22&amp;number=&amp;sourceID=30","")</f>
        <v/>
      </c>
      <c r="W169" s="4" t="str">
        <f>HYPERLINK("http://141.218.60.56/~jnz1568/getInfo.php?workbook=08_01.xlsx&amp;sheet=A0&amp;row=169&amp;col=23&amp;number=692800&amp;sourceID=30","692800")</f>
        <v>692800</v>
      </c>
      <c r="X169" s="4" t="str">
        <f>HYPERLINK("http://141.218.60.56/~jnz1568/getInfo.php?workbook=08_01.xlsx&amp;sheet=A0&amp;row=169&amp;col=24&amp;number=1.033&amp;sourceID=30","1.033")</f>
        <v>1.033</v>
      </c>
      <c r="Y169" s="4" t="str">
        <f>HYPERLINK("http://141.218.60.56/~jnz1568/getInfo.php?workbook=08_01.xlsx&amp;sheet=A0&amp;row=169&amp;col=25&amp;number=&amp;sourceID=30","")</f>
        <v/>
      </c>
      <c r="Z169" s="4" t="str">
        <f>HYPERLINK("http://141.218.60.56/~jnz1568/getInfo.php?workbook=08_01.xlsx&amp;sheet=A0&amp;row=169&amp;col=26&amp;number=&amp;sourceID=13","")</f>
        <v/>
      </c>
      <c r="AA169" s="4" t="str">
        <f>HYPERLINK("http://141.218.60.56/~jnz1568/getInfo.php?workbook=08_01.xlsx&amp;sheet=A0&amp;row=169&amp;col=27&amp;number=&amp;sourceID=13","")</f>
        <v/>
      </c>
      <c r="AB169" s="4" t="str">
        <f>HYPERLINK("http://141.218.60.56/~jnz1568/getInfo.php?workbook=08_01.xlsx&amp;sheet=A0&amp;row=169&amp;col=28&amp;number=&amp;sourceID=13","")</f>
        <v/>
      </c>
      <c r="AC169" s="4" t="str">
        <f>HYPERLINK("http://141.218.60.56/~jnz1568/getInfo.php?workbook=08_01.xlsx&amp;sheet=A0&amp;row=169&amp;col=29&amp;number=&amp;sourceID=13","")</f>
        <v/>
      </c>
      <c r="AD169" s="4" t="str">
        <f>HYPERLINK("http://141.218.60.56/~jnz1568/getInfo.php?workbook=08_01.xlsx&amp;sheet=A0&amp;row=169&amp;col=30&amp;number=&amp;sourceID=13","")</f>
        <v/>
      </c>
      <c r="AE169" s="4" t="str">
        <f>HYPERLINK("http://141.218.60.56/~jnz1568/getInfo.php?workbook=08_01.xlsx&amp;sheet=A0&amp;row=169&amp;col=31&amp;number=&amp;sourceID=13","")</f>
        <v/>
      </c>
      <c r="AF169" s="4" t="str">
        <f>HYPERLINK("http://141.218.60.56/~jnz1568/getInfo.php?workbook=08_01.xlsx&amp;sheet=A0&amp;row=169&amp;col=32&amp;number=&amp;sourceID=20","")</f>
        <v/>
      </c>
    </row>
    <row r="170" spans="1:32">
      <c r="A170" s="3">
        <v>8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HYPERLINK("http://141.218.60.56/~jnz1568/getInfo.php?workbook=08_01.xlsx&amp;sheet=A0&amp;row=170&amp;col=6&amp;number=&amp;sourceID=18","")</f>
        <v/>
      </c>
      <c r="G170" s="4" t="str">
        <f>HYPERLINK("http://141.218.60.56/~jnz1568/getInfo.php?workbook=08_01.xlsx&amp;sheet=A0&amp;row=170&amp;col=7&amp;number==&amp;sourceID=11","=")</f>
        <v>=</v>
      </c>
      <c r="H170" s="4" t="str">
        <f>HYPERLINK("http://141.218.60.56/~jnz1568/getInfo.php?workbook=08_01.xlsx&amp;sheet=A0&amp;row=170&amp;col=8&amp;number=20281000000&amp;sourceID=11","20281000000")</f>
        <v>20281000000</v>
      </c>
      <c r="I170" s="4" t="str">
        <f>HYPERLINK("http://141.218.60.56/~jnz1568/getInfo.php?workbook=08_01.xlsx&amp;sheet=A0&amp;row=170&amp;col=9&amp;number=&amp;sourceID=11","")</f>
        <v/>
      </c>
      <c r="J170" s="4" t="str">
        <f>HYPERLINK("http://141.218.60.56/~jnz1568/getInfo.php?workbook=08_01.xlsx&amp;sheet=A0&amp;row=170&amp;col=10&amp;number=&amp;sourceID=11","")</f>
        <v/>
      </c>
      <c r="K170" s="4" t="str">
        <f>HYPERLINK("http://141.218.60.56/~jnz1568/getInfo.php?workbook=08_01.xlsx&amp;sheet=A0&amp;row=170&amp;col=11&amp;number=&amp;sourceID=11","")</f>
        <v/>
      </c>
      <c r="L170" s="4" t="str">
        <f>HYPERLINK("http://141.218.60.56/~jnz1568/getInfo.php?workbook=08_01.xlsx&amp;sheet=A0&amp;row=170&amp;col=12&amp;number=488.07&amp;sourceID=11","488.07")</f>
        <v>488.07</v>
      </c>
      <c r="M170" s="4" t="str">
        <f>HYPERLINK("http://141.218.60.56/~jnz1568/getInfo.php?workbook=08_01.xlsx&amp;sheet=A0&amp;row=170&amp;col=13&amp;number=&amp;sourceID=11","")</f>
        <v/>
      </c>
      <c r="N170" s="4" t="str">
        <f>HYPERLINK("http://141.218.60.56/~jnz1568/getInfo.php?workbook=08_01.xlsx&amp;sheet=A0&amp;row=170&amp;col=14&amp;number=20282000000&amp;sourceID=12","20282000000")</f>
        <v>20282000000</v>
      </c>
      <c r="O170" s="4" t="str">
        <f>HYPERLINK("http://141.218.60.56/~jnz1568/getInfo.php?workbook=08_01.xlsx&amp;sheet=A0&amp;row=170&amp;col=15&amp;number=20282000000&amp;sourceID=12","20282000000")</f>
        <v>20282000000</v>
      </c>
      <c r="P170" s="4" t="str">
        <f>HYPERLINK("http://141.218.60.56/~jnz1568/getInfo.php?workbook=08_01.xlsx&amp;sheet=A0&amp;row=170&amp;col=16&amp;number=&amp;sourceID=12","")</f>
        <v/>
      </c>
      <c r="Q170" s="4" t="str">
        <f>HYPERLINK("http://141.218.60.56/~jnz1568/getInfo.php?workbook=08_01.xlsx&amp;sheet=A0&amp;row=170&amp;col=17&amp;number=&amp;sourceID=12","")</f>
        <v/>
      </c>
      <c r="R170" s="4" t="str">
        <f>HYPERLINK("http://141.218.60.56/~jnz1568/getInfo.php?workbook=08_01.xlsx&amp;sheet=A0&amp;row=170&amp;col=18&amp;number=&amp;sourceID=12","")</f>
        <v/>
      </c>
      <c r="S170" s="4" t="str">
        <f>HYPERLINK("http://141.218.60.56/~jnz1568/getInfo.php?workbook=08_01.xlsx&amp;sheet=A0&amp;row=170&amp;col=19&amp;number=488.08&amp;sourceID=12","488.08")</f>
        <v>488.08</v>
      </c>
      <c r="T170" s="4" t="str">
        <f>HYPERLINK("http://141.218.60.56/~jnz1568/getInfo.php?workbook=08_01.xlsx&amp;sheet=A0&amp;row=170&amp;col=20&amp;number=&amp;sourceID=12","")</f>
        <v/>
      </c>
      <c r="U170" s="4" t="str">
        <f>HYPERLINK("http://141.218.60.56/~jnz1568/getInfo.php?workbook=08_01.xlsx&amp;sheet=A0&amp;row=170&amp;col=21&amp;number=20280000488.1&amp;sourceID=30","20280000488.1")</f>
        <v>20280000488.1</v>
      </c>
      <c r="V170" s="4" t="str">
        <f>HYPERLINK("http://141.218.60.56/~jnz1568/getInfo.php?workbook=08_01.xlsx&amp;sheet=A0&amp;row=170&amp;col=22&amp;number=20280000000&amp;sourceID=30","20280000000")</f>
        <v>20280000000</v>
      </c>
      <c r="W170" s="4" t="str">
        <f>HYPERLINK("http://141.218.60.56/~jnz1568/getInfo.php?workbook=08_01.xlsx&amp;sheet=A0&amp;row=170&amp;col=23&amp;number=&amp;sourceID=30","")</f>
        <v/>
      </c>
      <c r="X170" s="4" t="str">
        <f>HYPERLINK("http://141.218.60.56/~jnz1568/getInfo.php?workbook=08_01.xlsx&amp;sheet=A0&amp;row=170&amp;col=24&amp;number=&amp;sourceID=30","")</f>
        <v/>
      </c>
      <c r="Y170" s="4" t="str">
        <f>HYPERLINK("http://141.218.60.56/~jnz1568/getInfo.php?workbook=08_01.xlsx&amp;sheet=A0&amp;row=170&amp;col=25&amp;number=488.1&amp;sourceID=30","488.1")</f>
        <v>488.1</v>
      </c>
      <c r="Z170" s="4" t="str">
        <f>HYPERLINK("http://141.218.60.56/~jnz1568/getInfo.php?workbook=08_01.xlsx&amp;sheet=A0&amp;row=170&amp;col=26&amp;number=&amp;sourceID=13","")</f>
        <v/>
      </c>
      <c r="AA170" s="4" t="str">
        <f>HYPERLINK("http://141.218.60.56/~jnz1568/getInfo.php?workbook=08_01.xlsx&amp;sheet=A0&amp;row=170&amp;col=27&amp;number=&amp;sourceID=13","")</f>
        <v/>
      </c>
      <c r="AB170" s="4" t="str">
        <f>HYPERLINK("http://141.218.60.56/~jnz1568/getInfo.php?workbook=08_01.xlsx&amp;sheet=A0&amp;row=170&amp;col=28&amp;number=&amp;sourceID=13","")</f>
        <v/>
      </c>
      <c r="AC170" s="4" t="str">
        <f>HYPERLINK("http://141.218.60.56/~jnz1568/getInfo.php?workbook=08_01.xlsx&amp;sheet=A0&amp;row=170&amp;col=29&amp;number=&amp;sourceID=13","")</f>
        <v/>
      </c>
      <c r="AD170" s="4" t="str">
        <f>HYPERLINK("http://141.218.60.56/~jnz1568/getInfo.php?workbook=08_01.xlsx&amp;sheet=A0&amp;row=170&amp;col=30&amp;number=&amp;sourceID=13","")</f>
        <v/>
      </c>
      <c r="AE170" s="4" t="str">
        <f>HYPERLINK("http://141.218.60.56/~jnz1568/getInfo.php?workbook=08_01.xlsx&amp;sheet=A0&amp;row=170&amp;col=31&amp;number=&amp;sourceID=13","")</f>
        <v/>
      </c>
      <c r="AF170" s="4" t="str">
        <f>HYPERLINK("http://141.218.60.56/~jnz1568/getInfo.php?workbook=08_01.xlsx&amp;sheet=A0&amp;row=170&amp;col=32&amp;number=&amp;sourceID=20","")</f>
        <v/>
      </c>
    </row>
    <row r="171" spans="1:32">
      <c r="A171" s="3">
        <v>8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HYPERLINK("http://141.218.60.56/~jnz1568/getInfo.php?workbook=08_01.xlsx&amp;sheet=A0&amp;row=171&amp;col=6&amp;number=&amp;sourceID=18","")</f>
        <v/>
      </c>
      <c r="G171" s="4" t="str">
        <f>HYPERLINK("http://141.218.60.56/~jnz1568/getInfo.php?workbook=08_01.xlsx&amp;sheet=A0&amp;row=171&amp;col=7&amp;number==&amp;sourceID=11","=")</f>
        <v>=</v>
      </c>
      <c r="H171" s="4" t="str">
        <f>HYPERLINK("http://141.218.60.56/~jnz1568/getInfo.php?workbook=08_01.xlsx&amp;sheet=A0&amp;row=171&amp;col=8&amp;number=&amp;sourceID=11","")</f>
        <v/>
      </c>
      <c r="I171" s="4" t="str">
        <f>HYPERLINK("http://141.218.60.56/~jnz1568/getInfo.php?workbook=08_01.xlsx&amp;sheet=A0&amp;row=171&amp;col=9&amp;number=690510&amp;sourceID=11","690510")</f>
        <v>690510</v>
      </c>
      <c r="J171" s="4" t="str">
        <f>HYPERLINK("http://141.218.60.56/~jnz1568/getInfo.php?workbook=08_01.xlsx&amp;sheet=A0&amp;row=171&amp;col=10&amp;number=&amp;sourceID=11","")</f>
        <v/>
      </c>
      <c r="K171" s="4" t="str">
        <f>HYPERLINK("http://141.218.60.56/~jnz1568/getInfo.php?workbook=08_01.xlsx&amp;sheet=A0&amp;row=171&amp;col=11&amp;number=1.9126&amp;sourceID=11","1.9126")</f>
        <v>1.9126</v>
      </c>
      <c r="L171" s="4" t="str">
        <f>HYPERLINK("http://141.218.60.56/~jnz1568/getInfo.php?workbook=08_01.xlsx&amp;sheet=A0&amp;row=171&amp;col=12&amp;number=&amp;sourceID=11","")</f>
        <v/>
      </c>
      <c r="M171" s="4" t="str">
        <f>HYPERLINK("http://141.218.60.56/~jnz1568/getInfo.php?workbook=08_01.xlsx&amp;sheet=A0&amp;row=171&amp;col=13&amp;number=0.03538&amp;sourceID=11","0.03538")</f>
        <v>0.03538</v>
      </c>
      <c r="N171" s="4" t="str">
        <f>HYPERLINK("http://141.218.60.56/~jnz1568/getInfo.php?workbook=08_01.xlsx&amp;sheet=A0&amp;row=171&amp;col=14&amp;number=690530&amp;sourceID=12","690530")</f>
        <v>690530</v>
      </c>
      <c r="O171" s="4" t="str">
        <f>HYPERLINK("http://141.218.60.56/~jnz1568/getInfo.php?workbook=08_01.xlsx&amp;sheet=A0&amp;row=171&amp;col=15&amp;number=&amp;sourceID=12","")</f>
        <v/>
      </c>
      <c r="P171" s="4" t="str">
        <f>HYPERLINK("http://141.218.60.56/~jnz1568/getInfo.php?workbook=08_01.xlsx&amp;sheet=A0&amp;row=171&amp;col=16&amp;number=690530&amp;sourceID=12","690530")</f>
        <v>690530</v>
      </c>
      <c r="Q171" s="4" t="str">
        <f>HYPERLINK("http://141.218.60.56/~jnz1568/getInfo.php?workbook=08_01.xlsx&amp;sheet=A0&amp;row=171&amp;col=17&amp;number=&amp;sourceID=12","")</f>
        <v/>
      </c>
      <c r="R171" s="4" t="str">
        <f>HYPERLINK("http://141.218.60.56/~jnz1568/getInfo.php?workbook=08_01.xlsx&amp;sheet=A0&amp;row=171&amp;col=18&amp;number=1.9125&amp;sourceID=12","1.9125")</f>
        <v>1.9125</v>
      </c>
      <c r="S171" s="4" t="str">
        <f>HYPERLINK("http://141.218.60.56/~jnz1568/getInfo.php?workbook=08_01.xlsx&amp;sheet=A0&amp;row=171&amp;col=19&amp;number=&amp;sourceID=12","")</f>
        <v/>
      </c>
      <c r="T171" s="4" t="str">
        <f>HYPERLINK("http://141.218.60.56/~jnz1568/getInfo.php?workbook=08_01.xlsx&amp;sheet=A0&amp;row=171&amp;col=20&amp;number=0.035381&amp;sourceID=12","0.035381")</f>
        <v>0.035381</v>
      </c>
      <c r="U171" s="4" t="str">
        <f>HYPERLINK("http://141.218.60.56/~jnz1568/getInfo.php?workbook=08_01.xlsx&amp;sheet=A0&amp;row=171&amp;col=21&amp;number=690501.913&amp;sourceID=30","690501.913")</f>
        <v>690501.913</v>
      </c>
      <c r="V171" s="4" t="str">
        <f>HYPERLINK("http://141.218.60.56/~jnz1568/getInfo.php?workbook=08_01.xlsx&amp;sheet=A0&amp;row=171&amp;col=22&amp;number=&amp;sourceID=30","")</f>
        <v/>
      </c>
      <c r="W171" s="4" t="str">
        <f>HYPERLINK("http://141.218.60.56/~jnz1568/getInfo.php?workbook=08_01.xlsx&amp;sheet=A0&amp;row=171&amp;col=23&amp;number=690500&amp;sourceID=30","690500")</f>
        <v>690500</v>
      </c>
      <c r="X171" s="4" t="str">
        <f>HYPERLINK("http://141.218.60.56/~jnz1568/getInfo.php?workbook=08_01.xlsx&amp;sheet=A0&amp;row=171&amp;col=24&amp;number=1.913&amp;sourceID=30","1.913")</f>
        <v>1.913</v>
      </c>
      <c r="Y171" s="4" t="str">
        <f>HYPERLINK("http://141.218.60.56/~jnz1568/getInfo.php?workbook=08_01.xlsx&amp;sheet=A0&amp;row=171&amp;col=25&amp;number=&amp;sourceID=30","")</f>
        <v/>
      </c>
      <c r="Z171" s="4" t="str">
        <f>HYPERLINK("http://141.218.60.56/~jnz1568/getInfo.php?workbook=08_01.xlsx&amp;sheet=A0&amp;row=171&amp;col=26&amp;number=&amp;sourceID=13","")</f>
        <v/>
      </c>
      <c r="AA171" s="4" t="str">
        <f>HYPERLINK("http://141.218.60.56/~jnz1568/getInfo.php?workbook=08_01.xlsx&amp;sheet=A0&amp;row=171&amp;col=27&amp;number=&amp;sourceID=13","")</f>
        <v/>
      </c>
      <c r="AB171" s="4" t="str">
        <f>HYPERLINK("http://141.218.60.56/~jnz1568/getInfo.php?workbook=08_01.xlsx&amp;sheet=A0&amp;row=171&amp;col=28&amp;number=&amp;sourceID=13","")</f>
        <v/>
      </c>
      <c r="AC171" s="4" t="str">
        <f>HYPERLINK("http://141.218.60.56/~jnz1568/getInfo.php?workbook=08_01.xlsx&amp;sheet=A0&amp;row=171&amp;col=29&amp;number=&amp;sourceID=13","")</f>
        <v/>
      </c>
      <c r="AD171" s="4" t="str">
        <f>HYPERLINK("http://141.218.60.56/~jnz1568/getInfo.php?workbook=08_01.xlsx&amp;sheet=A0&amp;row=171&amp;col=30&amp;number=&amp;sourceID=13","")</f>
        <v/>
      </c>
      <c r="AE171" s="4" t="str">
        <f>HYPERLINK("http://141.218.60.56/~jnz1568/getInfo.php?workbook=08_01.xlsx&amp;sheet=A0&amp;row=171&amp;col=31&amp;number=&amp;sourceID=13","")</f>
        <v/>
      </c>
      <c r="AF171" s="4" t="str">
        <f>HYPERLINK("http://141.218.60.56/~jnz1568/getInfo.php?workbook=08_01.xlsx&amp;sheet=A0&amp;row=171&amp;col=32&amp;number=&amp;sourceID=20","")</f>
        <v/>
      </c>
    </row>
    <row r="172" spans="1:32">
      <c r="A172" s="3">
        <v>8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HYPERLINK("http://141.218.60.56/~jnz1568/getInfo.php?workbook=08_01.xlsx&amp;sheet=A0&amp;row=172&amp;col=6&amp;number=&amp;sourceID=18","")</f>
        <v/>
      </c>
      <c r="G172" s="4" t="str">
        <f>HYPERLINK("http://141.218.60.56/~jnz1568/getInfo.php?workbook=08_01.xlsx&amp;sheet=A0&amp;row=172&amp;col=7&amp;number==&amp;sourceID=11","=")</f>
        <v>=</v>
      </c>
      <c r="H172" s="4" t="str">
        <f>HYPERLINK("http://141.218.60.56/~jnz1568/getInfo.php?workbook=08_01.xlsx&amp;sheet=A0&amp;row=172&amp;col=8&amp;number=&amp;sourceID=11","")</f>
        <v/>
      </c>
      <c r="I172" s="4" t="str">
        <f>HYPERLINK("http://141.218.60.56/~jnz1568/getInfo.php?workbook=08_01.xlsx&amp;sheet=A0&amp;row=172&amp;col=9&amp;number=187700&amp;sourceID=11","187700")</f>
        <v>187700</v>
      </c>
      <c r="J172" s="4" t="str">
        <f>HYPERLINK("http://141.218.60.56/~jnz1568/getInfo.php?workbook=08_01.xlsx&amp;sheet=A0&amp;row=172&amp;col=10&amp;number=&amp;sourceID=11","")</f>
        <v/>
      </c>
      <c r="K172" s="4" t="str">
        <f>HYPERLINK("http://141.218.60.56/~jnz1568/getInfo.php?workbook=08_01.xlsx&amp;sheet=A0&amp;row=172&amp;col=11&amp;number=0.14599&amp;sourceID=11","0.14599")</f>
        <v>0.14599</v>
      </c>
      <c r="L172" s="4" t="str">
        <f>HYPERLINK("http://141.218.60.56/~jnz1568/getInfo.php?workbook=08_01.xlsx&amp;sheet=A0&amp;row=172&amp;col=12&amp;number=&amp;sourceID=11","")</f>
        <v/>
      </c>
      <c r="M172" s="4" t="str">
        <f>HYPERLINK("http://141.218.60.56/~jnz1568/getInfo.php?workbook=08_01.xlsx&amp;sheet=A0&amp;row=172&amp;col=13&amp;number=&amp;sourceID=11","")</f>
        <v/>
      </c>
      <c r="N172" s="4" t="str">
        <f>HYPERLINK("http://141.218.60.56/~jnz1568/getInfo.php?workbook=08_01.xlsx&amp;sheet=A0&amp;row=172&amp;col=14&amp;number=187700&amp;sourceID=12","187700")</f>
        <v>187700</v>
      </c>
      <c r="O172" s="4" t="str">
        <f>HYPERLINK("http://141.218.60.56/~jnz1568/getInfo.php?workbook=08_01.xlsx&amp;sheet=A0&amp;row=172&amp;col=15&amp;number=&amp;sourceID=12","")</f>
        <v/>
      </c>
      <c r="P172" s="4" t="str">
        <f>HYPERLINK("http://141.218.60.56/~jnz1568/getInfo.php?workbook=08_01.xlsx&amp;sheet=A0&amp;row=172&amp;col=16&amp;number=187700&amp;sourceID=12","187700")</f>
        <v>187700</v>
      </c>
      <c r="Q172" s="4" t="str">
        <f>HYPERLINK("http://141.218.60.56/~jnz1568/getInfo.php?workbook=08_01.xlsx&amp;sheet=A0&amp;row=172&amp;col=17&amp;number=&amp;sourceID=12","")</f>
        <v/>
      </c>
      <c r="R172" s="4" t="str">
        <f>HYPERLINK("http://141.218.60.56/~jnz1568/getInfo.php?workbook=08_01.xlsx&amp;sheet=A0&amp;row=172&amp;col=18&amp;number=0.14599&amp;sourceID=12","0.14599")</f>
        <v>0.14599</v>
      </c>
      <c r="S172" s="4" t="str">
        <f>HYPERLINK("http://141.218.60.56/~jnz1568/getInfo.php?workbook=08_01.xlsx&amp;sheet=A0&amp;row=172&amp;col=19&amp;number=&amp;sourceID=12","")</f>
        <v/>
      </c>
      <c r="T172" s="4" t="str">
        <f>HYPERLINK("http://141.218.60.56/~jnz1568/getInfo.php?workbook=08_01.xlsx&amp;sheet=A0&amp;row=172&amp;col=20&amp;number=&amp;sourceID=12","")</f>
        <v/>
      </c>
      <c r="U172" s="4" t="str">
        <f>HYPERLINK("http://141.218.60.56/~jnz1568/getInfo.php?workbook=08_01.xlsx&amp;sheet=A0&amp;row=172&amp;col=21&amp;number=187700.146&amp;sourceID=30","187700.146")</f>
        <v>187700.146</v>
      </c>
      <c r="V172" s="4" t="str">
        <f>HYPERLINK("http://141.218.60.56/~jnz1568/getInfo.php?workbook=08_01.xlsx&amp;sheet=A0&amp;row=172&amp;col=22&amp;number=&amp;sourceID=30","")</f>
        <v/>
      </c>
      <c r="W172" s="4" t="str">
        <f>HYPERLINK("http://141.218.60.56/~jnz1568/getInfo.php?workbook=08_01.xlsx&amp;sheet=A0&amp;row=172&amp;col=23&amp;number=187700&amp;sourceID=30","187700")</f>
        <v>187700</v>
      </c>
      <c r="X172" s="4" t="str">
        <f>HYPERLINK("http://141.218.60.56/~jnz1568/getInfo.php?workbook=08_01.xlsx&amp;sheet=A0&amp;row=172&amp;col=24&amp;number=0.146&amp;sourceID=30","0.146")</f>
        <v>0.146</v>
      </c>
      <c r="Y172" s="4" t="str">
        <f>HYPERLINK("http://141.218.60.56/~jnz1568/getInfo.php?workbook=08_01.xlsx&amp;sheet=A0&amp;row=172&amp;col=25&amp;number=&amp;sourceID=30","")</f>
        <v/>
      </c>
      <c r="Z172" s="4" t="str">
        <f>HYPERLINK("http://141.218.60.56/~jnz1568/getInfo.php?workbook=08_01.xlsx&amp;sheet=A0&amp;row=172&amp;col=26&amp;number=&amp;sourceID=13","")</f>
        <v/>
      </c>
      <c r="AA172" s="4" t="str">
        <f>HYPERLINK("http://141.218.60.56/~jnz1568/getInfo.php?workbook=08_01.xlsx&amp;sheet=A0&amp;row=172&amp;col=27&amp;number=&amp;sourceID=13","")</f>
        <v/>
      </c>
      <c r="AB172" s="4" t="str">
        <f>HYPERLINK("http://141.218.60.56/~jnz1568/getInfo.php?workbook=08_01.xlsx&amp;sheet=A0&amp;row=172&amp;col=28&amp;number=&amp;sourceID=13","")</f>
        <v/>
      </c>
      <c r="AC172" s="4" t="str">
        <f>HYPERLINK("http://141.218.60.56/~jnz1568/getInfo.php?workbook=08_01.xlsx&amp;sheet=A0&amp;row=172&amp;col=29&amp;number=&amp;sourceID=13","")</f>
        <v/>
      </c>
      <c r="AD172" s="4" t="str">
        <f>HYPERLINK("http://141.218.60.56/~jnz1568/getInfo.php?workbook=08_01.xlsx&amp;sheet=A0&amp;row=172&amp;col=30&amp;number=&amp;sourceID=13","")</f>
        <v/>
      </c>
      <c r="AE172" s="4" t="str">
        <f>HYPERLINK("http://141.218.60.56/~jnz1568/getInfo.php?workbook=08_01.xlsx&amp;sheet=A0&amp;row=172&amp;col=31&amp;number=&amp;sourceID=13","")</f>
        <v/>
      </c>
      <c r="AF172" s="4" t="str">
        <f>HYPERLINK("http://141.218.60.56/~jnz1568/getInfo.php?workbook=08_01.xlsx&amp;sheet=A0&amp;row=172&amp;col=32&amp;number=&amp;sourceID=20","")</f>
        <v/>
      </c>
    </row>
    <row r="173" spans="1:32">
      <c r="A173" s="3">
        <v>8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HYPERLINK("http://141.218.60.56/~jnz1568/getInfo.php?workbook=08_01.xlsx&amp;sheet=A0&amp;row=173&amp;col=6&amp;number=&amp;sourceID=18","")</f>
        <v/>
      </c>
      <c r="G173" s="4" t="str">
        <f>HYPERLINK("http://141.218.60.56/~jnz1568/getInfo.php?workbook=08_01.xlsx&amp;sheet=A0&amp;row=173&amp;col=7&amp;number==&amp;sourceID=11","=")</f>
        <v>=</v>
      </c>
      <c r="H173" s="4" t="str">
        <f>HYPERLINK("http://141.218.60.56/~jnz1568/getInfo.php?workbook=08_01.xlsx&amp;sheet=A0&amp;row=173&amp;col=8&amp;number=6705600000&amp;sourceID=11","6705600000")</f>
        <v>6705600000</v>
      </c>
      <c r="I173" s="4" t="str">
        <f>HYPERLINK("http://141.218.60.56/~jnz1568/getInfo.php?workbook=08_01.xlsx&amp;sheet=A0&amp;row=173&amp;col=9&amp;number=&amp;sourceID=11","")</f>
        <v/>
      </c>
      <c r="J173" s="4" t="str">
        <f>HYPERLINK("http://141.218.60.56/~jnz1568/getInfo.php?workbook=08_01.xlsx&amp;sheet=A0&amp;row=173&amp;col=10&amp;number=&amp;sourceID=11","")</f>
        <v/>
      </c>
      <c r="K173" s="4" t="str">
        <f>HYPERLINK("http://141.218.60.56/~jnz1568/getInfo.php?workbook=08_01.xlsx&amp;sheet=A0&amp;row=173&amp;col=11&amp;number=&amp;sourceID=11","")</f>
        <v/>
      </c>
      <c r="L173" s="4" t="str">
        <f>HYPERLINK("http://141.218.60.56/~jnz1568/getInfo.php?workbook=08_01.xlsx&amp;sheet=A0&amp;row=173&amp;col=12&amp;number=18.506&amp;sourceID=11","18.506")</f>
        <v>18.506</v>
      </c>
      <c r="M173" s="4" t="str">
        <f>HYPERLINK("http://141.218.60.56/~jnz1568/getInfo.php?workbook=08_01.xlsx&amp;sheet=A0&amp;row=173&amp;col=13&amp;number=&amp;sourceID=11","")</f>
        <v/>
      </c>
      <c r="N173" s="4" t="str">
        <f>HYPERLINK("http://141.218.60.56/~jnz1568/getInfo.php?workbook=08_01.xlsx&amp;sheet=A0&amp;row=173&amp;col=14&amp;number=6705800000&amp;sourceID=12","6705800000")</f>
        <v>6705800000</v>
      </c>
      <c r="O173" s="4" t="str">
        <f>HYPERLINK("http://141.218.60.56/~jnz1568/getInfo.php?workbook=08_01.xlsx&amp;sheet=A0&amp;row=173&amp;col=15&amp;number=6705800000&amp;sourceID=12","6705800000")</f>
        <v>6705800000</v>
      </c>
      <c r="P173" s="4" t="str">
        <f>HYPERLINK("http://141.218.60.56/~jnz1568/getInfo.php?workbook=08_01.xlsx&amp;sheet=A0&amp;row=173&amp;col=16&amp;number=&amp;sourceID=12","")</f>
        <v/>
      </c>
      <c r="Q173" s="4" t="str">
        <f>HYPERLINK("http://141.218.60.56/~jnz1568/getInfo.php?workbook=08_01.xlsx&amp;sheet=A0&amp;row=173&amp;col=17&amp;number=&amp;sourceID=12","")</f>
        <v/>
      </c>
      <c r="R173" s="4" t="str">
        <f>HYPERLINK("http://141.218.60.56/~jnz1568/getInfo.php?workbook=08_01.xlsx&amp;sheet=A0&amp;row=173&amp;col=18&amp;number=&amp;sourceID=12","")</f>
        <v/>
      </c>
      <c r="S173" s="4" t="str">
        <f>HYPERLINK("http://141.218.60.56/~jnz1568/getInfo.php?workbook=08_01.xlsx&amp;sheet=A0&amp;row=173&amp;col=19&amp;number=18.507&amp;sourceID=12","18.507")</f>
        <v>18.507</v>
      </c>
      <c r="T173" s="4" t="str">
        <f>HYPERLINK("http://141.218.60.56/~jnz1568/getInfo.php?workbook=08_01.xlsx&amp;sheet=A0&amp;row=173&amp;col=20&amp;number=&amp;sourceID=12","")</f>
        <v/>
      </c>
      <c r="U173" s="4" t="str">
        <f>HYPERLINK("http://141.218.60.56/~jnz1568/getInfo.php?workbook=08_01.xlsx&amp;sheet=A0&amp;row=173&amp;col=21&amp;number=6706000018.51&amp;sourceID=30","6706000018.51")</f>
        <v>6706000018.51</v>
      </c>
      <c r="V173" s="4" t="str">
        <f>HYPERLINK("http://141.218.60.56/~jnz1568/getInfo.php?workbook=08_01.xlsx&amp;sheet=A0&amp;row=173&amp;col=22&amp;number=6706000000&amp;sourceID=30","6706000000")</f>
        <v>6706000000</v>
      </c>
      <c r="W173" s="4" t="str">
        <f>HYPERLINK("http://141.218.60.56/~jnz1568/getInfo.php?workbook=08_01.xlsx&amp;sheet=A0&amp;row=173&amp;col=23&amp;number=&amp;sourceID=30","")</f>
        <v/>
      </c>
      <c r="X173" s="4" t="str">
        <f>HYPERLINK("http://141.218.60.56/~jnz1568/getInfo.php?workbook=08_01.xlsx&amp;sheet=A0&amp;row=173&amp;col=24&amp;number=&amp;sourceID=30","")</f>
        <v/>
      </c>
      <c r="Y173" s="4" t="str">
        <f>HYPERLINK("http://141.218.60.56/~jnz1568/getInfo.php?workbook=08_01.xlsx&amp;sheet=A0&amp;row=173&amp;col=25&amp;number=18.51&amp;sourceID=30","18.51")</f>
        <v>18.51</v>
      </c>
      <c r="Z173" s="4" t="str">
        <f>HYPERLINK("http://141.218.60.56/~jnz1568/getInfo.php?workbook=08_01.xlsx&amp;sheet=A0&amp;row=173&amp;col=26&amp;number=&amp;sourceID=13","")</f>
        <v/>
      </c>
      <c r="AA173" s="4" t="str">
        <f>HYPERLINK("http://141.218.60.56/~jnz1568/getInfo.php?workbook=08_01.xlsx&amp;sheet=A0&amp;row=173&amp;col=27&amp;number=&amp;sourceID=13","")</f>
        <v/>
      </c>
      <c r="AB173" s="4" t="str">
        <f>HYPERLINK("http://141.218.60.56/~jnz1568/getInfo.php?workbook=08_01.xlsx&amp;sheet=A0&amp;row=173&amp;col=28&amp;number=&amp;sourceID=13","")</f>
        <v/>
      </c>
      <c r="AC173" s="4" t="str">
        <f>HYPERLINK("http://141.218.60.56/~jnz1568/getInfo.php?workbook=08_01.xlsx&amp;sheet=A0&amp;row=173&amp;col=29&amp;number=&amp;sourceID=13","")</f>
        <v/>
      </c>
      <c r="AD173" s="4" t="str">
        <f>HYPERLINK("http://141.218.60.56/~jnz1568/getInfo.php?workbook=08_01.xlsx&amp;sheet=A0&amp;row=173&amp;col=30&amp;number=&amp;sourceID=13","")</f>
        <v/>
      </c>
      <c r="AE173" s="4" t="str">
        <f>HYPERLINK("http://141.218.60.56/~jnz1568/getInfo.php?workbook=08_01.xlsx&amp;sheet=A0&amp;row=173&amp;col=31&amp;number=&amp;sourceID=13","")</f>
        <v/>
      </c>
      <c r="AF173" s="4" t="str">
        <f>HYPERLINK("http://141.218.60.56/~jnz1568/getInfo.php?workbook=08_01.xlsx&amp;sheet=A0&amp;row=173&amp;col=32&amp;number=&amp;sourceID=20","")</f>
        <v/>
      </c>
    </row>
    <row r="174" spans="1:32">
      <c r="A174" s="3">
        <v>8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HYPERLINK("http://141.218.60.56/~jnz1568/getInfo.php?workbook=08_01.xlsx&amp;sheet=A0&amp;row=174&amp;col=6&amp;number=&amp;sourceID=18","")</f>
        <v/>
      </c>
      <c r="G174" s="4" t="str">
        <f>HYPERLINK("http://141.218.60.56/~jnz1568/getInfo.php?workbook=08_01.xlsx&amp;sheet=A0&amp;row=174&amp;col=7&amp;number==&amp;sourceID=11","=")</f>
        <v>=</v>
      </c>
      <c r="H174" s="4" t="str">
        <f>HYPERLINK("http://141.218.60.56/~jnz1568/getInfo.php?workbook=08_01.xlsx&amp;sheet=A0&amp;row=174&amp;col=8&amp;number=61329000&amp;sourceID=11","61329000")</f>
        <v>61329000</v>
      </c>
      <c r="I174" s="4" t="str">
        <f>HYPERLINK("http://141.218.60.56/~jnz1568/getInfo.php?workbook=08_01.xlsx&amp;sheet=A0&amp;row=174&amp;col=9&amp;number=&amp;sourceID=11","")</f>
        <v/>
      </c>
      <c r="J174" s="4" t="str">
        <f>HYPERLINK("http://141.218.60.56/~jnz1568/getInfo.php?workbook=08_01.xlsx&amp;sheet=A0&amp;row=174&amp;col=10&amp;number=2.2805&amp;sourceID=11","2.2805")</f>
        <v>2.2805</v>
      </c>
      <c r="K174" s="4" t="str">
        <f>HYPERLINK("http://141.218.60.56/~jnz1568/getInfo.php?workbook=08_01.xlsx&amp;sheet=A0&amp;row=174&amp;col=11&amp;number=&amp;sourceID=11","")</f>
        <v/>
      </c>
      <c r="L174" s="4" t="str">
        <f>HYPERLINK("http://141.218.60.56/~jnz1568/getInfo.php?workbook=08_01.xlsx&amp;sheet=A0&amp;row=174&amp;col=12&amp;number=&amp;sourceID=11","")</f>
        <v/>
      </c>
      <c r="M174" s="4" t="str">
        <f>HYPERLINK("http://141.218.60.56/~jnz1568/getInfo.php?workbook=08_01.xlsx&amp;sheet=A0&amp;row=174&amp;col=13&amp;number=&amp;sourceID=11","")</f>
        <v/>
      </c>
      <c r="N174" s="4" t="str">
        <f>HYPERLINK("http://141.218.60.56/~jnz1568/getInfo.php?workbook=08_01.xlsx&amp;sheet=A0&amp;row=174&amp;col=14&amp;number=61331000&amp;sourceID=12","61331000")</f>
        <v>61331000</v>
      </c>
      <c r="O174" s="4" t="str">
        <f>HYPERLINK("http://141.218.60.56/~jnz1568/getInfo.php?workbook=08_01.xlsx&amp;sheet=A0&amp;row=174&amp;col=15&amp;number=61331000&amp;sourceID=12","61331000")</f>
        <v>61331000</v>
      </c>
      <c r="P174" s="4" t="str">
        <f>HYPERLINK("http://141.218.60.56/~jnz1568/getInfo.php?workbook=08_01.xlsx&amp;sheet=A0&amp;row=174&amp;col=16&amp;number=&amp;sourceID=12","")</f>
        <v/>
      </c>
      <c r="Q174" s="4" t="str">
        <f>HYPERLINK("http://141.218.60.56/~jnz1568/getInfo.php?workbook=08_01.xlsx&amp;sheet=A0&amp;row=174&amp;col=17&amp;number=2.2805&amp;sourceID=12","2.2805")</f>
        <v>2.2805</v>
      </c>
      <c r="R174" s="4" t="str">
        <f>HYPERLINK("http://141.218.60.56/~jnz1568/getInfo.php?workbook=08_01.xlsx&amp;sheet=A0&amp;row=174&amp;col=18&amp;number=&amp;sourceID=12","")</f>
        <v/>
      </c>
      <c r="S174" s="4" t="str">
        <f>HYPERLINK("http://141.218.60.56/~jnz1568/getInfo.php?workbook=08_01.xlsx&amp;sheet=A0&amp;row=174&amp;col=19&amp;number=&amp;sourceID=12","")</f>
        <v/>
      </c>
      <c r="T174" s="4" t="str">
        <f>HYPERLINK("http://141.218.60.56/~jnz1568/getInfo.php?workbook=08_01.xlsx&amp;sheet=A0&amp;row=174&amp;col=20&amp;number=&amp;sourceID=12","")</f>
        <v/>
      </c>
      <c r="U174" s="4" t="str">
        <f>HYPERLINK("http://141.218.60.56/~jnz1568/getInfo.php?workbook=08_01.xlsx&amp;sheet=A0&amp;row=174&amp;col=21&amp;number=61330000&amp;sourceID=30","61330000")</f>
        <v>61330000</v>
      </c>
      <c r="V174" s="4" t="str">
        <f>HYPERLINK("http://141.218.60.56/~jnz1568/getInfo.php?workbook=08_01.xlsx&amp;sheet=A0&amp;row=174&amp;col=22&amp;number=61330000&amp;sourceID=30","61330000")</f>
        <v>61330000</v>
      </c>
      <c r="W174" s="4" t="str">
        <f>HYPERLINK("http://141.218.60.56/~jnz1568/getInfo.php?workbook=08_01.xlsx&amp;sheet=A0&amp;row=174&amp;col=23&amp;number=&amp;sourceID=30","")</f>
        <v/>
      </c>
      <c r="X174" s="4" t="str">
        <f>HYPERLINK("http://141.218.60.56/~jnz1568/getInfo.php?workbook=08_01.xlsx&amp;sheet=A0&amp;row=174&amp;col=24&amp;number=&amp;sourceID=30","")</f>
        <v/>
      </c>
      <c r="Y174" s="4" t="str">
        <f>HYPERLINK("http://141.218.60.56/~jnz1568/getInfo.php?workbook=08_01.xlsx&amp;sheet=A0&amp;row=174&amp;col=25&amp;number=&amp;sourceID=30","")</f>
        <v/>
      </c>
      <c r="Z174" s="4" t="str">
        <f>HYPERLINK("http://141.218.60.56/~jnz1568/getInfo.php?workbook=08_01.xlsx&amp;sheet=A0&amp;row=174&amp;col=26&amp;number=&amp;sourceID=13","")</f>
        <v/>
      </c>
      <c r="AA174" s="4" t="str">
        <f>HYPERLINK("http://141.218.60.56/~jnz1568/getInfo.php?workbook=08_01.xlsx&amp;sheet=A0&amp;row=174&amp;col=27&amp;number=&amp;sourceID=13","")</f>
        <v/>
      </c>
      <c r="AB174" s="4" t="str">
        <f>HYPERLINK("http://141.218.60.56/~jnz1568/getInfo.php?workbook=08_01.xlsx&amp;sheet=A0&amp;row=174&amp;col=28&amp;number=&amp;sourceID=13","")</f>
        <v/>
      </c>
      <c r="AC174" s="4" t="str">
        <f>HYPERLINK("http://141.218.60.56/~jnz1568/getInfo.php?workbook=08_01.xlsx&amp;sheet=A0&amp;row=174&amp;col=29&amp;number=&amp;sourceID=13","")</f>
        <v/>
      </c>
      <c r="AD174" s="4" t="str">
        <f>HYPERLINK("http://141.218.60.56/~jnz1568/getInfo.php?workbook=08_01.xlsx&amp;sheet=A0&amp;row=174&amp;col=30&amp;number=&amp;sourceID=13","")</f>
        <v/>
      </c>
      <c r="AE174" s="4" t="str">
        <f>HYPERLINK("http://141.218.60.56/~jnz1568/getInfo.php?workbook=08_01.xlsx&amp;sheet=A0&amp;row=174&amp;col=31&amp;number=&amp;sourceID=13","")</f>
        <v/>
      </c>
      <c r="AF174" s="4" t="str">
        <f>HYPERLINK("http://141.218.60.56/~jnz1568/getInfo.php?workbook=08_01.xlsx&amp;sheet=A0&amp;row=174&amp;col=32&amp;number=&amp;sourceID=20","")</f>
        <v/>
      </c>
    </row>
    <row r="175" spans="1:32">
      <c r="A175" s="3">
        <v>8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HYPERLINK("http://141.218.60.56/~jnz1568/getInfo.php?workbook=08_01.xlsx&amp;sheet=A0&amp;row=175&amp;col=6&amp;number=&amp;sourceID=18","")</f>
        <v/>
      </c>
      <c r="G175" s="4" t="str">
        <f>HYPERLINK("http://141.218.60.56/~jnz1568/getInfo.php?workbook=08_01.xlsx&amp;sheet=A0&amp;row=175&amp;col=7&amp;number==&amp;sourceID=11","=")</f>
        <v>=</v>
      </c>
      <c r="H175" s="4" t="str">
        <f>HYPERLINK("http://141.218.60.56/~jnz1568/getInfo.php?workbook=08_01.xlsx&amp;sheet=A0&amp;row=175&amp;col=8&amp;number=&amp;sourceID=11","")</f>
        <v/>
      </c>
      <c r="I175" s="4" t="str">
        <f>HYPERLINK("http://141.218.60.56/~jnz1568/getInfo.php?workbook=08_01.xlsx&amp;sheet=A0&amp;row=175&amp;col=9&amp;number=187280&amp;sourceID=11","187280")</f>
        <v>187280</v>
      </c>
      <c r="J175" s="4" t="str">
        <f>HYPERLINK("http://141.218.60.56/~jnz1568/getInfo.php?workbook=08_01.xlsx&amp;sheet=A0&amp;row=175&amp;col=10&amp;number=&amp;sourceID=11","")</f>
        <v/>
      </c>
      <c r="K175" s="4" t="str">
        <f>HYPERLINK("http://141.218.60.56/~jnz1568/getInfo.php?workbook=08_01.xlsx&amp;sheet=A0&amp;row=175&amp;col=11&amp;number=0.059461&amp;sourceID=11","0.059461")</f>
        <v>0.059461</v>
      </c>
      <c r="L175" s="4" t="str">
        <f>HYPERLINK("http://141.218.60.56/~jnz1568/getInfo.php?workbook=08_01.xlsx&amp;sheet=A0&amp;row=175&amp;col=12&amp;number=&amp;sourceID=11","")</f>
        <v/>
      </c>
      <c r="M175" s="4" t="str">
        <f>HYPERLINK("http://141.218.60.56/~jnz1568/getInfo.php?workbook=08_01.xlsx&amp;sheet=A0&amp;row=175&amp;col=13&amp;number=0.0011006&amp;sourceID=11","0.0011006")</f>
        <v>0.0011006</v>
      </c>
      <c r="N175" s="4" t="str">
        <f>HYPERLINK("http://141.218.60.56/~jnz1568/getInfo.php?workbook=08_01.xlsx&amp;sheet=A0&amp;row=175&amp;col=14&amp;number=187290&amp;sourceID=12","187290")</f>
        <v>187290</v>
      </c>
      <c r="O175" s="4" t="str">
        <f>HYPERLINK("http://141.218.60.56/~jnz1568/getInfo.php?workbook=08_01.xlsx&amp;sheet=A0&amp;row=175&amp;col=15&amp;number=&amp;sourceID=12","")</f>
        <v/>
      </c>
      <c r="P175" s="4" t="str">
        <f>HYPERLINK("http://141.218.60.56/~jnz1568/getInfo.php?workbook=08_01.xlsx&amp;sheet=A0&amp;row=175&amp;col=16&amp;number=187290&amp;sourceID=12","187290")</f>
        <v>187290</v>
      </c>
      <c r="Q175" s="4" t="str">
        <f>HYPERLINK("http://141.218.60.56/~jnz1568/getInfo.php?workbook=08_01.xlsx&amp;sheet=A0&amp;row=175&amp;col=17&amp;number=&amp;sourceID=12","")</f>
        <v/>
      </c>
      <c r="R175" s="4" t="str">
        <f>HYPERLINK("http://141.218.60.56/~jnz1568/getInfo.php?workbook=08_01.xlsx&amp;sheet=A0&amp;row=175&amp;col=18&amp;number=0.059464&amp;sourceID=12","0.059464")</f>
        <v>0.059464</v>
      </c>
      <c r="S175" s="4" t="str">
        <f>HYPERLINK("http://141.218.60.56/~jnz1568/getInfo.php?workbook=08_01.xlsx&amp;sheet=A0&amp;row=175&amp;col=19&amp;number=&amp;sourceID=12","")</f>
        <v/>
      </c>
      <c r="T175" s="4" t="str">
        <f>HYPERLINK("http://141.218.60.56/~jnz1568/getInfo.php?workbook=08_01.xlsx&amp;sheet=A0&amp;row=175&amp;col=20&amp;number=0.0011007&amp;sourceID=12","0.0011007")</f>
        <v>0.0011007</v>
      </c>
      <c r="U175" s="4" t="str">
        <f>HYPERLINK("http://141.218.60.56/~jnz1568/getInfo.php?workbook=08_01.xlsx&amp;sheet=A0&amp;row=175&amp;col=21&amp;number=187300.05943&amp;sourceID=30","187300.05943")</f>
        <v>187300.05943</v>
      </c>
      <c r="V175" s="4" t="str">
        <f>HYPERLINK("http://141.218.60.56/~jnz1568/getInfo.php?workbook=08_01.xlsx&amp;sheet=A0&amp;row=175&amp;col=22&amp;number=&amp;sourceID=30","")</f>
        <v/>
      </c>
      <c r="W175" s="4" t="str">
        <f>HYPERLINK("http://141.218.60.56/~jnz1568/getInfo.php?workbook=08_01.xlsx&amp;sheet=A0&amp;row=175&amp;col=23&amp;number=187300&amp;sourceID=30","187300")</f>
        <v>187300</v>
      </c>
      <c r="X175" s="4" t="str">
        <f>HYPERLINK("http://141.218.60.56/~jnz1568/getInfo.php?workbook=08_01.xlsx&amp;sheet=A0&amp;row=175&amp;col=24&amp;number=0.05943&amp;sourceID=30","0.05943")</f>
        <v>0.05943</v>
      </c>
      <c r="Y175" s="4" t="str">
        <f>HYPERLINK("http://141.218.60.56/~jnz1568/getInfo.php?workbook=08_01.xlsx&amp;sheet=A0&amp;row=175&amp;col=25&amp;number=&amp;sourceID=30","")</f>
        <v/>
      </c>
      <c r="Z175" s="4" t="str">
        <f>HYPERLINK("http://141.218.60.56/~jnz1568/getInfo.php?workbook=08_01.xlsx&amp;sheet=A0&amp;row=175&amp;col=26&amp;number=&amp;sourceID=13","")</f>
        <v/>
      </c>
      <c r="AA175" s="4" t="str">
        <f>HYPERLINK("http://141.218.60.56/~jnz1568/getInfo.php?workbook=08_01.xlsx&amp;sheet=A0&amp;row=175&amp;col=27&amp;number=&amp;sourceID=13","")</f>
        <v/>
      </c>
      <c r="AB175" s="4" t="str">
        <f>HYPERLINK("http://141.218.60.56/~jnz1568/getInfo.php?workbook=08_01.xlsx&amp;sheet=A0&amp;row=175&amp;col=28&amp;number=&amp;sourceID=13","")</f>
        <v/>
      </c>
      <c r="AC175" s="4" t="str">
        <f>HYPERLINK("http://141.218.60.56/~jnz1568/getInfo.php?workbook=08_01.xlsx&amp;sheet=A0&amp;row=175&amp;col=29&amp;number=&amp;sourceID=13","")</f>
        <v/>
      </c>
      <c r="AD175" s="4" t="str">
        <f>HYPERLINK("http://141.218.60.56/~jnz1568/getInfo.php?workbook=08_01.xlsx&amp;sheet=A0&amp;row=175&amp;col=30&amp;number=&amp;sourceID=13","")</f>
        <v/>
      </c>
      <c r="AE175" s="4" t="str">
        <f>HYPERLINK("http://141.218.60.56/~jnz1568/getInfo.php?workbook=08_01.xlsx&amp;sheet=A0&amp;row=175&amp;col=31&amp;number=&amp;sourceID=13","")</f>
        <v/>
      </c>
      <c r="AF175" s="4" t="str">
        <f>HYPERLINK("http://141.218.60.56/~jnz1568/getInfo.php?workbook=08_01.xlsx&amp;sheet=A0&amp;row=175&amp;col=32&amp;number=&amp;sourceID=20","")</f>
        <v/>
      </c>
    </row>
    <row r="176" spans="1:32">
      <c r="A176" s="3">
        <v>8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HYPERLINK("http://141.218.60.56/~jnz1568/getInfo.php?workbook=08_01.xlsx&amp;sheet=A0&amp;row=176&amp;col=6&amp;number=&amp;sourceID=18","")</f>
        <v/>
      </c>
      <c r="G176" s="4" t="str">
        <f>HYPERLINK("http://141.218.60.56/~jnz1568/getInfo.php?workbook=08_01.xlsx&amp;sheet=A0&amp;row=176&amp;col=7&amp;number==&amp;sourceID=11","=")</f>
        <v>=</v>
      </c>
      <c r="H176" s="4" t="str">
        <f>HYPERLINK("http://141.218.60.56/~jnz1568/getInfo.php?workbook=08_01.xlsx&amp;sheet=A0&amp;row=176&amp;col=8&amp;number=553520000&amp;sourceID=11","553520000")</f>
        <v>553520000</v>
      </c>
      <c r="I176" s="4" t="str">
        <f>HYPERLINK("http://141.218.60.56/~jnz1568/getInfo.php?workbook=08_01.xlsx&amp;sheet=A0&amp;row=176&amp;col=9&amp;number=&amp;sourceID=11","")</f>
        <v/>
      </c>
      <c r="J176" s="4" t="str">
        <f>HYPERLINK("http://141.218.60.56/~jnz1568/getInfo.php?workbook=08_01.xlsx&amp;sheet=A0&amp;row=176&amp;col=10&amp;number=1.5174&amp;sourceID=11","1.5174")</f>
        <v>1.5174</v>
      </c>
      <c r="K176" s="4" t="str">
        <f>HYPERLINK("http://141.218.60.56/~jnz1568/getInfo.php?workbook=08_01.xlsx&amp;sheet=A0&amp;row=176&amp;col=11&amp;number=&amp;sourceID=11","")</f>
        <v/>
      </c>
      <c r="L176" s="4" t="str">
        <f>HYPERLINK("http://141.218.60.56/~jnz1568/getInfo.php?workbook=08_01.xlsx&amp;sheet=A0&amp;row=176&amp;col=12&amp;number=1.9764&amp;sourceID=11","1.9764")</f>
        <v>1.9764</v>
      </c>
      <c r="M176" s="4" t="str">
        <f>HYPERLINK("http://141.218.60.56/~jnz1568/getInfo.php?workbook=08_01.xlsx&amp;sheet=A0&amp;row=176&amp;col=13&amp;number=&amp;sourceID=11","")</f>
        <v/>
      </c>
      <c r="N176" s="4" t="str">
        <f>HYPERLINK("http://141.218.60.56/~jnz1568/getInfo.php?workbook=08_01.xlsx&amp;sheet=A0&amp;row=176&amp;col=14&amp;number=553530000&amp;sourceID=12","553530000")</f>
        <v>553530000</v>
      </c>
      <c r="O176" s="4" t="str">
        <f>HYPERLINK("http://141.218.60.56/~jnz1568/getInfo.php?workbook=08_01.xlsx&amp;sheet=A0&amp;row=176&amp;col=15&amp;number=553530000&amp;sourceID=12","553530000")</f>
        <v>553530000</v>
      </c>
      <c r="P176" s="4" t="str">
        <f>HYPERLINK("http://141.218.60.56/~jnz1568/getInfo.php?workbook=08_01.xlsx&amp;sheet=A0&amp;row=176&amp;col=16&amp;number=&amp;sourceID=12","")</f>
        <v/>
      </c>
      <c r="Q176" s="4" t="str">
        <f>HYPERLINK("http://141.218.60.56/~jnz1568/getInfo.php?workbook=08_01.xlsx&amp;sheet=A0&amp;row=176&amp;col=17&amp;number=1.5174&amp;sourceID=12","1.5174")</f>
        <v>1.5174</v>
      </c>
      <c r="R176" s="4" t="str">
        <f>HYPERLINK("http://141.218.60.56/~jnz1568/getInfo.php?workbook=08_01.xlsx&amp;sheet=A0&amp;row=176&amp;col=18&amp;number=&amp;sourceID=12","")</f>
        <v/>
      </c>
      <c r="S176" s="4" t="str">
        <f>HYPERLINK("http://141.218.60.56/~jnz1568/getInfo.php?workbook=08_01.xlsx&amp;sheet=A0&amp;row=176&amp;col=19&amp;number=1.9765&amp;sourceID=12","1.9765")</f>
        <v>1.9765</v>
      </c>
      <c r="T176" s="4" t="str">
        <f>HYPERLINK("http://141.218.60.56/~jnz1568/getInfo.php?workbook=08_01.xlsx&amp;sheet=A0&amp;row=176&amp;col=20&amp;number=&amp;sourceID=12","")</f>
        <v/>
      </c>
      <c r="U176" s="4" t="str">
        <f>HYPERLINK("http://141.218.60.56/~jnz1568/getInfo.php?workbook=08_01.xlsx&amp;sheet=A0&amp;row=176&amp;col=21&amp;number=553500001.977&amp;sourceID=30","553500001.977")</f>
        <v>553500001.977</v>
      </c>
      <c r="V176" s="4" t="str">
        <f>HYPERLINK("http://141.218.60.56/~jnz1568/getInfo.php?workbook=08_01.xlsx&amp;sheet=A0&amp;row=176&amp;col=22&amp;number=553500000&amp;sourceID=30","553500000")</f>
        <v>553500000</v>
      </c>
      <c r="W176" s="4" t="str">
        <f>HYPERLINK("http://141.218.60.56/~jnz1568/getInfo.php?workbook=08_01.xlsx&amp;sheet=A0&amp;row=176&amp;col=23&amp;number=&amp;sourceID=30","")</f>
        <v/>
      </c>
      <c r="X176" s="4" t="str">
        <f>HYPERLINK("http://141.218.60.56/~jnz1568/getInfo.php?workbook=08_01.xlsx&amp;sheet=A0&amp;row=176&amp;col=24&amp;number=&amp;sourceID=30","")</f>
        <v/>
      </c>
      <c r="Y176" s="4" t="str">
        <f>HYPERLINK("http://141.218.60.56/~jnz1568/getInfo.php?workbook=08_01.xlsx&amp;sheet=A0&amp;row=176&amp;col=25&amp;number=1.977&amp;sourceID=30","1.977")</f>
        <v>1.977</v>
      </c>
      <c r="Z176" s="4" t="str">
        <f>HYPERLINK("http://141.218.60.56/~jnz1568/getInfo.php?workbook=08_01.xlsx&amp;sheet=A0&amp;row=176&amp;col=26&amp;number=&amp;sourceID=13","")</f>
        <v/>
      </c>
      <c r="AA176" s="4" t="str">
        <f>HYPERLINK("http://141.218.60.56/~jnz1568/getInfo.php?workbook=08_01.xlsx&amp;sheet=A0&amp;row=176&amp;col=27&amp;number=&amp;sourceID=13","")</f>
        <v/>
      </c>
      <c r="AB176" s="4" t="str">
        <f>HYPERLINK("http://141.218.60.56/~jnz1568/getInfo.php?workbook=08_01.xlsx&amp;sheet=A0&amp;row=176&amp;col=28&amp;number=&amp;sourceID=13","")</f>
        <v/>
      </c>
      <c r="AC176" s="4" t="str">
        <f>HYPERLINK("http://141.218.60.56/~jnz1568/getInfo.php?workbook=08_01.xlsx&amp;sheet=A0&amp;row=176&amp;col=29&amp;number=&amp;sourceID=13","")</f>
        <v/>
      </c>
      <c r="AD176" s="4" t="str">
        <f>HYPERLINK("http://141.218.60.56/~jnz1568/getInfo.php?workbook=08_01.xlsx&amp;sheet=A0&amp;row=176&amp;col=30&amp;number=&amp;sourceID=13","")</f>
        <v/>
      </c>
      <c r="AE176" s="4" t="str">
        <f>HYPERLINK("http://141.218.60.56/~jnz1568/getInfo.php?workbook=08_01.xlsx&amp;sheet=A0&amp;row=176&amp;col=31&amp;number=&amp;sourceID=13","")</f>
        <v/>
      </c>
      <c r="AF176" s="4" t="str">
        <f>HYPERLINK("http://141.218.60.56/~jnz1568/getInfo.php?workbook=08_01.xlsx&amp;sheet=A0&amp;row=176&amp;col=32&amp;number=&amp;sourceID=20","")</f>
        <v/>
      </c>
    </row>
    <row r="177" spans="1:32">
      <c r="A177" s="3">
        <v>8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HYPERLINK("http://141.218.60.56/~jnz1568/getInfo.php?workbook=08_01.xlsx&amp;sheet=A0&amp;row=177&amp;col=6&amp;number=&amp;sourceID=18","")</f>
        <v/>
      </c>
      <c r="G177" s="4" t="str">
        <f>HYPERLINK("http://141.218.60.56/~jnz1568/getInfo.php?workbook=08_01.xlsx&amp;sheet=A0&amp;row=177&amp;col=7&amp;number==&amp;sourceID=11","=")</f>
        <v>=</v>
      </c>
      <c r="H177" s="4" t="str">
        <f>HYPERLINK("http://141.218.60.56/~jnz1568/getInfo.php?workbook=08_01.xlsx&amp;sheet=A0&amp;row=177&amp;col=8&amp;number=&amp;sourceID=11","")</f>
        <v/>
      </c>
      <c r="I177" s="4" t="str">
        <f>HYPERLINK("http://141.218.60.56/~jnz1568/getInfo.php?workbook=08_01.xlsx&amp;sheet=A0&amp;row=177&amp;col=9&amp;number=59633&amp;sourceID=11","59633")</f>
        <v>59633</v>
      </c>
      <c r="J177" s="4" t="str">
        <f>HYPERLINK("http://141.218.60.56/~jnz1568/getInfo.php?workbook=08_01.xlsx&amp;sheet=A0&amp;row=177&amp;col=10&amp;number=&amp;sourceID=11","")</f>
        <v/>
      </c>
      <c r="K177" s="4" t="str">
        <f>HYPERLINK("http://141.218.60.56/~jnz1568/getInfo.php?workbook=08_01.xlsx&amp;sheet=A0&amp;row=177&amp;col=11&amp;number=0.022681&amp;sourceID=11","0.022681")</f>
        <v>0.022681</v>
      </c>
      <c r="L177" s="4" t="str">
        <f>HYPERLINK("http://141.218.60.56/~jnz1568/getInfo.php?workbook=08_01.xlsx&amp;sheet=A0&amp;row=177&amp;col=12&amp;number=&amp;sourceID=11","")</f>
        <v/>
      </c>
      <c r="M177" s="4" t="str">
        <f>HYPERLINK("http://141.218.60.56/~jnz1568/getInfo.php?workbook=08_01.xlsx&amp;sheet=A0&amp;row=177&amp;col=13&amp;number=&amp;sourceID=11","")</f>
        <v/>
      </c>
      <c r="N177" s="4" t="str">
        <f>HYPERLINK("http://141.218.60.56/~jnz1568/getInfo.php?workbook=08_01.xlsx&amp;sheet=A0&amp;row=177&amp;col=14&amp;number=59635&amp;sourceID=12","59635")</f>
        <v>59635</v>
      </c>
      <c r="O177" s="4" t="str">
        <f>HYPERLINK("http://141.218.60.56/~jnz1568/getInfo.php?workbook=08_01.xlsx&amp;sheet=A0&amp;row=177&amp;col=15&amp;number=&amp;sourceID=12","")</f>
        <v/>
      </c>
      <c r="P177" s="4" t="str">
        <f>HYPERLINK("http://141.218.60.56/~jnz1568/getInfo.php?workbook=08_01.xlsx&amp;sheet=A0&amp;row=177&amp;col=16&amp;number=59635&amp;sourceID=12","59635")</f>
        <v>59635</v>
      </c>
      <c r="Q177" s="4" t="str">
        <f>HYPERLINK("http://141.218.60.56/~jnz1568/getInfo.php?workbook=08_01.xlsx&amp;sheet=A0&amp;row=177&amp;col=17&amp;number=&amp;sourceID=12","")</f>
        <v/>
      </c>
      <c r="R177" s="4" t="str">
        <f>HYPERLINK("http://141.218.60.56/~jnz1568/getInfo.php?workbook=08_01.xlsx&amp;sheet=A0&amp;row=177&amp;col=18&amp;number=0.022683&amp;sourceID=12","0.022683")</f>
        <v>0.022683</v>
      </c>
      <c r="S177" s="4" t="str">
        <f>HYPERLINK("http://141.218.60.56/~jnz1568/getInfo.php?workbook=08_01.xlsx&amp;sheet=A0&amp;row=177&amp;col=19&amp;number=&amp;sourceID=12","")</f>
        <v/>
      </c>
      <c r="T177" s="4" t="str">
        <f>HYPERLINK("http://141.218.60.56/~jnz1568/getInfo.php?workbook=08_01.xlsx&amp;sheet=A0&amp;row=177&amp;col=20&amp;number=&amp;sourceID=12","")</f>
        <v/>
      </c>
      <c r="U177" s="4" t="str">
        <f>HYPERLINK("http://141.218.60.56/~jnz1568/getInfo.php?workbook=08_01.xlsx&amp;sheet=A0&amp;row=177&amp;col=21&amp;number=59640.02269&amp;sourceID=30","59640.02269")</f>
        <v>59640.02269</v>
      </c>
      <c r="V177" s="4" t="str">
        <f>HYPERLINK("http://141.218.60.56/~jnz1568/getInfo.php?workbook=08_01.xlsx&amp;sheet=A0&amp;row=177&amp;col=22&amp;number=&amp;sourceID=30","")</f>
        <v/>
      </c>
      <c r="W177" s="4" t="str">
        <f>HYPERLINK("http://141.218.60.56/~jnz1568/getInfo.php?workbook=08_01.xlsx&amp;sheet=A0&amp;row=177&amp;col=23&amp;number=59640&amp;sourceID=30","59640")</f>
        <v>59640</v>
      </c>
      <c r="X177" s="4" t="str">
        <f>HYPERLINK("http://141.218.60.56/~jnz1568/getInfo.php?workbook=08_01.xlsx&amp;sheet=A0&amp;row=177&amp;col=24&amp;number=0.02269&amp;sourceID=30","0.02269")</f>
        <v>0.02269</v>
      </c>
      <c r="Y177" s="4" t="str">
        <f>HYPERLINK("http://141.218.60.56/~jnz1568/getInfo.php?workbook=08_01.xlsx&amp;sheet=A0&amp;row=177&amp;col=25&amp;number=&amp;sourceID=30","")</f>
        <v/>
      </c>
      <c r="Z177" s="4" t="str">
        <f>HYPERLINK("http://141.218.60.56/~jnz1568/getInfo.php?workbook=08_01.xlsx&amp;sheet=A0&amp;row=177&amp;col=26&amp;number=&amp;sourceID=13","")</f>
        <v/>
      </c>
      <c r="AA177" s="4" t="str">
        <f>HYPERLINK("http://141.218.60.56/~jnz1568/getInfo.php?workbook=08_01.xlsx&amp;sheet=A0&amp;row=177&amp;col=27&amp;number=&amp;sourceID=13","")</f>
        <v/>
      </c>
      <c r="AB177" s="4" t="str">
        <f>HYPERLINK("http://141.218.60.56/~jnz1568/getInfo.php?workbook=08_01.xlsx&amp;sheet=A0&amp;row=177&amp;col=28&amp;number=&amp;sourceID=13","")</f>
        <v/>
      </c>
      <c r="AC177" s="4" t="str">
        <f>HYPERLINK("http://141.218.60.56/~jnz1568/getInfo.php?workbook=08_01.xlsx&amp;sheet=A0&amp;row=177&amp;col=29&amp;number=&amp;sourceID=13","")</f>
        <v/>
      </c>
      <c r="AD177" s="4" t="str">
        <f>HYPERLINK("http://141.218.60.56/~jnz1568/getInfo.php?workbook=08_01.xlsx&amp;sheet=A0&amp;row=177&amp;col=30&amp;number=&amp;sourceID=13","")</f>
        <v/>
      </c>
      <c r="AE177" s="4" t="str">
        <f>HYPERLINK("http://141.218.60.56/~jnz1568/getInfo.php?workbook=08_01.xlsx&amp;sheet=A0&amp;row=177&amp;col=31&amp;number=&amp;sourceID=13","")</f>
        <v/>
      </c>
      <c r="AF177" s="4" t="str">
        <f>HYPERLINK("http://141.218.60.56/~jnz1568/getInfo.php?workbook=08_01.xlsx&amp;sheet=A0&amp;row=177&amp;col=32&amp;number=&amp;sourceID=20","")</f>
        <v/>
      </c>
    </row>
    <row r="178" spans="1:32">
      <c r="A178" s="3">
        <v>8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HYPERLINK("http://141.218.60.56/~jnz1568/getInfo.php?workbook=08_01.xlsx&amp;sheet=A0&amp;row=178&amp;col=6&amp;number=&amp;sourceID=18","")</f>
        <v/>
      </c>
      <c r="G178" s="4" t="str">
        <f>HYPERLINK("http://141.218.60.56/~jnz1568/getInfo.php?workbook=08_01.xlsx&amp;sheet=A0&amp;row=178&amp;col=7&amp;number==&amp;sourceID=11","=")</f>
        <v>=</v>
      </c>
      <c r="H178" s="4" t="str">
        <f>HYPERLINK("http://141.218.60.56/~jnz1568/getInfo.php?workbook=08_01.xlsx&amp;sheet=A0&amp;row=178&amp;col=8&amp;number=3014000000&amp;sourceID=11","3014000000")</f>
        <v>3014000000</v>
      </c>
      <c r="I178" s="4" t="str">
        <f>HYPERLINK("http://141.218.60.56/~jnz1568/getInfo.php?workbook=08_01.xlsx&amp;sheet=A0&amp;row=178&amp;col=9&amp;number=&amp;sourceID=11","")</f>
        <v/>
      </c>
      <c r="J178" s="4" t="str">
        <f>HYPERLINK("http://141.218.60.56/~jnz1568/getInfo.php?workbook=08_01.xlsx&amp;sheet=A0&amp;row=178&amp;col=10&amp;number=&amp;sourceID=11","")</f>
        <v/>
      </c>
      <c r="K178" s="4" t="str">
        <f>HYPERLINK("http://141.218.60.56/~jnz1568/getInfo.php?workbook=08_01.xlsx&amp;sheet=A0&amp;row=178&amp;col=11&amp;number=&amp;sourceID=11","")</f>
        <v/>
      </c>
      <c r="L178" s="4" t="str">
        <f>HYPERLINK("http://141.218.60.56/~jnz1568/getInfo.php?workbook=08_01.xlsx&amp;sheet=A0&amp;row=178&amp;col=12&amp;number=0.83329&amp;sourceID=11","0.83329")</f>
        <v>0.83329</v>
      </c>
      <c r="M178" s="4" t="str">
        <f>HYPERLINK("http://141.218.60.56/~jnz1568/getInfo.php?workbook=08_01.xlsx&amp;sheet=A0&amp;row=178&amp;col=13&amp;number=&amp;sourceID=11","")</f>
        <v/>
      </c>
      <c r="N178" s="4" t="str">
        <f>HYPERLINK("http://141.218.60.56/~jnz1568/getInfo.php?workbook=08_01.xlsx&amp;sheet=A0&amp;row=178&amp;col=14&amp;number=3014100000&amp;sourceID=12","3014100000")</f>
        <v>3014100000</v>
      </c>
      <c r="O178" s="4" t="str">
        <f>HYPERLINK("http://141.218.60.56/~jnz1568/getInfo.php?workbook=08_01.xlsx&amp;sheet=A0&amp;row=178&amp;col=15&amp;number=3014100000&amp;sourceID=12","3014100000")</f>
        <v>3014100000</v>
      </c>
      <c r="P178" s="4" t="str">
        <f>HYPERLINK("http://141.218.60.56/~jnz1568/getInfo.php?workbook=08_01.xlsx&amp;sheet=A0&amp;row=178&amp;col=16&amp;number=&amp;sourceID=12","")</f>
        <v/>
      </c>
      <c r="Q178" s="4" t="str">
        <f>HYPERLINK("http://141.218.60.56/~jnz1568/getInfo.php?workbook=08_01.xlsx&amp;sheet=A0&amp;row=178&amp;col=17&amp;number=&amp;sourceID=12","")</f>
        <v/>
      </c>
      <c r="R178" s="4" t="str">
        <f>HYPERLINK("http://141.218.60.56/~jnz1568/getInfo.php?workbook=08_01.xlsx&amp;sheet=A0&amp;row=178&amp;col=18&amp;number=&amp;sourceID=12","")</f>
        <v/>
      </c>
      <c r="S178" s="4" t="str">
        <f>HYPERLINK("http://141.218.60.56/~jnz1568/getInfo.php?workbook=08_01.xlsx&amp;sheet=A0&amp;row=178&amp;col=19&amp;number=0.83332&amp;sourceID=12","0.83332")</f>
        <v>0.83332</v>
      </c>
      <c r="T178" s="4" t="str">
        <f>HYPERLINK("http://141.218.60.56/~jnz1568/getInfo.php?workbook=08_01.xlsx&amp;sheet=A0&amp;row=178&amp;col=20&amp;number=&amp;sourceID=12","")</f>
        <v/>
      </c>
      <c r="U178" s="4" t="str">
        <f>HYPERLINK("http://141.218.60.56/~jnz1568/getInfo.php?workbook=08_01.xlsx&amp;sheet=A0&amp;row=178&amp;col=21&amp;number=3014000000.83&amp;sourceID=30","3014000000.83")</f>
        <v>3014000000.83</v>
      </c>
      <c r="V178" s="4" t="str">
        <f>HYPERLINK("http://141.218.60.56/~jnz1568/getInfo.php?workbook=08_01.xlsx&amp;sheet=A0&amp;row=178&amp;col=22&amp;number=3014000000&amp;sourceID=30","3014000000")</f>
        <v>3014000000</v>
      </c>
      <c r="W178" s="4" t="str">
        <f>HYPERLINK("http://141.218.60.56/~jnz1568/getInfo.php?workbook=08_01.xlsx&amp;sheet=A0&amp;row=178&amp;col=23&amp;number=&amp;sourceID=30","")</f>
        <v/>
      </c>
      <c r="X178" s="4" t="str">
        <f>HYPERLINK("http://141.218.60.56/~jnz1568/getInfo.php?workbook=08_01.xlsx&amp;sheet=A0&amp;row=178&amp;col=24&amp;number=&amp;sourceID=30","")</f>
        <v/>
      </c>
      <c r="Y178" s="4" t="str">
        <f>HYPERLINK("http://141.218.60.56/~jnz1568/getInfo.php?workbook=08_01.xlsx&amp;sheet=A0&amp;row=178&amp;col=25&amp;number=0.8333&amp;sourceID=30","0.8333")</f>
        <v>0.8333</v>
      </c>
      <c r="Z178" s="4" t="str">
        <f>HYPERLINK("http://141.218.60.56/~jnz1568/getInfo.php?workbook=08_01.xlsx&amp;sheet=A0&amp;row=178&amp;col=26&amp;number=&amp;sourceID=13","")</f>
        <v/>
      </c>
      <c r="AA178" s="4" t="str">
        <f>HYPERLINK("http://141.218.60.56/~jnz1568/getInfo.php?workbook=08_01.xlsx&amp;sheet=A0&amp;row=178&amp;col=27&amp;number=&amp;sourceID=13","")</f>
        <v/>
      </c>
      <c r="AB178" s="4" t="str">
        <f>HYPERLINK("http://141.218.60.56/~jnz1568/getInfo.php?workbook=08_01.xlsx&amp;sheet=A0&amp;row=178&amp;col=28&amp;number=&amp;sourceID=13","")</f>
        <v/>
      </c>
      <c r="AC178" s="4" t="str">
        <f>HYPERLINK("http://141.218.60.56/~jnz1568/getInfo.php?workbook=08_01.xlsx&amp;sheet=A0&amp;row=178&amp;col=29&amp;number=&amp;sourceID=13","")</f>
        <v/>
      </c>
      <c r="AD178" s="4" t="str">
        <f>HYPERLINK("http://141.218.60.56/~jnz1568/getInfo.php?workbook=08_01.xlsx&amp;sheet=A0&amp;row=178&amp;col=30&amp;number=&amp;sourceID=13","")</f>
        <v/>
      </c>
      <c r="AE178" s="4" t="str">
        <f>HYPERLINK("http://141.218.60.56/~jnz1568/getInfo.php?workbook=08_01.xlsx&amp;sheet=A0&amp;row=178&amp;col=31&amp;number=&amp;sourceID=13","")</f>
        <v/>
      </c>
      <c r="AF178" s="4" t="str">
        <f>HYPERLINK("http://141.218.60.56/~jnz1568/getInfo.php?workbook=08_01.xlsx&amp;sheet=A0&amp;row=178&amp;col=32&amp;number=&amp;sourceID=20","")</f>
        <v/>
      </c>
    </row>
    <row r="179" spans="1:32">
      <c r="A179" s="3">
        <v>8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HYPERLINK("http://141.218.60.56/~jnz1568/getInfo.php?workbook=08_01.xlsx&amp;sheet=A0&amp;row=179&amp;col=6&amp;number=&amp;sourceID=18","")</f>
        <v/>
      </c>
      <c r="G179" s="4" t="str">
        <f>HYPERLINK("http://141.218.60.56/~jnz1568/getInfo.php?workbook=08_01.xlsx&amp;sheet=A0&amp;row=179&amp;col=7&amp;number==&amp;sourceID=11","=")</f>
        <v>=</v>
      </c>
      <c r="H179" s="4" t="str">
        <f>HYPERLINK("http://141.218.60.56/~jnz1568/getInfo.php?workbook=08_01.xlsx&amp;sheet=A0&amp;row=179&amp;col=8&amp;number=77277000&amp;sourceID=11","77277000")</f>
        <v>77277000</v>
      </c>
      <c r="I179" s="4" t="str">
        <f>HYPERLINK("http://141.218.60.56/~jnz1568/getInfo.php?workbook=08_01.xlsx&amp;sheet=A0&amp;row=179&amp;col=9&amp;number=&amp;sourceID=11","")</f>
        <v/>
      </c>
      <c r="J179" s="4" t="str">
        <f>HYPERLINK("http://141.218.60.56/~jnz1568/getInfo.php?workbook=08_01.xlsx&amp;sheet=A0&amp;row=179&amp;col=10&amp;number=0.77552&amp;sourceID=11","0.77552")</f>
        <v>0.77552</v>
      </c>
      <c r="K179" s="4" t="str">
        <f>HYPERLINK("http://141.218.60.56/~jnz1568/getInfo.php?workbook=08_01.xlsx&amp;sheet=A0&amp;row=179&amp;col=11&amp;number=&amp;sourceID=11","")</f>
        <v/>
      </c>
      <c r="L179" s="4" t="str">
        <f>HYPERLINK("http://141.218.60.56/~jnz1568/getInfo.php?workbook=08_01.xlsx&amp;sheet=A0&amp;row=179&amp;col=12&amp;number=&amp;sourceID=11","")</f>
        <v/>
      </c>
      <c r="M179" s="4" t="str">
        <f>HYPERLINK("http://141.218.60.56/~jnz1568/getInfo.php?workbook=08_01.xlsx&amp;sheet=A0&amp;row=179&amp;col=13&amp;number=&amp;sourceID=11","")</f>
        <v/>
      </c>
      <c r="N179" s="4" t="str">
        <f>HYPERLINK("http://141.218.60.56/~jnz1568/getInfo.php?workbook=08_01.xlsx&amp;sheet=A0&amp;row=179&amp;col=14&amp;number=77279000&amp;sourceID=12","77279000")</f>
        <v>77279000</v>
      </c>
      <c r="O179" s="4" t="str">
        <f>HYPERLINK("http://141.218.60.56/~jnz1568/getInfo.php?workbook=08_01.xlsx&amp;sheet=A0&amp;row=179&amp;col=15&amp;number=77279000&amp;sourceID=12","77279000")</f>
        <v>77279000</v>
      </c>
      <c r="P179" s="4" t="str">
        <f>HYPERLINK("http://141.218.60.56/~jnz1568/getInfo.php?workbook=08_01.xlsx&amp;sheet=A0&amp;row=179&amp;col=16&amp;number=&amp;sourceID=12","")</f>
        <v/>
      </c>
      <c r="Q179" s="4" t="str">
        <f>HYPERLINK("http://141.218.60.56/~jnz1568/getInfo.php?workbook=08_01.xlsx&amp;sheet=A0&amp;row=179&amp;col=17&amp;number=0.77554&amp;sourceID=12","0.77554")</f>
        <v>0.77554</v>
      </c>
      <c r="R179" s="4" t="str">
        <f>HYPERLINK("http://141.218.60.56/~jnz1568/getInfo.php?workbook=08_01.xlsx&amp;sheet=A0&amp;row=179&amp;col=18&amp;number=&amp;sourceID=12","")</f>
        <v/>
      </c>
      <c r="S179" s="4" t="str">
        <f>HYPERLINK("http://141.218.60.56/~jnz1568/getInfo.php?workbook=08_01.xlsx&amp;sheet=A0&amp;row=179&amp;col=19&amp;number=&amp;sourceID=12","")</f>
        <v/>
      </c>
      <c r="T179" s="4" t="str">
        <f>HYPERLINK("http://141.218.60.56/~jnz1568/getInfo.php?workbook=08_01.xlsx&amp;sheet=A0&amp;row=179&amp;col=20&amp;number=&amp;sourceID=12","")</f>
        <v/>
      </c>
      <c r="U179" s="4" t="str">
        <f>HYPERLINK("http://141.218.60.56/~jnz1568/getInfo.php?workbook=08_01.xlsx&amp;sheet=A0&amp;row=179&amp;col=21&amp;number=77280000&amp;sourceID=30","77280000")</f>
        <v>77280000</v>
      </c>
      <c r="V179" s="4" t="str">
        <f>HYPERLINK("http://141.218.60.56/~jnz1568/getInfo.php?workbook=08_01.xlsx&amp;sheet=A0&amp;row=179&amp;col=22&amp;number=77280000&amp;sourceID=30","77280000")</f>
        <v>77280000</v>
      </c>
      <c r="W179" s="4" t="str">
        <f>HYPERLINK("http://141.218.60.56/~jnz1568/getInfo.php?workbook=08_01.xlsx&amp;sheet=A0&amp;row=179&amp;col=23&amp;number=&amp;sourceID=30","")</f>
        <v/>
      </c>
      <c r="X179" s="4" t="str">
        <f>HYPERLINK("http://141.218.60.56/~jnz1568/getInfo.php?workbook=08_01.xlsx&amp;sheet=A0&amp;row=179&amp;col=24&amp;number=&amp;sourceID=30","")</f>
        <v/>
      </c>
      <c r="Y179" s="4" t="str">
        <f>HYPERLINK("http://141.218.60.56/~jnz1568/getInfo.php?workbook=08_01.xlsx&amp;sheet=A0&amp;row=179&amp;col=25&amp;number=&amp;sourceID=30","")</f>
        <v/>
      </c>
      <c r="Z179" s="4" t="str">
        <f>HYPERLINK("http://141.218.60.56/~jnz1568/getInfo.php?workbook=08_01.xlsx&amp;sheet=A0&amp;row=179&amp;col=26&amp;number=&amp;sourceID=13","")</f>
        <v/>
      </c>
      <c r="AA179" s="4" t="str">
        <f>HYPERLINK("http://141.218.60.56/~jnz1568/getInfo.php?workbook=08_01.xlsx&amp;sheet=A0&amp;row=179&amp;col=27&amp;number=&amp;sourceID=13","")</f>
        <v/>
      </c>
      <c r="AB179" s="4" t="str">
        <f>HYPERLINK("http://141.218.60.56/~jnz1568/getInfo.php?workbook=08_01.xlsx&amp;sheet=A0&amp;row=179&amp;col=28&amp;number=&amp;sourceID=13","")</f>
        <v/>
      </c>
      <c r="AC179" s="4" t="str">
        <f>HYPERLINK("http://141.218.60.56/~jnz1568/getInfo.php?workbook=08_01.xlsx&amp;sheet=A0&amp;row=179&amp;col=29&amp;number=&amp;sourceID=13","")</f>
        <v/>
      </c>
      <c r="AD179" s="4" t="str">
        <f>HYPERLINK("http://141.218.60.56/~jnz1568/getInfo.php?workbook=08_01.xlsx&amp;sheet=A0&amp;row=179&amp;col=30&amp;number=&amp;sourceID=13","")</f>
        <v/>
      </c>
      <c r="AE179" s="4" t="str">
        <f>HYPERLINK("http://141.218.60.56/~jnz1568/getInfo.php?workbook=08_01.xlsx&amp;sheet=A0&amp;row=179&amp;col=31&amp;number=&amp;sourceID=13","")</f>
        <v/>
      </c>
      <c r="AF179" s="4" t="str">
        <f>HYPERLINK("http://141.218.60.56/~jnz1568/getInfo.php?workbook=08_01.xlsx&amp;sheet=A0&amp;row=179&amp;col=32&amp;number=&amp;sourceID=20","")</f>
        <v/>
      </c>
    </row>
    <row r="180" spans="1:32">
      <c r="A180" s="3">
        <v>8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HYPERLINK("http://141.218.60.56/~jnz1568/getInfo.php?workbook=08_01.xlsx&amp;sheet=A0&amp;row=180&amp;col=6&amp;number=&amp;sourceID=18","")</f>
        <v/>
      </c>
      <c r="G180" s="4" t="str">
        <f>HYPERLINK("http://141.218.60.56/~jnz1568/getInfo.php?workbook=08_01.xlsx&amp;sheet=A0&amp;row=180&amp;col=7&amp;number==&amp;sourceID=11","=")</f>
        <v>=</v>
      </c>
      <c r="H180" s="4" t="str">
        <f>HYPERLINK("http://141.218.60.56/~jnz1568/getInfo.php?workbook=08_01.xlsx&amp;sheet=A0&amp;row=180&amp;col=8&amp;number=&amp;sourceID=11","")</f>
        <v/>
      </c>
      <c r="I180" s="4" t="str">
        <f>HYPERLINK("http://141.218.60.56/~jnz1568/getInfo.php?workbook=08_01.xlsx&amp;sheet=A0&amp;row=180&amp;col=9&amp;number=59586&amp;sourceID=11","59586")</f>
        <v>59586</v>
      </c>
      <c r="J180" s="4" t="str">
        <f>HYPERLINK("http://141.218.60.56/~jnz1568/getInfo.php?workbook=08_01.xlsx&amp;sheet=A0&amp;row=180&amp;col=10&amp;number=&amp;sourceID=11","")</f>
        <v/>
      </c>
      <c r="K180" s="4" t="str">
        <f>HYPERLINK("http://141.218.60.56/~jnz1568/getInfo.php?workbook=08_01.xlsx&amp;sheet=A0&amp;row=180&amp;col=11&amp;number=0.0018935&amp;sourceID=11","0.0018935")</f>
        <v>0.0018935</v>
      </c>
      <c r="L180" s="4" t="str">
        <f>HYPERLINK("http://141.218.60.56/~jnz1568/getInfo.php?workbook=08_01.xlsx&amp;sheet=A0&amp;row=180&amp;col=12&amp;number=&amp;sourceID=11","")</f>
        <v/>
      </c>
      <c r="M180" s="4" t="str">
        <f>HYPERLINK("http://141.218.60.56/~jnz1568/getInfo.php?workbook=08_01.xlsx&amp;sheet=A0&amp;row=180&amp;col=13&amp;number=3.506e-05&amp;sourceID=11","3.506e-05")</f>
        <v>3.506e-05</v>
      </c>
      <c r="N180" s="4" t="str">
        <f>HYPERLINK("http://141.218.60.56/~jnz1568/getInfo.php?workbook=08_01.xlsx&amp;sheet=A0&amp;row=180&amp;col=14&amp;number=59588&amp;sourceID=12","59588")</f>
        <v>59588</v>
      </c>
      <c r="O180" s="4" t="str">
        <f>HYPERLINK("http://141.218.60.56/~jnz1568/getInfo.php?workbook=08_01.xlsx&amp;sheet=A0&amp;row=180&amp;col=15&amp;number=&amp;sourceID=12","")</f>
        <v/>
      </c>
      <c r="P180" s="4" t="str">
        <f>HYPERLINK("http://141.218.60.56/~jnz1568/getInfo.php?workbook=08_01.xlsx&amp;sheet=A0&amp;row=180&amp;col=16&amp;number=59588&amp;sourceID=12","59588")</f>
        <v>59588</v>
      </c>
      <c r="Q180" s="4" t="str">
        <f>HYPERLINK("http://141.218.60.56/~jnz1568/getInfo.php?workbook=08_01.xlsx&amp;sheet=A0&amp;row=180&amp;col=17&amp;number=&amp;sourceID=12","")</f>
        <v/>
      </c>
      <c r="R180" s="4" t="str">
        <f>HYPERLINK("http://141.218.60.56/~jnz1568/getInfo.php?workbook=08_01.xlsx&amp;sheet=A0&amp;row=180&amp;col=18&amp;number=0.0018936&amp;sourceID=12","0.0018936")</f>
        <v>0.0018936</v>
      </c>
      <c r="S180" s="4" t="str">
        <f>HYPERLINK("http://141.218.60.56/~jnz1568/getInfo.php?workbook=08_01.xlsx&amp;sheet=A0&amp;row=180&amp;col=19&amp;number=&amp;sourceID=12","")</f>
        <v/>
      </c>
      <c r="T180" s="4" t="str">
        <f>HYPERLINK("http://141.218.60.56/~jnz1568/getInfo.php?workbook=08_01.xlsx&amp;sheet=A0&amp;row=180&amp;col=20&amp;number=3.5061e-05&amp;sourceID=12","3.5061e-05")</f>
        <v>3.5061e-05</v>
      </c>
      <c r="U180" s="4" t="str">
        <f>HYPERLINK("http://141.218.60.56/~jnz1568/getInfo.php?workbook=08_01.xlsx&amp;sheet=A0&amp;row=180&amp;col=21&amp;number=59590.001889&amp;sourceID=30","59590.001889")</f>
        <v>59590.001889</v>
      </c>
      <c r="V180" s="4" t="str">
        <f>HYPERLINK("http://141.218.60.56/~jnz1568/getInfo.php?workbook=08_01.xlsx&amp;sheet=A0&amp;row=180&amp;col=22&amp;number=&amp;sourceID=30","")</f>
        <v/>
      </c>
      <c r="W180" s="4" t="str">
        <f>HYPERLINK("http://141.218.60.56/~jnz1568/getInfo.php?workbook=08_01.xlsx&amp;sheet=A0&amp;row=180&amp;col=23&amp;number=59590&amp;sourceID=30","59590")</f>
        <v>59590</v>
      </c>
      <c r="X180" s="4" t="str">
        <f>HYPERLINK("http://141.218.60.56/~jnz1568/getInfo.php?workbook=08_01.xlsx&amp;sheet=A0&amp;row=180&amp;col=24&amp;number=0.001889&amp;sourceID=30","0.001889")</f>
        <v>0.001889</v>
      </c>
      <c r="Y180" s="4" t="str">
        <f>HYPERLINK("http://141.218.60.56/~jnz1568/getInfo.php?workbook=08_01.xlsx&amp;sheet=A0&amp;row=180&amp;col=25&amp;number=&amp;sourceID=30","")</f>
        <v/>
      </c>
      <c r="Z180" s="4" t="str">
        <f>HYPERLINK("http://141.218.60.56/~jnz1568/getInfo.php?workbook=08_01.xlsx&amp;sheet=A0&amp;row=180&amp;col=26&amp;number=&amp;sourceID=13","")</f>
        <v/>
      </c>
      <c r="AA180" s="4" t="str">
        <f>HYPERLINK("http://141.218.60.56/~jnz1568/getInfo.php?workbook=08_01.xlsx&amp;sheet=A0&amp;row=180&amp;col=27&amp;number=&amp;sourceID=13","")</f>
        <v/>
      </c>
      <c r="AB180" s="4" t="str">
        <f>HYPERLINK("http://141.218.60.56/~jnz1568/getInfo.php?workbook=08_01.xlsx&amp;sheet=A0&amp;row=180&amp;col=28&amp;number=&amp;sourceID=13","")</f>
        <v/>
      </c>
      <c r="AC180" s="4" t="str">
        <f>HYPERLINK("http://141.218.60.56/~jnz1568/getInfo.php?workbook=08_01.xlsx&amp;sheet=A0&amp;row=180&amp;col=29&amp;number=&amp;sourceID=13","")</f>
        <v/>
      </c>
      <c r="AD180" s="4" t="str">
        <f>HYPERLINK("http://141.218.60.56/~jnz1568/getInfo.php?workbook=08_01.xlsx&amp;sheet=A0&amp;row=180&amp;col=30&amp;number=&amp;sourceID=13","")</f>
        <v/>
      </c>
      <c r="AE180" s="4" t="str">
        <f>HYPERLINK("http://141.218.60.56/~jnz1568/getInfo.php?workbook=08_01.xlsx&amp;sheet=A0&amp;row=180&amp;col=31&amp;number=&amp;sourceID=13","")</f>
        <v/>
      </c>
      <c r="AF180" s="4" t="str">
        <f>HYPERLINK("http://141.218.60.56/~jnz1568/getInfo.php?workbook=08_01.xlsx&amp;sheet=A0&amp;row=180&amp;col=32&amp;number=&amp;sourceID=20","")</f>
        <v/>
      </c>
    </row>
    <row r="181" spans="1:32">
      <c r="A181" s="3">
        <v>8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HYPERLINK("http://141.218.60.56/~jnz1568/getInfo.php?workbook=08_01.xlsx&amp;sheet=A0&amp;row=181&amp;col=6&amp;number=&amp;sourceID=18","")</f>
        <v/>
      </c>
      <c r="G181" s="4" t="str">
        <f>HYPERLINK("http://141.218.60.56/~jnz1568/getInfo.php?workbook=08_01.xlsx&amp;sheet=A0&amp;row=181&amp;col=7&amp;number==&amp;sourceID=11","=")</f>
        <v>=</v>
      </c>
      <c r="H181" s="4" t="str">
        <f>HYPERLINK("http://141.218.60.56/~jnz1568/getInfo.php?workbook=08_01.xlsx&amp;sheet=A0&amp;row=181&amp;col=8&amp;number=&amp;sourceID=11","")</f>
        <v/>
      </c>
      <c r="I181" s="4" t="str">
        <f>HYPERLINK("http://141.218.60.56/~jnz1568/getInfo.php?workbook=08_01.xlsx&amp;sheet=A0&amp;row=181&amp;col=9&amp;number=1766.2&amp;sourceID=11","1766.2")</f>
        <v>1766.2</v>
      </c>
      <c r="J181" s="4" t="str">
        <f>HYPERLINK("http://141.218.60.56/~jnz1568/getInfo.php?workbook=08_01.xlsx&amp;sheet=A0&amp;row=181&amp;col=10&amp;number=&amp;sourceID=11","")</f>
        <v/>
      </c>
      <c r="K181" s="4" t="str">
        <f>HYPERLINK("http://141.218.60.56/~jnz1568/getInfo.php?workbook=08_01.xlsx&amp;sheet=A0&amp;row=181&amp;col=11&amp;number=4.5007e-08&amp;sourceID=11","4.5007e-08")</f>
        <v>4.5007e-08</v>
      </c>
      <c r="L181" s="4" t="str">
        <f>HYPERLINK("http://141.218.60.56/~jnz1568/getInfo.php?workbook=08_01.xlsx&amp;sheet=A0&amp;row=181&amp;col=12&amp;number=&amp;sourceID=11","")</f>
        <v/>
      </c>
      <c r="M181" s="4" t="str">
        <f>HYPERLINK("http://141.218.60.56/~jnz1568/getInfo.php?workbook=08_01.xlsx&amp;sheet=A0&amp;row=181&amp;col=13&amp;number=8.242e-09&amp;sourceID=11","8.242e-09")</f>
        <v>8.242e-09</v>
      </c>
      <c r="N181" s="4" t="str">
        <f>HYPERLINK("http://141.218.60.56/~jnz1568/getInfo.php?workbook=08_01.xlsx&amp;sheet=A0&amp;row=181&amp;col=14&amp;number=1766.3&amp;sourceID=12","1766.3")</f>
        <v>1766.3</v>
      </c>
      <c r="O181" s="4" t="str">
        <f>HYPERLINK("http://141.218.60.56/~jnz1568/getInfo.php?workbook=08_01.xlsx&amp;sheet=A0&amp;row=181&amp;col=15&amp;number=&amp;sourceID=12","")</f>
        <v/>
      </c>
      <c r="P181" s="4" t="str">
        <f>HYPERLINK("http://141.218.60.56/~jnz1568/getInfo.php?workbook=08_01.xlsx&amp;sheet=A0&amp;row=181&amp;col=16&amp;number=1766.3&amp;sourceID=12","1766.3")</f>
        <v>1766.3</v>
      </c>
      <c r="Q181" s="4" t="str">
        <f>HYPERLINK("http://141.218.60.56/~jnz1568/getInfo.php?workbook=08_01.xlsx&amp;sheet=A0&amp;row=181&amp;col=17&amp;number=&amp;sourceID=12","")</f>
        <v/>
      </c>
      <c r="R181" s="4" t="str">
        <f>HYPERLINK("http://141.218.60.56/~jnz1568/getInfo.php?workbook=08_01.xlsx&amp;sheet=A0&amp;row=181&amp;col=18&amp;number=4.501e-08&amp;sourceID=12","4.501e-08")</f>
        <v>4.501e-08</v>
      </c>
      <c r="S181" s="4" t="str">
        <f>HYPERLINK("http://141.218.60.56/~jnz1568/getInfo.php?workbook=08_01.xlsx&amp;sheet=A0&amp;row=181&amp;col=19&amp;number=&amp;sourceID=12","")</f>
        <v/>
      </c>
      <c r="T181" s="4" t="str">
        <f>HYPERLINK("http://141.218.60.56/~jnz1568/getInfo.php?workbook=08_01.xlsx&amp;sheet=A0&amp;row=181&amp;col=20&amp;number=8.2423e-09&amp;sourceID=12","8.2423e-09")</f>
        <v>8.2423e-09</v>
      </c>
      <c r="U181" s="4" t="str">
        <f>HYPERLINK("http://141.218.60.56/~jnz1568/getInfo.php?workbook=08_01.xlsx&amp;sheet=A0&amp;row=181&amp;col=21&amp;number=1766.00000005&amp;sourceID=30","1766.00000005")</f>
        <v>1766.00000005</v>
      </c>
      <c r="V181" s="4" t="str">
        <f>HYPERLINK("http://141.218.60.56/~jnz1568/getInfo.php?workbook=08_01.xlsx&amp;sheet=A0&amp;row=181&amp;col=22&amp;number=&amp;sourceID=30","")</f>
        <v/>
      </c>
      <c r="W181" s="4" t="str">
        <f>HYPERLINK("http://141.218.60.56/~jnz1568/getInfo.php?workbook=08_01.xlsx&amp;sheet=A0&amp;row=181&amp;col=23&amp;number=1766&amp;sourceID=30","1766")</f>
        <v>1766</v>
      </c>
      <c r="X181" s="4" t="str">
        <f>HYPERLINK("http://141.218.60.56/~jnz1568/getInfo.php?workbook=08_01.xlsx&amp;sheet=A0&amp;row=181&amp;col=24&amp;number=5.118e-08&amp;sourceID=30","5.118e-08")</f>
        <v>5.118e-08</v>
      </c>
      <c r="Y181" s="4" t="str">
        <f>HYPERLINK("http://141.218.60.56/~jnz1568/getInfo.php?workbook=08_01.xlsx&amp;sheet=A0&amp;row=181&amp;col=25&amp;number=&amp;sourceID=30","")</f>
        <v/>
      </c>
      <c r="Z181" s="4" t="str">
        <f>HYPERLINK("http://141.218.60.56/~jnz1568/getInfo.php?workbook=08_01.xlsx&amp;sheet=A0&amp;row=181&amp;col=26&amp;number=&amp;sourceID=13","")</f>
        <v/>
      </c>
      <c r="AA181" s="4" t="str">
        <f>HYPERLINK("http://141.218.60.56/~jnz1568/getInfo.php?workbook=08_01.xlsx&amp;sheet=A0&amp;row=181&amp;col=27&amp;number=&amp;sourceID=13","")</f>
        <v/>
      </c>
      <c r="AB181" s="4" t="str">
        <f>HYPERLINK("http://141.218.60.56/~jnz1568/getInfo.php?workbook=08_01.xlsx&amp;sheet=A0&amp;row=181&amp;col=28&amp;number=&amp;sourceID=13","")</f>
        <v/>
      </c>
      <c r="AC181" s="4" t="str">
        <f>HYPERLINK("http://141.218.60.56/~jnz1568/getInfo.php?workbook=08_01.xlsx&amp;sheet=A0&amp;row=181&amp;col=29&amp;number=&amp;sourceID=13","")</f>
        <v/>
      </c>
      <c r="AD181" s="4" t="str">
        <f>HYPERLINK("http://141.218.60.56/~jnz1568/getInfo.php?workbook=08_01.xlsx&amp;sheet=A0&amp;row=181&amp;col=30&amp;number=&amp;sourceID=13","")</f>
        <v/>
      </c>
      <c r="AE181" s="4" t="str">
        <f>HYPERLINK("http://141.218.60.56/~jnz1568/getInfo.php?workbook=08_01.xlsx&amp;sheet=A0&amp;row=181&amp;col=31&amp;number=&amp;sourceID=13","")</f>
        <v/>
      </c>
      <c r="AF181" s="4" t="str">
        <f>HYPERLINK("http://141.218.60.56/~jnz1568/getInfo.php?workbook=08_01.xlsx&amp;sheet=A0&amp;row=181&amp;col=32&amp;number=&amp;sourceID=20","")</f>
        <v/>
      </c>
    </row>
    <row r="182" spans="1:32">
      <c r="A182" s="3">
        <v>8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HYPERLINK("http://141.218.60.56/~jnz1568/getInfo.php?workbook=08_01.xlsx&amp;sheet=A0&amp;row=182&amp;col=6&amp;number=&amp;sourceID=18","")</f>
        <v/>
      </c>
      <c r="G182" s="4" t="str">
        <f>HYPERLINK("http://141.218.60.56/~jnz1568/getInfo.php?workbook=08_01.xlsx&amp;sheet=A0&amp;row=182&amp;col=7&amp;number==&amp;sourceID=11","=")</f>
        <v>=</v>
      </c>
      <c r="H182" s="4" t="str">
        <f>HYPERLINK("http://141.218.60.56/~jnz1568/getInfo.php?workbook=08_01.xlsx&amp;sheet=A0&amp;row=182&amp;col=8&amp;number=697290000&amp;sourceID=11","697290000")</f>
        <v>697290000</v>
      </c>
      <c r="I182" s="4" t="str">
        <f>HYPERLINK("http://141.218.60.56/~jnz1568/getInfo.php?workbook=08_01.xlsx&amp;sheet=A0&amp;row=182&amp;col=9&amp;number=&amp;sourceID=11","")</f>
        <v/>
      </c>
      <c r="J182" s="4" t="str">
        <f>HYPERLINK("http://141.218.60.56/~jnz1568/getInfo.php?workbook=08_01.xlsx&amp;sheet=A0&amp;row=182&amp;col=10&amp;number=0.51645&amp;sourceID=11","0.51645")</f>
        <v>0.51645</v>
      </c>
      <c r="K182" s="4" t="str">
        <f>HYPERLINK("http://141.218.60.56/~jnz1568/getInfo.php?workbook=08_01.xlsx&amp;sheet=A0&amp;row=182&amp;col=11&amp;number=&amp;sourceID=11","")</f>
        <v/>
      </c>
      <c r="L182" s="4" t="str">
        <f>HYPERLINK("http://141.218.60.56/~jnz1568/getInfo.php?workbook=08_01.xlsx&amp;sheet=A0&amp;row=182&amp;col=12&amp;number=0.24915&amp;sourceID=11","0.24915")</f>
        <v>0.24915</v>
      </c>
      <c r="M182" s="4" t="str">
        <f>HYPERLINK("http://141.218.60.56/~jnz1568/getInfo.php?workbook=08_01.xlsx&amp;sheet=A0&amp;row=182&amp;col=13&amp;number=&amp;sourceID=11","")</f>
        <v/>
      </c>
      <c r="N182" s="4" t="str">
        <f>HYPERLINK("http://141.218.60.56/~jnz1568/getInfo.php?workbook=08_01.xlsx&amp;sheet=A0&amp;row=182&amp;col=14&amp;number=697320000&amp;sourceID=12","697320000")</f>
        <v>697320000</v>
      </c>
      <c r="O182" s="4" t="str">
        <f>HYPERLINK("http://141.218.60.56/~jnz1568/getInfo.php?workbook=08_01.xlsx&amp;sheet=A0&amp;row=182&amp;col=15&amp;number=697320000&amp;sourceID=12","697320000")</f>
        <v>697320000</v>
      </c>
      <c r="P182" s="4" t="str">
        <f>HYPERLINK("http://141.218.60.56/~jnz1568/getInfo.php?workbook=08_01.xlsx&amp;sheet=A0&amp;row=182&amp;col=16&amp;number=&amp;sourceID=12","")</f>
        <v/>
      </c>
      <c r="Q182" s="4" t="str">
        <f>HYPERLINK("http://141.218.60.56/~jnz1568/getInfo.php?workbook=08_01.xlsx&amp;sheet=A0&amp;row=182&amp;col=17&amp;number=0.51647&amp;sourceID=12","0.51647")</f>
        <v>0.51647</v>
      </c>
      <c r="R182" s="4" t="str">
        <f>HYPERLINK("http://141.218.60.56/~jnz1568/getInfo.php?workbook=08_01.xlsx&amp;sheet=A0&amp;row=182&amp;col=18&amp;number=&amp;sourceID=12","")</f>
        <v/>
      </c>
      <c r="S182" s="4" t="str">
        <f>HYPERLINK("http://141.218.60.56/~jnz1568/getInfo.php?workbook=08_01.xlsx&amp;sheet=A0&amp;row=182&amp;col=19&amp;number=0.24916&amp;sourceID=12","0.24916")</f>
        <v>0.24916</v>
      </c>
      <c r="T182" s="4" t="str">
        <f>HYPERLINK("http://141.218.60.56/~jnz1568/getInfo.php?workbook=08_01.xlsx&amp;sheet=A0&amp;row=182&amp;col=20&amp;number=&amp;sourceID=12","")</f>
        <v/>
      </c>
      <c r="U182" s="4" t="str">
        <f>HYPERLINK("http://141.218.60.56/~jnz1568/getInfo.php?workbook=08_01.xlsx&amp;sheet=A0&amp;row=182&amp;col=21&amp;number=697300000.249&amp;sourceID=30","697300000.249")</f>
        <v>697300000.249</v>
      </c>
      <c r="V182" s="4" t="str">
        <f>HYPERLINK("http://141.218.60.56/~jnz1568/getInfo.php?workbook=08_01.xlsx&amp;sheet=A0&amp;row=182&amp;col=22&amp;number=697300000&amp;sourceID=30","697300000")</f>
        <v>697300000</v>
      </c>
      <c r="W182" s="4" t="str">
        <f>HYPERLINK("http://141.218.60.56/~jnz1568/getInfo.php?workbook=08_01.xlsx&amp;sheet=A0&amp;row=182&amp;col=23&amp;number=&amp;sourceID=30","")</f>
        <v/>
      </c>
      <c r="X182" s="4" t="str">
        <f>HYPERLINK("http://141.218.60.56/~jnz1568/getInfo.php?workbook=08_01.xlsx&amp;sheet=A0&amp;row=182&amp;col=24&amp;number=&amp;sourceID=30","")</f>
        <v/>
      </c>
      <c r="Y182" s="4" t="str">
        <f>HYPERLINK("http://141.218.60.56/~jnz1568/getInfo.php?workbook=08_01.xlsx&amp;sheet=A0&amp;row=182&amp;col=25&amp;number=0.2492&amp;sourceID=30","0.2492")</f>
        <v>0.2492</v>
      </c>
      <c r="Z182" s="4" t="str">
        <f>HYPERLINK("http://141.218.60.56/~jnz1568/getInfo.php?workbook=08_01.xlsx&amp;sheet=A0&amp;row=182&amp;col=26&amp;number=&amp;sourceID=13","")</f>
        <v/>
      </c>
      <c r="AA182" s="4" t="str">
        <f>HYPERLINK("http://141.218.60.56/~jnz1568/getInfo.php?workbook=08_01.xlsx&amp;sheet=A0&amp;row=182&amp;col=27&amp;number=&amp;sourceID=13","")</f>
        <v/>
      </c>
      <c r="AB182" s="4" t="str">
        <f>HYPERLINK("http://141.218.60.56/~jnz1568/getInfo.php?workbook=08_01.xlsx&amp;sheet=A0&amp;row=182&amp;col=28&amp;number=&amp;sourceID=13","")</f>
        <v/>
      </c>
      <c r="AC182" s="4" t="str">
        <f>HYPERLINK("http://141.218.60.56/~jnz1568/getInfo.php?workbook=08_01.xlsx&amp;sheet=A0&amp;row=182&amp;col=29&amp;number=&amp;sourceID=13","")</f>
        <v/>
      </c>
      <c r="AD182" s="4" t="str">
        <f>HYPERLINK("http://141.218.60.56/~jnz1568/getInfo.php?workbook=08_01.xlsx&amp;sheet=A0&amp;row=182&amp;col=30&amp;number=&amp;sourceID=13","")</f>
        <v/>
      </c>
      <c r="AE182" s="4" t="str">
        <f>HYPERLINK("http://141.218.60.56/~jnz1568/getInfo.php?workbook=08_01.xlsx&amp;sheet=A0&amp;row=182&amp;col=31&amp;number=&amp;sourceID=13","")</f>
        <v/>
      </c>
      <c r="AF182" s="4" t="str">
        <f>HYPERLINK("http://141.218.60.56/~jnz1568/getInfo.php?workbook=08_01.xlsx&amp;sheet=A0&amp;row=182&amp;col=32&amp;number=&amp;sourceID=20","")</f>
        <v/>
      </c>
    </row>
    <row r="183" spans="1:32">
      <c r="A183" s="3">
        <v>8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HYPERLINK("http://141.218.60.56/~jnz1568/getInfo.php?workbook=08_01.xlsx&amp;sheet=A0&amp;row=183&amp;col=6&amp;number=&amp;sourceID=18","")</f>
        <v/>
      </c>
      <c r="G183" s="4" t="str">
        <f>HYPERLINK("http://141.218.60.56/~jnz1568/getInfo.php?workbook=08_01.xlsx&amp;sheet=A0&amp;row=183&amp;col=7&amp;number==&amp;sourceID=11","=")</f>
        <v>=</v>
      </c>
      <c r="H183" s="4" t="str">
        <f>HYPERLINK("http://141.218.60.56/~jnz1568/getInfo.php?workbook=08_01.xlsx&amp;sheet=A0&amp;row=183&amp;col=8&amp;number=&amp;sourceID=11","")</f>
        <v/>
      </c>
      <c r="I183" s="4" t="str">
        <f>HYPERLINK("http://141.218.60.56/~jnz1568/getInfo.php?workbook=08_01.xlsx&amp;sheet=A0&amp;row=183&amp;col=9&amp;number=10601&amp;sourceID=11","10601")</f>
        <v>10601</v>
      </c>
      <c r="J183" s="4" t="str">
        <f>HYPERLINK("http://141.218.60.56/~jnz1568/getInfo.php?workbook=08_01.xlsx&amp;sheet=A0&amp;row=183&amp;col=10&amp;number=&amp;sourceID=11","")</f>
        <v/>
      </c>
      <c r="K183" s="4" t="str">
        <f>HYPERLINK("http://141.218.60.56/~jnz1568/getInfo.php?workbook=08_01.xlsx&amp;sheet=A0&amp;row=183&amp;col=11&amp;number=&amp;sourceID=11","")</f>
        <v/>
      </c>
      <c r="L183" s="4" t="str">
        <f>HYPERLINK("http://141.218.60.56/~jnz1568/getInfo.php?workbook=08_01.xlsx&amp;sheet=A0&amp;row=183&amp;col=12&amp;number=&amp;sourceID=11","")</f>
        <v/>
      </c>
      <c r="M183" s="4" t="str">
        <f>HYPERLINK("http://141.218.60.56/~jnz1568/getInfo.php?workbook=08_01.xlsx&amp;sheet=A0&amp;row=183&amp;col=13&amp;number=3.3377e-06&amp;sourceID=11","3.3377e-06")</f>
        <v>3.3377e-06</v>
      </c>
      <c r="N183" s="4" t="str">
        <f>HYPERLINK("http://141.218.60.56/~jnz1568/getInfo.php?workbook=08_01.xlsx&amp;sheet=A0&amp;row=183&amp;col=14&amp;number=10601&amp;sourceID=12","10601")</f>
        <v>10601</v>
      </c>
      <c r="O183" s="4" t="str">
        <f>HYPERLINK("http://141.218.60.56/~jnz1568/getInfo.php?workbook=08_01.xlsx&amp;sheet=A0&amp;row=183&amp;col=15&amp;number=&amp;sourceID=12","")</f>
        <v/>
      </c>
      <c r="P183" s="4" t="str">
        <f>HYPERLINK("http://141.218.60.56/~jnz1568/getInfo.php?workbook=08_01.xlsx&amp;sheet=A0&amp;row=183&amp;col=16&amp;number=10601&amp;sourceID=12","10601")</f>
        <v>10601</v>
      </c>
      <c r="Q183" s="4" t="str">
        <f>HYPERLINK("http://141.218.60.56/~jnz1568/getInfo.php?workbook=08_01.xlsx&amp;sheet=A0&amp;row=183&amp;col=17&amp;number=&amp;sourceID=12","")</f>
        <v/>
      </c>
      <c r="R183" s="4" t="str">
        <f>HYPERLINK("http://141.218.60.56/~jnz1568/getInfo.php?workbook=08_01.xlsx&amp;sheet=A0&amp;row=183&amp;col=18&amp;number=&amp;sourceID=12","")</f>
        <v/>
      </c>
      <c r="S183" s="4" t="str">
        <f>HYPERLINK("http://141.218.60.56/~jnz1568/getInfo.php?workbook=08_01.xlsx&amp;sheet=A0&amp;row=183&amp;col=19&amp;number=&amp;sourceID=12","")</f>
        <v/>
      </c>
      <c r="T183" s="4" t="str">
        <f>HYPERLINK("http://141.218.60.56/~jnz1568/getInfo.php?workbook=08_01.xlsx&amp;sheet=A0&amp;row=183&amp;col=20&amp;number=3.3379e-06&amp;sourceID=12","3.3379e-06")</f>
        <v>3.3379e-06</v>
      </c>
      <c r="U183" s="4" t="str">
        <f>HYPERLINK("http://141.218.60.56/~jnz1568/getInfo.php?workbook=08_01.xlsx&amp;sheet=A0&amp;row=183&amp;col=21&amp;number=10600&amp;sourceID=30","10600")</f>
        <v>10600</v>
      </c>
      <c r="V183" s="4" t="str">
        <f>HYPERLINK("http://141.218.60.56/~jnz1568/getInfo.php?workbook=08_01.xlsx&amp;sheet=A0&amp;row=183&amp;col=22&amp;number=&amp;sourceID=30","")</f>
        <v/>
      </c>
      <c r="W183" s="4" t="str">
        <f>HYPERLINK("http://141.218.60.56/~jnz1568/getInfo.php?workbook=08_01.xlsx&amp;sheet=A0&amp;row=183&amp;col=23&amp;number=10600&amp;sourceID=30","10600")</f>
        <v>10600</v>
      </c>
      <c r="X183" s="4" t="str">
        <f>HYPERLINK("http://141.218.60.56/~jnz1568/getInfo.php?workbook=08_01.xlsx&amp;sheet=A0&amp;row=183&amp;col=24&amp;number=&amp;sourceID=30","")</f>
        <v/>
      </c>
      <c r="Y183" s="4" t="str">
        <f>HYPERLINK("http://141.218.60.56/~jnz1568/getInfo.php?workbook=08_01.xlsx&amp;sheet=A0&amp;row=183&amp;col=25&amp;number=&amp;sourceID=30","")</f>
        <v/>
      </c>
      <c r="Z183" s="4" t="str">
        <f>HYPERLINK("http://141.218.60.56/~jnz1568/getInfo.php?workbook=08_01.xlsx&amp;sheet=A0&amp;row=183&amp;col=26&amp;number=&amp;sourceID=13","")</f>
        <v/>
      </c>
      <c r="AA183" s="4" t="str">
        <f>HYPERLINK("http://141.218.60.56/~jnz1568/getInfo.php?workbook=08_01.xlsx&amp;sheet=A0&amp;row=183&amp;col=27&amp;number=&amp;sourceID=13","")</f>
        <v/>
      </c>
      <c r="AB183" s="4" t="str">
        <f>HYPERLINK("http://141.218.60.56/~jnz1568/getInfo.php?workbook=08_01.xlsx&amp;sheet=A0&amp;row=183&amp;col=28&amp;number=&amp;sourceID=13","")</f>
        <v/>
      </c>
      <c r="AC183" s="4" t="str">
        <f>HYPERLINK("http://141.218.60.56/~jnz1568/getInfo.php?workbook=08_01.xlsx&amp;sheet=A0&amp;row=183&amp;col=29&amp;number=&amp;sourceID=13","")</f>
        <v/>
      </c>
      <c r="AD183" s="4" t="str">
        <f>HYPERLINK("http://141.218.60.56/~jnz1568/getInfo.php?workbook=08_01.xlsx&amp;sheet=A0&amp;row=183&amp;col=30&amp;number=&amp;sourceID=13","")</f>
        <v/>
      </c>
      <c r="AE183" s="4" t="str">
        <f>HYPERLINK("http://141.218.60.56/~jnz1568/getInfo.php?workbook=08_01.xlsx&amp;sheet=A0&amp;row=183&amp;col=31&amp;number=&amp;sourceID=13","")</f>
        <v/>
      </c>
      <c r="AF183" s="4" t="str">
        <f>HYPERLINK("http://141.218.60.56/~jnz1568/getInfo.php?workbook=08_01.xlsx&amp;sheet=A0&amp;row=183&amp;col=32&amp;number=&amp;sourceID=20","")</f>
        <v/>
      </c>
    </row>
    <row r="184" spans="1:32">
      <c r="A184" s="3">
        <v>8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HYPERLINK("http://141.218.60.56/~jnz1568/getInfo.php?workbook=08_01.xlsx&amp;sheet=A0&amp;row=184&amp;col=6&amp;number=&amp;sourceID=18","")</f>
        <v/>
      </c>
      <c r="G184" s="4" t="str">
        <f>HYPERLINK("http://141.218.60.56/~jnz1568/getInfo.php?workbook=08_01.xlsx&amp;sheet=A0&amp;row=184&amp;col=7&amp;number==&amp;sourceID=11","=")</f>
        <v>=</v>
      </c>
      <c r="H184" s="4" t="str">
        <f>HYPERLINK("http://141.218.60.56/~jnz1568/getInfo.php?workbook=08_01.xlsx&amp;sheet=A0&amp;row=184&amp;col=8&amp;number=&amp;sourceID=11","")</f>
        <v/>
      </c>
      <c r="I184" s="4" t="str">
        <f>HYPERLINK("http://141.218.60.56/~jnz1568/getInfo.php?workbook=08_01.xlsx&amp;sheet=A0&amp;row=184&amp;col=9&amp;number=9.983e-11&amp;sourceID=11","9.983e-11")</f>
        <v>9.983e-11</v>
      </c>
      <c r="J184" s="4" t="str">
        <f>HYPERLINK("http://141.218.60.56/~jnz1568/getInfo.php?workbook=08_01.xlsx&amp;sheet=A0&amp;row=184&amp;col=10&amp;number=&amp;sourceID=11","")</f>
        <v/>
      </c>
      <c r="K184" s="4" t="str">
        <f>HYPERLINK("http://141.218.60.56/~jnz1568/getInfo.php?workbook=08_01.xlsx&amp;sheet=A0&amp;row=184&amp;col=11&amp;number=7.939e-06&amp;sourceID=11","7.939e-06")</f>
        <v>7.939e-06</v>
      </c>
      <c r="L184" s="4" t="str">
        <f>HYPERLINK("http://141.218.60.56/~jnz1568/getInfo.php?workbook=08_01.xlsx&amp;sheet=A0&amp;row=184&amp;col=12&amp;number=&amp;sourceID=11","")</f>
        <v/>
      </c>
      <c r="M184" s="4" t="str">
        <f>HYPERLINK("http://141.218.60.56/~jnz1568/getInfo.php?workbook=08_01.xlsx&amp;sheet=A0&amp;row=184&amp;col=13&amp;number=&amp;sourceID=11","")</f>
        <v/>
      </c>
      <c r="N184" s="4" t="str">
        <f>HYPERLINK("http://141.218.60.56/~jnz1568/getInfo.php?workbook=08_01.xlsx&amp;sheet=A0&amp;row=184&amp;col=14&amp;number=7.9399e-06&amp;sourceID=12","7.9399e-06")</f>
        <v>7.9399e-06</v>
      </c>
      <c r="O184" s="4" t="str">
        <f>HYPERLINK("http://141.218.60.56/~jnz1568/getInfo.php?workbook=08_01.xlsx&amp;sheet=A0&amp;row=184&amp;col=15&amp;number=&amp;sourceID=12","")</f>
        <v/>
      </c>
      <c r="P184" s="4" t="str">
        <f>HYPERLINK("http://141.218.60.56/~jnz1568/getInfo.php?workbook=08_01.xlsx&amp;sheet=A0&amp;row=184&amp;col=16&amp;number=9.9845e-11&amp;sourceID=12","9.9845e-11")</f>
        <v>9.9845e-11</v>
      </c>
      <c r="Q184" s="4" t="str">
        <f>HYPERLINK("http://141.218.60.56/~jnz1568/getInfo.php?workbook=08_01.xlsx&amp;sheet=A0&amp;row=184&amp;col=17&amp;number=&amp;sourceID=12","")</f>
        <v/>
      </c>
      <c r="R184" s="4" t="str">
        <f>HYPERLINK("http://141.218.60.56/~jnz1568/getInfo.php?workbook=08_01.xlsx&amp;sheet=A0&amp;row=184&amp;col=18&amp;number=7.9398e-06&amp;sourceID=12","7.9398e-06")</f>
        <v>7.9398e-06</v>
      </c>
      <c r="S184" s="4" t="str">
        <f>HYPERLINK("http://141.218.60.56/~jnz1568/getInfo.php?workbook=08_01.xlsx&amp;sheet=A0&amp;row=184&amp;col=19&amp;number=&amp;sourceID=12","")</f>
        <v/>
      </c>
      <c r="T184" s="4" t="str">
        <f>HYPERLINK("http://141.218.60.56/~jnz1568/getInfo.php?workbook=08_01.xlsx&amp;sheet=A0&amp;row=184&amp;col=20&amp;number=&amp;sourceID=12","")</f>
        <v/>
      </c>
      <c r="U184" s="4" t="str">
        <f>HYPERLINK("http://141.218.60.56/~jnz1568/getInfo.php?workbook=08_01.xlsx&amp;sheet=A0&amp;row=184&amp;col=21&amp;number=7.94009985e-06&amp;sourceID=30","7.94009985e-06")</f>
        <v>7.94009985e-06</v>
      </c>
      <c r="V184" s="4" t="str">
        <f>HYPERLINK("http://141.218.60.56/~jnz1568/getInfo.php?workbook=08_01.xlsx&amp;sheet=A0&amp;row=184&amp;col=22&amp;number=&amp;sourceID=30","")</f>
        <v/>
      </c>
      <c r="W184" s="4" t="str">
        <f>HYPERLINK("http://141.218.60.56/~jnz1568/getInfo.php?workbook=08_01.xlsx&amp;sheet=A0&amp;row=184&amp;col=23&amp;number=9.985e-11&amp;sourceID=30","9.985e-11")</f>
        <v>9.985e-11</v>
      </c>
      <c r="X184" s="4" t="str">
        <f>HYPERLINK("http://141.218.60.56/~jnz1568/getInfo.php?workbook=08_01.xlsx&amp;sheet=A0&amp;row=184&amp;col=24&amp;number=7.94e-06&amp;sourceID=30","7.94e-06")</f>
        <v>7.94e-06</v>
      </c>
      <c r="Y184" s="4" t="str">
        <f>HYPERLINK("http://141.218.60.56/~jnz1568/getInfo.php?workbook=08_01.xlsx&amp;sheet=A0&amp;row=184&amp;col=25&amp;number=&amp;sourceID=30","")</f>
        <v/>
      </c>
      <c r="Z184" s="4" t="str">
        <f>HYPERLINK("http://141.218.60.56/~jnz1568/getInfo.php?workbook=08_01.xlsx&amp;sheet=A0&amp;row=184&amp;col=26&amp;number=&amp;sourceID=13","")</f>
        <v/>
      </c>
      <c r="AA184" s="4" t="str">
        <f>HYPERLINK("http://141.218.60.56/~jnz1568/getInfo.php?workbook=08_01.xlsx&amp;sheet=A0&amp;row=184&amp;col=27&amp;number=&amp;sourceID=13","")</f>
        <v/>
      </c>
      <c r="AB184" s="4" t="str">
        <f>HYPERLINK("http://141.218.60.56/~jnz1568/getInfo.php?workbook=08_01.xlsx&amp;sheet=A0&amp;row=184&amp;col=28&amp;number=&amp;sourceID=13","")</f>
        <v/>
      </c>
      <c r="AC184" s="4" t="str">
        <f>HYPERLINK("http://141.218.60.56/~jnz1568/getInfo.php?workbook=08_01.xlsx&amp;sheet=A0&amp;row=184&amp;col=29&amp;number=&amp;sourceID=13","")</f>
        <v/>
      </c>
      <c r="AD184" s="4" t="str">
        <f>HYPERLINK("http://141.218.60.56/~jnz1568/getInfo.php?workbook=08_01.xlsx&amp;sheet=A0&amp;row=184&amp;col=30&amp;number=&amp;sourceID=13","")</f>
        <v/>
      </c>
      <c r="AE184" s="4" t="str">
        <f>HYPERLINK("http://141.218.60.56/~jnz1568/getInfo.php?workbook=08_01.xlsx&amp;sheet=A0&amp;row=184&amp;col=31&amp;number=&amp;sourceID=13","")</f>
        <v/>
      </c>
      <c r="AF184" s="4" t="str">
        <f>HYPERLINK("http://141.218.60.56/~jnz1568/getInfo.php?workbook=08_01.xlsx&amp;sheet=A0&amp;row=184&amp;col=32&amp;number=&amp;sourceID=20","")</f>
        <v/>
      </c>
    </row>
    <row r="185" spans="1:32">
      <c r="A185" s="3">
        <v>8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HYPERLINK("http://141.218.60.56/~jnz1568/getInfo.php?workbook=08_01.xlsx&amp;sheet=A0&amp;row=185&amp;col=6&amp;number=&amp;sourceID=18","")</f>
        <v/>
      </c>
      <c r="G185" s="4" t="str">
        <f>HYPERLINK("http://141.218.60.56/~jnz1568/getInfo.php?workbook=08_01.xlsx&amp;sheet=A0&amp;row=185&amp;col=7&amp;number==&amp;sourceID=11","=")</f>
        <v>=</v>
      </c>
      <c r="H185" s="4" t="str">
        <f>HYPERLINK("http://141.218.60.56/~jnz1568/getInfo.php?workbook=08_01.xlsx&amp;sheet=A0&amp;row=185&amp;col=8&amp;number=12.572&amp;sourceID=11","12.572")</f>
        <v>12.572</v>
      </c>
      <c r="I185" s="4" t="str">
        <f>HYPERLINK("http://141.218.60.56/~jnz1568/getInfo.php?workbook=08_01.xlsx&amp;sheet=A0&amp;row=185&amp;col=9&amp;number=&amp;sourceID=11","")</f>
        <v/>
      </c>
      <c r="J185" s="4" t="str">
        <f>HYPERLINK("http://141.218.60.56/~jnz1568/getInfo.php?workbook=08_01.xlsx&amp;sheet=A0&amp;row=185&amp;col=10&amp;number=&amp;sourceID=11","")</f>
        <v/>
      </c>
      <c r="K185" s="4" t="str">
        <f>HYPERLINK("http://141.218.60.56/~jnz1568/getInfo.php?workbook=08_01.xlsx&amp;sheet=A0&amp;row=185&amp;col=11&amp;number=&amp;sourceID=11","")</f>
        <v/>
      </c>
      <c r="L185" s="4" t="str">
        <f>HYPERLINK("http://141.218.60.56/~jnz1568/getInfo.php?workbook=08_01.xlsx&amp;sheet=A0&amp;row=185&amp;col=12&amp;number=1e-15&amp;sourceID=11","1e-15")</f>
        <v>1e-15</v>
      </c>
      <c r="M185" s="4" t="str">
        <f>HYPERLINK("http://141.218.60.56/~jnz1568/getInfo.php?workbook=08_01.xlsx&amp;sheet=A0&amp;row=185&amp;col=13&amp;number=&amp;sourceID=11","")</f>
        <v/>
      </c>
      <c r="N185" s="4" t="str">
        <f>HYPERLINK("http://141.218.60.56/~jnz1568/getInfo.php?workbook=08_01.xlsx&amp;sheet=A0&amp;row=185&amp;col=14&amp;number=12.573&amp;sourceID=12","12.573")</f>
        <v>12.573</v>
      </c>
      <c r="O185" s="4" t="str">
        <f>HYPERLINK("http://141.218.60.56/~jnz1568/getInfo.php?workbook=08_01.xlsx&amp;sheet=A0&amp;row=185&amp;col=15&amp;number=12.573&amp;sourceID=12","12.573")</f>
        <v>12.573</v>
      </c>
      <c r="P185" s="4" t="str">
        <f>HYPERLINK("http://141.218.60.56/~jnz1568/getInfo.php?workbook=08_01.xlsx&amp;sheet=A0&amp;row=185&amp;col=16&amp;number=&amp;sourceID=12","")</f>
        <v/>
      </c>
      <c r="Q185" s="4" t="str">
        <f>HYPERLINK("http://141.218.60.56/~jnz1568/getInfo.php?workbook=08_01.xlsx&amp;sheet=A0&amp;row=185&amp;col=17&amp;number=&amp;sourceID=12","")</f>
        <v/>
      </c>
      <c r="R185" s="4" t="str">
        <f>HYPERLINK("http://141.218.60.56/~jnz1568/getInfo.php?workbook=08_01.xlsx&amp;sheet=A0&amp;row=185&amp;col=18&amp;number=&amp;sourceID=12","")</f>
        <v/>
      </c>
      <c r="S185" s="4" t="str">
        <f>HYPERLINK("http://141.218.60.56/~jnz1568/getInfo.php?workbook=08_01.xlsx&amp;sheet=A0&amp;row=185&amp;col=19&amp;number=1e-15&amp;sourceID=12","1e-15")</f>
        <v>1e-15</v>
      </c>
      <c r="T185" s="4" t="str">
        <f>HYPERLINK("http://141.218.60.56/~jnz1568/getInfo.php?workbook=08_01.xlsx&amp;sheet=A0&amp;row=185&amp;col=20&amp;number=&amp;sourceID=12","")</f>
        <v/>
      </c>
      <c r="U185" s="4" t="str">
        <f>HYPERLINK("http://141.218.60.56/~jnz1568/getInfo.php?workbook=08_01.xlsx&amp;sheet=A0&amp;row=185&amp;col=21&amp;number=12.57&amp;sourceID=30","12.57")</f>
        <v>12.57</v>
      </c>
      <c r="V185" s="4" t="str">
        <f>HYPERLINK("http://141.218.60.56/~jnz1568/getInfo.php?workbook=08_01.xlsx&amp;sheet=A0&amp;row=185&amp;col=22&amp;number=12.57&amp;sourceID=30","12.57")</f>
        <v>12.57</v>
      </c>
      <c r="W185" s="4" t="str">
        <f>HYPERLINK("http://141.218.60.56/~jnz1568/getInfo.php?workbook=08_01.xlsx&amp;sheet=A0&amp;row=185&amp;col=23&amp;number=&amp;sourceID=30","")</f>
        <v/>
      </c>
      <c r="X185" s="4" t="str">
        <f>HYPERLINK("http://141.218.60.56/~jnz1568/getInfo.php?workbook=08_01.xlsx&amp;sheet=A0&amp;row=185&amp;col=24&amp;number=&amp;sourceID=30","")</f>
        <v/>
      </c>
      <c r="Y185" s="4" t="str">
        <f>HYPERLINK("http://141.218.60.56/~jnz1568/getInfo.php?workbook=08_01.xlsx&amp;sheet=A0&amp;row=185&amp;col=25&amp;number=1e-15&amp;sourceID=30","1e-15")</f>
        <v>1e-15</v>
      </c>
      <c r="Z185" s="4" t="str">
        <f>HYPERLINK("http://141.218.60.56/~jnz1568/getInfo.php?workbook=08_01.xlsx&amp;sheet=A0&amp;row=185&amp;col=26&amp;number=&amp;sourceID=13","")</f>
        <v/>
      </c>
      <c r="AA185" s="4" t="str">
        <f>HYPERLINK("http://141.218.60.56/~jnz1568/getInfo.php?workbook=08_01.xlsx&amp;sheet=A0&amp;row=185&amp;col=27&amp;number=&amp;sourceID=13","")</f>
        <v/>
      </c>
      <c r="AB185" s="4" t="str">
        <f>HYPERLINK("http://141.218.60.56/~jnz1568/getInfo.php?workbook=08_01.xlsx&amp;sheet=A0&amp;row=185&amp;col=28&amp;number=&amp;sourceID=13","")</f>
        <v/>
      </c>
      <c r="AC185" s="4" t="str">
        <f>HYPERLINK("http://141.218.60.56/~jnz1568/getInfo.php?workbook=08_01.xlsx&amp;sheet=A0&amp;row=185&amp;col=29&amp;number=&amp;sourceID=13","")</f>
        <v/>
      </c>
      <c r="AD185" s="4" t="str">
        <f>HYPERLINK("http://141.218.60.56/~jnz1568/getInfo.php?workbook=08_01.xlsx&amp;sheet=A0&amp;row=185&amp;col=30&amp;number=&amp;sourceID=13","")</f>
        <v/>
      </c>
      <c r="AE185" s="4" t="str">
        <f>HYPERLINK("http://141.218.60.56/~jnz1568/getInfo.php?workbook=08_01.xlsx&amp;sheet=A0&amp;row=185&amp;col=31&amp;number=&amp;sourceID=13","")</f>
        <v/>
      </c>
      <c r="AF185" s="4" t="str">
        <f>HYPERLINK("http://141.218.60.56/~jnz1568/getInfo.php?workbook=08_01.xlsx&amp;sheet=A0&amp;row=185&amp;col=32&amp;number=&amp;sourceID=20","")</f>
        <v/>
      </c>
    </row>
    <row r="186" spans="1:32">
      <c r="A186" s="3">
        <v>8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HYPERLINK("http://141.218.60.56/~jnz1568/getInfo.php?workbook=08_01.xlsx&amp;sheet=A0&amp;row=186&amp;col=6&amp;number=&amp;sourceID=18","")</f>
        <v/>
      </c>
      <c r="G186" s="4" t="str">
        <f>HYPERLINK("http://141.218.60.56/~jnz1568/getInfo.php?workbook=08_01.xlsx&amp;sheet=A0&amp;row=186&amp;col=7&amp;number==&amp;sourceID=11","=")</f>
        <v>=</v>
      </c>
      <c r="H186" s="4" t="str">
        <f>HYPERLINK("http://141.218.60.56/~jnz1568/getInfo.php?workbook=08_01.xlsx&amp;sheet=A0&amp;row=186&amp;col=8&amp;number=&amp;sourceID=11","")</f>
        <v/>
      </c>
      <c r="I186" s="4" t="str">
        <f>HYPERLINK("http://141.218.60.56/~jnz1568/getInfo.php?workbook=08_01.xlsx&amp;sheet=A0&amp;row=186&amp;col=9&amp;number=&amp;sourceID=11","")</f>
        <v/>
      </c>
      <c r="J186" s="4" t="str">
        <f>HYPERLINK("http://141.218.60.56/~jnz1568/getInfo.php?workbook=08_01.xlsx&amp;sheet=A0&amp;row=186&amp;col=10&amp;number=4298.3&amp;sourceID=11","4298.3")</f>
        <v>4298.3</v>
      </c>
      <c r="K186" s="4" t="str">
        <f>HYPERLINK("http://141.218.60.56/~jnz1568/getInfo.php?workbook=08_01.xlsx&amp;sheet=A0&amp;row=186&amp;col=11&amp;number=&amp;sourceID=11","")</f>
        <v/>
      </c>
      <c r="L186" s="4" t="str">
        <f>HYPERLINK("http://141.218.60.56/~jnz1568/getInfo.php?workbook=08_01.xlsx&amp;sheet=A0&amp;row=186&amp;col=12&amp;number=9.7676e-05&amp;sourceID=11","9.7676e-05")</f>
        <v>9.7676e-05</v>
      </c>
      <c r="M186" s="4" t="str">
        <f>HYPERLINK("http://141.218.60.56/~jnz1568/getInfo.php?workbook=08_01.xlsx&amp;sheet=A0&amp;row=186&amp;col=13&amp;number=&amp;sourceID=11","")</f>
        <v/>
      </c>
      <c r="N186" s="4" t="str">
        <f>HYPERLINK("http://141.218.60.56/~jnz1568/getInfo.php?workbook=08_01.xlsx&amp;sheet=A0&amp;row=186&amp;col=14&amp;number=4298.4&amp;sourceID=12","4298.4")</f>
        <v>4298.4</v>
      </c>
      <c r="O186" s="4" t="str">
        <f>HYPERLINK("http://141.218.60.56/~jnz1568/getInfo.php?workbook=08_01.xlsx&amp;sheet=A0&amp;row=186&amp;col=15&amp;number=&amp;sourceID=12","")</f>
        <v/>
      </c>
      <c r="P186" s="4" t="str">
        <f>HYPERLINK("http://141.218.60.56/~jnz1568/getInfo.php?workbook=08_01.xlsx&amp;sheet=A0&amp;row=186&amp;col=16&amp;number=&amp;sourceID=12","")</f>
        <v/>
      </c>
      <c r="Q186" s="4" t="str">
        <f>HYPERLINK("http://141.218.60.56/~jnz1568/getInfo.php?workbook=08_01.xlsx&amp;sheet=A0&amp;row=186&amp;col=17&amp;number=4298.4&amp;sourceID=12","4298.4")</f>
        <v>4298.4</v>
      </c>
      <c r="R186" s="4" t="str">
        <f>HYPERLINK("http://141.218.60.56/~jnz1568/getInfo.php?workbook=08_01.xlsx&amp;sheet=A0&amp;row=186&amp;col=18&amp;number=&amp;sourceID=12","")</f>
        <v/>
      </c>
      <c r="S186" s="4" t="str">
        <f>HYPERLINK("http://141.218.60.56/~jnz1568/getInfo.php?workbook=08_01.xlsx&amp;sheet=A0&amp;row=186&amp;col=19&amp;number=9.8247e-05&amp;sourceID=12","9.8247e-05")</f>
        <v>9.8247e-05</v>
      </c>
      <c r="T186" s="4" t="str">
        <f>HYPERLINK("http://141.218.60.56/~jnz1568/getInfo.php?workbook=08_01.xlsx&amp;sheet=A0&amp;row=186&amp;col=20&amp;number=&amp;sourceID=12","")</f>
        <v/>
      </c>
      <c r="U186" s="4" t="str">
        <f>HYPERLINK("http://141.218.60.56/~jnz1568/getInfo.php?workbook=08_01.xlsx&amp;sheet=A0&amp;row=186&amp;col=21&amp;number=9.771e-05&amp;sourceID=30","9.771e-05")</f>
        <v>9.771e-05</v>
      </c>
      <c r="V186" s="4" t="str">
        <f>HYPERLINK("http://141.218.60.56/~jnz1568/getInfo.php?workbook=08_01.xlsx&amp;sheet=A0&amp;row=186&amp;col=22&amp;number=&amp;sourceID=30","")</f>
        <v/>
      </c>
      <c r="W186" s="4" t="str">
        <f>HYPERLINK("http://141.218.60.56/~jnz1568/getInfo.php?workbook=08_01.xlsx&amp;sheet=A0&amp;row=186&amp;col=23&amp;number=&amp;sourceID=30","")</f>
        <v/>
      </c>
      <c r="X186" s="4" t="str">
        <f>HYPERLINK("http://141.218.60.56/~jnz1568/getInfo.php?workbook=08_01.xlsx&amp;sheet=A0&amp;row=186&amp;col=24&amp;number=&amp;sourceID=30","")</f>
        <v/>
      </c>
      <c r="Y186" s="4" t="str">
        <f>HYPERLINK("http://141.218.60.56/~jnz1568/getInfo.php?workbook=08_01.xlsx&amp;sheet=A0&amp;row=186&amp;col=25&amp;number=9.771e-05&amp;sourceID=30","9.771e-05")</f>
        <v>9.771e-05</v>
      </c>
      <c r="Z186" s="4" t="str">
        <f>HYPERLINK("http://141.218.60.56/~jnz1568/getInfo.php?workbook=08_01.xlsx&amp;sheet=A0&amp;row=186&amp;col=26&amp;number=&amp;sourceID=13","")</f>
        <v/>
      </c>
      <c r="AA186" s="4" t="str">
        <f>HYPERLINK("http://141.218.60.56/~jnz1568/getInfo.php?workbook=08_01.xlsx&amp;sheet=A0&amp;row=186&amp;col=27&amp;number=&amp;sourceID=13","")</f>
        <v/>
      </c>
      <c r="AB186" s="4" t="str">
        <f>HYPERLINK("http://141.218.60.56/~jnz1568/getInfo.php?workbook=08_01.xlsx&amp;sheet=A0&amp;row=186&amp;col=28&amp;number=&amp;sourceID=13","")</f>
        <v/>
      </c>
      <c r="AC186" s="4" t="str">
        <f>HYPERLINK("http://141.218.60.56/~jnz1568/getInfo.php?workbook=08_01.xlsx&amp;sheet=A0&amp;row=186&amp;col=29&amp;number=&amp;sourceID=13","")</f>
        <v/>
      </c>
      <c r="AD186" s="4" t="str">
        <f>HYPERLINK("http://141.218.60.56/~jnz1568/getInfo.php?workbook=08_01.xlsx&amp;sheet=A0&amp;row=186&amp;col=30&amp;number=&amp;sourceID=13","")</f>
        <v/>
      </c>
      <c r="AE186" s="4" t="str">
        <f>HYPERLINK("http://141.218.60.56/~jnz1568/getInfo.php?workbook=08_01.xlsx&amp;sheet=A0&amp;row=186&amp;col=31&amp;number=&amp;sourceID=13","")</f>
        <v/>
      </c>
      <c r="AF186" s="4" t="str">
        <f>HYPERLINK("http://141.218.60.56/~jnz1568/getInfo.php?workbook=08_01.xlsx&amp;sheet=A0&amp;row=186&amp;col=32&amp;number=&amp;sourceID=20","")</f>
        <v/>
      </c>
    </row>
    <row r="187" spans="1:32">
      <c r="A187" s="3">
        <v>8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HYPERLINK("http://141.218.60.56/~jnz1568/getInfo.php?workbook=08_01.xlsx&amp;sheet=A0&amp;row=187&amp;col=6&amp;number=&amp;sourceID=18","")</f>
        <v/>
      </c>
      <c r="G187" s="4" t="str">
        <f>HYPERLINK("http://141.218.60.56/~jnz1568/getInfo.php?workbook=08_01.xlsx&amp;sheet=A0&amp;row=187&amp;col=7&amp;number==&amp;sourceID=11","=")</f>
        <v>=</v>
      </c>
      <c r="H187" s="4" t="str">
        <f>HYPERLINK("http://141.218.60.56/~jnz1568/getInfo.php?workbook=08_01.xlsx&amp;sheet=A0&amp;row=187&amp;col=8&amp;number=&amp;sourceID=11","")</f>
        <v/>
      </c>
      <c r="I187" s="4" t="str">
        <f>HYPERLINK("http://141.218.60.56/~jnz1568/getInfo.php?workbook=08_01.xlsx&amp;sheet=A0&amp;row=187&amp;col=9&amp;number=8427100&amp;sourceID=11","8427100")</f>
        <v>8427100</v>
      </c>
      <c r="J187" s="4" t="str">
        <f>HYPERLINK("http://141.218.60.56/~jnz1568/getInfo.php?workbook=08_01.xlsx&amp;sheet=A0&amp;row=187&amp;col=10&amp;number=&amp;sourceID=11","")</f>
        <v/>
      </c>
      <c r="K187" s="4" t="str">
        <f>HYPERLINK("http://141.218.60.56/~jnz1568/getInfo.php?workbook=08_01.xlsx&amp;sheet=A0&amp;row=187&amp;col=11&amp;number=&amp;sourceID=11","")</f>
        <v/>
      </c>
      <c r="L187" s="4" t="str">
        <f>HYPERLINK("http://141.218.60.56/~jnz1568/getInfo.php?workbook=08_01.xlsx&amp;sheet=A0&amp;row=187&amp;col=12&amp;number=&amp;sourceID=11","")</f>
        <v/>
      </c>
      <c r="M187" s="4" t="str">
        <f>HYPERLINK("http://141.218.60.56/~jnz1568/getInfo.php?workbook=08_01.xlsx&amp;sheet=A0&amp;row=187&amp;col=13&amp;number=0.0049037&amp;sourceID=11","0.0049037")</f>
        <v>0.0049037</v>
      </c>
      <c r="N187" s="4" t="str">
        <f>HYPERLINK("http://141.218.60.56/~jnz1568/getInfo.php?workbook=08_01.xlsx&amp;sheet=A0&amp;row=187&amp;col=14&amp;number=8427400&amp;sourceID=12","8427400")</f>
        <v>8427400</v>
      </c>
      <c r="O187" s="4" t="str">
        <f>HYPERLINK("http://141.218.60.56/~jnz1568/getInfo.php?workbook=08_01.xlsx&amp;sheet=A0&amp;row=187&amp;col=15&amp;number=&amp;sourceID=12","")</f>
        <v/>
      </c>
      <c r="P187" s="4" t="str">
        <f>HYPERLINK("http://141.218.60.56/~jnz1568/getInfo.php?workbook=08_01.xlsx&amp;sheet=A0&amp;row=187&amp;col=16&amp;number=8427400&amp;sourceID=12","8427400")</f>
        <v>8427400</v>
      </c>
      <c r="Q187" s="4" t="str">
        <f>HYPERLINK("http://141.218.60.56/~jnz1568/getInfo.php?workbook=08_01.xlsx&amp;sheet=A0&amp;row=187&amp;col=17&amp;number=&amp;sourceID=12","")</f>
        <v/>
      </c>
      <c r="R187" s="4" t="str">
        <f>HYPERLINK("http://141.218.60.56/~jnz1568/getInfo.php?workbook=08_01.xlsx&amp;sheet=A0&amp;row=187&amp;col=18&amp;number=&amp;sourceID=12","")</f>
        <v/>
      </c>
      <c r="S187" s="4" t="str">
        <f>HYPERLINK("http://141.218.60.56/~jnz1568/getInfo.php?workbook=08_01.xlsx&amp;sheet=A0&amp;row=187&amp;col=19&amp;number=&amp;sourceID=12","")</f>
        <v/>
      </c>
      <c r="T187" s="4" t="str">
        <f>HYPERLINK("http://141.218.60.56/~jnz1568/getInfo.php?workbook=08_01.xlsx&amp;sheet=A0&amp;row=187&amp;col=20&amp;number=0.0049038&amp;sourceID=12","0.0049038")</f>
        <v>0.0049038</v>
      </c>
      <c r="U187" s="4" t="str">
        <f>HYPERLINK("http://141.218.60.56/~jnz1568/getInfo.php?workbook=08_01.xlsx&amp;sheet=A0&amp;row=187&amp;col=21&amp;number=8427000&amp;sourceID=30","8427000")</f>
        <v>8427000</v>
      </c>
      <c r="V187" s="4" t="str">
        <f>HYPERLINK("http://141.218.60.56/~jnz1568/getInfo.php?workbook=08_01.xlsx&amp;sheet=A0&amp;row=187&amp;col=22&amp;number=&amp;sourceID=30","")</f>
        <v/>
      </c>
      <c r="W187" s="4" t="str">
        <f>HYPERLINK("http://141.218.60.56/~jnz1568/getInfo.php?workbook=08_01.xlsx&amp;sheet=A0&amp;row=187&amp;col=23&amp;number=8427000&amp;sourceID=30","8427000")</f>
        <v>8427000</v>
      </c>
      <c r="X187" s="4" t="str">
        <f>HYPERLINK("http://141.218.60.56/~jnz1568/getInfo.php?workbook=08_01.xlsx&amp;sheet=A0&amp;row=187&amp;col=24&amp;number=&amp;sourceID=30","")</f>
        <v/>
      </c>
      <c r="Y187" s="4" t="str">
        <f>HYPERLINK("http://141.218.60.56/~jnz1568/getInfo.php?workbook=08_01.xlsx&amp;sheet=A0&amp;row=187&amp;col=25&amp;number=&amp;sourceID=30","")</f>
        <v/>
      </c>
      <c r="Z187" s="4" t="str">
        <f>HYPERLINK("http://141.218.60.56/~jnz1568/getInfo.php?workbook=08_01.xlsx&amp;sheet=A0&amp;row=187&amp;col=26&amp;number=&amp;sourceID=13","")</f>
        <v/>
      </c>
      <c r="AA187" s="4" t="str">
        <f>HYPERLINK("http://141.218.60.56/~jnz1568/getInfo.php?workbook=08_01.xlsx&amp;sheet=A0&amp;row=187&amp;col=27&amp;number=&amp;sourceID=13","")</f>
        <v/>
      </c>
      <c r="AB187" s="4" t="str">
        <f>HYPERLINK("http://141.218.60.56/~jnz1568/getInfo.php?workbook=08_01.xlsx&amp;sheet=A0&amp;row=187&amp;col=28&amp;number=&amp;sourceID=13","")</f>
        <v/>
      </c>
      <c r="AC187" s="4" t="str">
        <f>HYPERLINK("http://141.218.60.56/~jnz1568/getInfo.php?workbook=08_01.xlsx&amp;sheet=A0&amp;row=187&amp;col=29&amp;number=&amp;sourceID=13","")</f>
        <v/>
      </c>
      <c r="AD187" s="4" t="str">
        <f>HYPERLINK("http://141.218.60.56/~jnz1568/getInfo.php?workbook=08_01.xlsx&amp;sheet=A0&amp;row=187&amp;col=30&amp;number=&amp;sourceID=13","")</f>
        <v/>
      </c>
      <c r="AE187" s="4" t="str">
        <f>HYPERLINK("http://141.218.60.56/~jnz1568/getInfo.php?workbook=08_01.xlsx&amp;sheet=A0&amp;row=187&amp;col=31&amp;number=&amp;sourceID=13","")</f>
        <v/>
      </c>
      <c r="AF187" s="4" t="str">
        <f>HYPERLINK("http://141.218.60.56/~jnz1568/getInfo.php?workbook=08_01.xlsx&amp;sheet=A0&amp;row=187&amp;col=32&amp;number=&amp;sourceID=20","")</f>
        <v/>
      </c>
    </row>
    <row r="188" spans="1:32">
      <c r="A188" s="3">
        <v>8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HYPERLINK("http://141.218.60.56/~jnz1568/getInfo.php?workbook=08_01.xlsx&amp;sheet=A0&amp;row=188&amp;col=6&amp;number=&amp;sourceID=18","")</f>
        <v/>
      </c>
      <c r="G188" s="4" t="str">
        <f>HYPERLINK("http://141.218.60.56/~jnz1568/getInfo.php?workbook=08_01.xlsx&amp;sheet=A0&amp;row=188&amp;col=7&amp;number==&amp;sourceID=11","=")</f>
        <v>=</v>
      </c>
      <c r="H188" s="4" t="str">
        <f>HYPERLINK("http://141.218.60.56/~jnz1568/getInfo.php?workbook=08_01.xlsx&amp;sheet=A0&amp;row=188&amp;col=8&amp;number=&amp;sourceID=11","")</f>
        <v/>
      </c>
      <c r="I188" s="4" t="str">
        <f>HYPERLINK("http://141.218.60.56/~jnz1568/getInfo.php?workbook=08_01.xlsx&amp;sheet=A0&amp;row=188&amp;col=9&amp;number=&amp;sourceID=11","")</f>
        <v/>
      </c>
      <c r="J188" s="4" t="str">
        <f>HYPERLINK("http://141.218.60.56/~jnz1568/getInfo.php?workbook=08_01.xlsx&amp;sheet=A0&amp;row=188&amp;col=10&amp;number=1186&amp;sourceID=11","1186")</f>
        <v>1186</v>
      </c>
      <c r="K188" s="4" t="str">
        <f>HYPERLINK("http://141.218.60.56/~jnz1568/getInfo.php?workbook=08_01.xlsx&amp;sheet=A0&amp;row=188&amp;col=11&amp;number=&amp;sourceID=11","")</f>
        <v/>
      </c>
      <c r="L188" s="4" t="str">
        <f>HYPERLINK("http://141.218.60.56/~jnz1568/getInfo.php?workbook=08_01.xlsx&amp;sheet=A0&amp;row=188&amp;col=12&amp;number=4.959e-06&amp;sourceID=11","4.959e-06")</f>
        <v>4.959e-06</v>
      </c>
      <c r="M188" s="4" t="str">
        <f>HYPERLINK("http://141.218.60.56/~jnz1568/getInfo.php?workbook=08_01.xlsx&amp;sheet=A0&amp;row=188&amp;col=13&amp;number=&amp;sourceID=11","")</f>
        <v/>
      </c>
      <c r="N188" s="4" t="str">
        <f>HYPERLINK("http://141.218.60.56/~jnz1568/getInfo.php?workbook=08_01.xlsx&amp;sheet=A0&amp;row=188&amp;col=14&amp;number=1186&amp;sourceID=12","1186")</f>
        <v>1186</v>
      </c>
      <c r="O188" s="4" t="str">
        <f>HYPERLINK("http://141.218.60.56/~jnz1568/getInfo.php?workbook=08_01.xlsx&amp;sheet=A0&amp;row=188&amp;col=15&amp;number=&amp;sourceID=12","")</f>
        <v/>
      </c>
      <c r="P188" s="4" t="str">
        <f>HYPERLINK("http://141.218.60.56/~jnz1568/getInfo.php?workbook=08_01.xlsx&amp;sheet=A0&amp;row=188&amp;col=16&amp;number=&amp;sourceID=12","")</f>
        <v/>
      </c>
      <c r="Q188" s="4" t="str">
        <f>HYPERLINK("http://141.218.60.56/~jnz1568/getInfo.php?workbook=08_01.xlsx&amp;sheet=A0&amp;row=188&amp;col=17&amp;number=1186&amp;sourceID=12","1186")</f>
        <v>1186</v>
      </c>
      <c r="R188" s="4" t="str">
        <f>HYPERLINK("http://141.218.60.56/~jnz1568/getInfo.php?workbook=08_01.xlsx&amp;sheet=A0&amp;row=188&amp;col=18&amp;number=&amp;sourceID=12","")</f>
        <v/>
      </c>
      <c r="S188" s="4" t="str">
        <f>HYPERLINK("http://141.218.60.56/~jnz1568/getInfo.php?workbook=08_01.xlsx&amp;sheet=A0&amp;row=188&amp;col=19&amp;number=4.9976e-06&amp;sourceID=12","4.9976e-06")</f>
        <v>4.9976e-06</v>
      </c>
      <c r="T188" s="4" t="str">
        <f>HYPERLINK("http://141.218.60.56/~jnz1568/getInfo.php?workbook=08_01.xlsx&amp;sheet=A0&amp;row=188&amp;col=20&amp;number=&amp;sourceID=12","")</f>
        <v/>
      </c>
      <c r="U188" s="4" t="str">
        <f>HYPERLINK("http://141.218.60.56/~jnz1568/getInfo.php?workbook=08_01.xlsx&amp;sheet=A0&amp;row=188&amp;col=21&amp;number=4.954e-06&amp;sourceID=30","4.954e-06")</f>
        <v>4.954e-06</v>
      </c>
      <c r="V188" s="4" t="str">
        <f>HYPERLINK("http://141.218.60.56/~jnz1568/getInfo.php?workbook=08_01.xlsx&amp;sheet=A0&amp;row=188&amp;col=22&amp;number=&amp;sourceID=30","")</f>
        <v/>
      </c>
      <c r="W188" s="4" t="str">
        <f>HYPERLINK("http://141.218.60.56/~jnz1568/getInfo.php?workbook=08_01.xlsx&amp;sheet=A0&amp;row=188&amp;col=23&amp;number=&amp;sourceID=30","")</f>
        <v/>
      </c>
      <c r="X188" s="4" t="str">
        <f>HYPERLINK("http://141.218.60.56/~jnz1568/getInfo.php?workbook=08_01.xlsx&amp;sheet=A0&amp;row=188&amp;col=24&amp;number=&amp;sourceID=30","")</f>
        <v/>
      </c>
      <c r="Y188" s="4" t="str">
        <f>HYPERLINK("http://141.218.60.56/~jnz1568/getInfo.php?workbook=08_01.xlsx&amp;sheet=A0&amp;row=188&amp;col=25&amp;number=4.954e-06&amp;sourceID=30","4.954e-06")</f>
        <v>4.954e-06</v>
      </c>
      <c r="Z188" s="4" t="str">
        <f>HYPERLINK("http://141.218.60.56/~jnz1568/getInfo.php?workbook=08_01.xlsx&amp;sheet=A0&amp;row=188&amp;col=26&amp;number=&amp;sourceID=13","")</f>
        <v/>
      </c>
      <c r="AA188" s="4" t="str">
        <f>HYPERLINK("http://141.218.60.56/~jnz1568/getInfo.php?workbook=08_01.xlsx&amp;sheet=A0&amp;row=188&amp;col=27&amp;number=&amp;sourceID=13","")</f>
        <v/>
      </c>
      <c r="AB188" s="4" t="str">
        <f>HYPERLINK("http://141.218.60.56/~jnz1568/getInfo.php?workbook=08_01.xlsx&amp;sheet=A0&amp;row=188&amp;col=28&amp;number=&amp;sourceID=13","")</f>
        <v/>
      </c>
      <c r="AC188" s="4" t="str">
        <f>HYPERLINK("http://141.218.60.56/~jnz1568/getInfo.php?workbook=08_01.xlsx&amp;sheet=A0&amp;row=188&amp;col=29&amp;number=&amp;sourceID=13","")</f>
        <v/>
      </c>
      <c r="AD188" s="4" t="str">
        <f>HYPERLINK("http://141.218.60.56/~jnz1568/getInfo.php?workbook=08_01.xlsx&amp;sheet=A0&amp;row=188&amp;col=30&amp;number=&amp;sourceID=13","")</f>
        <v/>
      </c>
      <c r="AE188" s="4" t="str">
        <f>HYPERLINK("http://141.218.60.56/~jnz1568/getInfo.php?workbook=08_01.xlsx&amp;sheet=A0&amp;row=188&amp;col=31&amp;number=&amp;sourceID=13","")</f>
        <v/>
      </c>
      <c r="AF188" s="4" t="str">
        <f>HYPERLINK("http://141.218.60.56/~jnz1568/getInfo.php?workbook=08_01.xlsx&amp;sheet=A0&amp;row=188&amp;col=32&amp;number=&amp;sourceID=20","")</f>
        <v/>
      </c>
    </row>
    <row r="189" spans="1:32">
      <c r="A189" s="3">
        <v>8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HYPERLINK("http://141.218.60.56/~jnz1568/getInfo.php?workbook=08_01.xlsx&amp;sheet=A0&amp;row=189&amp;col=6&amp;number=&amp;sourceID=18","")</f>
        <v/>
      </c>
      <c r="G189" s="4" t="str">
        <f>HYPERLINK("http://141.218.60.56/~jnz1568/getInfo.php?workbook=08_01.xlsx&amp;sheet=A0&amp;row=189&amp;col=7&amp;number==&amp;sourceID=11","=")</f>
        <v>=</v>
      </c>
      <c r="H189" s="4" t="str">
        <f>HYPERLINK("http://141.218.60.56/~jnz1568/getInfo.php?workbook=08_01.xlsx&amp;sheet=A0&amp;row=189&amp;col=8&amp;number=&amp;sourceID=11","")</f>
        <v/>
      </c>
      <c r="I189" s="4" t="str">
        <f>HYPERLINK("http://141.218.60.56/~jnz1568/getInfo.php?workbook=08_01.xlsx&amp;sheet=A0&amp;row=189&amp;col=9&amp;number=2406200&amp;sourceID=11","2406200")</f>
        <v>2406200</v>
      </c>
      <c r="J189" s="4" t="str">
        <f>HYPERLINK("http://141.218.60.56/~jnz1568/getInfo.php?workbook=08_01.xlsx&amp;sheet=A0&amp;row=189&amp;col=10&amp;number=&amp;sourceID=11","")</f>
        <v/>
      </c>
      <c r="K189" s="4" t="str">
        <f>HYPERLINK("http://141.218.60.56/~jnz1568/getInfo.php?workbook=08_01.xlsx&amp;sheet=A0&amp;row=189&amp;col=11&amp;number=0.041532&amp;sourceID=11","0.041532")</f>
        <v>0.041532</v>
      </c>
      <c r="L189" s="4" t="str">
        <f>HYPERLINK("http://141.218.60.56/~jnz1568/getInfo.php?workbook=08_01.xlsx&amp;sheet=A0&amp;row=189&amp;col=12&amp;number=&amp;sourceID=11","")</f>
        <v/>
      </c>
      <c r="M189" s="4" t="str">
        <f>HYPERLINK("http://141.218.60.56/~jnz1568/getInfo.php?workbook=08_01.xlsx&amp;sheet=A0&amp;row=189&amp;col=13&amp;number=0.00097886&amp;sourceID=11","0.00097886")</f>
        <v>0.00097886</v>
      </c>
      <c r="N189" s="4" t="str">
        <f>HYPERLINK("http://141.218.60.56/~jnz1568/getInfo.php?workbook=08_01.xlsx&amp;sheet=A0&amp;row=189&amp;col=14&amp;number=2406300&amp;sourceID=12","2406300")</f>
        <v>2406300</v>
      </c>
      <c r="O189" s="4" t="str">
        <f>HYPERLINK("http://141.218.60.56/~jnz1568/getInfo.php?workbook=08_01.xlsx&amp;sheet=A0&amp;row=189&amp;col=15&amp;number=&amp;sourceID=12","")</f>
        <v/>
      </c>
      <c r="P189" s="4" t="str">
        <f>HYPERLINK("http://141.218.60.56/~jnz1568/getInfo.php?workbook=08_01.xlsx&amp;sheet=A0&amp;row=189&amp;col=16&amp;number=2406300&amp;sourceID=12","2406300")</f>
        <v>2406300</v>
      </c>
      <c r="Q189" s="4" t="str">
        <f>HYPERLINK("http://141.218.60.56/~jnz1568/getInfo.php?workbook=08_01.xlsx&amp;sheet=A0&amp;row=189&amp;col=17&amp;number=&amp;sourceID=12","")</f>
        <v/>
      </c>
      <c r="R189" s="4" t="str">
        <f>HYPERLINK("http://141.218.60.56/~jnz1568/getInfo.php?workbook=08_01.xlsx&amp;sheet=A0&amp;row=189&amp;col=18&amp;number=0.041546&amp;sourceID=12","0.041546")</f>
        <v>0.041546</v>
      </c>
      <c r="S189" s="4" t="str">
        <f>HYPERLINK("http://141.218.60.56/~jnz1568/getInfo.php?workbook=08_01.xlsx&amp;sheet=A0&amp;row=189&amp;col=19&amp;number=&amp;sourceID=12","")</f>
        <v/>
      </c>
      <c r="T189" s="4" t="str">
        <f>HYPERLINK("http://141.218.60.56/~jnz1568/getInfo.php?workbook=08_01.xlsx&amp;sheet=A0&amp;row=189&amp;col=20&amp;number=0.0009789&amp;sourceID=12","0.0009789")</f>
        <v>0.0009789</v>
      </c>
      <c r="U189" s="4" t="str">
        <f>HYPERLINK("http://141.218.60.56/~jnz1568/getInfo.php?workbook=08_01.xlsx&amp;sheet=A0&amp;row=189&amp;col=21&amp;number=2406000.04152&amp;sourceID=30","2406000.04152")</f>
        <v>2406000.04152</v>
      </c>
      <c r="V189" s="4" t="str">
        <f>HYPERLINK("http://141.218.60.56/~jnz1568/getInfo.php?workbook=08_01.xlsx&amp;sheet=A0&amp;row=189&amp;col=22&amp;number=&amp;sourceID=30","")</f>
        <v/>
      </c>
      <c r="W189" s="4" t="str">
        <f>HYPERLINK("http://141.218.60.56/~jnz1568/getInfo.php?workbook=08_01.xlsx&amp;sheet=A0&amp;row=189&amp;col=23&amp;number=2406000&amp;sourceID=30","2406000")</f>
        <v>2406000</v>
      </c>
      <c r="X189" s="4" t="str">
        <f>HYPERLINK("http://141.218.60.56/~jnz1568/getInfo.php?workbook=08_01.xlsx&amp;sheet=A0&amp;row=189&amp;col=24&amp;number=0.04152&amp;sourceID=30","0.04152")</f>
        <v>0.04152</v>
      </c>
      <c r="Y189" s="4" t="str">
        <f>HYPERLINK("http://141.218.60.56/~jnz1568/getInfo.php?workbook=08_01.xlsx&amp;sheet=A0&amp;row=189&amp;col=25&amp;number=&amp;sourceID=30","")</f>
        <v/>
      </c>
      <c r="Z189" s="4" t="str">
        <f>HYPERLINK("http://141.218.60.56/~jnz1568/getInfo.php?workbook=08_01.xlsx&amp;sheet=A0&amp;row=189&amp;col=26&amp;number=&amp;sourceID=13","")</f>
        <v/>
      </c>
      <c r="AA189" s="4" t="str">
        <f>HYPERLINK("http://141.218.60.56/~jnz1568/getInfo.php?workbook=08_01.xlsx&amp;sheet=A0&amp;row=189&amp;col=27&amp;number=&amp;sourceID=13","")</f>
        <v/>
      </c>
      <c r="AB189" s="4" t="str">
        <f>HYPERLINK("http://141.218.60.56/~jnz1568/getInfo.php?workbook=08_01.xlsx&amp;sheet=A0&amp;row=189&amp;col=28&amp;number=&amp;sourceID=13","")</f>
        <v/>
      </c>
      <c r="AC189" s="4" t="str">
        <f>HYPERLINK("http://141.218.60.56/~jnz1568/getInfo.php?workbook=08_01.xlsx&amp;sheet=A0&amp;row=189&amp;col=29&amp;number=&amp;sourceID=13","")</f>
        <v/>
      </c>
      <c r="AD189" s="4" t="str">
        <f>HYPERLINK("http://141.218.60.56/~jnz1568/getInfo.php?workbook=08_01.xlsx&amp;sheet=A0&amp;row=189&amp;col=30&amp;number=&amp;sourceID=13","")</f>
        <v/>
      </c>
      <c r="AE189" s="4" t="str">
        <f>HYPERLINK("http://141.218.60.56/~jnz1568/getInfo.php?workbook=08_01.xlsx&amp;sheet=A0&amp;row=189&amp;col=31&amp;number=&amp;sourceID=13","")</f>
        <v/>
      </c>
      <c r="AF189" s="4" t="str">
        <f>HYPERLINK("http://141.218.60.56/~jnz1568/getInfo.php?workbook=08_01.xlsx&amp;sheet=A0&amp;row=189&amp;col=32&amp;number=&amp;sourceID=20","")</f>
        <v/>
      </c>
    </row>
    <row r="190" spans="1:32">
      <c r="A190" s="3">
        <v>8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HYPERLINK("http://141.218.60.56/~jnz1568/getInfo.php?workbook=08_01.xlsx&amp;sheet=A0&amp;row=190&amp;col=6&amp;number=&amp;sourceID=18","")</f>
        <v/>
      </c>
      <c r="G190" s="4" t="str">
        <f>HYPERLINK("http://141.218.60.56/~jnz1568/getInfo.php?workbook=08_01.xlsx&amp;sheet=A0&amp;row=190&amp;col=7&amp;number==&amp;sourceID=11","=")</f>
        <v>=</v>
      </c>
      <c r="H190" s="4" t="str">
        <f>HYPERLINK("http://141.218.60.56/~jnz1568/getInfo.php?workbook=08_01.xlsx&amp;sheet=A0&amp;row=190&amp;col=8&amp;number=&amp;sourceID=11","")</f>
        <v/>
      </c>
      <c r="I190" s="4" t="str">
        <f>HYPERLINK("http://141.218.60.56/~jnz1568/getInfo.php?workbook=08_01.xlsx&amp;sheet=A0&amp;row=190&amp;col=9&amp;number=5645.4&amp;sourceID=11","5645.4")</f>
        <v>5645.4</v>
      </c>
      <c r="J190" s="4" t="str">
        <f>HYPERLINK("http://141.218.60.56/~jnz1568/getInfo.php?workbook=08_01.xlsx&amp;sheet=A0&amp;row=190&amp;col=10&amp;number=&amp;sourceID=11","")</f>
        <v/>
      </c>
      <c r="K190" s="4" t="str">
        <f>HYPERLINK("http://141.218.60.56/~jnz1568/getInfo.php?workbook=08_01.xlsx&amp;sheet=A0&amp;row=190&amp;col=11&amp;number=&amp;sourceID=11","")</f>
        <v/>
      </c>
      <c r="L190" s="4" t="str">
        <f>HYPERLINK("http://141.218.60.56/~jnz1568/getInfo.php?workbook=08_01.xlsx&amp;sheet=A0&amp;row=190&amp;col=12&amp;number=&amp;sourceID=11","")</f>
        <v/>
      </c>
      <c r="M190" s="4" t="str">
        <f>HYPERLINK("http://141.218.60.56/~jnz1568/getInfo.php?workbook=08_01.xlsx&amp;sheet=A0&amp;row=190&amp;col=13&amp;number=3.7592e-07&amp;sourceID=11","3.7592e-07")</f>
        <v>3.7592e-07</v>
      </c>
      <c r="N190" s="4" t="str">
        <f>HYPERLINK("http://141.218.60.56/~jnz1568/getInfo.php?workbook=08_01.xlsx&amp;sheet=A0&amp;row=190&amp;col=14&amp;number=5645.6&amp;sourceID=12","5645.6")</f>
        <v>5645.6</v>
      </c>
      <c r="O190" s="4" t="str">
        <f>HYPERLINK("http://141.218.60.56/~jnz1568/getInfo.php?workbook=08_01.xlsx&amp;sheet=A0&amp;row=190&amp;col=15&amp;number=&amp;sourceID=12","")</f>
        <v/>
      </c>
      <c r="P190" s="4" t="str">
        <f>HYPERLINK("http://141.218.60.56/~jnz1568/getInfo.php?workbook=08_01.xlsx&amp;sheet=A0&amp;row=190&amp;col=16&amp;number=5645.6&amp;sourceID=12","5645.6")</f>
        <v>5645.6</v>
      </c>
      <c r="Q190" s="4" t="str">
        <f>HYPERLINK("http://141.218.60.56/~jnz1568/getInfo.php?workbook=08_01.xlsx&amp;sheet=A0&amp;row=190&amp;col=17&amp;number=&amp;sourceID=12","")</f>
        <v/>
      </c>
      <c r="R190" s="4" t="str">
        <f>HYPERLINK("http://141.218.60.56/~jnz1568/getInfo.php?workbook=08_01.xlsx&amp;sheet=A0&amp;row=190&amp;col=18&amp;number=&amp;sourceID=12","")</f>
        <v/>
      </c>
      <c r="S190" s="4" t="str">
        <f>HYPERLINK("http://141.218.60.56/~jnz1568/getInfo.php?workbook=08_01.xlsx&amp;sheet=A0&amp;row=190&amp;col=19&amp;number=&amp;sourceID=12","")</f>
        <v/>
      </c>
      <c r="T190" s="4" t="str">
        <f>HYPERLINK("http://141.218.60.56/~jnz1568/getInfo.php?workbook=08_01.xlsx&amp;sheet=A0&amp;row=190&amp;col=20&amp;number=3.7593e-07&amp;sourceID=12","3.7593e-07")</f>
        <v>3.7593e-07</v>
      </c>
      <c r="U190" s="4" t="str">
        <f>HYPERLINK("http://141.218.60.56/~jnz1568/getInfo.php?workbook=08_01.xlsx&amp;sheet=A0&amp;row=190&amp;col=21&amp;number=5646&amp;sourceID=30","5646")</f>
        <v>5646</v>
      </c>
      <c r="V190" s="4" t="str">
        <f>HYPERLINK("http://141.218.60.56/~jnz1568/getInfo.php?workbook=08_01.xlsx&amp;sheet=A0&amp;row=190&amp;col=22&amp;number=&amp;sourceID=30","")</f>
        <v/>
      </c>
      <c r="W190" s="4" t="str">
        <f>HYPERLINK("http://141.218.60.56/~jnz1568/getInfo.php?workbook=08_01.xlsx&amp;sheet=A0&amp;row=190&amp;col=23&amp;number=5646&amp;sourceID=30","5646")</f>
        <v>5646</v>
      </c>
      <c r="X190" s="4" t="str">
        <f>HYPERLINK("http://141.218.60.56/~jnz1568/getInfo.php?workbook=08_01.xlsx&amp;sheet=A0&amp;row=190&amp;col=24&amp;number=&amp;sourceID=30","")</f>
        <v/>
      </c>
      <c r="Y190" s="4" t="str">
        <f>HYPERLINK("http://141.218.60.56/~jnz1568/getInfo.php?workbook=08_01.xlsx&amp;sheet=A0&amp;row=190&amp;col=25&amp;number=&amp;sourceID=30","")</f>
        <v/>
      </c>
      <c r="Z190" s="4" t="str">
        <f>HYPERLINK("http://141.218.60.56/~jnz1568/getInfo.php?workbook=08_01.xlsx&amp;sheet=A0&amp;row=190&amp;col=26&amp;number=&amp;sourceID=13","")</f>
        <v/>
      </c>
      <c r="AA190" s="4" t="str">
        <f>HYPERLINK("http://141.218.60.56/~jnz1568/getInfo.php?workbook=08_01.xlsx&amp;sheet=A0&amp;row=190&amp;col=27&amp;number=&amp;sourceID=13","")</f>
        <v/>
      </c>
      <c r="AB190" s="4" t="str">
        <f>HYPERLINK("http://141.218.60.56/~jnz1568/getInfo.php?workbook=08_01.xlsx&amp;sheet=A0&amp;row=190&amp;col=28&amp;number=&amp;sourceID=13","")</f>
        <v/>
      </c>
      <c r="AC190" s="4" t="str">
        <f>HYPERLINK("http://141.218.60.56/~jnz1568/getInfo.php?workbook=08_01.xlsx&amp;sheet=A0&amp;row=190&amp;col=29&amp;number=&amp;sourceID=13","")</f>
        <v/>
      </c>
      <c r="AD190" s="4" t="str">
        <f>HYPERLINK("http://141.218.60.56/~jnz1568/getInfo.php?workbook=08_01.xlsx&amp;sheet=A0&amp;row=190&amp;col=30&amp;number=&amp;sourceID=13","")</f>
        <v/>
      </c>
      <c r="AE190" s="4" t="str">
        <f>HYPERLINK("http://141.218.60.56/~jnz1568/getInfo.php?workbook=08_01.xlsx&amp;sheet=A0&amp;row=190&amp;col=31&amp;number=&amp;sourceID=13","")</f>
        <v/>
      </c>
      <c r="AF190" s="4" t="str">
        <f>HYPERLINK("http://141.218.60.56/~jnz1568/getInfo.php?workbook=08_01.xlsx&amp;sheet=A0&amp;row=190&amp;col=32&amp;number=&amp;sourceID=20","")</f>
        <v/>
      </c>
    </row>
    <row r="191" spans="1:32">
      <c r="A191" s="3">
        <v>8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HYPERLINK("http://141.218.60.56/~jnz1568/getInfo.php?workbook=08_01.xlsx&amp;sheet=A0&amp;row=191&amp;col=6&amp;number=&amp;sourceID=18","")</f>
        <v/>
      </c>
      <c r="G191" s="4" t="str">
        <f>HYPERLINK("http://141.218.60.56/~jnz1568/getInfo.php?workbook=08_01.xlsx&amp;sheet=A0&amp;row=191&amp;col=7&amp;number==&amp;sourceID=11","=")</f>
        <v>=</v>
      </c>
      <c r="H191" s="4" t="str">
        <f>HYPERLINK("http://141.218.60.56/~jnz1568/getInfo.php?workbook=08_01.xlsx&amp;sheet=A0&amp;row=191&amp;col=8&amp;number=&amp;sourceID=11","")</f>
        <v/>
      </c>
      <c r="I191" s="4" t="str">
        <f>HYPERLINK("http://141.218.60.56/~jnz1568/getInfo.php?workbook=08_01.xlsx&amp;sheet=A0&amp;row=191&amp;col=9&amp;number=&amp;sourceID=11","")</f>
        <v/>
      </c>
      <c r="J191" s="4" t="str">
        <f>HYPERLINK("http://141.218.60.56/~jnz1568/getInfo.php?workbook=08_01.xlsx&amp;sheet=A0&amp;row=191&amp;col=10&amp;number=17.794&amp;sourceID=11","17.794")</f>
        <v>17.794</v>
      </c>
      <c r="K191" s="4" t="str">
        <f>HYPERLINK("http://141.218.60.56/~jnz1568/getInfo.php?workbook=08_01.xlsx&amp;sheet=A0&amp;row=191&amp;col=11&amp;number=&amp;sourceID=11","")</f>
        <v/>
      </c>
      <c r="L191" s="4" t="str">
        <f>HYPERLINK("http://141.218.60.56/~jnz1568/getInfo.php?workbook=08_01.xlsx&amp;sheet=A0&amp;row=191&amp;col=12&amp;number=5.6965e-09&amp;sourceID=11","5.6965e-09")</f>
        <v>5.6965e-09</v>
      </c>
      <c r="M191" s="4" t="str">
        <f>HYPERLINK("http://141.218.60.56/~jnz1568/getInfo.php?workbook=08_01.xlsx&amp;sheet=A0&amp;row=191&amp;col=13&amp;number=&amp;sourceID=11","")</f>
        <v/>
      </c>
      <c r="N191" s="4" t="str">
        <f>HYPERLINK("http://141.218.60.56/~jnz1568/getInfo.php?workbook=08_01.xlsx&amp;sheet=A0&amp;row=191&amp;col=14&amp;number=17.794&amp;sourceID=12","17.794")</f>
        <v>17.794</v>
      </c>
      <c r="O191" s="4" t="str">
        <f>HYPERLINK("http://141.218.60.56/~jnz1568/getInfo.php?workbook=08_01.xlsx&amp;sheet=A0&amp;row=191&amp;col=15&amp;number=&amp;sourceID=12","")</f>
        <v/>
      </c>
      <c r="P191" s="4" t="str">
        <f>HYPERLINK("http://141.218.60.56/~jnz1568/getInfo.php?workbook=08_01.xlsx&amp;sheet=A0&amp;row=191&amp;col=16&amp;number=&amp;sourceID=12","")</f>
        <v/>
      </c>
      <c r="Q191" s="4" t="str">
        <f>HYPERLINK("http://141.218.60.56/~jnz1568/getInfo.php?workbook=08_01.xlsx&amp;sheet=A0&amp;row=191&amp;col=17&amp;number=17.794&amp;sourceID=12","17.794")</f>
        <v>17.794</v>
      </c>
      <c r="R191" s="4" t="str">
        <f>HYPERLINK("http://141.218.60.56/~jnz1568/getInfo.php?workbook=08_01.xlsx&amp;sheet=A0&amp;row=191&amp;col=18&amp;number=&amp;sourceID=12","")</f>
        <v/>
      </c>
      <c r="S191" s="4" t="str">
        <f>HYPERLINK("http://141.218.60.56/~jnz1568/getInfo.php?workbook=08_01.xlsx&amp;sheet=A0&amp;row=191&amp;col=19&amp;number=5.6971e-09&amp;sourceID=12","5.6971e-09")</f>
        <v>5.6971e-09</v>
      </c>
      <c r="T191" s="4" t="str">
        <f>HYPERLINK("http://141.218.60.56/~jnz1568/getInfo.php?workbook=08_01.xlsx&amp;sheet=A0&amp;row=191&amp;col=20&amp;number=&amp;sourceID=12","")</f>
        <v/>
      </c>
      <c r="U191" s="4" t="str">
        <f>HYPERLINK("http://141.218.60.56/~jnz1568/getInfo.php?workbook=08_01.xlsx&amp;sheet=A0&amp;row=191&amp;col=21&amp;number=5.746e-09&amp;sourceID=30","5.746e-09")</f>
        <v>5.746e-09</v>
      </c>
      <c r="V191" s="4" t="str">
        <f>HYPERLINK("http://141.218.60.56/~jnz1568/getInfo.php?workbook=08_01.xlsx&amp;sheet=A0&amp;row=191&amp;col=22&amp;number=&amp;sourceID=30","")</f>
        <v/>
      </c>
      <c r="W191" s="4" t="str">
        <f>HYPERLINK("http://141.218.60.56/~jnz1568/getInfo.php?workbook=08_01.xlsx&amp;sheet=A0&amp;row=191&amp;col=23&amp;number=&amp;sourceID=30","")</f>
        <v/>
      </c>
      <c r="X191" s="4" t="str">
        <f>HYPERLINK("http://141.218.60.56/~jnz1568/getInfo.php?workbook=08_01.xlsx&amp;sheet=A0&amp;row=191&amp;col=24&amp;number=&amp;sourceID=30","")</f>
        <v/>
      </c>
      <c r="Y191" s="4" t="str">
        <f>HYPERLINK("http://141.218.60.56/~jnz1568/getInfo.php?workbook=08_01.xlsx&amp;sheet=A0&amp;row=191&amp;col=25&amp;number=5.746e-09&amp;sourceID=30","5.746e-09")</f>
        <v>5.746e-09</v>
      </c>
      <c r="Z191" s="4" t="str">
        <f>HYPERLINK("http://141.218.60.56/~jnz1568/getInfo.php?workbook=08_01.xlsx&amp;sheet=A0&amp;row=191&amp;col=26&amp;number=&amp;sourceID=13","")</f>
        <v/>
      </c>
      <c r="AA191" s="4" t="str">
        <f>HYPERLINK("http://141.218.60.56/~jnz1568/getInfo.php?workbook=08_01.xlsx&amp;sheet=A0&amp;row=191&amp;col=27&amp;number=&amp;sourceID=13","")</f>
        <v/>
      </c>
      <c r="AB191" s="4" t="str">
        <f>HYPERLINK("http://141.218.60.56/~jnz1568/getInfo.php?workbook=08_01.xlsx&amp;sheet=A0&amp;row=191&amp;col=28&amp;number=&amp;sourceID=13","")</f>
        <v/>
      </c>
      <c r="AC191" s="4" t="str">
        <f>HYPERLINK("http://141.218.60.56/~jnz1568/getInfo.php?workbook=08_01.xlsx&amp;sheet=A0&amp;row=191&amp;col=29&amp;number=&amp;sourceID=13","")</f>
        <v/>
      </c>
      <c r="AD191" s="4" t="str">
        <f>HYPERLINK("http://141.218.60.56/~jnz1568/getInfo.php?workbook=08_01.xlsx&amp;sheet=A0&amp;row=191&amp;col=30&amp;number=&amp;sourceID=13","")</f>
        <v/>
      </c>
      <c r="AE191" s="4" t="str">
        <f>HYPERLINK("http://141.218.60.56/~jnz1568/getInfo.php?workbook=08_01.xlsx&amp;sheet=A0&amp;row=191&amp;col=31&amp;number=&amp;sourceID=13","")</f>
        <v/>
      </c>
      <c r="AF191" s="4" t="str">
        <f>HYPERLINK("http://141.218.60.56/~jnz1568/getInfo.php?workbook=08_01.xlsx&amp;sheet=A0&amp;row=191&amp;col=32&amp;number=&amp;sourceID=20","")</f>
        <v/>
      </c>
    </row>
    <row r="192" spans="1:32">
      <c r="A192" s="3">
        <v>8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HYPERLINK("http://141.218.60.56/~jnz1568/getInfo.php?workbook=08_01.xlsx&amp;sheet=A0&amp;row=192&amp;col=6&amp;number=&amp;sourceID=18","")</f>
        <v/>
      </c>
      <c r="G192" s="4" t="str">
        <f>HYPERLINK("http://141.218.60.56/~jnz1568/getInfo.php?workbook=08_01.xlsx&amp;sheet=A0&amp;row=192&amp;col=7&amp;number==&amp;sourceID=11","=")</f>
        <v>=</v>
      </c>
      <c r="H192" s="4" t="str">
        <f>HYPERLINK("http://141.218.60.56/~jnz1568/getInfo.php?workbook=08_01.xlsx&amp;sheet=A0&amp;row=192&amp;col=8&amp;number=17385000000&amp;sourceID=11","17385000000")</f>
        <v>17385000000</v>
      </c>
      <c r="I192" s="4" t="str">
        <f>HYPERLINK("http://141.218.60.56/~jnz1568/getInfo.php?workbook=08_01.xlsx&amp;sheet=A0&amp;row=192&amp;col=9&amp;number=&amp;sourceID=11","")</f>
        <v/>
      </c>
      <c r="J192" s="4" t="str">
        <f>HYPERLINK("http://141.218.60.56/~jnz1568/getInfo.php?workbook=08_01.xlsx&amp;sheet=A0&amp;row=192&amp;col=10&amp;number=0.46736&amp;sourceID=11","0.46736")</f>
        <v>0.46736</v>
      </c>
      <c r="K192" s="4" t="str">
        <f>HYPERLINK("http://141.218.60.56/~jnz1568/getInfo.php?workbook=08_01.xlsx&amp;sheet=A0&amp;row=192&amp;col=11&amp;number=&amp;sourceID=11","")</f>
        <v/>
      </c>
      <c r="L192" s="4" t="str">
        <f>HYPERLINK("http://141.218.60.56/~jnz1568/getInfo.php?workbook=08_01.xlsx&amp;sheet=A0&amp;row=192&amp;col=12&amp;number=11.4&amp;sourceID=11","11.4")</f>
        <v>11.4</v>
      </c>
      <c r="M192" s="4" t="str">
        <f>HYPERLINK("http://141.218.60.56/~jnz1568/getInfo.php?workbook=08_01.xlsx&amp;sheet=A0&amp;row=192&amp;col=13&amp;number=&amp;sourceID=11","")</f>
        <v/>
      </c>
      <c r="N192" s="4" t="str">
        <f>HYPERLINK("http://141.218.60.56/~jnz1568/getInfo.php?workbook=08_01.xlsx&amp;sheet=A0&amp;row=192&amp;col=14&amp;number=17386000000&amp;sourceID=12","17386000000")</f>
        <v>17386000000</v>
      </c>
      <c r="O192" s="4" t="str">
        <f>HYPERLINK("http://141.218.60.56/~jnz1568/getInfo.php?workbook=08_01.xlsx&amp;sheet=A0&amp;row=192&amp;col=15&amp;number=17386000000&amp;sourceID=12","17386000000")</f>
        <v>17386000000</v>
      </c>
      <c r="P192" s="4" t="str">
        <f>HYPERLINK("http://141.218.60.56/~jnz1568/getInfo.php?workbook=08_01.xlsx&amp;sheet=A0&amp;row=192&amp;col=16&amp;number=&amp;sourceID=12","")</f>
        <v/>
      </c>
      <c r="Q192" s="4" t="str">
        <f>HYPERLINK("http://141.218.60.56/~jnz1568/getInfo.php?workbook=08_01.xlsx&amp;sheet=A0&amp;row=192&amp;col=17&amp;number=0.46738&amp;sourceID=12","0.46738")</f>
        <v>0.46738</v>
      </c>
      <c r="R192" s="4" t="str">
        <f>HYPERLINK("http://141.218.60.56/~jnz1568/getInfo.php?workbook=08_01.xlsx&amp;sheet=A0&amp;row=192&amp;col=18&amp;number=&amp;sourceID=12","")</f>
        <v/>
      </c>
      <c r="S192" s="4" t="str">
        <f>HYPERLINK("http://141.218.60.56/~jnz1568/getInfo.php?workbook=08_01.xlsx&amp;sheet=A0&amp;row=192&amp;col=19&amp;number=11.4&amp;sourceID=12","11.4")</f>
        <v>11.4</v>
      </c>
      <c r="T192" s="4" t="str">
        <f>HYPERLINK("http://141.218.60.56/~jnz1568/getInfo.php?workbook=08_01.xlsx&amp;sheet=A0&amp;row=192&amp;col=20&amp;number=&amp;sourceID=12","")</f>
        <v/>
      </c>
      <c r="U192" s="4" t="str">
        <f>HYPERLINK("http://141.218.60.56/~jnz1568/getInfo.php?workbook=08_01.xlsx&amp;sheet=A0&amp;row=192&amp;col=21&amp;number=17390000011.4&amp;sourceID=30","17390000011.4")</f>
        <v>17390000011.4</v>
      </c>
      <c r="V192" s="4" t="str">
        <f>HYPERLINK("http://141.218.60.56/~jnz1568/getInfo.php?workbook=08_01.xlsx&amp;sheet=A0&amp;row=192&amp;col=22&amp;number=17390000000&amp;sourceID=30","17390000000")</f>
        <v>17390000000</v>
      </c>
      <c r="W192" s="4" t="str">
        <f>HYPERLINK("http://141.218.60.56/~jnz1568/getInfo.php?workbook=08_01.xlsx&amp;sheet=A0&amp;row=192&amp;col=23&amp;number=&amp;sourceID=30","")</f>
        <v/>
      </c>
      <c r="X192" s="4" t="str">
        <f>HYPERLINK("http://141.218.60.56/~jnz1568/getInfo.php?workbook=08_01.xlsx&amp;sheet=A0&amp;row=192&amp;col=24&amp;number=&amp;sourceID=30","")</f>
        <v/>
      </c>
      <c r="Y192" s="4" t="str">
        <f>HYPERLINK("http://141.218.60.56/~jnz1568/getInfo.php?workbook=08_01.xlsx&amp;sheet=A0&amp;row=192&amp;col=25&amp;number=11.4&amp;sourceID=30","11.4")</f>
        <v>11.4</v>
      </c>
      <c r="Z192" s="4" t="str">
        <f>HYPERLINK("http://141.218.60.56/~jnz1568/getInfo.php?workbook=08_01.xlsx&amp;sheet=A0&amp;row=192&amp;col=26&amp;number=&amp;sourceID=13","")</f>
        <v/>
      </c>
      <c r="AA192" s="4" t="str">
        <f>HYPERLINK("http://141.218.60.56/~jnz1568/getInfo.php?workbook=08_01.xlsx&amp;sheet=A0&amp;row=192&amp;col=27&amp;number=&amp;sourceID=13","")</f>
        <v/>
      </c>
      <c r="AB192" s="4" t="str">
        <f>HYPERLINK("http://141.218.60.56/~jnz1568/getInfo.php?workbook=08_01.xlsx&amp;sheet=A0&amp;row=192&amp;col=28&amp;number=&amp;sourceID=13","")</f>
        <v/>
      </c>
      <c r="AC192" s="4" t="str">
        <f>HYPERLINK("http://141.218.60.56/~jnz1568/getInfo.php?workbook=08_01.xlsx&amp;sheet=A0&amp;row=192&amp;col=29&amp;number=&amp;sourceID=13","")</f>
        <v/>
      </c>
      <c r="AD192" s="4" t="str">
        <f>HYPERLINK("http://141.218.60.56/~jnz1568/getInfo.php?workbook=08_01.xlsx&amp;sheet=A0&amp;row=192&amp;col=30&amp;number=&amp;sourceID=13","")</f>
        <v/>
      </c>
      <c r="AE192" s="4" t="str">
        <f>HYPERLINK("http://141.218.60.56/~jnz1568/getInfo.php?workbook=08_01.xlsx&amp;sheet=A0&amp;row=192&amp;col=31&amp;number=&amp;sourceID=13","")</f>
        <v/>
      </c>
      <c r="AF192" s="4" t="str">
        <f>HYPERLINK("http://141.218.60.56/~jnz1568/getInfo.php?workbook=08_01.xlsx&amp;sheet=A0&amp;row=192&amp;col=32&amp;number=&amp;sourceID=20","")</f>
        <v/>
      </c>
    </row>
    <row r="193" spans="1:32">
      <c r="A193" s="3">
        <v>8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HYPERLINK("http://141.218.60.56/~jnz1568/getInfo.php?workbook=08_01.xlsx&amp;sheet=A0&amp;row=193&amp;col=6&amp;number=&amp;sourceID=18","")</f>
        <v/>
      </c>
      <c r="G193" s="4" t="str">
        <f>HYPERLINK("http://141.218.60.56/~jnz1568/getInfo.php?workbook=08_01.xlsx&amp;sheet=A0&amp;row=193&amp;col=7&amp;number==&amp;sourceID=11","=")</f>
        <v>=</v>
      </c>
      <c r="H193" s="4" t="str">
        <f>HYPERLINK("http://141.218.60.56/~jnz1568/getInfo.php?workbook=08_01.xlsx&amp;sheet=A0&amp;row=193&amp;col=8&amp;number=&amp;sourceID=11","")</f>
        <v/>
      </c>
      <c r="I193" s="4" t="str">
        <f>HYPERLINK("http://141.218.60.56/~jnz1568/getInfo.php?workbook=08_01.xlsx&amp;sheet=A0&amp;row=193&amp;col=9&amp;number=1519.3&amp;sourceID=11","1519.3")</f>
        <v>1519.3</v>
      </c>
      <c r="J193" s="4" t="str">
        <f>HYPERLINK("http://141.218.60.56/~jnz1568/getInfo.php?workbook=08_01.xlsx&amp;sheet=A0&amp;row=193&amp;col=10&amp;number=&amp;sourceID=11","")</f>
        <v/>
      </c>
      <c r="K193" s="4" t="str">
        <f>HYPERLINK("http://141.218.60.56/~jnz1568/getInfo.php?workbook=08_01.xlsx&amp;sheet=A0&amp;row=193&amp;col=11&amp;number=0.00073071&amp;sourceID=11","0.00073071")</f>
        <v>0.00073071</v>
      </c>
      <c r="L193" s="4" t="str">
        <f>HYPERLINK("http://141.218.60.56/~jnz1568/getInfo.php?workbook=08_01.xlsx&amp;sheet=A0&amp;row=193&amp;col=12&amp;number=&amp;sourceID=11","")</f>
        <v/>
      </c>
      <c r="M193" s="4" t="str">
        <f>HYPERLINK("http://141.218.60.56/~jnz1568/getInfo.php?workbook=08_01.xlsx&amp;sheet=A0&amp;row=193&amp;col=13&amp;number=7.0779e-08&amp;sourceID=11","7.0779e-08")</f>
        <v>7.0779e-08</v>
      </c>
      <c r="N193" s="4" t="str">
        <f>HYPERLINK("http://141.218.60.56/~jnz1568/getInfo.php?workbook=08_01.xlsx&amp;sheet=A0&amp;row=193&amp;col=14&amp;number=1519.3&amp;sourceID=12","1519.3")</f>
        <v>1519.3</v>
      </c>
      <c r="O193" s="4" t="str">
        <f>HYPERLINK("http://141.218.60.56/~jnz1568/getInfo.php?workbook=08_01.xlsx&amp;sheet=A0&amp;row=193&amp;col=15&amp;number=&amp;sourceID=12","")</f>
        <v/>
      </c>
      <c r="P193" s="4" t="str">
        <f>HYPERLINK("http://141.218.60.56/~jnz1568/getInfo.php?workbook=08_01.xlsx&amp;sheet=A0&amp;row=193&amp;col=16&amp;number=1519.3&amp;sourceID=12","1519.3")</f>
        <v>1519.3</v>
      </c>
      <c r="Q193" s="4" t="str">
        <f>HYPERLINK("http://141.218.60.56/~jnz1568/getInfo.php?workbook=08_01.xlsx&amp;sheet=A0&amp;row=193&amp;col=17&amp;number=&amp;sourceID=12","")</f>
        <v/>
      </c>
      <c r="R193" s="4" t="str">
        <f>HYPERLINK("http://141.218.60.56/~jnz1568/getInfo.php?workbook=08_01.xlsx&amp;sheet=A0&amp;row=193&amp;col=18&amp;number=0.00073079&amp;sourceID=12","0.00073079")</f>
        <v>0.00073079</v>
      </c>
      <c r="S193" s="4" t="str">
        <f>HYPERLINK("http://141.218.60.56/~jnz1568/getInfo.php?workbook=08_01.xlsx&amp;sheet=A0&amp;row=193&amp;col=19&amp;number=&amp;sourceID=12","")</f>
        <v/>
      </c>
      <c r="T193" s="4" t="str">
        <f>HYPERLINK("http://141.218.60.56/~jnz1568/getInfo.php?workbook=08_01.xlsx&amp;sheet=A0&amp;row=193&amp;col=20&amp;number=7.0782e-08&amp;sourceID=12","7.0782e-08")</f>
        <v>7.0782e-08</v>
      </c>
      <c r="U193" s="4" t="str">
        <f>HYPERLINK("http://141.218.60.56/~jnz1568/getInfo.php?workbook=08_01.xlsx&amp;sheet=A0&amp;row=193&amp;col=21&amp;number=1519.0007316&amp;sourceID=30","1519.0007316")</f>
        <v>1519.0007316</v>
      </c>
      <c r="V193" s="4" t="str">
        <f>HYPERLINK("http://141.218.60.56/~jnz1568/getInfo.php?workbook=08_01.xlsx&amp;sheet=A0&amp;row=193&amp;col=22&amp;number=&amp;sourceID=30","")</f>
        <v/>
      </c>
      <c r="W193" s="4" t="str">
        <f>HYPERLINK("http://141.218.60.56/~jnz1568/getInfo.php?workbook=08_01.xlsx&amp;sheet=A0&amp;row=193&amp;col=23&amp;number=1519&amp;sourceID=30","1519")</f>
        <v>1519</v>
      </c>
      <c r="X193" s="4" t="str">
        <f>HYPERLINK("http://141.218.60.56/~jnz1568/getInfo.php?workbook=08_01.xlsx&amp;sheet=A0&amp;row=193&amp;col=24&amp;number=0.0007316&amp;sourceID=30","0.0007316")</f>
        <v>0.0007316</v>
      </c>
      <c r="Y193" s="4" t="str">
        <f>HYPERLINK("http://141.218.60.56/~jnz1568/getInfo.php?workbook=08_01.xlsx&amp;sheet=A0&amp;row=193&amp;col=25&amp;number=&amp;sourceID=30","")</f>
        <v/>
      </c>
      <c r="Z193" s="4" t="str">
        <f>HYPERLINK("http://141.218.60.56/~jnz1568/getInfo.php?workbook=08_01.xlsx&amp;sheet=A0&amp;row=193&amp;col=26&amp;number=&amp;sourceID=13","")</f>
        <v/>
      </c>
      <c r="AA193" s="4" t="str">
        <f>HYPERLINK("http://141.218.60.56/~jnz1568/getInfo.php?workbook=08_01.xlsx&amp;sheet=A0&amp;row=193&amp;col=27&amp;number=&amp;sourceID=13","")</f>
        <v/>
      </c>
      <c r="AB193" s="4" t="str">
        <f>HYPERLINK("http://141.218.60.56/~jnz1568/getInfo.php?workbook=08_01.xlsx&amp;sheet=A0&amp;row=193&amp;col=28&amp;number=&amp;sourceID=13","")</f>
        <v/>
      </c>
      <c r="AC193" s="4" t="str">
        <f>HYPERLINK("http://141.218.60.56/~jnz1568/getInfo.php?workbook=08_01.xlsx&amp;sheet=A0&amp;row=193&amp;col=29&amp;number=&amp;sourceID=13","")</f>
        <v/>
      </c>
      <c r="AD193" s="4" t="str">
        <f>HYPERLINK("http://141.218.60.56/~jnz1568/getInfo.php?workbook=08_01.xlsx&amp;sheet=A0&amp;row=193&amp;col=30&amp;number=&amp;sourceID=13","")</f>
        <v/>
      </c>
      <c r="AE193" s="4" t="str">
        <f>HYPERLINK("http://141.218.60.56/~jnz1568/getInfo.php?workbook=08_01.xlsx&amp;sheet=A0&amp;row=193&amp;col=31&amp;number=&amp;sourceID=13","")</f>
        <v/>
      </c>
      <c r="AF193" s="4" t="str">
        <f>HYPERLINK("http://141.218.60.56/~jnz1568/getInfo.php?workbook=08_01.xlsx&amp;sheet=A0&amp;row=193&amp;col=32&amp;number=&amp;sourceID=20","")</f>
        <v/>
      </c>
    </row>
    <row r="194" spans="1:32">
      <c r="A194" s="3">
        <v>8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HYPERLINK("http://141.218.60.56/~jnz1568/getInfo.php?workbook=08_01.xlsx&amp;sheet=A0&amp;row=194&amp;col=6&amp;number=&amp;sourceID=18","")</f>
        <v/>
      </c>
      <c r="G194" s="4" t="str">
        <f>HYPERLINK("http://141.218.60.56/~jnz1568/getInfo.php?workbook=08_01.xlsx&amp;sheet=A0&amp;row=194&amp;col=7&amp;number==&amp;sourceID=11","=")</f>
        <v>=</v>
      </c>
      <c r="H194" s="4" t="str">
        <f>HYPERLINK("http://141.218.60.56/~jnz1568/getInfo.php?workbook=08_01.xlsx&amp;sheet=A0&amp;row=194&amp;col=8&amp;number=1240300000&amp;sourceID=11","1240300000")</f>
        <v>1240300000</v>
      </c>
      <c r="I194" s="4" t="str">
        <f>HYPERLINK("http://141.218.60.56/~jnz1568/getInfo.php?workbook=08_01.xlsx&amp;sheet=A0&amp;row=194&amp;col=9&amp;number=&amp;sourceID=11","")</f>
        <v/>
      </c>
      <c r="J194" s="4" t="str">
        <f>HYPERLINK("http://141.218.60.56/~jnz1568/getInfo.php?workbook=08_01.xlsx&amp;sheet=A0&amp;row=194&amp;col=10&amp;number=0.31335&amp;sourceID=11","0.31335")</f>
        <v>0.31335</v>
      </c>
      <c r="K194" s="4" t="str">
        <f>HYPERLINK("http://141.218.60.56/~jnz1568/getInfo.php?workbook=08_01.xlsx&amp;sheet=A0&amp;row=194&amp;col=11&amp;number=&amp;sourceID=11","")</f>
        <v/>
      </c>
      <c r="L194" s="4" t="str">
        <f>HYPERLINK("http://141.218.60.56/~jnz1568/getInfo.php?workbook=08_01.xlsx&amp;sheet=A0&amp;row=194&amp;col=12&amp;number=&amp;sourceID=11","")</f>
        <v/>
      </c>
      <c r="M194" s="4" t="str">
        <f>HYPERLINK("http://141.218.60.56/~jnz1568/getInfo.php?workbook=08_01.xlsx&amp;sheet=A0&amp;row=194&amp;col=13&amp;number=&amp;sourceID=11","")</f>
        <v/>
      </c>
      <c r="N194" s="4" t="str">
        <f>HYPERLINK("http://141.218.60.56/~jnz1568/getInfo.php?workbook=08_01.xlsx&amp;sheet=A0&amp;row=194&amp;col=14&amp;number=1240400000&amp;sourceID=12","1240400000")</f>
        <v>1240400000</v>
      </c>
      <c r="O194" s="4" t="str">
        <f>HYPERLINK("http://141.218.60.56/~jnz1568/getInfo.php?workbook=08_01.xlsx&amp;sheet=A0&amp;row=194&amp;col=15&amp;number=1240400000&amp;sourceID=12","1240400000")</f>
        <v>1240400000</v>
      </c>
      <c r="P194" s="4" t="str">
        <f>HYPERLINK("http://141.218.60.56/~jnz1568/getInfo.php?workbook=08_01.xlsx&amp;sheet=A0&amp;row=194&amp;col=16&amp;number=&amp;sourceID=12","")</f>
        <v/>
      </c>
      <c r="Q194" s="4" t="str">
        <f>HYPERLINK("http://141.218.60.56/~jnz1568/getInfo.php?workbook=08_01.xlsx&amp;sheet=A0&amp;row=194&amp;col=17&amp;number=0.31336&amp;sourceID=12","0.31336")</f>
        <v>0.31336</v>
      </c>
      <c r="R194" s="4" t="str">
        <f>HYPERLINK("http://141.218.60.56/~jnz1568/getInfo.php?workbook=08_01.xlsx&amp;sheet=A0&amp;row=194&amp;col=18&amp;number=&amp;sourceID=12","")</f>
        <v/>
      </c>
      <c r="S194" s="4" t="str">
        <f>HYPERLINK("http://141.218.60.56/~jnz1568/getInfo.php?workbook=08_01.xlsx&amp;sheet=A0&amp;row=194&amp;col=19&amp;number=&amp;sourceID=12","")</f>
        <v/>
      </c>
      <c r="T194" s="4" t="str">
        <f>HYPERLINK("http://141.218.60.56/~jnz1568/getInfo.php?workbook=08_01.xlsx&amp;sheet=A0&amp;row=194&amp;col=20&amp;number=&amp;sourceID=12","")</f>
        <v/>
      </c>
      <c r="U194" s="4" t="str">
        <f>HYPERLINK("http://141.218.60.56/~jnz1568/getInfo.php?workbook=08_01.xlsx&amp;sheet=A0&amp;row=194&amp;col=21&amp;number=1240000000&amp;sourceID=30","1240000000")</f>
        <v>1240000000</v>
      </c>
      <c r="V194" s="4" t="str">
        <f>HYPERLINK("http://141.218.60.56/~jnz1568/getInfo.php?workbook=08_01.xlsx&amp;sheet=A0&amp;row=194&amp;col=22&amp;number=1240000000&amp;sourceID=30","1240000000")</f>
        <v>1240000000</v>
      </c>
      <c r="W194" s="4" t="str">
        <f>HYPERLINK("http://141.218.60.56/~jnz1568/getInfo.php?workbook=08_01.xlsx&amp;sheet=A0&amp;row=194&amp;col=23&amp;number=&amp;sourceID=30","")</f>
        <v/>
      </c>
      <c r="X194" s="4" t="str">
        <f>HYPERLINK("http://141.218.60.56/~jnz1568/getInfo.php?workbook=08_01.xlsx&amp;sheet=A0&amp;row=194&amp;col=24&amp;number=&amp;sourceID=30","")</f>
        <v/>
      </c>
      <c r="Y194" s="4" t="str">
        <f>HYPERLINK("http://141.218.60.56/~jnz1568/getInfo.php?workbook=08_01.xlsx&amp;sheet=A0&amp;row=194&amp;col=25&amp;number=&amp;sourceID=30","")</f>
        <v/>
      </c>
      <c r="Z194" s="4" t="str">
        <f>HYPERLINK("http://141.218.60.56/~jnz1568/getInfo.php?workbook=08_01.xlsx&amp;sheet=A0&amp;row=194&amp;col=26&amp;number=&amp;sourceID=13","")</f>
        <v/>
      </c>
      <c r="AA194" s="4" t="str">
        <f>HYPERLINK("http://141.218.60.56/~jnz1568/getInfo.php?workbook=08_01.xlsx&amp;sheet=A0&amp;row=194&amp;col=27&amp;number=&amp;sourceID=13","")</f>
        <v/>
      </c>
      <c r="AB194" s="4" t="str">
        <f>HYPERLINK("http://141.218.60.56/~jnz1568/getInfo.php?workbook=08_01.xlsx&amp;sheet=A0&amp;row=194&amp;col=28&amp;number=&amp;sourceID=13","")</f>
        <v/>
      </c>
      <c r="AC194" s="4" t="str">
        <f>HYPERLINK("http://141.218.60.56/~jnz1568/getInfo.php?workbook=08_01.xlsx&amp;sheet=A0&amp;row=194&amp;col=29&amp;number=&amp;sourceID=13","")</f>
        <v/>
      </c>
      <c r="AD194" s="4" t="str">
        <f>HYPERLINK("http://141.218.60.56/~jnz1568/getInfo.php?workbook=08_01.xlsx&amp;sheet=A0&amp;row=194&amp;col=30&amp;number=&amp;sourceID=13","")</f>
        <v/>
      </c>
      <c r="AE194" s="4" t="str">
        <f>HYPERLINK("http://141.218.60.56/~jnz1568/getInfo.php?workbook=08_01.xlsx&amp;sheet=A0&amp;row=194&amp;col=31&amp;number=&amp;sourceID=13","")</f>
        <v/>
      </c>
      <c r="AF194" s="4" t="str">
        <f>HYPERLINK("http://141.218.60.56/~jnz1568/getInfo.php?workbook=08_01.xlsx&amp;sheet=A0&amp;row=194&amp;col=32&amp;number=&amp;sourceID=20","")</f>
        <v/>
      </c>
    </row>
    <row r="195" spans="1:32">
      <c r="A195" s="3">
        <v>8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HYPERLINK("http://141.218.60.56/~jnz1568/getInfo.php?workbook=08_01.xlsx&amp;sheet=A0&amp;row=195&amp;col=6&amp;number=&amp;sourceID=18","")</f>
        <v/>
      </c>
      <c r="G195" s="4" t="str">
        <f>HYPERLINK("http://141.218.60.56/~jnz1568/getInfo.php?workbook=08_01.xlsx&amp;sheet=A0&amp;row=195&amp;col=7&amp;number==&amp;sourceID=11","=")</f>
        <v>=</v>
      </c>
      <c r="H195" s="4" t="str">
        <f>HYPERLINK("http://141.218.60.56/~jnz1568/getInfo.php?workbook=08_01.xlsx&amp;sheet=A0&amp;row=195&amp;col=8&amp;number=&amp;sourceID=11","")</f>
        <v/>
      </c>
      <c r="I195" s="4" t="str">
        <f>HYPERLINK("http://141.218.60.56/~jnz1568/getInfo.php?workbook=08_01.xlsx&amp;sheet=A0&amp;row=195&amp;col=9&amp;number=191920&amp;sourceID=11","191920")</f>
        <v>191920</v>
      </c>
      <c r="J195" s="4" t="str">
        <f>HYPERLINK("http://141.218.60.56/~jnz1568/getInfo.php?workbook=08_01.xlsx&amp;sheet=A0&amp;row=195&amp;col=10&amp;number=&amp;sourceID=11","")</f>
        <v/>
      </c>
      <c r="K195" s="4" t="str">
        <f>HYPERLINK("http://141.218.60.56/~jnz1568/getInfo.php?workbook=08_01.xlsx&amp;sheet=A0&amp;row=195&amp;col=11&amp;number=&amp;sourceID=11","")</f>
        <v/>
      </c>
      <c r="L195" s="4" t="str">
        <f>HYPERLINK("http://141.218.60.56/~jnz1568/getInfo.php?workbook=08_01.xlsx&amp;sheet=A0&amp;row=195&amp;col=12&amp;number=&amp;sourceID=11","")</f>
        <v/>
      </c>
      <c r="M195" s="4" t="str">
        <f>HYPERLINK("http://141.218.60.56/~jnz1568/getInfo.php?workbook=08_01.xlsx&amp;sheet=A0&amp;row=195&amp;col=13&amp;number=1.2837e-06&amp;sourceID=11","1.2837e-06")</f>
        <v>1.2837e-06</v>
      </c>
      <c r="N195" s="4" t="str">
        <f>HYPERLINK("http://141.218.60.56/~jnz1568/getInfo.php?workbook=08_01.xlsx&amp;sheet=A0&amp;row=195&amp;col=14&amp;number=191930&amp;sourceID=12","191930")</f>
        <v>191930</v>
      </c>
      <c r="O195" s="4" t="str">
        <f>HYPERLINK("http://141.218.60.56/~jnz1568/getInfo.php?workbook=08_01.xlsx&amp;sheet=A0&amp;row=195&amp;col=15&amp;number=&amp;sourceID=12","")</f>
        <v/>
      </c>
      <c r="P195" s="4" t="str">
        <f>HYPERLINK("http://141.218.60.56/~jnz1568/getInfo.php?workbook=08_01.xlsx&amp;sheet=A0&amp;row=195&amp;col=16&amp;number=191930&amp;sourceID=12","191930")</f>
        <v>191930</v>
      </c>
      <c r="Q195" s="4" t="str">
        <f>HYPERLINK("http://141.218.60.56/~jnz1568/getInfo.php?workbook=08_01.xlsx&amp;sheet=A0&amp;row=195&amp;col=17&amp;number=&amp;sourceID=12","")</f>
        <v/>
      </c>
      <c r="R195" s="4" t="str">
        <f>HYPERLINK("http://141.218.60.56/~jnz1568/getInfo.php?workbook=08_01.xlsx&amp;sheet=A0&amp;row=195&amp;col=18&amp;number=&amp;sourceID=12","")</f>
        <v/>
      </c>
      <c r="S195" s="4" t="str">
        <f>HYPERLINK("http://141.218.60.56/~jnz1568/getInfo.php?workbook=08_01.xlsx&amp;sheet=A0&amp;row=195&amp;col=19&amp;number=&amp;sourceID=12","")</f>
        <v/>
      </c>
      <c r="T195" s="4" t="str">
        <f>HYPERLINK("http://141.218.60.56/~jnz1568/getInfo.php?workbook=08_01.xlsx&amp;sheet=A0&amp;row=195&amp;col=20&amp;number=1.2837e-06&amp;sourceID=12","1.2837e-06")</f>
        <v>1.2837e-06</v>
      </c>
      <c r="U195" s="4" t="str">
        <f>HYPERLINK("http://141.218.60.56/~jnz1568/getInfo.php?workbook=08_01.xlsx&amp;sheet=A0&amp;row=195&amp;col=21&amp;number=191900&amp;sourceID=30","191900")</f>
        <v>191900</v>
      </c>
      <c r="V195" s="4" t="str">
        <f>HYPERLINK("http://141.218.60.56/~jnz1568/getInfo.php?workbook=08_01.xlsx&amp;sheet=A0&amp;row=195&amp;col=22&amp;number=&amp;sourceID=30","")</f>
        <v/>
      </c>
      <c r="W195" s="4" t="str">
        <f>HYPERLINK("http://141.218.60.56/~jnz1568/getInfo.php?workbook=08_01.xlsx&amp;sheet=A0&amp;row=195&amp;col=23&amp;number=191900&amp;sourceID=30","191900")</f>
        <v>191900</v>
      </c>
      <c r="X195" s="4" t="str">
        <f>HYPERLINK("http://141.218.60.56/~jnz1568/getInfo.php?workbook=08_01.xlsx&amp;sheet=A0&amp;row=195&amp;col=24&amp;number=&amp;sourceID=30","")</f>
        <v/>
      </c>
      <c r="Y195" s="4" t="str">
        <f>HYPERLINK("http://141.218.60.56/~jnz1568/getInfo.php?workbook=08_01.xlsx&amp;sheet=A0&amp;row=195&amp;col=25&amp;number=&amp;sourceID=30","")</f>
        <v/>
      </c>
      <c r="Z195" s="4" t="str">
        <f>HYPERLINK("http://141.218.60.56/~jnz1568/getInfo.php?workbook=08_01.xlsx&amp;sheet=A0&amp;row=195&amp;col=26&amp;number=&amp;sourceID=13","")</f>
        <v/>
      </c>
      <c r="AA195" s="4" t="str">
        <f>HYPERLINK("http://141.218.60.56/~jnz1568/getInfo.php?workbook=08_01.xlsx&amp;sheet=A0&amp;row=195&amp;col=27&amp;number=&amp;sourceID=13","")</f>
        <v/>
      </c>
      <c r="AB195" s="4" t="str">
        <f>HYPERLINK("http://141.218.60.56/~jnz1568/getInfo.php?workbook=08_01.xlsx&amp;sheet=A0&amp;row=195&amp;col=28&amp;number=&amp;sourceID=13","")</f>
        <v/>
      </c>
      <c r="AC195" s="4" t="str">
        <f>HYPERLINK("http://141.218.60.56/~jnz1568/getInfo.php?workbook=08_01.xlsx&amp;sheet=A0&amp;row=195&amp;col=29&amp;number=&amp;sourceID=13","")</f>
        <v/>
      </c>
      <c r="AD195" s="4" t="str">
        <f>HYPERLINK("http://141.218.60.56/~jnz1568/getInfo.php?workbook=08_01.xlsx&amp;sheet=A0&amp;row=195&amp;col=30&amp;number=&amp;sourceID=13","")</f>
        <v/>
      </c>
      <c r="AE195" s="4" t="str">
        <f>HYPERLINK("http://141.218.60.56/~jnz1568/getInfo.php?workbook=08_01.xlsx&amp;sheet=A0&amp;row=195&amp;col=31&amp;number=&amp;sourceID=13","")</f>
        <v/>
      </c>
      <c r="AF195" s="4" t="str">
        <f>HYPERLINK("http://141.218.60.56/~jnz1568/getInfo.php?workbook=08_01.xlsx&amp;sheet=A0&amp;row=195&amp;col=32&amp;number=&amp;sourceID=20","")</f>
        <v/>
      </c>
    </row>
    <row r="196" spans="1:32">
      <c r="A196" s="3">
        <v>8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HYPERLINK("http://141.218.60.56/~jnz1568/getInfo.php?workbook=08_01.xlsx&amp;sheet=A0&amp;row=196&amp;col=6&amp;number=&amp;sourceID=18","")</f>
        <v/>
      </c>
      <c r="G196" s="4" t="str">
        <f>HYPERLINK("http://141.218.60.56/~jnz1568/getInfo.php?workbook=08_01.xlsx&amp;sheet=A0&amp;row=196&amp;col=7&amp;number==&amp;sourceID=11","=")</f>
        <v>=</v>
      </c>
      <c r="H196" s="4" t="str">
        <f>HYPERLINK("http://141.218.60.56/~jnz1568/getInfo.php?workbook=08_01.xlsx&amp;sheet=A0&amp;row=196&amp;col=8&amp;number=&amp;sourceID=11","")</f>
        <v/>
      </c>
      <c r="I196" s="4" t="str">
        <f>HYPERLINK("http://141.218.60.56/~jnz1568/getInfo.php?workbook=08_01.xlsx&amp;sheet=A0&amp;row=196&amp;col=9&amp;number=&amp;sourceID=11","")</f>
        <v/>
      </c>
      <c r="J196" s="4" t="str">
        <f>HYPERLINK("http://141.218.60.56/~jnz1568/getInfo.php?workbook=08_01.xlsx&amp;sheet=A0&amp;row=196&amp;col=10&amp;number=2.1001&amp;sourceID=11","2.1001")</f>
        <v>2.1001</v>
      </c>
      <c r="K196" s="4" t="str">
        <f>HYPERLINK("http://141.218.60.56/~jnz1568/getInfo.php?workbook=08_01.xlsx&amp;sheet=A0&amp;row=196&amp;col=11&amp;number=&amp;sourceID=11","")</f>
        <v/>
      </c>
      <c r="L196" s="4" t="str">
        <f>HYPERLINK("http://141.218.60.56/~jnz1568/getInfo.php?workbook=08_01.xlsx&amp;sheet=A0&amp;row=196&amp;col=12&amp;number=4.462e-10&amp;sourceID=11","4.462e-10")</f>
        <v>4.462e-10</v>
      </c>
      <c r="M196" s="4" t="str">
        <f>HYPERLINK("http://141.218.60.56/~jnz1568/getInfo.php?workbook=08_01.xlsx&amp;sheet=A0&amp;row=196&amp;col=13&amp;number=&amp;sourceID=11","")</f>
        <v/>
      </c>
      <c r="N196" s="4" t="str">
        <f>HYPERLINK("http://141.218.60.56/~jnz1568/getInfo.php?workbook=08_01.xlsx&amp;sheet=A0&amp;row=196&amp;col=14&amp;number=2.1001&amp;sourceID=12","2.1001")</f>
        <v>2.1001</v>
      </c>
      <c r="O196" s="4" t="str">
        <f>HYPERLINK("http://141.218.60.56/~jnz1568/getInfo.php?workbook=08_01.xlsx&amp;sheet=A0&amp;row=196&amp;col=15&amp;number=&amp;sourceID=12","")</f>
        <v/>
      </c>
      <c r="P196" s="4" t="str">
        <f>HYPERLINK("http://141.218.60.56/~jnz1568/getInfo.php?workbook=08_01.xlsx&amp;sheet=A0&amp;row=196&amp;col=16&amp;number=&amp;sourceID=12","")</f>
        <v/>
      </c>
      <c r="Q196" s="4" t="str">
        <f>HYPERLINK("http://141.218.60.56/~jnz1568/getInfo.php?workbook=08_01.xlsx&amp;sheet=A0&amp;row=196&amp;col=17&amp;number=2.1001&amp;sourceID=12","2.1001")</f>
        <v>2.1001</v>
      </c>
      <c r="R196" s="4" t="str">
        <f>HYPERLINK("http://141.218.60.56/~jnz1568/getInfo.php?workbook=08_01.xlsx&amp;sheet=A0&amp;row=196&amp;col=18&amp;number=&amp;sourceID=12","")</f>
        <v/>
      </c>
      <c r="S196" s="4" t="str">
        <f>HYPERLINK("http://141.218.60.56/~jnz1568/getInfo.php?workbook=08_01.xlsx&amp;sheet=A0&amp;row=196&amp;col=19&amp;number=4.4622e-10&amp;sourceID=12","4.4622e-10")</f>
        <v>4.4622e-10</v>
      </c>
      <c r="T196" s="4" t="str">
        <f>HYPERLINK("http://141.218.60.56/~jnz1568/getInfo.php?workbook=08_01.xlsx&amp;sheet=A0&amp;row=196&amp;col=20&amp;number=&amp;sourceID=12","")</f>
        <v/>
      </c>
      <c r="U196" s="4" t="str">
        <f>HYPERLINK("http://141.218.60.56/~jnz1568/getInfo.php?workbook=08_01.xlsx&amp;sheet=A0&amp;row=196&amp;col=21&amp;number=4.459e-10&amp;sourceID=30","4.459e-10")</f>
        <v>4.459e-10</v>
      </c>
      <c r="V196" s="4" t="str">
        <f>HYPERLINK("http://141.218.60.56/~jnz1568/getInfo.php?workbook=08_01.xlsx&amp;sheet=A0&amp;row=196&amp;col=22&amp;number=&amp;sourceID=30","")</f>
        <v/>
      </c>
      <c r="W196" s="4" t="str">
        <f>HYPERLINK("http://141.218.60.56/~jnz1568/getInfo.php?workbook=08_01.xlsx&amp;sheet=A0&amp;row=196&amp;col=23&amp;number=&amp;sourceID=30","")</f>
        <v/>
      </c>
      <c r="X196" s="4" t="str">
        <f>HYPERLINK("http://141.218.60.56/~jnz1568/getInfo.php?workbook=08_01.xlsx&amp;sheet=A0&amp;row=196&amp;col=24&amp;number=&amp;sourceID=30","")</f>
        <v/>
      </c>
      <c r="Y196" s="4" t="str">
        <f>HYPERLINK("http://141.218.60.56/~jnz1568/getInfo.php?workbook=08_01.xlsx&amp;sheet=A0&amp;row=196&amp;col=25&amp;number=4.459e-10&amp;sourceID=30","4.459e-10")</f>
        <v>4.459e-10</v>
      </c>
      <c r="Z196" s="4" t="str">
        <f>HYPERLINK("http://141.218.60.56/~jnz1568/getInfo.php?workbook=08_01.xlsx&amp;sheet=A0&amp;row=196&amp;col=26&amp;number=&amp;sourceID=13","")</f>
        <v/>
      </c>
      <c r="AA196" s="4" t="str">
        <f>HYPERLINK("http://141.218.60.56/~jnz1568/getInfo.php?workbook=08_01.xlsx&amp;sheet=A0&amp;row=196&amp;col=27&amp;number=&amp;sourceID=13","")</f>
        <v/>
      </c>
      <c r="AB196" s="4" t="str">
        <f>HYPERLINK("http://141.218.60.56/~jnz1568/getInfo.php?workbook=08_01.xlsx&amp;sheet=A0&amp;row=196&amp;col=28&amp;number=&amp;sourceID=13","")</f>
        <v/>
      </c>
      <c r="AC196" s="4" t="str">
        <f>HYPERLINK("http://141.218.60.56/~jnz1568/getInfo.php?workbook=08_01.xlsx&amp;sheet=A0&amp;row=196&amp;col=29&amp;number=&amp;sourceID=13","")</f>
        <v/>
      </c>
      <c r="AD196" s="4" t="str">
        <f>HYPERLINK("http://141.218.60.56/~jnz1568/getInfo.php?workbook=08_01.xlsx&amp;sheet=A0&amp;row=196&amp;col=30&amp;number=&amp;sourceID=13","")</f>
        <v/>
      </c>
      <c r="AE196" s="4" t="str">
        <f>HYPERLINK("http://141.218.60.56/~jnz1568/getInfo.php?workbook=08_01.xlsx&amp;sheet=A0&amp;row=196&amp;col=31&amp;number=&amp;sourceID=13","")</f>
        <v/>
      </c>
      <c r="AF196" s="4" t="str">
        <f>HYPERLINK("http://141.218.60.56/~jnz1568/getInfo.php?workbook=08_01.xlsx&amp;sheet=A0&amp;row=196&amp;col=32&amp;number=&amp;sourceID=20","")</f>
        <v/>
      </c>
    </row>
    <row r="197" spans="1:32">
      <c r="A197" s="3">
        <v>8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HYPERLINK("http://141.218.60.56/~jnz1568/getInfo.php?workbook=08_01.xlsx&amp;sheet=A0&amp;row=197&amp;col=6&amp;number=&amp;sourceID=18","")</f>
        <v/>
      </c>
      <c r="G197" s="4" t="str">
        <f>HYPERLINK("http://141.218.60.56/~jnz1568/getInfo.php?workbook=08_01.xlsx&amp;sheet=A0&amp;row=197&amp;col=7&amp;number==&amp;sourceID=11","=")</f>
        <v>=</v>
      </c>
      <c r="H197" s="4" t="str">
        <f>HYPERLINK("http://141.218.60.56/~jnz1568/getInfo.php?workbook=08_01.xlsx&amp;sheet=A0&amp;row=197&amp;col=8&amp;number=9886700000&amp;sourceID=11","9886700000")</f>
        <v>9886700000</v>
      </c>
      <c r="I197" s="4" t="str">
        <f>HYPERLINK("http://141.218.60.56/~jnz1568/getInfo.php?workbook=08_01.xlsx&amp;sheet=A0&amp;row=197&amp;col=9&amp;number=&amp;sourceID=11","")</f>
        <v/>
      </c>
      <c r="J197" s="4" t="str">
        <f>HYPERLINK("http://141.218.60.56/~jnz1568/getInfo.php?workbook=08_01.xlsx&amp;sheet=A0&amp;row=197&amp;col=10&amp;number=0.80328&amp;sourceID=11","0.80328")</f>
        <v>0.80328</v>
      </c>
      <c r="K197" s="4" t="str">
        <f>HYPERLINK("http://141.218.60.56/~jnz1568/getInfo.php?workbook=08_01.xlsx&amp;sheet=A0&amp;row=197&amp;col=11&amp;number=&amp;sourceID=11","")</f>
        <v/>
      </c>
      <c r="L197" s="4" t="str">
        <f>HYPERLINK("http://141.218.60.56/~jnz1568/getInfo.php?workbook=08_01.xlsx&amp;sheet=A0&amp;row=197&amp;col=12&amp;number=0.64944&amp;sourceID=11","0.64944")</f>
        <v>0.64944</v>
      </c>
      <c r="M197" s="4" t="str">
        <f>HYPERLINK("http://141.218.60.56/~jnz1568/getInfo.php?workbook=08_01.xlsx&amp;sheet=A0&amp;row=197&amp;col=13&amp;number=&amp;sourceID=11","")</f>
        <v/>
      </c>
      <c r="N197" s="4" t="str">
        <f>HYPERLINK("http://141.218.60.56/~jnz1568/getInfo.php?workbook=08_01.xlsx&amp;sheet=A0&amp;row=197&amp;col=14&amp;number=9887000000&amp;sourceID=12","9887000000")</f>
        <v>9887000000</v>
      </c>
      <c r="O197" s="4" t="str">
        <f>HYPERLINK("http://141.218.60.56/~jnz1568/getInfo.php?workbook=08_01.xlsx&amp;sheet=A0&amp;row=197&amp;col=15&amp;number=9887000000&amp;sourceID=12","9887000000")</f>
        <v>9887000000</v>
      </c>
      <c r="P197" s="4" t="str">
        <f>HYPERLINK("http://141.218.60.56/~jnz1568/getInfo.php?workbook=08_01.xlsx&amp;sheet=A0&amp;row=197&amp;col=16&amp;number=&amp;sourceID=12","")</f>
        <v/>
      </c>
      <c r="Q197" s="4" t="str">
        <f>HYPERLINK("http://141.218.60.56/~jnz1568/getInfo.php?workbook=08_01.xlsx&amp;sheet=A0&amp;row=197&amp;col=17&amp;number=0.80331&amp;sourceID=12","0.80331")</f>
        <v>0.80331</v>
      </c>
      <c r="R197" s="4" t="str">
        <f>HYPERLINK("http://141.218.60.56/~jnz1568/getInfo.php?workbook=08_01.xlsx&amp;sheet=A0&amp;row=197&amp;col=18&amp;number=&amp;sourceID=12","")</f>
        <v/>
      </c>
      <c r="S197" s="4" t="str">
        <f>HYPERLINK("http://141.218.60.56/~jnz1568/getInfo.php?workbook=08_01.xlsx&amp;sheet=A0&amp;row=197&amp;col=19&amp;number=0.64946&amp;sourceID=12","0.64946")</f>
        <v>0.64946</v>
      </c>
      <c r="T197" s="4" t="str">
        <f>HYPERLINK("http://141.218.60.56/~jnz1568/getInfo.php?workbook=08_01.xlsx&amp;sheet=A0&amp;row=197&amp;col=20&amp;number=&amp;sourceID=12","")</f>
        <v/>
      </c>
      <c r="U197" s="4" t="str">
        <f>HYPERLINK("http://141.218.60.56/~jnz1568/getInfo.php?workbook=08_01.xlsx&amp;sheet=A0&amp;row=197&amp;col=21&amp;number=9887000000.65&amp;sourceID=30","9887000000.65")</f>
        <v>9887000000.65</v>
      </c>
      <c r="V197" s="4" t="str">
        <f>HYPERLINK("http://141.218.60.56/~jnz1568/getInfo.php?workbook=08_01.xlsx&amp;sheet=A0&amp;row=197&amp;col=22&amp;number=9887000000&amp;sourceID=30","9887000000")</f>
        <v>9887000000</v>
      </c>
      <c r="W197" s="4" t="str">
        <f>HYPERLINK("http://141.218.60.56/~jnz1568/getInfo.php?workbook=08_01.xlsx&amp;sheet=A0&amp;row=197&amp;col=23&amp;number=&amp;sourceID=30","")</f>
        <v/>
      </c>
      <c r="X197" s="4" t="str">
        <f>HYPERLINK("http://141.218.60.56/~jnz1568/getInfo.php?workbook=08_01.xlsx&amp;sheet=A0&amp;row=197&amp;col=24&amp;number=&amp;sourceID=30","")</f>
        <v/>
      </c>
      <c r="Y197" s="4" t="str">
        <f>HYPERLINK("http://141.218.60.56/~jnz1568/getInfo.php?workbook=08_01.xlsx&amp;sheet=A0&amp;row=197&amp;col=25&amp;number=0.6495&amp;sourceID=30","0.6495")</f>
        <v>0.6495</v>
      </c>
      <c r="Z197" s="4" t="str">
        <f>HYPERLINK("http://141.218.60.56/~jnz1568/getInfo.php?workbook=08_01.xlsx&amp;sheet=A0&amp;row=197&amp;col=26&amp;number=&amp;sourceID=13","")</f>
        <v/>
      </c>
      <c r="AA197" s="4" t="str">
        <f>HYPERLINK("http://141.218.60.56/~jnz1568/getInfo.php?workbook=08_01.xlsx&amp;sheet=A0&amp;row=197&amp;col=27&amp;number=&amp;sourceID=13","")</f>
        <v/>
      </c>
      <c r="AB197" s="4" t="str">
        <f>HYPERLINK("http://141.218.60.56/~jnz1568/getInfo.php?workbook=08_01.xlsx&amp;sheet=A0&amp;row=197&amp;col=28&amp;number=&amp;sourceID=13","")</f>
        <v/>
      </c>
      <c r="AC197" s="4" t="str">
        <f>HYPERLINK("http://141.218.60.56/~jnz1568/getInfo.php?workbook=08_01.xlsx&amp;sheet=A0&amp;row=197&amp;col=29&amp;number=&amp;sourceID=13","")</f>
        <v/>
      </c>
      <c r="AD197" s="4" t="str">
        <f>HYPERLINK("http://141.218.60.56/~jnz1568/getInfo.php?workbook=08_01.xlsx&amp;sheet=A0&amp;row=197&amp;col=30&amp;number=&amp;sourceID=13","")</f>
        <v/>
      </c>
      <c r="AE197" s="4" t="str">
        <f>HYPERLINK("http://141.218.60.56/~jnz1568/getInfo.php?workbook=08_01.xlsx&amp;sheet=A0&amp;row=197&amp;col=31&amp;number=&amp;sourceID=13","")</f>
        <v/>
      </c>
      <c r="AF197" s="4" t="str">
        <f>HYPERLINK("http://141.218.60.56/~jnz1568/getInfo.php?workbook=08_01.xlsx&amp;sheet=A0&amp;row=197&amp;col=32&amp;number=&amp;sourceID=20","")</f>
        <v/>
      </c>
    </row>
    <row r="198" spans="1:32">
      <c r="A198" s="3">
        <v>8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HYPERLINK("http://141.218.60.56/~jnz1568/getInfo.php?workbook=08_01.xlsx&amp;sheet=A0&amp;row=198&amp;col=6&amp;number=&amp;sourceID=18","")</f>
        <v/>
      </c>
      <c r="G198" s="4" t="str">
        <f>HYPERLINK("http://141.218.60.56/~jnz1568/getInfo.php?workbook=08_01.xlsx&amp;sheet=A0&amp;row=198&amp;col=7&amp;number==SUM(H198:M198)&amp;sourceID=11","=SUM(H198:M198)")</f>
        <v>=SUM(H198:M198)</v>
      </c>
      <c r="H198" s="4" t="str">
        <f>HYPERLINK("http://141.218.60.56/~jnz1568/getInfo.php?workbook=08_01.xlsx&amp;sheet=A0&amp;row=198&amp;col=8&amp;number=&amp;sourceID=11","")</f>
        <v/>
      </c>
      <c r="I198" s="4" t="str">
        <f>HYPERLINK("http://141.218.60.56/~jnz1568/getInfo.php?workbook=08_01.xlsx&amp;sheet=A0&amp;row=198&amp;col=9&amp;number=54657&amp;sourceID=11","54657")</f>
        <v>54657</v>
      </c>
      <c r="J198" s="4" t="str">
        <f>HYPERLINK("http://141.218.60.56/~jnz1568/getInfo.php?workbook=08_01.xlsx&amp;sheet=A0&amp;row=198&amp;col=10&amp;number=&amp;sourceID=11","")</f>
        <v/>
      </c>
      <c r="K198" s="4" t="str">
        <f>HYPERLINK("http://141.218.60.56/~jnz1568/getInfo.php?workbook=08_01.xlsx&amp;sheet=A0&amp;row=198&amp;col=11&amp;number=3.9937e-05&amp;sourceID=11","3.9937e-05")</f>
        <v>3.9937e-05</v>
      </c>
      <c r="L198" s="4" t="str">
        <f>HYPERLINK("http://141.218.60.56/~jnz1568/getInfo.php?workbook=08_01.xlsx&amp;sheet=A0&amp;row=198&amp;col=12&amp;number=&amp;sourceID=11","")</f>
        <v/>
      </c>
      <c r="M198" s="4" t="str">
        <f>HYPERLINK("http://141.218.60.56/~jnz1568/getInfo.php?workbook=08_01.xlsx&amp;sheet=A0&amp;row=198&amp;col=13&amp;number=2.5535e-07&amp;sourceID=11","2.5535e-07")</f>
        <v>2.5535e-07</v>
      </c>
      <c r="N198" s="4" t="str">
        <f>HYPERLINK("http://141.218.60.56/~jnz1568/getInfo.php?workbook=08_01.xlsx&amp;sheet=A0&amp;row=198&amp;col=14&amp;number=54659&amp;sourceID=12","54659")</f>
        <v>54659</v>
      </c>
      <c r="O198" s="4" t="str">
        <f>HYPERLINK("http://141.218.60.56/~jnz1568/getInfo.php?workbook=08_01.xlsx&amp;sheet=A0&amp;row=198&amp;col=15&amp;number=&amp;sourceID=12","")</f>
        <v/>
      </c>
      <c r="P198" s="4" t="str">
        <f>HYPERLINK("http://141.218.60.56/~jnz1568/getInfo.php?workbook=08_01.xlsx&amp;sheet=A0&amp;row=198&amp;col=16&amp;number=54659&amp;sourceID=12","54659")</f>
        <v>54659</v>
      </c>
      <c r="Q198" s="4" t="str">
        <f>HYPERLINK("http://141.218.60.56/~jnz1568/getInfo.php?workbook=08_01.xlsx&amp;sheet=A0&amp;row=198&amp;col=17&amp;number=&amp;sourceID=12","")</f>
        <v/>
      </c>
      <c r="R198" s="4" t="str">
        <f>HYPERLINK("http://141.218.60.56/~jnz1568/getInfo.php?workbook=08_01.xlsx&amp;sheet=A0&amp;row=198&amp;col=18&amp;number=3.9938e-05&amp;sourceID=12","3.9938e-05")</f>
        <v>3.9938e-05</v>
      </c>
      <c r="S198" s="4" t="str">
        <f>HYPERLINK("http://141.218.60.56/~jnz1568/getInfo.php?workbook=08_01.xlsx&amp;sheet=A0&amp;row=198&amp;col=19&amp;number=&amp;sourceID=12","")</f>
        <v/>
      </c>
      <c r="T198" s="4" t="str">
        <f>HYPERLINK("http://141.218.60.56/~jnz1568/getInfo.php?workbook=08_01.xlsx&amp;sheet=A0&amp;row=198&amp;col=20&amp;number=2.5536e-07&amp;sourceID=12","2.5536e-07")</f>
        <v>2.5536e-07</v>
      </c>
      <c r="U198" s="4" t="str">
        <f>HYPERLINK("http://141.218.60.56/~jnz1568/getInfo.php?workbook=08_01.xlsx&amp;sheet=A0&amp;row=198&amp;col=21&amp;number=54660.0000399&amp;sourceID=30","54660.0000399")</f>
        <v>54660.0000399</v>
      </c>
      <c r="V198" s="4" t="str">
        <f>HYPERLINK("http://141.218.60.56/~jnz1568/getInfo.php?workbook=08_01.xlsx&amp;sheet=A0&amp;row=198&amp;col=22&amp;number=&amp;sourceID=30","")</f>
        <v/>
      </c>
      <c r="W198" s="4" t="str">
        <f>HYPERLINK("http://141.218.60.56/~jnz1568/getInfo.php?workbook=08_01.xlsx&amp;sheet=A0&amp;row=198&amp;col=23&amp;number=54660&amp;sourceID=30","54660")</f>
        <v>54660</v>
      </c>
      <c r="X198" s="4" t="str">
        <f>HYPERLINK("http://141.218.60.56/~jnz1568/getInfo.php?workbook=08_01.xlsx&amp;sheet=A0&amp;row=198&amp;col=24&amp;number=3.992e-05&amp;sourceID=30","3.992e-05")</f>
        <v>3.992e-05</v>
      </c>
      <c r="Y198" s="4" t="str">
        <f>HYPERLINK("http://141.218.60.56/~jnz1568/getInfo.php?workbook=08_01.xlsx&amp;sheet=A0&amp;row=198&amp;col=25&amp;number=&amp;sourceID=30","")</f>
        <v/>
      </c>
      <c r="Z198" s="4" t="str">
        <f>HYPERLINK("http://141.218.60.56/~jnz1568/getInfo.php?workbook=08_01.xlsx&amp;sheet=A0&amp;row=198&amp;col=26&amp;number=&amp;sourceID=13","")</f>
        <v/>
      </c>
      <c r="AA198" s="4" t="str">
        <f>HYPERLINK("http://141.218.60.56/~jnz1568/getInfo.php?workbook=08_01.xlsx&amp;sheet=A0&amp;row=198&amp;col=27&amp;number=&amp;sourceID=13","")</f>
        <v/>
      </c>
      <c r="AB198" s="4" t="str">
        <f>HYPERLINK("http://141.218.60.56/~jnz1568/getInfo.php?workbook=08_01.xlsx&amp;sheet=A0&amp;row=198&amp;col=28&amp;number=&amp;sourceID=13","")</f>
        <v/>
      </c>
      <c r="AC198" s="4" t="str">
        <f>HYPERLINK("http://141.218.60.56/~jnz1568/getInfo.php?workbook=08_01.xlsx&amp;sheet=A0&amp;row=198&amp;col=29&amp;number=&amp;sourceID=13","")</f>
        <v/>
      </c>
      <c r="AD198" s="4" t="str">
        <f>HYPERLINK("http://141.218.60.56/~jnz1568/getInfo.php?workbook=08_01.xlsx&amp;sheet=A0&amp;row=198&amp;col=30&amp;number=&amp;sourceID=13","")</f>
        <v/>
      </c>
      <c r="AE198" s="4" t="str">
        <f>HYPERLINK("http://141.218.60.56/~jnz1568/getInfo.php?workbook=08_01.xlsx&amp;sheet=A0&amp;row=198&amp;col=31&amp;number=&amp;sourceID=13","")</f>
        <v/>
      </c>
      <c r="AF198" s="4" t="str">
        <f>HYPERLINK("http://141.218.60.56/~jnz1568/getInfo.php?workbook=08_01.xlsx&amp;sheet=A0&amp;row=198&amp;col=32&amp;number=&amp;sourceID=20","")</f>
        <v/>
      </c>
    </row>
    <row r="199" spans="1:32">
      <c r="A199" s="3">
        <v>8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HYPERLINK("http://141.218.60.56/~jnz1568/getInfo.php?workbook=08_01.xlsx&amp;sheet=A0&amp;row=199&amp;col=6&amp;number=&amp;sourceID=18","")</f>
        <v/>
      </c>
      <c r="G199" s="4" t="str">
        <f>HYPERLINK("http://141.218.60.56/~jnz1568/getInfo.php?workbook=08_01.xlsx&amp;sheet=A0&amp;row=199&amp;col=7&amp;number==&amp;sourceID=11","=")</f>
        <v>=</v>
      </c>
      <c r="H199" s="4" t="str">
        <f>HYPERLINK("http://141.218.60.56/~jnz1568/getInfo.php?workbook=08_01.xlsx&amp;sheet=A0&amp;row=199&amp;col=8&amp;number=&amp;sourceID=11","")</f>
        <v/>
      </c>
      <c r="I199" s="4" t="str">
        <f>HYPERLINK("http://141.218.60.56/~jnz1568/getInfo.php?workbook=08_01.xlsx&amp;sheet=A0&amp;row=199&amp;col=9&amp;number=34379&amp;sourceID=11","34379")</f>
        <v>34379</v>
      </c>
      <c r="J199" s="4" t="str">
        <f>HYPERLINK("http://141.218.60.56/~jnz1568/getInfo.php?workbook=08_01.xlsx&amp;sheet=A0&amp;row=199&amp;col=10&amp;number=&amp;sourceID=11","")</f>
        <v/>
      </c>
      <c r="K199" s="4" t="str">
        <f>HYPERLINK("http://141.218.60.56/~jnz1568/getInfo.php?workbook=08_01.xlsx&amp;sheet=A0&amp;row=199&amp;col=11&amp;number=0.0013765&amp;sourceID=11","0.0013765")</f>
        <v>0.0013765</v>
      </c>
      <c r="L199" s="4" t="str">
        <f>HYPERLINK("http://141.218.60.56/~jnz1568/getInfo.php?workbook=08_01.xlsx&amp;sheet=A0&amp;row=199&amp;col=12&amp;number=&amp;sourceID=11","")</f>
        <v/>
      </c>
      <c r="M199" s="4" t="str">
        <f>HYPERLINK("http://141.218.60.56/~jnz1568/getInfo.php?workbook=08_01.xlsx&amp;sheet=A0&amp;row=199&amp;col=13&amp;number=2.1664e-06&amp;sourceID=11","2.1664e-06")</f>
        <v>2.1664e-06</v>
      </c>
      <c r="N199" s="4" t="str">
        <f>HYPERLINK("http://141.218.60.56/~jnz1568/getInfo.php?workbook=08_01.xlsx&amp;sheet=A0&amp;row=199&amp;col=14&amp;number=34380&amp;sourceID=12","34380")</f>
        <v>34380</v>
      </c>
      <c r="O199" s="4" t="str">
        <f>HYPERLINK("http://141.218.60.56/~jnz1568/getInfo.php?workbook=08_01.xlsx&amp;sheet=A0&amp;row=199&amp;col=15&amp;number=&amp;sourceID=12","")</f>
        <v/>
      </c>
      <c r="P199" s="4" t="str">
        <f>HYPERLINK("http://141.218.60.56/~jnz1568/getInfo.php?workbook=08_01.xlsx&amp;sheet=A0&amp;row=199&amp;col=16&amp;number=34380&amp;sourceID=12","34380")</f>
        <v>34380</v>
      </c>
      <c r="Q199" s="4" t="str">
        <f>HYPERLINK("http://141.218.60.56/~jnz1568/getInfo.php?workbook=08_01.xlsx&amp;sheet=A0&amp;row=199&amp;col=17&amp;number=&amp;sourceID=12","")</f>
        <v/>
      </c>
      <c r="R199" s="4" t="str">
        <f>HYPERLINK("http://141.218.60.56/~jnz1568/getInfo.php?workbook=08_01.xlsx&amp;sheet=A0&amp;row=199&amp;col=18&amp;number=0.0013766&amp;sourceID=12","0.0013766")</f>
        <v>0.0013766</v>
      </c>
      <c r="S199" s="4" t="str">
        <f>HYPERLINK("http://141.218.60.56/~jnz1568/getInfo.php?workbook=08_01.xlsx&amp;sheet=A0&amp;row=199&amp;col=19&amp;number=&amp;sourceID=12","")</f>
        <v/>
      </c>
      <c r="T199" s="4" t="str">
        <f>HYPERLINK("http://141.218.60.56/~jnz1568/getInfo.php?workbook=08_01.xlsx&amp;sheet=A0&amp;row=199&amp;col=20&amp;number=2.1664e-06&amp;sourceID=12","2.1664e-06")</f>
        <v>2.1664e-06</v>
      </c>
      <c r="U199" s="4" t="str">
        <f>HYPERLINK("http://141.218.60.56/~jnz1568/getInfo.php?workbook=08_01.xlsx&amp;sheet=A0&amp;row=199&amp;col=21&amp;number=34380.001377&amp;sourceID=30","34380.001377")</f>
        <v>34380.001377</v>
      </c>
      <c r="V199" s="4" t="str">
        <f>HYPERLINK("http://141.218.60.56/~jnz1568/getInfo.php?workbook=08_01.xlsx&amp;sheet=A0&amp;row=199&amp;col=22&amp;number=&amp;sourceID=30","")</f>
        <v/>
      </c>
      <c r="W199" s="4" t="str">
        <f>HYPERLINK("http://141.218.60.56/~jnz1568/getInfo.php?workbook=08_01.xlsx&amp;sheet=A0&amp;row=199&amp;col=23&amp;number=34380&amp;sourceID=30","34380")</f>
        <v>34380</v>
      </c>
      <c r="X199" s="4" t="str">
        <f>HYPERLINK("http://141.218.60.56/~jnz1568/getInfo.php?workbook=08_01.xlsx&amp;sheet=A0&amp;row=199&amp;col=24&amp;number=0.001377&amp;sourceID=30","0.001377")</f>
        <v>0.001377</v>
      </c>
      <c r="Y199" s="4" t="str">
        <f>HYPERLINK("http://141.218.60.56/~jnz1568/getInfo.php?workbook=08_01.xlsx&amp;sheet=A0&amp;row=199&amp;col=25&amp;number=&amp;sourceID=30","")</f>
        <v/>
      </c>
      <c r="Z199" s="4" t="str">
        <f>HYPERLINK("http://141.218.60.56/~jnz1568/getInfo.php?workbook=08_01.xlsx&amp;sheet=A0&amp;row=199&amp;col=26&amp;number=&amp;sourceID=13","")</f>
        <v/>
      </c>
      <c r="AA199" s="4" t="str">
        <f>HYPERLINK("http://141.218.60.56/~jnz1568/getInfo.php?workbook=08_01.xlsx&amp;sheet=A0&amp;row=199&amp;col=27&amp;number=&amp;sourceID=13","")</f>
        <v/>
      </c>
      <c r="AB199" s="4" t="str">
        <f>HYPERLINK("http://141.218.60.56/~jnz1568/getInfo.php?workbook=08_01.xlsx&amp;sheet=A0&amp;row=199&amp;col=28&amp;number=&amp;sourceID=13","")</f>
        <v/>
      </c>
      <c r="AC199" s="4" t="str">
        <f>HYPERLINK("http://141.218.60.56/~jnz1568/getInfo.php?workbook=08_01.xlsx&amp;sheet=A0&amp;row=199&amp;col=29&amp;number=&amp;sourceID=13","")</f>
        <v/>
      </c>
      <c r="AD199" s="4" t="str">
        <f>HYPERLINK("http://141.218.60.56/~jnz1568/getInfo.php?workbook=08_01.xlsx&amp;sheet=A0&amp;row=199&amp;col=30&amp;number=&amp;sourceID=13","")</f>
        <v/>
      </c>
      <c r="AE199" s="4" t="str">
        <f>HYPERLINK("http://141.218.60.56/~jnz1568/getInfo.php?workbook=08_01.xlsx&amp;sheet=A0&amp;row=199&amp;col=31&amp;number=&amp;sourceID=13","")</f>
        <v/>
      </c>
      <c r="AF199" s="4" t="str">
        <f>HYPERLINK("http://141.218.60.56/~jnz1568/getInfo.php?workbook=08_01.xlsx&amp;sheet=A0&amp;row=199&amp;col=32&amp;number=&amp;sourceID=20","")</f>
        <v/>
      </c>
    </row>
    <row r="200" spans="1:32">
      <c r="A200" s="3">
        <v>8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HYPERLINK("http://141.218.60.56/~jnz1568/getInfo.php?workbook=08_01.xlsx&amp;sheet=A0&amp;row=200&amp;col=6&amp;number=&amp;sourceID=18","")</f>
        <v/>
      </c>
      <c r="G200" s="4" t="str">
        <f>HYPERLINK("http://141.218.60.56/~jnz1568/getInfo.php?workbook=08_01.xlsx&amp;sheet=A0&amp;row=200&amp;col=7&amp;number==&amp;sourceID=11","=")</f>
        <v>=</v>
      </c>
      <c r="H200" s="4" t="str">
        <f>HYPERLINK("http://141.218.60.56/~jnz1568/getInfo.php?workbook=08_01.xlsx&amp;sheet=A0&amp;row=200&amp;col=8&amp;number=706170000&amp;sourceID=11","706170000")</f>
        <v>706170000</v>
      </c>
      <c r="I200" s="4" t="str">
        <f>HYPERLINK("http://141.218.60.56/~jnz1568/getInfo.php?workbook=08_01.xlsx&amp;sheet=A0&amp;row=200&amp;col=9&amp;number=&amp;sourceID=11","")</f>
        <v/>
      </c>
      <c r="J200" s="4" t="str">
        <f>HYPERLINK("http://141.218.60.56/~jnz1568/getInfo.php?workbook=08_01.xlsx&amp;sheet=A0&amp;row=200&amp;col=10&amp;number=0.53463&amp;sourceID=11","0.53463")</f>
        <v>0.53463</v>
      </c>
      <c r="K200" s="4" t="str">
        <f>HYPERLINK("http://141.218.60.56/~jnz1568/getInfo.php?workbook=08_01.xlsx&amp;sheet=A0&amp;row=200&amp;col=11&amp;number=&amp;sourceID=11","")</f>
        <v/>
      </c>
      <c r="L200" s="4" t="str">
        <f>HYPERLINK("http://141.218.60.56/~jnz1568/getInfo.php?workbook=08_01.xlsx&amp;sheet=A0&amp;row=200&amp;col=12&amp;number=&amp;sourceID=11","")</f>
        <v/>
      </c>
      <c r="M200" s="4" t="str">
        <f>HYPERLINK("http://141.218.60.56/~jnz1568/getInfo.php?workbook=08_01.xlsx&amp;sheet=A0&amp;row=200&amp;col=13&amp;number=&amp;sourceID=11","")</f>
        <v/>
      </c>
      <c r="N200" s="4" t="str">
        <f>HYPERLINK("http://141.218.60.56/~jnz1568/getInfo.php?workbook=08_01.xlsx&amp;sheet=A0&amp;row=200&amp;col=14&amp;number=706200000&amp;sourceID=12","706200000")</f>
        <v>706200000</v>
      </c>
      <c r="O200" s="4" t="str">
        <f>HYPERLINK("http://141.218.60.56/~jnz1568/getInfo.php?workbook=08_01.xlsx&amp;sheet=A0&amp;row=200&amp;col=15&amp;number=706200000&amp;sourceID=12","706200000")</f>
        <v>706200000</v>
      </c>
      <c r="P200" s="4" t="str">
        <f>HYPERLINK("http://141.218.60.56/~jnz1568/getInfo.php?workbook=08_01.xlsx&amp;sheet=A0&amp;row=200&amp;col=16&amp;number=&amp;sourceID=12","")</f>
        <v/>
      </c>
      <c r="Q200" s="4" t="str">
        <f>HYPERLINK("http://141.218.60.56/~jnz1568/getInfo.php?workbook=08_01.xlsx&amp;sheet=A0&amp;row=200&amp;col=17&amp;number=0.53465&amp;sourceID=12","0.53465")</f>
        <v>0.53465</v>
      </c>
      <c r="R200" s="4" t="str">
        <f>HYPERLINK("http://141.218.60.56/~jnz1568/getInfo.php?workbook=08_01.xlsx&amp;sheet=A0&amp;row=200&amp;col=18&amp;number=&amp;sourceID=12","")</f>
        <v/>
      </c>
      <c r="S200" s="4" t="str">
        <f>HYPERLINK("http://141.218.60.56/~jnz1568/getInfo.php?workbook=08_01.xlsx&amp;sheet=A0&amp;row=200&amp;col=19&amp;number=&amp;sourceID=12","")</f>
        <v/>
      </c>
      <c r="T200" s="4" t="str">
        <f>HYPERLINK("http://141.218.60.56/~jnz1568/getInfo.php?workbook=08_01.xlsx&amp;sheet=A0&amp;row=200&amp;col=20&amp;number=&amp;sourceID=12","")</f>
        <v/>
      </c>
      <c r="U200" s="4" t="str">
        <f>HYPERLINK("http://141.218.60.56/~jnz1568/getInfo.php?workbook=08_01.xlsx&amp;sheet=A0&amp;row=200&amp;col=21&amp;number=706200000&amp;sourceID=30","706200000")</f>
        <v>706200000</v>
      </c>
      <c r="V200" s="4" t="str">
        <f>HYPERLINK("http://141.218.60.56/~jnz1568/getInfo.php?workbook=08_01.xlsx&amp;sheet=A0&amp;row=200&amp;col=22&amp;number=706200000&amp;sourceID=30","706200000")</f>
        <v>706200000</v>
      </c>
      <c r="W200" s="4" t="str">
        <f>HYPERLINK("http://141.218.60.56/~jnz1568/getInfo.php?workbook=08_01.xlsx&amp;sheet=A0&amp;row=200&amp;col=23&amp;number=&amp;sourceID=30","")</f>
        <v/>
      </c>
      <c r="X200" s="4" t="str">
        <f>HYPERLINK("http://141.218.60.56/~jnz1568/getInfo.php?workbook=08_01.xlsx&amp;sheet=A0&amp;row=200&amp;col=24&amp;number=&amp;sourceID=30","")</f>
        <v/>
      </c>
      <c r="Y200" s="4" t="str">
        <f>HYPERLINK("http://141.218.60.56/~jnz1568/getInfo.php?workbook=08_01.xlsx&amp;sheet=A0&amp;row=200&amp;col=25&amp;number=&amp;sourceID=30","")</f>
        <v/>
      </c>
      <c r="Z200" s="4" t="str">
        <f>HYPERLINK("http://141.218.60.56/~jnz1568/getInfo.php?workbook=08_01.xlsx&amp;sheet=A0&amp;row=200&amp;col=26&amp;number=&amp;sourceID=13","")</f>
        <v/>
      </c>
      <c r="AA200" s="4" t="str">
        <f>HYPERLINK("http://141.218.60.56/~jnz1568/getInfo.php?workbook=08_01.xlsx&amp;sheet=A0&amp;row=200&amp;col=27&amp;number=&amp;sourceID=13","")</f>
        <v/>
      </c>
      <c r="AB200" s="4" t="str">
        <f>HYPERLINK("http://141.218.60.56/~jnz1568/getInfo.php?workbook=08_01.xlsx&amp;sheet=A0&amp;row=200&amp;col=28&amp;number=&amp;sourceID=13","")</f>
        <v/>
      </c>
      <c r="AC200" s="4" t="str">
        <f>HYPERLINK("http://141.218.60.56/~jnz1568/getInfo.php?workbook=08_01.xlsx&amp;sheet=A0&amp;row=200&amp;col=29&amp;number=&amp;sourceID=13","")</f>
        <v/>
      </c>
      <c r="AD200" s="4" t="str">
        <f>HYPERLINK("http://141.218.60.56/~jnz1568/getInfo.php?workbook=08_01.xlsx&amp;sheet=A0&amp;row=200&amp;col=30&amp;number=&amp;sourceID=13","")</f>
        <v/>
      </c>
      <c r="AE200" s="4" t="str">
        <f>HYPERLINK("http://141.218.60.56/~jnz1568/getInfo.php?workbook=08_01.xlsx&amp;sheet=A0&amp;row=200&amp;col=31&amp;number=&amp;sourceID=13","")</f>
        <v/>
      </c>
      <c r="AF200" s="4" t="str">
        <f>HYPERLINK("http://141.218.60.56/~jnz1568/getInfo.php?workbook=08_01.xlsx&amp;sheet=A0&amp;row=200&amp;col=32&amp;number=&amp;sourceID=20","")</f>
        <v/>
      </c>
    </row>
    <row r="201" spans="1:32">
      <c r="A201" s="3">
        <v>8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HYPERLINK("http://141.218.60.56/~jnz1568/getInfo.php?workbook=08_01.xlsx&amp;sheet=A0&amp;row=201&amp;col=6&amp;number=&amp;sourceID=18","")</f>
        <v/>
      </c>
      <c r="G201" s="4" t="str">
        <f>HYPERLINK("http://141.218.60.56/~jnz1568/getInfo.php?workbook=08_01.xlsx&amp;sheet=A0&amp;row=201&amp;col=7&amp;number==&amp;sourceID=11","=")</f>
        <v>=</v>
      </c>
      <c r="H201" s="4" t="str">
        <f>HYPERLINK("http://141.218.60.56/~jnz1568/getInfo.php?workbook=08_01.xlsx&amp;sheet=A0&amp;row=201&amp;col=8&amp;number=&amp;sourceID=11","")</f>
        <v/>
      </c>
      <c r="I201" s="4" t="str">
        <f>HYPERLINK("http://141.218.60.56/~jnz1568/getInfo.php?workbook=08_01.xlsx&amp;sheet=A0&amp;row=201&amp;col=9&amp;number=5728.4&amp;sourceID=11","5728.4")</f>
        <v>5728.4</v>
      </c>
      <c r="J201" s="4" t="str">
        <f>HYPERLINK("http://141.218.60.56/~jnz1568/getInfo.php?workbook=08_01.xlsx&amp;sheet=A0&amp;row=201&amp;col=10&amp;number=&amp;sourceID=11","")</f>
        <v/>
      </c>
      <c r="K201" s="4" t="str">
        <f>HYPERLINK("http://141.218.60.56/~jnz1568/getInfo.php?workbook=08_01.xlsx&amp;sheet=A0&amp;row=201&amp;col=11&amp;number=0.0012831&amp;sourceID=11","0.0012831")</f>
        <v>0.0012831</v>
      </c>
      <c r="L201" s="4" t="str">
        <f>HYPERLINK("http://141.218.60.56/~jnz1568/getInfo.php?workbook=08_01.xlsx&amp;sheet=A0&amp;row=201&amp;col=12&amp;number=&amp;sourceID=11","")</f>
        <v/>
      </c>
      <c r="M201" s="4" t="str">
        <f>HYPERLINK("http://141.218.60.56/~jnz1568/getInfo.php?workbook=08_01.xlsx&amp;sheet=A0&amp;row=201&amp;col=13&amp;number=2.673e-07&amp;sourceID=11","2.673e-07")</f>
        <v>2.673e-07</v>
      </c>
      <c r="N201" s="4" t="str">
        <f>HYPERLINK("http://141.218.60.56/~jnz1568/getInfo.php?workbook=08_01.xlsx&amp;sheet=A0&amp;row=201&amp;col=14&amp;number=5728.6&amp;sourceID=12","5728.6")</f>
        <v>5728.6</v>
      </c>
      <c r="O201" s="4" t="str">
        <f>HYPERLINK("http://141.218.60.56/~jnz1568/getInfo.php?workbook=08_01.xlsx&amp;sheet=A0&amp;row=201&amp;col=15&amp;number=&amp;sourceID=12","")</f>
        <v/>
      </c>
      <c r="P201" s="4" t="str">
        <f>HYPERLINK("http://141.218.60.56/~jnz1568/getInfo.php?workbook=08_01.xlsx&amp;sheet=A0&amp;row=201&amp;col=16&amp;number=5728.6&amp;sourceID=12","5728.6")</f>
        <v>5728.6</v>
      </c>
      <c r="Q201" s="4" t="str">
        <f>HYPERLINK("http://141.218.60.56/~jnz1568/getInfo.php?workbook=08_01.xlsx&amp;sheet=A0&amp;row=201&amp;col=17&amp;number=&amp;sourceID=12","")</f>
        <v/>
      </c>
      <c r="R201" s="4" t="str">
        <f>HYPERLINK("http://141.218.60.56/~jnz1568/getInfo.php?workbook=08_01.xlsx&amp;sheet=A0&amp;row=201&amp;col=18&amp;number=0.0012832&amp;sourceID=12","0.0012832")</f>
        <v>0.0012832</v>
      </c>
      <c r="S201" s="4" t="str">
        <f>HYPERLINK("http://141.218.60.56/~jnz1568/getInfo.php?workbook=08_01.xlsx&amp;sheet=A0&amp;row=201&amp;col=19&amp;number=&amp;sourceID=12","")</f>
        <v/>
      </c>
      <c r="T201" s="4" t="str">
        <f>HYPERLINK("http://141.218.60.56/~jnz1568/getInfo.php?workbook=08_01.xlsx&amp;sheet=A0&amp;row=201&amp;col=20&amp;number=2.6731e-07&amp;sourceID=12","2.6731e-07")</f>
        <v>2.6731e-07</v>
      </c>
      <c r="U201" s="4" t="str">
        <f>HYPERLINK("http://141.218.60.56/~jnz1568/getInfo.php?workbook=08_01.xlsx&amp;sheet=A0&amp;row=201&amp;col=21&amp;number=5729.001283&amp;sourceID=30","5729.001283")</f>
        <v>5729.001283</v>
      </c>
      <c r="V201" s="4" t="str">
        <f>HYPERLINK("http://141.218.60.56/~jnz1568/getInfo.php?workbook=08_01.xlsx&amp;sheet=A0&amp;row=201&amp;col=22&amp;number=&amp;sourceID=30","")</f>
        <v/>
      </c>
      <c r="W201" s="4" t="str">
        <f>HYPERLINK("http://141.218.60.56/~jnz1568/getInfo.php?workbook=08_01.xlsx&amp;sheet=A0&amp;row=201&amp;col=23&amp;number=5729&amp;sourceID=30","5729")</f>
        <v>5729</v>
      </c>
      <c r="X201" s="4" t="str">
        <f>HYPERLINK("http://141.218.60.56/~jnz1568/getInfo.php?workbook=08_01.xlsx&amp;sheet=A0&amp;row=201&amp;col=24&amp;number=0.001283&amp;sourceID=30","0.001283")</f>
        <v>0.001283</v>
      </c>
      <c r="Y201" s="4" t="str">
        <f>HYPERLINK("http://141.218.60.56/~jnz1568/getInfo.php?workbook=08_01.xlsx&amp;sheet=A0&amp;row=201&amp;col=25&amp;number=&amp;sourceID=30","")</f>
        <v/>
      </c>
      <c r="Z201" s="4" t="str">
        <f>HYPERLINK("http://141.218.60.56/~jnz1568/getInfo.php?workbook=08_01.xlsx&amp;sheet=A0&amp;row=201&amp;col=26&amp;number=&amp;sourceID=13","")</f>
        <v/>
      </c>
      <c r="AA201" s="4" t="str">
        <f>HYPERLINK("http://141.218.60.56/~jnz1568/getInfo.php?workbook=08_01.xlsx&amp;sheet=A0&amp;row=201&amp;col=27&amp;number=&amp;sourceID=13","")</f>
        <v/>
      </c>
      <c r="AB201" s="4" t="str">
        <f>HYPERLINK("http://141.218.60.56/~jnz1568/getInfo.php?workbook=08_01.xlsx&amp;sheet=A0&amp;row=201&amp;col=28&amp;number=&amp;sourceID=13","")</f>
        <v/>
      </c>
      <c r="AC201" s="4" t="str">
        <f>HYPERLINK("http://141.218.60.56/~jnz1568/getInfo.php?workbook=08_01.xlsx&amp;sheet=A0&amp;row=201&amp;col=29&amp;number=&amp;sourceID=13","")</f>
        <v/>
      </c>
      <c r="AD201" s="4" t="str">
        <f>HYPERLINK("http://141.218.60.56/~jnz1568/getInfo.php?workbook=08_01.xlsx&amp;sheet=A0&amp;row=201&amp;col=30&amp;number=&amp;sourceID=13","")</f>
        <v/>
      </c>
      <c r="AE201" s="4" t="str">
        <f>HYPERLINK("http://141.218.60.56/~jnz1568/getInfo.php?workbook=08_01.xlsx&amp;sheet=A0&amp;row=201&amp;col=31&amp;number=&amp;sourceID=13","")</f>
        <v/>
      </c>
      <c r="AF201" s="4" t="str">
        <f>HYPERLINK("http://141.218.60.56/~jnz1568/getInfo.php?workbook=08_01.xlsx&amp;sheet=A0&amp;row=201&amp;col=32&amp;number=&amp;sourceID=20","")</f>
        <v/>
      </c>
    </row>
    <row r="202" spans="1:32">
      <c r="A202" s="3">
        <v>8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HYPERLINK("http://141.218.60.56/~jnz1568/getInfo.php?workbook=08_01.xlsx&amp;sheet=A0&amp;row=202&amp;col=6&amp;number=&amp;sourceID=18","")</f>
        <v/>
      </c>
      <c r="G202" s="4" t="str">
        <f>HYPERLINK("http://141.218.60.56/~jnz1568/getInfo.php?workbook=08_01.xlsx&amp;sheet=A0&amp;row=202&amp;col=7&amp;number==&amp;sourceID=11","=")</f>
        <v>=</v>
      </c>
      <c r="H202" s="4" t="str">
        <f>HYPERLINK("http://141.218.60.56/~jnz1568/getInfo.php?workbook=08_01.xlsx&amp;sheet=A0&amp;row=202&amp;col=8&amp;number=&amp;sourceID=11","")</f>
        <v/>
      </c>
      <c r="I202" s="4" t="str">
        <f>HYPERLINK("http://141.218.60.56/~jnz1568/getInfo.php?workbook=08_01.xlsx&amp;sheet=A0&amp;row=202&amp;col=9&amp;number=2.4535e-10&amp;sourceID=11","2.4535e-10")</f>
        <v>2.4535e-10</v>
      </c>
      <c r="J202" s="4" t="str">
        <f>HYPERLINK("http://141.218.60.56/~jnz1568/getInfo.php?workbook=08_01.xlsx&amp;sheet=A0&amp;row=202&amp;col=10&amp;number=&amp;sourceID=11","")</f>
        <v/>
      </c>
      <c r="K202" s="4" t="str">
        <f>HYPERLINK("http://141.218.60.56/~jnz1568/getInfo.php?workbook=08_01.xlsx&amp;sheet=A0&amp;row=202&amp;col=11&amp;number=&amp;sourceID=11","")</f>
        <v/>
      </c>
      <c r="L202" s="4" t="str">
        <f>HYPERLINK("http://141.218.60.56/~jnz1568/getInfo.php?workbook=08_01.xlsx&amp;sheet=A0&amp;row=202&amp;col=12&amp;number=&amp;sourceID=11","")</f>
        <v/>
      </c>
      <c r="M202" s="4" t="str">
        <f>HYPERLINK("http://141.218.60.56/~jnz1568/getInfo.php?workbook=08_01.xlsx&amp;sheet=A0&amp;row=202&amp;col=13&amp;number=0&amp;sourceID=11","0")</f>
        <v>0</v>
      </c>
      <c r="N202" s="4" t="str">
        <f>HYPERLINK("http://141.218.60.56/~jnz1568/getInfo.php?workbook=08_01.xlsx&amp;sheet=A0&amp;row=202&amp;col=14&amp;number=2.454e-10&amp;sourceID=12","2.454e-10")</f>
        <v>2.454e-10</v>
      </c>
      <c r="O202" s="4" t="str">
        <f>HYPERLINK("http://141.218.60.56/~jnz1568/getInfo.php?workbook=08_01.xlsx&amp;sheet=A0&amp;row=202&amp;col=15&amp;number=&amp;sourceID=12","")</f>
        <v/>
      </c>
      <c r="P202" s="4" t="str">
        <f>HYPERLINK("http://141.218.60.56/~jnz1568/getInfo.php?workbook=08_01.xlsx&amp;sheet=A0&amp;row=202&amp;col=16&amp;number=2.454e-10&amp;sourceID=12","2.454e-10")</f>
        <v>2.454e-10</v>
      </c>
      <c r="Q202" s="4" t="str">
        <f>HYPERLINK("http://141.218.60.56/~jnz1568/getInfo.php?workbook=08_01.xlsx&amp;sheet=A0&amp;row=202&amp;col=17&amp;number=&amp;sourceID=12","")</f>
        <v/>
      </c>
      <c r="R202" s="4" t="str">
        <f>HYPERLINK("http://141.218.60.56/~jnz1568/getInfo.php?workbook=08_01.xlsx&amp;sheet=A0&amp;row=202&amp;col=18&amp;number=&amp;sourceID=12","")</f>
        <v/>
      </c>
      <c r="S202" s="4" t="str">
        <f>HYPERLINK("http://141.218.60.56/~jnz1568/getInfo.php?workbook=08_01.xlsx&amp;sheet=A0&amp;row=202&amp;col=19&amp;number=&amp;sourceID=12","")</f>
        <v/>
      </c>
      <c r="T202" s="4" t="str">
        <f>HYPERLINK("http://141.218.60.56/~jnz1568/getInfo.php?workbook=08_01.xlsx&amp;sheet=A0&amp;row=202&amp;col=20&amp;number=0&amp;sourceID=12","0")</f>
        <v>0</v>
      </c>
      <c r="U202" s="4" t="str">
        <f>HYPERLINK("http://141.218.60.56/~jnz1568/getInfo.php?workbook=08_01.xlsx&amp;sheet=A0&amp;row=202&amp;col=21&amp;number=2.454e-10&amp;sourceID=30","2.454e-10")</f>
        <v>2.454e-10</v>
      </c>
      <c r="V202" s="4" t="str">
        <f>HYPERLINK("http://141.218.60.56/~jnz1568/getInfo.php?workbook=08_01.xlsx&amp;sheet=A0&amp;row=202&amp;col=22&amp;number=&amp;sourceID=30","")</f>
        <v/>
      </c>
      <c r="W202" s="4" t="str">
        <f>HYPERLINK("http://141.218.60.56/~jnz1568/getInfo.php?workbook=08_01.xlsx&amp;sheet=A0&amp;row=202&amp;col=23&amp;number=2.454e-10&amp;sourceID=30","2.454e-10")</f>
        <v>2.454e-10</v>
      </c>
      <c r="X202" s="4" t="str">
        <f>HYPERLINK("http://141.218.60.56/~jnz1568/getInfo.php?workbook=08_01.xlsx&amp;sheet=A0&amp;row=202&amp;col=24&amp;number=&amp;sourceID=30","")</f>
        <v/>
      </c>
      <c r="Y202" s="4" t="str">
        <f>HYPERLINK("http://141.218.60.56/~jnz1568/getInfo.php?workbook=08_01.xlsx&amp;sheet=A0&amp;row=202&amp;col=25&amp;number=&amp;sourceID=30","")</f>
        <v/>
      </c>
      <c r="Z202" s="4" t="str">
        <f>HYPERLINK("http://141.218.60.56/~jnz1568/getInfo.php?workbook=08_01.xlsx&amp;sheet=A0&amp;row=202&amp;col=26&amp;number=&amp;sourceID=13","")</f>
        <v/>
      </c>
      <c r="AA202" s="4" t="str">
        <f>HYPERLINK("http://141.218.60.56/~jnz1568/getInfo.php?workbook=08_01.xlsx&amp;sheet=A0&amp;row=202&amp;col=27&amp;number=&amp;sourceID=13","")</f>
        <v/>
      </c>
      <c r="AB202" s="4" t="str">
        <f>HYPERLINK("http://141.218.60.56/~jnz1568/getInfo.php?workbook=08_01.xlsx&amp;sheet=A0&amp;row=202&amp;col=28&amp;number=&amp;sourceID=13","")</f>
        <v/>
      </c>
      <c r="AC202" s="4" t="str">
        <f>HYPERLINK("http://141.218.60.56/~jnz1568/getInfo.php?workbook=08_01.xlsx&amp;sheet=A0&amp;row=202&amp;col=29&amp;number=&amp;sourceID=13","")</f>
        <v/>
      </c>
      <c r="AD202" s="4" t="str">
        <f>HYPERLINK("http://141.218.60.56/~jnz1568/getInfo.php?workbook=08_01.xlsx&amp;sheet=A0&amp;row=202&amp;col=30&amp;number=&amp;sourceID=13","")</f>
        <v/>
      </c>
      <c r="AE202" s="4" t="str">
        <f>HYPERLINK("http://141.218.60.56/~jnz1568/getInfo.php?workbook=08_01.xlsx&amp;sheet=A0&amp;row=202&amp;col=31&amp;number=&amp;sourceID=13","")</f>
        <v/>
      </c>
      <c r="AF202" s="4" t="str">
        <f>HYPERLINK("http://141.218.60.56/~jnz1568/getInfo.php?workbook=08_01.xlsx&amp;sheet=A0&amp;row=202&amp;col=32&amp;number=&amp;sourceID=20","")</f>
        <v/>
      </c>
    </row>
    <row r="203" spans="1:32">
      <c r="A203" s="3">
        <v>8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HYPERLINK("http://141.218.60.56/~jnz1568/getInfo.php?workbook=08_01.xlsx&amp;sheet=A0&amp;row=203&amp;col=6&amp;number=&amp;sourceID=18","")</f>
        <v/>
      </c>
      <c r="G203" s="4" t="str">
        <f>HYPERLINK("http://141.218.60.56/~jnz1568/getInfo.php?workbook=08_01.xlsx&amp;sheet=A0&amp;row=203&amp;col=7&amp;number==&amp;sourceID=11","=")</f>
        <v>=</v>
      </c>
      <c r="H203" s="4" t="str">
        <f>HYPERLINK("http://141.218.60.56/~jnz1568/getInfo.php?workbook=08_01.xlsx&amp;sheet=A0&amp;row=203&amp;col=8&amp;number=&amp;sourceID=11","")</f>
        <v/>
      </c>
      <c r="I203" s="4" t="str">
        <f>HYPERLINK("http://141.218.60.56/~jnz1568/getInfo.php?workbook=08_01.xlsx&amp;sheet=A0&amp;row=203&amp;col=9&amp;number=&amp;sourceID=11","")</f>
        <v/>
      </c>
      <c r="J203" s="4" t="str">
        <f>HYPERLINK("http://141.218.60.56/~jnz1568/getInfo.php?workbook=08_01.xlsx&amp;sheet=A0&amp;row=203&amp;col=10&amp;number=0&amp;sourceID=11","0")</f>
        <v>0</v>
      </c>
      <c r="K203" s="4" t="str">
        <f>HYPERLINK("http://141.218.60.56/~jnz1568/getInfo.php?workbook=08_01.xlsx&amp;sheet=A0&amp;row=203&amp;col=11&amp;number=&amp;sourceID=11","")</f>
        <v/>
      </c>
      <c r="L203" s="4" t="str">
        <f>HYPERLINK("http://141.218.60.56/~jnz1568/getInfo.php?workbook=08_01.xlsx&amp;sheet=A0&amp;row=203&amp;col=12&amp;number=0&amp;sourceID=11","0")</f>
        <v>0</v>
      </c>
      <c r="M203" s="4" t="str">
        <f>HYPERLINK("http://141.218.60.56/~jnz1568/getInfo.php?workbook=08_01.xlsx&amp;sheet=A0&amp;row=203&amp;col=13&amp;number=&amp;sourceID=11","")</f>
        <v/>
      </c>
      <c r="N203" s="4" t="str">
        <f>HYPERLINK("http://141.218.60.56/~jnz1568/getInfo.php?workbook=08_01.xlsx&amp;sheet=A0&amp;row=203&amp;col=14&amp;number=0&amp;sourceID=12","0")</f>
        <v>0</v>
      </c>
      <c r="O203" s="4" t="str">
        <f>HYPERLINK("http://141.218.60.56/~jnz1568/getInfo.php?workbook=08_01.xlsx&amp;sheet=A0&amp;row=203&amp;col=15&amp;number=&amp;sourceID=12","")</f>
        <v/>
      </c>
      <c r="P203" s="4" t="str">
        <f>HYPERLINK("http://141.218.60.56/~jnz1568/getInfo.php?workbook=08_01.xlsx&amp;sheet=A0&amp;row=203&amp;col=16&amp;number=&amp;sourceID=12","")</f>
        <v/>
      </c>
      <c r="Q203" s="4" t="str">
        <f>HYPERLINK("http://141.218.60.56/~jnz1568/getInfo.php?workbook=08_01.xlsx&amp;sheet=A0&amp;row=203&amp;col=17&amp;number=0&amp;sourceID=12","0")</f>
        <v>0</v>
      </c>
      <c r="R203" s="4" t="str">
        <f>HYPERLINK("http://141.218.60.56/~jnz1568/getInfo.php?workbook=08_01.xlsx&amp;sheet=A0&amp;row=203&amp;col=18&amp;number=&amp;sourceID=12","")</f>
        <v/>
      </c>
      <c r="S203" s="4" t="str">
        <f>HYPERLINK("http://141.218.60.56/~jnz1568/getInfo.php?workbook=08_01.xlsx&amp;sheet=A0&amp;row=203&amp;col=19&amp;number=0&amp;sourceID=12","0")</f>
        <v>0</v>
      </c>
      <c r="T203" s="4" t="str">
        <f>HYPERLINK("http://141.218.60.56/~jnz1568/getInfo.php?workbook=08_01.xlsx&amp;sheet=A0&amp;row=203&amp;col=20&amp;number=&amp;sourceID=12","")</f>
        <v/>
      </c>
      <c r="U203" s="4" t="str">
        <f>HYPERLINK("http://141.218.60.56/~jnz1568/getInfo.php?workbook=08_01.xlsx&amp;sheet=A0&amp;row=203&amp;col=21&amp;number=0&amp;sourceID=30","0")</f>
        <v>0</v>
      </c>
      <c r="V203" s="4" t="str">
        <f>HYPERLINK("http://141.218.60.56/~jnz1568/getInfo.php?workbook=08_01.xlsx&amp;sheet=A0&amp;row=203&amp;col=22&amp;number=&amp;sourceID=30","")</f>
        <v/>
      </c>
      <c r="W203" s="4" t="str">
        <f>HYPERLINK("http://141.218.60.56/~jnz1568/getInfo.php?workbook=08_01.xlsx&amp;sheet=A0&amp;row=203&amp;col=23&amp;number=&amp;sourceID=30","")</f>
        <v/>
      </c>
      <c r="X203" s="4" t="str">
        <f>HYPERLINK("http://141.218.60.56/~jnz1568/getInfo.php?workbook=08_01.xlsx&amp;sheet=A0&amp;row=203&amp;col=24&amp;number=&amp;sourceID=30","")</f>
        <v/>
      </c>
      <c r="Y203" s="4" t="str">
        <f>HYPERLINK("http://141.218.60.56/~jnz1568/getInfo.php?workbook=08_01.xlsx&amp;sheet=A0&amp;row=203&amp;col=25&amp;number=0&amp;sourceID=30","0")</f>
        <v>0</v>
      </c>
      <c r="Z203" s="4" t="str">
        <f>HYPERLINK("http://141.218.60.56/~jnz1568/getInfo.php?workbook=08_01.xlsx&amp;sheet=A0&amp;row=203&amp;col=26&amp;number=&amp;sourceID=13","")</f>
        <v/>
      </c>
      <c r="AA203" s="4" t="str">
        <f>HYPERLINK("http://141.218.60.56/~jnz1568/getInfo.php?workbook=08_01.xlsx&amp;sheet=A0&amp;row=203&amp;col=27&amp;number=&amp;sourceID=13","")</f>
        <v/>
      </c>
      <c r="AB203" s="4" t="str">
        <f>HYPERLINK("http://141.218.60.56/~jnz1568/getInfo.php?workbook=08_01.xlsx&amp;sheet=A0&amp;row=203&amp;col=28&amp;number=&amp;sourceID=13","")</f>
        <v/>
      </c>
      <c r="AC203" s="4" t="str">
        <f>HYPERLINK("http://141.218.60.56/~jnz1568/getInfo.php?workbook=08_01.xlsx&amp;sheet=A0&amp;row=203&amp;col=29&amp;number=&amp;sourceID=13","")</f>
        <v/>
      </c>
      <c r="AD203" s="4" t="str">
        <f>HYPERLINK("http://141.218.60.56/~jnz1568/getInfo.php?workbook=08_01.xlsx&amp;sheet=A0&amp;row=203&amp;col=30&amp;number=&amp;sourceID=13","")</f>
        <v/>
      </c>
      <c r="AE203" s="4" t="str">
        <f>HYPERLINK("http://141.218.60.56/~jnz1568/getInfo.php?workbook=08_01.xlsx&amp;sheet=A0&amp;row=203&amp;col=31&amp;number=&amp;sourceID=13","")</f>
        <v/>
      </c>
      <c r="AF203" s="4" t="str">
        <f>HYPERLINK("http://141.218.60.56/~jnz1568/getInfo.php?workbook=08_01.xlsx&amp;sheet=A0&amp;row=203&amp;col=32&amp;number=&amp;sourceID=20","")</f>
        <v/>
      </c>
    </row>
    <row r="204" spans="1:32">
      <c r="A204" s="3">
        <v>8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HYPERLINK("http://141.218.60.56/~jnz1568/getInfo.php?workbook=08_01.xlsx&amp;sheet=A0&amp;row=204&amp;col=6&amp;number=&amp;sourceID=18","")</f>
        <v/>
      </c>
      <c r="G204" s="4" t="str">
        <f>HYPERLINK("http://141.218.60.56/~jnz1568/getInfo.php?workbook=08_01.xlsx&amp;sheet=A0&amp;row=204&amp;col=7&amp;number==&amp;sourceID=11","=")</f>
        <v>=</v>
      </c>
      <c r="H204" s="4" t="str">
        <f>HYPERLINK("http://141.218.60.56/~jnz1568/getInfo.php?workbook=08_01.xlsx&amp;sheet=A0&amp;row=204&amp;col=8&amp;number=0.37112&amp;sourceID=11","0.37112")</f>
        <v>0.37112</v>
      </c>
      <c r="I204" s="4" t="str">
        <f>HYPERLINK("http://141.218.60.56/~jnz1568/getInfo.php?workbook=08_01.xlsx&amp;sheet=A0&amp;row=204&amp;col=9&amp;number=&amp;sourceID=11","")</f>
        <v/>
      </c>
      <c r="J204" s="4" t="str">
        <f>HYPERLINK("http://141.218.60.56/~jnz1568/getInfo.php?workbook=08_01.xlsx&amp;sheet=A0&amp;row=204&amp;col=10&amp;number=0&amp;sourceID=11","0")</f>
        <v>0</v>
      </c>
      <c r="K204" s="4" t="str">
        <f>HYPERLINK("http://141.218.60.56/~jnz1568/getInfo.php?workbook=08_01.xlsx&amp;sheet=A0&amp;row=204&amp;col=11&amp;number=&amp;sourceID=11","")</f>
        <v/>
      </c>
      <c r="L204" s="4" t="str">
        <f>HYPERLINK("http://141.218.60.56/~jnz1568/getInfo.php?workbook=08_01.xlsx&amp;sheet=A0&amp;row=204&amp;col=12&amp;number=0&amp;sourceID=11","0")</f>
        <v>0</v>
      </c>
      <c r="M204" s="4" t="str">
        <f>HYPERLINK("http://141.218.60.56/~jnz1568/getInfo.php?workbook=08_01.xlsx&amp;sheet=A0&amp;row=204&amp;col=13&amp;number=&amp;sourceID=11","")</f>
        <v/>
      </c>
      <c r="N204" s="4" t="str">
        <f>HYPERLINK("http://141.218.60.56/~jnz1568/getInfo.php?workbook=08_01.xlsx&amp;sheet=A0&amp;row=204&amp;col=14&amp;number=0.37121&amp;sourceID=12","0.37121")</f>
        <v>0.37121</v>
      </c>
      <c r="O204" s="4" t="str">
        <f>HYPERLINK("http://141.218.60.56/~jnz1568/getInfo.php?workbook=08_01.xlsx&amp;sheet=A0&amp;row=204&amp;col=15&amp;number=0.37121&amp;sourceID=12","0.37121")</f>
        <v>0.37121</v>
      </c>
      <c r="P204" s="4" t="str">
        <f>HYPERLINK("http://141.218.60.56/~jnz1568/getInfo.php?workbook=08_01.xlsx&amp;sheet=A0&amp;row=204&amp;col=16&amp;number=&amp;sourceID=12","")</f>
        <v/>
      </c>
      <c r="Q204" s="4" t="str">
        <f>HYPERLINK("http://141.218.60.56/~jnz1568/getInfo.php?workbook=08_01.xlsx&amp;sheet=A0&amp;row=204&amp;col=17&amp;number=0&amp;sourceID=12","0")</f>
        <v>0</v>
      </c>
      <c r="R204" s="4" t="str">
        <f>HYPERLINK("http://141.218.60.56/~jnz1568/getInfo.php?workbook=08_01.xlsx&amp;sheet=A0&amp;row=204&amp;col=18&amp;number=&amp;sourceID=12","")</f>
        <v/>
      </c>
      <c r="S204" s="4" t="str">
        <f>HYPERLINK("http://141.218.60.56/~jnz1568/getInfo.php?workbook=08_01.xlsx&amp;sheet=A0&amp;row=204&amp;col=19&amp;number=0&amp;sourceID=12","0")</f>
        <v>0</v>
      </c>
      <c r="T204" s="4" t="str">
        <f>HYPERLINK("http://141.218.60.56/~jnz1568/getInfo.php?workbook=08_01.xlsx&amp;sheet=A0&amp;row=204&amp;col=20&amp;number=&amp;sourceID=12","")</f>
        <v/>
      </c>
      <c r="U204" s="4" t="str">
        <f>HYPERLINK("http://141.218.60.56/~jnz1568/getInfo.php?workbook=08_01.xlsx&amp;sheet=A0&amp;row=204&amp;col=21&amp;number=0.3712&amp;sourceID=30","0.3712")</f>
        <v>0.3712</v>
      </c>
      <c r="V204" s="4" t="str">
        <f>HYPERLINK("http://141.218.60.56/~jnz1568/getInfo.php?workbook=08_01.xlsx&amp;sheet=A0&amp;row=204&amp;col=22&amp;number=0.3712&amp;sourceID=30","0.3712")</f>
        <v>0.3712</v>
      </c>
      <c r="W204" s="4" t="str">
        <f>HYPERLINK("http://141.218.60.56/~jnz1568/getInfo.php?workbook=08_01.xlsx&amp;sheet=A0&amp;row=204&amp;col=23&amp;number=&amp;sourceID=30","")</f>
        <v/>
      </c>
      <c r="X204" s="4" t="str">
        <f>HYPERLINK("http://141.218.60.56/~jnz1568/getInfo.php?workbook=08_01.xlsx&amp;sheet=A0&amp;row=204&amp;col=24&amp;number=&amp;sourceID=30","")</f>
        <v/>
      </c>
      <c r="Y204" s="4" t="str">
        <f>HYPERLINK("http://141.218.60.56/~jnz1568/getInfo.php?workbook=08_01.xlsx&amp;sheet=A0&amp;row=204&amp;col=25&amp;number=0&amp;sourceID=30","0")</f>
        <v>0</v>
      </c>
      <c r="Z204" s="4" t="str">
        <f>HYPERLINK("http://141.218.60.56/~jnz1568/getInfo.php?workbook=08_01.xlsx&amp;sheet=A0&amp;row=204&amp;col=26&amp;number=&amp;sourceID=13","")</f>
        <v/>
      </c>
      <c r="AA204" s="4" t="str">
        <f>HYPERLINK("http://141.218.60.56/~jnz1568/getInfo.php?workbook=08_01.xlsx&amp;sheet=A0&amp;row=204&amp;col=27&amp;number=&amp;sourceID=13","")</f>
        <v/>
      </c>
      <c r="AB204" s="4" t="str">
        <f>HYPERLINK("http://141.218.60.56/~jnz1568/getInfo.php?workbook=08_01.xlsx&amp;sheet=A0&amp;row=204&amp;col=28&amp;number=&amp;sourceID=13","")</f>
        <v/>
      </c>
      <c r="AC204" s="4" t="str">
        <f>HYPERLINK("http://141.218.60.56/~jnz1568/getInfo.php?workbook=08_01.xlsx&amp;sheet=A0&amp;row=204&amp;col=29&amp;number=&amp;sourceID=13","")</f>
        <v/>
      </c>
      <c r="AD204" s="4" t="str">
        <f>HYPERLINK("http://141.218.60.56/~jnz1568/getInfo.php?workbook=08_01.xlsx&amp;sheet=A0&amp;row=204&amp;col=30&amp;number=&amp;sourceID=13","")</f>
        <v/>
      </c>
      <c r="AE204" s="4" t="str">
        <f>HYPERLINK("http://141.218.60.56/~jnz1568/getInfo.php?workbook=08_01.xlsx&amp;sheet=A0&amp;row=204&amp;col=31&amp;number=&amp;sourceID=13","")</f>
        <v/>
      </c>
      <c r="AF204" s="4" t="str">
        <f>HYPERLINK("http://141.218.60.56/~jnz1568/getInfo.php?workbook=08_01.xlsx&amp;sheet=A0&amp;row=204&amp;col=32&amp;number=&amp;sourceID=20","")</f>
        <v/>
      </c>
    </row>
    <row r="205" spans="1:32">
      <c r="A205" s="3">
        <v>8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HYPERLINK("http://141.218.60.56/~jnz1568/getInfo.php?workbook=08_01.xlsx&amp;sheet=A0&amp;row=205&amp;col=6&amp;number=&amp;sourceID=18","")</f>
        <v/>
      </c>
      <c r="G205" s="4" t="str">
        <f>HYPERLINK("http://141.218.60.56/~jnz1568/getInfo.php?workbook=08_01.xlsx&amp;sheet=A0&amp;row=205&amp;col=7&amp;number==&amp;sourceID=11","=")</f>
        <v>=</v>
      </c>
      <c r="H205" s="4" t="str">
        <f>HYPERLINK("http://141.218.60.56/~jnz1568/getInfo.php?workbook=08_01.xlsx&amp;sheet=A0&amp;row=205&amp;col=8&amp;number=&amp;sourceID=11","")</f>
        <v/>
      </c>
      <c r="I205" s="4" t="str">
        <f>HYPERLINK("http://141.218.60.56/~jnz1568/getInfo.php?workbook=08_01.xlsx&amp;sheet=A0&amp;row=205&amp;col=9&amp;number=6.8e-14&amp;sourceID=11","6.8e-14")</f>
        <v>6.8e-14</v>
      </c>
      <c r="J205" s="4" t="str">
        <f>HYPERLINK("http://141.218.60.56/~jnz1568/getInfo.php?workbook=08_01.xlsx&amp;sheet=A0&amp;row=205&amp;col=10&amp;number=&amp;sourceID=11","")</f>
        <v/>
      </c>
      <c r="K205" s="4" t="str">
        <f>HYPERLINK("http://141.218.60.56/~jnz1568/getInfo.php?workbook=08_01.xlsx&amp;sheet=A0&amp;row=205&amp;col=11&amp;number=0&amp;sourceID=11","0")</f>
        <v>0</v>
      </c>
      <c r="L205" s="4" t="str">
        <f>HYPERLINK("http://141.218.60.56/~jnz1568/getInfo.php?workbook=08_01.xlsx&amp;sheet=A0&amp;row=205&amp;col=12&amp;number=&amp;sourceID=11","")</f>
        <v/>
      </c>
      <c r="M205" s="4" t="str">
        <f>HYPERLINK("http://141.218.60.56/~jnz1568/getInfo.php?workbook=08_01.xlsx&amp;sheet=A0&amp;row=205&amp;col=13&amp;number=0&amp;sourceID=11","0")</f>
        <v>0</v>
      </c>
      <c r="N205" s="4" t="str">
        <f>HYPERLINK("http://141.218.60.56/~jnz1568/getInfo.php?workbook=08_01.xlsx&amp;sheet=A0&amp;row=205&amp;col=14&amp;number=6.8e-14&amp;sourceID=12","6.8e-14")</f>
        <v>6.8e-14</v>
      </c>
      <c r="O205" s="4" t="str">
        <f>HYPERLINK("http://141.218.60.56/~jnz1568/getInfo.php?workbook=08_01.xlsx&amp;sheet=A0&amp;row=205&amp;col=15&amp;number=&amp;sourceID=12","")</f>
        <v/>
      </c>
      <c r="P205" s="4" t="str">
        <f>HYPERLINK("http://141.218.60.56/~jnz1568/getInfo.php?workbook=08_01.xlsx&amp;sheet=A0&amp;row=205&amp;col=16&amp;number=6.8e-14&amp;sourceID=12","6.8e-14")</f>
        <v>6.8e-14</v>
      </c>
      <c r="Q205" s="4" t="str">
        <f>HYPERLINK("http://141.218.60.56/~jnz1568/getInfo.php?workbook=08_01.xlsx&amp;sheet=A0&amp;row=205&amp;col=17&amp;number=&amp;sourceID=12","")</f>
        <v/>
      </c>
      <c r="R205" s="4" t="str">
        <f>HYPERLINK("http://141.218.60.56/~jnz1568/getInfo.php?workbook=08_01.xlsx&amp;sheet=A0&amp;row=205&amp;col=18&amp;number=0&amp;sourceID=12","0")</f>
        <v>0</v>
      </c>
      <c r="S205" s="4" t="str">
        <f>HYPERLINK("http://141.218.60.56/~jnz1568/getInfo.php?workbook=08_01.xlsx&amp;sheet=A0&amp;row=205&amp;col=19&amp;number=&amp;sourceID=12","")</f>
        <v/>
      </c>
      <c r="T205" s="4" t="str">
        <f>HYPERLINK("http://141.218.60.56/~jnz1568/getInfo.php?workbook=08_01.xlsx&amp;sheet=A0&amp;row=205&amp;col=20&amp;number=0&amp;sourceID=12","0")</f>
        <v>0</v>
      </c>
      <c r="U205" s="4" t="str">
        <f>HYPERLINK("http://141.218.60.56/~jnz1568/getInfo.php?workbook=08_01.xlsx&amp;sheet=A0&amp;row=205&amp;col=21&amp;number=6.8e-14&amp;sourceID=30","6.8e-14")</f>
        <v>6.8e-14</v>
      </c>
      <c r="V205" s="4" t="str">
        <f>HYPERLINK("http://141.218.60.56/~jnz1568/getInfo.php?workbook=08_01.xlsx&amp;sheet=A0&amp;row=205&amp;col=22&amp;number=&amp;sourceID=30","")</f>
        <v/>
      </c>
      <c r="W205" s="4" t="str">
        <f>HYPERLINK("http://141.218.60.56/~jnz1568/getInfo.php?workbook=08_01.xlsx&amp;sheet=A0&amp;row=205&amp;col=23&amp;number=6.8e-14&amp;sourceID=30","6.8e-14")</f>
        <v>6.8e-14</v>
      </c>
      <c r="X205" s="4" t="str">
        <f>HYPERLINK("http://141.218.60.56/~jnz1568/getInfo.php?workbook=08_01.xlsx&amp;sheet=A0&amp;row=205&amp;col=24&amp;number=0&amp;sourceID=30","0")</f>
        <v>0</v>
      </c>
      <c r="Y205" s="4" t="str">
        <f>HYPERLINK("http://141.218.60.56/~jnz1568/getInfo.php?workbook=08_01.xlsx&amp;sheet=A0&amp;row=205&amp;col=25&amp;number=&amp;sourceID=30","")</f>
        <v/>
      </c>
      <c r="Z205" s="4" t="str">
        <f>HYPERLINK("http://141.218.60.56/~jnz1568/getInfo.php?workbook=08_01.xlsx&amp;sheet=A0&amp;row=205&amp;col=26&amp;number=&amp;sourceID=13","")</f>
        <v/>
      </c>
      <c r="AA205" s="4" t="str">
        <f>HYPERLINK("http://141.218.60.56/~jnz1568/getInfo.php?workbook=08_01.xlsx&amp;sheet=A0&amp;row=205&amp;col=27&amp;number=&amp;sourceID=13","")</f>
        <v/>
      </c>
      <c r="AB205" s="4" t="str">
        <f>HYPERLINK("http://141.218.60.56/~jnz1568/getInfo.php?workbook=08_01.xlsx&amp;sheet=A0&amp;row=205&amp;col=28&amp;number=&amp;sourceID=13","")</f>
        <v/>
      </c>
      <c r="AC205" s="4" t="str">
        <f>HYPERLINK("http://141.218.60.56/~jnz1568/getInfo.php?workbook=08_01.xlsx&amp;sheet=A0&amp;row=205&amp;col=29&amp;number=&amp;sourceID=13","")</f>
        <v/>
      </c>
      <c r="AD205" s="4" t="str">
        <f>HYPERLINK("http://141.218.60.56/~jnz1568/getInfo.php?workbook=08_01.xlsx&amp;sheet=A0&amp;row=205&amp;col=30&amp;number=&amp;sourceID=13","")</f>
        <v/>
      </c>
      <c r="AE205" s="4" t="str">
        <f>HYPERLINK("http://141.218.60.56/~jnz1568/getInfo.php?workbook=08_01.xlsx&amp;sheet=A0&amp;row=205&amp;col=31&amp;number=&amp;sourceID=13","")</f>
        <v/>
      </c>
      <c r="AF205" s="4" t="str">
        <f>HYPERLINK("http://141.218.60.56/~jnz1568/getInfo.php?workbook=08_01.xlsx&amp;sheet=A0&amp;row=205&amp;col=32&amp;number=&amp;sourceID=20","")</f>
        <v/>
      </c>
    </row>
    <row r="206" spans="1:32">
      <c r="A206" s="3">
        <v>8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HYPERLINK("http://141.218.60.56/~jnz1568/getInfo.php?workbook=08_01.xlsx&amp;sheet=A0&amp;row=206&amp;col=6&amp;number=&amp;sourceID=18","")</f>
        <v/>
      </c>
      <c r="G206" s="4" t="str">
        <f>HYPERLINK("http://141.218.60.56/~jnz1568/getInfo.php?workbook=08_01.xlsx&amp;sheet=A0&amp;row=206&amp;col=7&amp;number==&amp;sourceID=11","=")</f>
        <v>=</v>
      </c>
      <c r="H206" s="4" t="str">
        <f>HYPERLINK("http://141.218.60.56/~jnz1568/getInfo.php?workbook=08_01.xlsx&amp;sheet=A0&amp;row=206&amp;col=8&amp;number=&amp;sourceID=11","")</f>
        <v/>
      </c>
      <c r="I206" s="4" t="str">
        <f>HYPERLINK("http://141.218.60.56/~jnz1568/getInfo.php?workbook=08_01.xlsx&amp;sheet=A0&amp;row=206&amp;col=9&amp;number=48272000&amp;sourceID=11","48272000")</f>
        <v>48272000</v>
      </c>
      <c r="J206" s="4" t="str">
        <f>HYPERLINK("http://141.218.60.56/~jnz1568/getInfo.php?workbook=08_01.xlsx&amp;sheet=A0&amp;row=206&amp;col=10&amp;number=&amp;sourceID=11","")</f>
        <v/>
      </c>
      <c r="K206" s="4" t="str">
        <f>HYPERLINK("http://141.218.60.56/~jnz1568/getInfo.php?workbook=08_01.xlsx&amp;sheet=A0&amp;row=206&amp;col=11&amp;number=&amp;sourceID=11","")</f>
        <v/>
      </c>
      <c r="L206" s="4" t="str">
        <f>HYPERLINK("http://141.218.60.56/~jnz1568/getInfo.php?workbook=08_01.xlsx&amp;sheet=A0&amp;row=206&amp;col=12&amp;number=&amp;sourceID=11","")</f>
        <v/>
      </c>
      <c r="M206" s="4" t="str">
        <f>HYPERLINK("http://141.218.60.56/~jnz1568/getInfo.php?workbook=08_01.xlsx&amp;sheet=A0&amp;row=206&amp;col=13&amp;number=28.765&amp;sourceID=11","28.765")</f>
        <v>28.765</v>
      </c>
      <c r="N206" s="4" t="str">
        <f>HYPERLINK("http://141.218.60.56/~jnz1568/getInfo.php?workbook=08_01.xlsx&amp;sheet=A0&amp;row=206&amp;col=14&amp;number=48274000&amp;sourceID=12","48274000")</f>
        <v>48274000</v>
      </c>
      <c r="O206" s="4" t="str">
        <f>HYPERLINK("http://141.218.60.56/~jnz1568/getInfo.php?workbook=08_01.xlsx&amp;sheet=A0&amp;row=206&amp;col=15&amp;number=&amp;sourceID=12","")</f>
        <v/>
      </c>
      <c r="P206" s="4" t="str">
        <f>HYPERLINK("http://141.218.60.56/~jnz1568/getInfo.php?workbook=08_01.xlsx&amp;sheet=A0&amp;row=206&amp;col=16&amp;number=48274000&amp;sourceID=12","48274000")</f>
        <v>48274000</v>
      </c>
      <c r="Q206" s="4" t="str">
        <f>HYPERLINK("http://141.218.60.56/~jnz1568/getInfo.php?workbook=08_01.xlsx&amp;sheet=A0&amp;row=206&amp;col=17&amp;number=&amp;sourceID=12","")</f>
        <v/>
      </c>
      <c r="R206" s="4" t="str">
        <f>HYPERLINK("http://141.218.60.56/~jnz1568/getInfo.php?workbook=08_01.xlsx&amp;sheet=A0&amp;row=206&amp;col=18&amp;number=&amp;sourceID=12","")</f>
        <v/>
      </c>
      <c r="S206" s="4" t="str">
        <f>HYPERLINK("http://141.218.60.56/~jnz1568/getInfo.php?workbook=08_01.xlsx&amp;sheet=A0&amp;row=206&amp;col=19&amp;number=&amp;sourceID=12","")</f>
        <v/>
      </c>
      <c r="T206" s="4" t="str">
        <f>HYPERLINK("http://141.218.60.56/~jnz1568/getInfo.php?workbook=08_01.xlsx&amp;sheet=A0&amp;row=206&amp;col=20&amp;number=28.766&amp;sourceID=12","28.766")</f>
        <v>28.766</v>
      </c>
      <c r="U206" s="4" t="str">
        <f>HYPERLINK("http://141.218.60.56/~jnz1568/getInfo.php?workbook=08_01.xlsx&amp;sheet=A0&amp;row=206&amp;col=21&amp;number=48270000&amp;sourceID=30","48270000")</f>
        <v>48270000</v>
      </c>
      <c r="V206" s="4" t="str">
        <f>HYPERLINK("http://141.218.60.56/~jnz1568/getInfo.php?workbook=08_01.xlsx&amp;sheet=A0&amp;row=206&amp;col=22&amp;number=&amp;sourceID=30","")</f>
        <v/>
      </c>
      <c r="W206" s="4" t="str">
        <f>HYPERLINK("http://141.218.60.56/~jnz1568/getInfo.php?workbook=08_01.xlsx&amp;sheet=A0&amp;row=206&amp;col=23&amp;number=48270000&amp;sourceID=30","48270000")</f>
        <v>48270000</v>
      </c>
      <c r="X206" s="4" t="str">
        <f>HYPERLINK("http://141.218.60.56/~jnz1568/getInfo.php?workbook=08_01.xlsx&amp;sheet=A0&amp;row=206&amp;col=24&amp;number=&amp;sourceID=30","")</f>
        <v/>
      </c>
      <c r="Y206" s="4" t="str">
        <f>HYPERLINK("http://141.218.60.56/~jnz1568/getInfo.php?workbook=08_01.xlsx&amp;sheet=A0&amp;row=206&amp;col=25&amp;number=&amp;sourceID=30","")</f>
        <v/>
      </c>
      <c r="Z206" s="4" t="str">
        <f>HYPERLINK("http://141.218.60.56/~jnz1568/getInfo.php?workbook=08_01.xlsx&amp;sheet=A0&amp;row=206&amp;col=26&amp;number=&amp;sourceID=13","")</f>
        <v/>
      </c>
      <c r="AA206" s="4" t="str">
        <f>HYPERLINK("http://141.218.60.56/~jnz1568/getInfo.php?workbook=08_01.xlsx&amp;sheet=A0&amp;row=206&amp;col=27&amp;number=&amp;sourceID=13","")</f>
        <v/>
      </c>
      <c r="AB206" s="4" t="str">
        <f>HYPERLINK("http://141.218.60.56/~jnz1568/getInfo.php?workbook=08_01.xlsx&amp;sheet=A0&amp;row=206&amp;col=28&amp;number=&amp;sourceID=13","")</f>
        <v/>
      </c>
      <c r="AC206" s="4" t="str">
        <f>HYPERLINK("http://141.218.60.56/~jnz1568/getInfo.php?workbook=08_01.xlsx&amp;sheet=A0&amp;row=206&amp;col=29&amp;number=&amp;sourceID=13","")</f>
        <v/>
      </c>
      <c r="AD206" s="4" t="str">
        <f>HYPERLINK("http://141.218.60.56/~jnz1568/getInfo.php?workbook=08_01.xlsx&amp;sheet=A0&amp;row=206&amp;col=30&amp;number=&amp;sourceID=13","")</f>
        <v/>
      </c>
      <c r="AE206" s="4" t="str">
        <f>HYPERLINK("http://141.218.60.56/~jnz1568/getInfo.php?workbook=08_01.xlsx&amp;sheet=A0&amp;row=206&amp;col=31&amp;number=&amp;sourceID=13","")</f>
        <v/>
      </c>
      <c r="AF206" s="4" t="str">
        <f>HYPERLINK("http://141.218.60.56/~jnz1568/getInfo.php?workbook=08_01.xlsx&amp;sheet=A0&amp;row=206&amp;col=32&amp;number=&amp;sourceID=20","")</f>
        <v/>
      </c>
    </row>
    <row r="207" spans="1:32">
      <c r="A207" s="3">
        <v>8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HYPERLINK("http://141.218.60.56/~jnz1568/getInfo.php?workbook=08_01.xlsx&amp;sheet=A0&amp;row=207&amp;col=6&amp;number=&amp;sourceID=18","")</f>
        <v/>
      </c>
      <c r="G207" s="4" t="str">
        <f>HYPERLINK("http://141.218.60.56/~jnz1568/getInfo.php?workbook=08_01.xlsx&amp;sheet=A0&amp;row=207&amp;col=7&amp;number==&amp;sourceID=11","=")</f>
        <v>=</v>
      </c>
      <c r="H207" s="4" t="str">
        <f>HYPERLINK("http://141.218.60.56/~jnz1568/getInfo.php?workbook=08_01.xlsx&amp;sheet=A0&amp;row=207&amp;col=8&amp;number=&amp;sourceID=11","")</f>
        <v/>
      </c>
      <c r="I207" s="4" t="str">
        <f>HYPERLINK("http://141.218.60.56/~jnz1568/getInfo.php?workbook=08_01.xlsx&amp;sheet=A0&amp;row=207&amp;col=9&amp;number=&amp;sourceID=11","")</f>
        <v/>
      </c>
      <c r="J207" s="4" t="str">
        <f>HYPERLINK("http://141.218.60.56/~jnz1568/getInfo.php?workbook=08_01.xlsx&amp;sheet=A0&amp;row=207&amp;col=10&amp;number=6.4663&amp;sourceID=11","6.4663")</f>
        <v>6.4663</v>
      </c>
      <c r="K207" s="4" t="str">
        <f>HYPERLINK("http://141.218.60.56/~jnz1568/getInfo.php?workbook=08_01.xlsx&amp;sheet=A0&amp;row=207&amp;col=11&amp;number=&amp;sourceID=11","")</f>
        <v/>
      </c>
      <c r="L207" s="4" t="str">
        <f>HYPERLINK("http://141.218.60.56/~jnz1568/getInfo.php?workbook=08_01.xlsx&amp;sheet=A0&amp;row=207&amp;col=12&amp;number=220.99&amp;sourceID=11","220.99")</f>
        <v>220.99</v>
      </c>
      <c r="M207" s="4" t="str">
        <f>HYPERLINK("http://141.218.60.56/~jnz1568/getInfo.php?workbook=08_01.xlsx&amp;sheet=A0&amp;row=207&amp;col=13&amp;number=&amp;sourceID=11","")</f>
        <v/>
      </c>
      <c r="N207" s="4" t="str">
        <f>HYPERLINK("http://141.218.60.56/~jnz1568/getInfo.php?workbook=08_01.xlsx&amp;sheet=A0&amp;row=207&amp;col=14&amp;number=227.47&amp;sourceID=12","227.47")</f>
        <v>227.47</v>
      </c>
      <c r="O207" s="4" t="str">
        <f>HYPERLINK("http://141.218.60.56/~jnz1568/getInfo.php?workbook=08_01.xlsx&amp;sheet=A0&amp;row=207&amp;col=15&amp;number=&amp;sourceID=12","")</f>
        <v/>
      </c>
      <c r="P207" s="4" t="str">
        <f>HYPERLINK("http://141.218.60.56/~jnz1568/getInfo.php?workbook=08_01.xlsx&amp;sheet=A0&amp;row=207&amp;col=16&amp;number=&amp;sourceID=12","")</f>
        <v/>
      </c>
      <c r="Q207" s="4" t="str">
        <f>HYPERLINK("http://141.218.60.56/~jnz1568/getInfo.php?workbook=08_01.xlsx&amp;sheet=A0&amp;row=207&amp;col=17&amp;number=6.4667&amp;sourceID=12","6.4667")</f>
        <v>6.4667</v>
      </c>
      <c r="R207" s="4" t="str">
        <f>HYPERLINK("http://141.218.60.56/~jnz1568/getInfo.php?workbook=08_01.xlsx&amp;sheet=A0&amp;row=207&amp;col=18&amp;number=&amp;sourceID=12","")</f>
        <v/>
      </c>
      <c r="S207" s="4" t="str">
        <f>HYPERLINK("http://141.218.60.56/~jnz1568/getInfo.php?workbook=08_01.xlsx&amp;sheet=A0&amp;row=207&amp;col=19&amp;number=221&amp;sourceID=12","221")</f>
        <v>221</v>
      </c>
      <c r="T207" s="4" t="str">
        <f>HYPERLINK("http://141.218.60.56/~jnz1568/getInfo.php?workbook=08_01.xlsx&amp;sheet=A0&amp;row=207&amp;col=20&amp;number=&amp;sourceID=12","")</f>
        <v/>
      </c>
      <c r="U207" s="4" t="str">
        <f>HYPERLINK("http://141.218.60.56/~jnz1568/getInfo.php?workbook=08_01.xlsx&amp;sheet=A0&amp;row=207&amp;col=21&amp;number=221&amp;sourceID=30","221")</f>
        <v>221</v>
      </c>
      <c r="V207" s="4" t="str">
        <f>HYPERLINK("http://141.218.60.56/~jnz1568/getInfo.php?workbook=08_01.xlsx&amp;sheet=A0&amp;row=207&amp;col=22&amp;number=&amp;sourceID=30","")</f>
        <v/>
      </c>
      <c r="W207" s="4" t="str">
        <f>HYPERLINK("http://141.218.60.56/~jnz1568/getInfo.php?workbook=08_01.xlsx&amp;sheet=A0&amp;row=207&amp;col=23&amp;number=&amp;sourceID=30","")</f>
        <v/>
      </c>
      <c r="X207" s="4" t="str">
        <f>HYPERLINK("http://141.218.60.56/~jnz1568/getInfo.php?workbook=08_01.xlsx&amp;sheet=A0&amp;row=207&amp;col=24&amp;number=&amp;sourceID=30","")</f>
        <v/>
      </c>
      <c r="Y207" s="4" t="str">
        <f>HYPERLINK("http://141.218.60.56/~jnz1568/getInfo.php?workbook=08_01.xlsx&amp;sheet=A0&amp;row=207&amp;col=25&amp;number=221&amp;sourceID=30","221")</f>
        <v>221</v>
      </c>
      <c r="Z207" s="4" t="str">
        <f>HYPERLINK("http://141.218.60.56/~jnz1568/getInfo.php?workbook=08_01.xlsx&amp;sheet=A0&amp;row=207&amp;col=26&amp;number=&amp;sourceID=13","")</f>
        <v/>
      </c>
      <c r="AA207" s="4" t="str">
        <f>HYPERLINK("http://141.218.60.56/~jnz1568/getInfo.php?workbook=08_01.xlsx&amp;sheet=A0&amp;row=207&amp;col=27&amp;number=&amp;sourceID=13","")</f>
        <v/>
      </c>
      <c r="AB207" s="4" t="str">
        <f>HYPERLINK("http://141.218.60.56/~jnz1568/getInfo.php?workbook=08_01.xlsx&amp;sheet=A0&amp;row=207&amp;col=28&amp;number=&amp;sourceID=13","")</f>
        <v/>
      </c>
      <c r="AC207" s="4" t="str">
        <f>HYPERLINK("http://141.218.60.56/~jnz1568/getInfo.php?workbook=08_01.xlsx&amp;sheet=A0&amp;row=207&amp;col=29&amp;number=&amp;sourceID=13","")</f>
        <v/>
      </c>
      <c r="AD207" s="4" t="str">
        <f>HYPERLINK("http://141.218.60.56/~jnz1568/getInfo.php?workbook=08_01.xlsx&amp;sheet=A0&amp;row=207&amp;col=30&amp;number=&amp;sourceID=13","")</f>
        <v/>
      </c>
      <c r="AE207" s="4" t="str">
        <f>HYPERLINK("http://141.218.60.56/~jnz1568/getInfo.php?workbook=08_01.xlsx&amp;sheet=A0&amp;row=207&amp;col=31&amp;number=&amp;sourceID=13","")</f>
        <v/>
      </c>
      <c r="AF207" s="4" t="str">
        <f>HYPERLINK("http://141.218.60.56/~jnz1568/getInfo.php?workbook=08_01.xlsx&amp;sheet=A0&amp;row=207&amp;col=32&amp;number=&amp;sourceID=20","")</f>
        <v/>
      </c>
    </row>
    <row r="208" spans="1:32">
      <c r="A208" s="3">
        <v>8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HYPERLINK("http://141.218.60.56/~jnz1568/getInfo.php?workbook=08_01.xlsx&amp;sheet=A0&amp;row=208&amp;col=6&amp;number=&amp;sourceID=18","")</f>
        <v/>
      </c>
      <c r="G208" s="4" t="str">
        <f>HYPERLINK("http://141.218.60.56/~jnz1568/getInfo.php?workbook=08_01.xlsx&amp;sheet=A0&amp;row=208&amp;col=7&amp;number==&amp;sourceID=11","=")</f>
        <v>=</v>
      </c>
      <c r="H208" s="4" t="str">
        <f>HYPERLINK("http://141.218.60.56/~jnz1568/getInfo.php?workbook=08_01.xlsx&amp;sheet=A0&amp;row=208&amp;col=8&amp;number=&amp;sourceID=11","")</f>
        <v/>
      </c>
      <c r="I208" s="4" t="str">
        <f>HYPERLINK("http://141.218.60.56/~jnz1568/getInfo.php?workbook=08_01.xlsx&amp;sheet=A0&amp;row=208&amp;col=9&amp;number=257900&amp;sourceID=11","257900")</f>
        <v>257900</v>
      </c>
      <c r="J208" s="4" t="str">
        <f>HYPERLINK("http://141.218.60.56/~jnz1568/getInfo.php?workbook=08_01.xlsx&amp;sheet=A0&amp;row=208&amp;col=10&amp;number=&amp;sourceID=11","")</f>
        <v/>
      </c>
      <c r="K208" s="4" t="str">
        <f>HYPERLINK("http://141.218.60.56/~jnz1568/getInfo.php?workbook=08_01.xlsx&amp;sheet=A0&amp;row=208&amp;col=11&amp;number=&amp;sourceID=11","")</f>
        <v/>
      </c>
      <c r="L208" s="4" t="str">
        <f>HYPERLINK("http://141.218.60.56/~jnz1568/getInfo.php?workbook=08_01.xlsx&amp;sheet=A0&amp;row=208&amp;col=12&amp;number=&amp;sourceID=11","")</f>
        <v/>
      </c>
      <c r="M208" s="4" t="str">
        <f>HYPERLINK("http://141.218.60.56/~jnz1568/getInfo.php?workbook=08_01.xlsx&amp;sheet=A0&amp;row=208&amp;col=13&amp;number=0.0073488&amp;sourceID=11","0.0073488")</f>
        <v>0.0073488</v>
      </c>
      <c r="N208" s="4" t="str">
        <f>HYPERLINK("http://141.218.60.56/~jnz1568/getInfo.php?workbook=08_01.xlsx&amp;sheet=A0&amp;row=208&amp;col=14&amp;number=257910&amp;sourceID=12","257910")</f>
        <v>257910</v>
      </c>
      <c r="O208" s="4" t="str">
        <f>HYPERLINK("http://141.218.60.56/~jnz1568/getInfo.php?workbook=08_01.xlsx&amp;sheet=A0&amp;row=208&amp;col=15&amp;number=&amp;sourceID=12","")</f>
        <v/>
      </c>
      <c r="P208" s="4" t="str">
        <f>HYPERLINK("http://141.218.60.56/~jnz1568/getInfo.php?workbook=08_01.xlsx&amp;sheet=A0&amp;row=208&amp;col=16&amp;number=257910&amp;sourceID=12","257910")</f>
        <v>257910</v>
      </c>
      <c r="Q208" s="4" t="str">
        <f>HYPERLINK("http://141.218.60.56/~jnz1568/getInfo.php?workbook=08_01.xlsx&amp;sheet=A0&amp;row=208&amp;col=17&amp;number=&amp;sourceID=12","")</f>
        <v/>
      </c>
      <c r="R208" s="4" t="str">
        <f>HYPERLINK("http://141.218.60.56/~jnz1568/getInfo.php?workbook=08_01.xlsx&amp;sheet=A0&amp;row=208&amp;col=18&amp;number=&amp;sourceID=12","")</f>
        <v/>
      </c>
      <c r="S208" s="4" t="str">
        <f>HYPERLINK("http://141.218.60.56/~jnz1568/getInfo.php?workbook=08_01.xlsx&amp;sheet=A0&amp;row=208&amp;col=19&amp;number=&amp;sourceID=12","")</f>
        <v/>
      </c>
      <c r="T208" s="4" t="str">
        <f>HYPERLINK("http://141.218.60.56/~jnz1568/getInfo.php?workbook=08_01.xlsx&amp;sheet=A0&amp;row=208&amp;col=20&amp;number=0.007349&amp;sourceID=12","0.007349")</f>
        <v>0.007349</v>
      </c>
      <c r="U208" s="4" t="str">
        <f>HYPERLINK("http://141.218.60.56/~jnz1568/getInfo.php?workbook=08_01.xlsx&amp;sheet=A0&amp;row=208&amp;col=21&amp;number=257900&amp;sourceID=30","257900")</f>
        <v>257900</v>
      </c>
      <c r="V208" s="4" t="str">
        <f>HYPERLINK("http://141.218.60.56/~jnz1568/getInfo.php?workbook=08_01.xlsx&amp;sheet=A0&amp;row=208&amp;col=22&amp;number=&amp;sourceID=30","")</f>
        <v/>
      </c>
      <c r="W208" s="4" t="str">
        <f>HYPERLINK("http://141.218.60.56/~jnz1568/getInfo.php?workbook=08_01.xlsx&amp;sheet=A0&amp;row=208&amp;col=23&amp;number=257900&amp;sourceID=30","257900")</f>
        <v>257900</v>
      </c>
      <c r="X208" s="4" t="str">
        <f>HYPERLINK("http://141.218.60.56/~jnz1568/getInfo.php?workbook=08_01.xlsx&amp;sheet=A0&amp;row=208&amp;col=24&amp;number=&amp;sourceID=30","")</f>
        <v/>
      </c>
      <c r="Y208" s="4" t="str">
        <f>HYPERLINK("http://141.218.60.56/~jnz1568/getInfo.php?workbook=08_01.xlsx&amp;sheet=A0&amp;row=208&amp;col=25&amp;number=&amp;sourceID=30","")</f>
        <v/>
      </c>
      <c r="Z208" s="4" t="str">
        <f>HYPERLINK("http://141.218.60.56/~jnz1568/getInfo.php?workbook=08_01.xlsx&amp;sheet=A0&amp;row=208&amp;col=26&amp;number=&amp;sourceID=13","")</f>
        <v/>
      </c>
      <c r="AA208" s="4" t="str">
        <f>HYPERLINK("http://141.218.60.56/~jnz1568/getInfo.php?workbook=08_01.xlsx&amp;sheet=A0&amp;row=208&amp;col=27&amp;number=&amp;sourceID=13","")</f>
        <v/>
      </c>
      <c r="AB208" s="4" t="str">
        <f>HYPERLINK("http://141.218.60.56/~jnz1568/getInfo.php?workbook=08_01.xlsx&amp;sheet=A0&amp;row=208&amp;col=28&amp;number=&amp;sourceID=13","")</f>
        <v/>
      </c>
      <c r="AC208" s="4" t="str">
        <f>HYPERLINK("http://141.218.60.56/~jnz1568/getInfo.php?workbook=08_01.xlsx&amp;sheet=A0&amp;row=208&amp;col=29&amp;number=&amp;sourceID=13","")</f>
        <v/>
      </c>
      <c r="AD208" s="4" t="str">
        <f>HYPERLINK("http://141.218.60.56/~jnz1568/getInfo.php?workbook=08_01.xlsx&amp;sheet=A0&amp;row=208&amp;col=30&amp;number=&amp;sourceID=13","")</f>
        <v/>
      </c>
      <c r="AE208" s="4" t="str">
        <f>HYPERLINK("http://141.218.60.56/~jnz1568/getInfo.php?workbook=08_01.xlsx&amp;sheet=A0&amp;row=208&amp;col=31&amp;number=&amp;sourceID=13","")</f>
        <v/>
      </c>
      <c r="AF208" s="4" t="str">
        <f>HYPERLINK("http://141.218.60.56/~jnz1568/getInfo.php?workbook=08_01.xlsx&amp;sheet=A0&amp;row=208&amp;col=32&amp;number=&amp;sourceID=20","")</f>
        <v/>
      </c>
    </row>
    <row r="209" spans="1:32">
      <c r="A209" s="3">
        <v>8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HYPERLINK("http://141.218.60.56/~jnz1568/getInfo.php?workbook=08_01.xlsx&amp;sheet=A0&amp;row=209&amp;col=6&amp;number=&amp;sourceID=18","")</f>
        <v/>
      </c>
      <c r="G209" s="4" t="str">
        <f>HYPERLINK("http://141.218.60.56/~jnz1568/getInfo.php?workbook=08_01.xlsx&amp;sheet=A0&amp;row=209&amp;col=7&amp;number==&amp;sourceID=11","=")</f>
        <v>=</v>
      </c>
      <c r="H209" s="4" t="str">
        <f>HYPERLINK("http://141.218.60.56/~jnz1568/getInfo.php?workbook=08_01.xlsx&amp;sheet=A0&amp;row=209&amp;col=8&amp;number=38626000000&amp;sourceID=11","38626000000")</f>
        <v>38626000000</v>
      </c>
      <c r="I209" s="4" t="str">
        <f>HYPERLINK("http://141.218.60.56/~jnz1568/getInfo.php?workbook=08_01.xlsx&amp;sheet=A0&amp;row=209&amp;col=9&amp;number=&amp;sourceID=11","")</f>
        <v/>
      </c>
      <c r="J209" s="4" t="str">
        <f>HYPERLINK("http://141.218.60.56/~jnz1568/getInfo.php?workbook=08_01.xlsx&amp;sheet=A0&amp;row=209&amp;col=10&amp;number=5.263&amp;sourceID=11","5.263")</f>
        <v>5.263</v>
      </c>
      <c r="K209" s="4" t="str">
        <f>HYPERLINK("http://141.218.60.56/~jnz1568/getInfo.php?workbook=08_01.xlsx&amp;sheet=A0&amp;row=209&amp;col=11&amp;number=&amp;sourceID=11","")</f>
        <v/>
      </c>
      <c r="L209" s="4" t="str">
        <f>HYPERLINK("http://141.218.60.56/~jnz1568/getInfo.php?workbook=08_01.xlsx&amp;sheet=A0&amp;row=209&amp;col=12&amp;number=1202&amp;sourceID=11","1202")</f>
        <v>1202</v>
      </c>
      <c r="M209" s="4" t="str">
        <f>HYPERLINK("http://141.218.60.56/~jnz1568/getInfo.php?workbook=08_01.xlsx&amp;sheet=A0&amp;row=209&amp;col=13&amp;number=&amp;sourceID=11","")</f>
        <v/>
      </c>
      <c r="N209" s="4" t="str">
        <f>HYPERLINK("http://141.218.60.56/~jnz1568/getInfo.php?workbook=08_01.xlsx&amp;sheet=A0&amp;row=209&amp;col=14&amp;number=38627000000&amp;sourceID=12","38627000000")</f>
        <v>38627000000</v>
      </c>
      <c r="O209" s="4" t="str">
        <f>HYPERLINK("http://141.218.60.56/~jnz1568/getInfo.php?workbook=08_01.xlsx&amp;sheet=A0&amp;row=209&amp;col=15&amp;number=38627000000&amp;sourceID=12","38627000000")</f>
        <v>38627000000</v>
      </c>
      <c r="P209" s="4" t="str">
        <f>HYPERLINK("http://141.218.60.56/~jnz1568/getInfo.php?workbook=08_01.xlsx&amp;sheet=A0&amp;row=209&amp;col=16&amp;number=&amp;sourceID=12","")</f>
        <v/>
      </c>
      <c r="Q209" s="4" t="str">
        <f>HYPERLINK("http://141.218.60.56/~jnz1568/getInfo.php?workbook=08_01.xlsx&amp;sheet=A0&amp;row=209&amp;col=17&amp;number=5.2633&amp;sourceID=12","5.2633")</f>
        <v>5.2633</v>
      </c>
      <c r="R209" s="4" t="str">
        <f>HYPERLINK("http://141.218.60.56/~jnz1568/getInfo.php?workbook=08_01.xlsx&amp;sheet=A0&amp;row=209&amp;col=18&amp;number=&amp;sourceID=12","")</f>
        <v/>
      </c>
      <c r="S209" s="4" t="str">
        <f>HYPERLINK("http://141.218.60.56/~jnz1568/getInfo.php?workbook=08_01.xlsx&amp;sheet=A0&amp;row=209&amp;col=19&amp;number=1202.1&amp;sourceID=12","1202.1")</f>
        <v>1202.1</v>
      </c>
      <c r="T209" s="4" t="str">
        <f>HYPERLINK("http://141.218.60.56/~jnz1568/getInfo.php?workbook=08_01.xlsx&amp;sheet=A0&amp;row=209&amp;col=20&amp;number=&amp;sourceID=12","")</f>
        <v/>
      </c>
      <c r="U209" s="4" t="str">
        <f>HYPERLINK("http://141.218.60.56/~jnz1568/getInfo.php?workbook=08_01.xlsx&amp;sheet=A0&amp;row=209&amp;col=21&amp;number=38630001202&amp;sourceID=30","38630001202")</f>
        <v>38630001202</v>
      </c>
      <c r="V209" s="4" t="str">
        <f>HYPERLINK("http://141.218.60.56/~jnz1568/getInfo.php?workbook=08_01.xlsx&amp;sheet=A0&amp;row=209&amp;col=22&amp;number=38630000000&amp;sourceID=30","38630000000")</f>
        <v>38630000000</v>
      </c>
      <c r="W209" s="4" t="str">
        <f>HYPERLINK("http://141.218.60.56/~jnz1568/getInfo.php?workbook=08_01.xlsx&amp;sheet=A0&amp;row=209&amp;col=23&amp;number=&amp;sourceID=30","")</f>
        <v/>
      </c>
      <c r="X209" s="4" t="str">
        <f>HYPERLINK("http://141.218.60.56/~jnz1568/getInfo.php?workbook=08_01.xlsx&amp;sheet=A0&amp;row=209&amp;col=24&amp;number=&amp;sourceID=30","")</f>
        <v/>
      </c>
      <c r="Y209" s="4" t="str">
        <f>HYPERLINK("http://141.218.60.56/~jnz1568/getInfo.php?workbook=08_01.xlsx&amp;sheet=A0&amp;row=209&amp;col=25&amp;number=1202&amp;sourceID=30","1202")</f>
        <v>1202</v>
      </c>
      <c r="Z209" s="4" t="str">
        <f>HYPERLINK("http://141.218.60.56/~jnz1568/getInfo.php?workbook=08_01.xlsx&amp;sheet=A0&amp;row=209&amp;col=26&amp;number=&amp;sourceID=13","")</f>
        <v/>
      </c>
      <c r="AA209" s="4" t="str">
        <f>HYPERLINK("http://141.218.60.56/~jnz1568/getInfo.php?workbook=08_01.xlsx&amp;sheet=A0&amp;row=209&amp;col=27&amp;number=&amp;sourceID=13","")</f>
        <v/>
      </c>
      <c r="AB209" s="4" t="str">
        <f>HYPERLINK("http://141.218.60.56/~jnz1568/getInfo.php?workbook=08_01.xlsx&amp;sheet=A0&amp;row=209&amp;col=28&amp;number=&amp;sourceID=13","")</f>
        <v/>
      </c>
      <c r="AC209" s="4" t="str">
        <f>HYPERLINK("http://141.218.60.56/~jnz1568/getInfo.php?workbook=08_01.xlsx&amp;sheet=A0&amp;row=209&amp;col=29&amp;number=&amp;sourceID=13","")</f>
        <v/>
      </c>
      <c r="AD209" s="4" t="str">
        <f>HYPERLINK("http://141.218.60.56/~jnz1568/getInfo.php?workbook=08_01.xlsx&amp;sheet=A0&amp;row=209&amp;col=30&amp;number=&amp;sourceID=13","")</f>
        <v/>
      </c>
      <c r="AE209" s="4" t="str">
        <f>HYPERLINK("http://141.218.60.56/~jnz1568/getInfo.php?workbook=08_01.xlsx&amp;sheet=A0&amp;row=209&amp;col=31&amp;number=&amp;sourceID=13","")</f>
        <v/>
      </c>
      <c r="AF209" s="4" t="str">
        <f>HYPERLINK("http://141.218.60.56/~jnz1568/getInfo.php?workbook=08_01.xlsx&amp;sheet=A0&amp;row=209&amp;col=32&amp;number=&amp;sourceID=20","")</f>
        <v/>
      </c>
    </row>
    <row r="210" spans="1:32">
      <c r="A210" s="3">
        <v>8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HYPERLINK("http://141.218.60.56/~jnz1568/getInfo.php?workbook=08_01.xlsx&amp;sheet=A0&amp;row=210&amp;col=6&amp;number=&amp;sourceID=18","")</f>
        <v/>
      </c>
      <c r="G210" s="4" t="str">
        <f>HYPERLINK("http://141.218.60.56/~jnz1568/getInfo.php?workbook=08_01.xlsx&amp;sheet=A0&amp;row=210&amp;col=7&amp;number==&amp;sourceID=11","=")</f>
        <v>=</v>
      </c>
      <c r="H210" s="4" t="str">
        <f>HYPERLINK("http://141.218.60.56/~jnz1568/getInfo.php?workbook=08_01.xlsx&amp;sheet=A0&amp;row=210&amp;col=8&amp;number=&amp;sourceID=11","")</f>
        <v/>
      </c>
      <c r="I210" s="4" t="str">
        <f>HYPERLINK("http://141.218.60.56/~jnz1568/getInfo.php?workbook=08_01.xlsx&amp;sheet=A0&amp;row=210&amp;col=9&amp;number=&amp;sourceID=11","")</f>
        <v/>
      </c>
      <c r="J210" s="4" t="str">
        <f>HYPERLINK("http://141.218.60.56/~jnz1568/getInfo.php?workbook=08_01.xlsx&amp;sheet=A0&amp;row=210&amp;col=10&amp;number=0.7187&amp;sourceID=11","0.7187")</f>
        <v>0.7187</v>
      </c>
      <c r="K210" s="4" t="str">
        <f>HYPERLINK("http://141.218.60.56/~jnz1568/getInfo.php?workbook=08_01.xlsx&amp;sheet=A0&amp;row=210&amp;col=11&amp;number=&amp;sourceID=11","")</f>
        <v/>
      </c>
      <c r="L210" s="4" t="str">
        <f>HYPERLINK("http://141.218.60.56/~jnz1568/getInfo.php?workbook=08_01.xlsx&amp;sheet=A0&amp;row=210&amp;col=12&amp;number=9.1004&amp;sourceID=11","9.1004")</f>
        <v>9.1004</v>
      </c>
      <c r="M210" s="4" t="str">
        <f>HYPERLINK("http://141.218.60.56/~jnz1568/getInfo.php?workbook=08_01.xlsx&amp;sheet=A0&amp;row=210&amp;col=13&amp;number=&amp;sourceID=11","")</f>
        <v/>
      </c>
      <c r="N210" s="4" t="str">
        <f>HYPERLINK("http://141.218.60.56/~jnz1568/getInfo.php?workbook=08_01.xlsx&amp;sheet=A0&amp;row=210&amp;col=14&amp;number=9.8194&amp;sourceID=12","9.8194")</f>
        <v>9.8194</v>
      </c>
      <c r="O210" s="4" t="str">
        <f>HYPERLINK("http://141.218.60.56/~jnz1568/getInfo.php?workbook=08_01.xlsx&amp;sheet=A0&amp;row=210&amp;col=15&amp;number=&amp;sourceID=12","")</f>
        <v/>
      </c>
      <c r="P210" s="4" t="str">
        <f>HYPERLINK("http://141.218.60.56/~jnz1568/getInfo.php?workbook=08_01.xlsx&amp;sheet=A0&amp;row=210&amp;col=16&amp;number=&amp;sourceID=12","")</f>
        <v/>
      </c>
      <c r="Q210" s="4" t="str">
        <f>HYPERLINK("http://141.218.60.56/~jnz1568/getInfo.php?workbook=08_01.xlsx&amp;sheet=A0&amp;row=210&amp;col=17&amp;number=0.71872&amp;sourceID=12","0.71872")</f>
        <v>0.71872</v>
      </c>
      <c r="R210" s="4" t="str">
        <f>HYPERLINK("http://141.218.60.56/~jnz1568/getInfo.php?workbook=08_01.xlsx&amp;sheet=A0&amp;row=210&amp;col=18&amp;number=&amp;sourceID=12","")</f>
        <v/>
      </c>
      <c r="S210" s="4" t="str">
        <f>HYPERLINK("http://141.218.60.56/~jnz1568/getInfo.php?workbook=08_01.xlsx&amp;sheet=A0&amp;row=210&amp;col=19&amp;number=9.1007&amp;sourceID=12","9.1007")</f>
        <v>9.1007</v>
      </c>
      <c r="T210" s="4" t="str">
        <f>HYPERLINK("http://141.218.60.56/~jnz1568/getInfo.php?workbook=08_01.xlsx&amp;sheet=A0&amp;row=210&amp;col=20&amp;number=&amp;sourceID=12","")</f>
        <v/>
      </c>
      <c r="U210" s="4" t="str">
        <f>HYPERLINK("http://141.218.60.56/~jnz1568/getInfo.php?workbook=08_01.xlsx&amp;sheet=A0&amp;row=210&amp;col=21&amp;number=9.101&amp;sourceID=30","9.101")</f>
        <v>9.101</v>
      </c>
      <c r="V210" s="4" t="str">
        <f>HYPERLINK("http://141.218.60.56/~jnz1568/getInfo.php?workbook=08_01.xlsx&amp;sheet=A0&amp;row=210&amp;col=22&amp;number=&amp;sourceID=30","")</f>
        <v/>
      </c>
      <c r="W210" s="4" t="str">
        <f>HYPERLINK("http://141.218.60.56/~jnz1568/getInfo.php?workbook=08_01.xlsx&amp;sheet=A0&amp;row=210&amp;col=23&amp;number=&amp;sourceID=30","")</f>
        <v/>
      </c>
      <c r="X210" s="4" t="str">
        <f>HYPERLINK("http://141.218.60.56/~jnz1568/getInfo.php?workbook=08_01.xlsx&amp;sheet=A0&amp;row=210&amp;col=24&amp;number=&amp;sourceID=30","")</f>
        <v/>
      </c>
      <c r="Y210" s="4" t="str">
        <f>HYPERLINK("http://141.218.60.56/~jnz1568/getInfo.php?workbook=08_01.xlsx&amp;sheet=A0&amp;row=210&amp;col=25&amp;number=9.101&amp;sourceID=30","9.101")</f>
        <v>9.101</v>
      </c>
      <c r="Z210" s="4" t="str">
        <f>HYPERLINK("http://141.218.60.56/~jnz1568/getInfo.php?workbook=08_01.xlsx&amp;sheet=A0&amp;row=210&amp;col=26&amp;number=&amp;sourceID=13","")</f>
        <v/>
      </c>
      <c r="AA210" s="4" t="str">
        <f>HYPERLINK("http://141.218.60.56/~jnz1568/getInfo.php?workbook=08_01.xlsx&amp;sheet=A0&amp;row=210&amp;col=27&amp;number=&amp;sourceID=13","")</f>
        <v/>
      </c>
      <c r="AB210" s="4" t="str">
        <f>HYPERLINK("http://141.218.60.56/~jnz1568/getInfo.php?workbook=08_01.xlsx&amp;sheet=A0&amp;row=210&amp;col=28&amp;number=&amp;sourceID=13","")</f>
        <v/>
      </c>
      <c r="AC210" s="4" t="str">
        <f>HYPERLINK("http://141.218.60.56/~jnz1568/getInfo.php?workbook=08_01.xlsx&amp;sheet=A0&amp;row=210&amp;col=29&amp;number=&amp;sourceID=13","")</f>
        <v/>
      </c>
      <c r="AD210" s="4" t="str">
        <f>HYPERLINK("http://141.218.60.56/~jnz1568/getInfo.php?workbook=08_01.xlsx&amp;sheet=A0&amp;row=210&amp;col=30&amp;number=&amp;sourceID=13","")</f>
        <v/>
      </c>
      <c r="AE210" s="4" t="str">
        <f>HYPERLINK("http://141.218.60.56/~jnz1568/getInfo.php?workbook=08_01.xlsx&amp;sheet=A0&amp;row=210&amp;col=31&amp;number=&amp;sourceID=13","")</f>
        <v/>
      </c>
      <c r="AF210" s="4" t="str">
        <f>HYPERLINK("http://141.218.60.56/~jnz1568/getInfo.php?workbook=08_01.xlsx&amp;sheet=A0&amp;row=210&amp;col=32&amp;number=&amp;sourceID=20","")</f>
        <v/>
      </c>
    </row>
    <row r="211" spans="1:32">
      <c r="A211" s="3">
        <v>8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HYPERLINK("http://141.218.60.56/~jnz1568/getInfo.php?workbook=08_01.xlsx&amp;sheet=A0&amp;row=211&amp;col=6&amp;number=&amp;sourceID=18","")</f>
        <v/>
      </c>
      <c r="G211" s="4" t="str">
        <f>HYPERLINK("http://141.218.60.56/~jnz1568/getInfo.php?workbook=08_01.xlsx&amp;sheet=A0&amp;row=211&amp;col=7&amp;number==&amp;sourceID=11","=")</f>
        <v>=</v>
      </c>
      <c r="H211" s="4" t="str">
        <f>HYPERLINK("http://141.218.60.56/~jnz1568/getInfo.php?workbook=08_01.xlsx&amp;sheet=A0&amp;row=211&amp;col=8&amp;number=&amp;sourceID=11","")</f>
        <v/>
      </c>
      <c r="I211" s="4" t="str">
        <f>HYPERLINK("http://141.218.60.56/~jnz1568/getInfo.php?workbook=08_01.xlsx&amp;sheet=A0&amp;row=211&amp;col=9&amp;number=286870&amp;sourceID=11","286870")</f>
        <v>286870</v>
      </c>
      <c r="J211" s="4" t="str">
        <f>HYPERLINK("http://141.218.60.56/~jnz1568/getInfo.php?workbook=08_01.xlsx&amp;sheet=A0&amp;row=211&amp;col=10&amp;number=&amp;sourceID=11","")</f>
        <v/>
      </c>
      <c r="K211" s="4" t="str">
        <f>HYPERLINK("http://141.218.60.56/~jnz1568/getInfo.php?workbook=08_01.xlsx&amp;sheet=A0&amp;row=211&amp;col=11&amp;number=&amp;sourceID=11","")</f>
        <v/>
      </c>
      <c r="L211" s="4" t="str">
        <f>HYPERLINK("http://141.218.60.56/~jnz1568/getInfo.php?workbook=08_01.xlsx&amp;sheet=A0&amp;row=211&amp;col=12&amp;number=&amp;sourceID=11","")</f>
        <v/>
      </c>
      <c r="M211" s="4" t="str">
        <f>HYPERLINK("http://141.218.60.56/~jnz1568/getInfo.php?workbook=08_01.xlsx&amp;sheet=A0&amp;row=211&amp;col=13&amp;number=0.00093829&amp;sourceID=11","0.00093829")</f>
        <v>0.00093829</v>
      </c>
      <c r="N211" s="4" t="str">
        <f>HYPERLINK("http://141.218.60.56/~jnz1568/getInfo.php?workbook=08_01.xlsx&amp;sheet=A0&amp;row=211&amp;col=14&amp;number=286880&amp;sourceID=12","286880")</f>
        <v>286880</v>
      </c>
      <c r="O211" s="4" t="str">
        <f>HYPERLINK("http://141.218.60.56/~jnz1568/getInfo.php?workbook=08_01.xlsx&amp;sheet=A0&amp;row=211&amp;col=15&amp;number=&amp;sourceID=12","")</f>
        <v/>
      </c>
      <c r="P211" s="4" t="str">
        <f>HYPERLINK("http://141.218.60.56/~jnz1568/getInfo.php?workbook=08_01.xlsx&amp;sheet=A0&amp;row=211&amp;col=16&amp;number=286880&amp;sourceID=12","286880")</f>
        <v>286880</v>
      </c>
      <c r="Q211" s="4" t="str">
        <f>HYPERLINK("http://141.218.60.56/~jnz1568/getInfo.php?workbook=08_01.xlsx&amp;sheet=A0&amp;row=211&amp;col=17&amp;number=&amp;sourceID=12","")</f>
        <v/>
      </c>
      <c r="R211" s="4" t="str">
        <f>HYPERLINK("http://141.218.60.56/~jnz1568/getInfo.php?workbook=08_01.xlsx&amp;sheet=A0&amp;row=211&amp;col=18&amp;number=&amp;sourceID=12","")</f>
        <v/>
      </c>
      <c r="S211" s="4" t="str">
        <f>HYPERLINK("http://141.218.60.56/~jnz1568/getInfo.php?workbook=08_01.xlsx&amp;sheet=A0&amp;row=211&amp;col=19&amp;number=&amp;sourceID=12","")</f>
        <v/>
      </c>
      <c r="T211" s="4" t="str">
        <f>HYPERLINK("http://141.218.60.56/~jnz1568/getInfo.php?workbook=08_01.xlsx&amp;sheet=A0&amp;row=211&amp;col=20&amp;number=0.00093832&amp;sourceID=12","0.00093832")</f>
        <v>0.00093832</v>
      </c>
      <c r="U211" s="4" t="str">
        <f>HYPERLINK("http://141.218.60.56/~jnz1568/getInfo.php?workbook=08_01.xlsx&amp;sheet=A0&amp;row=211&amp;col=21&amp;number=286900&amp;sourceID=30","286900")</f>
        <v>286900</v>
      </c>
      <c r="V211" s="4" t="str">
        <f>HYPERLINK("http://141.218.60.56/~jnz1568/getInfo.php?workbook=08_01.xlsx&amp;sheet=A0&amp;row=211&amp;col=22&amp;number=&amp;sourceID=30","")</f>
        <v/>
      </c>
      <c r="W211" s="4" t="str">
        <f>HYPERLINK("http://141.218.60.56/~jnz1568/getInfo.php?workbook=08_01.xlsx&amp;sheet=A0&amp;row=211&amp;col=23&amp;number=286900&amp;sourceID=30","286900")</f>
        <v>286900</v>
      </c>
      <c r="X211" s="4" t="str">
        <f>HYPERLINK("http://141.218.60.56/~jnz1568/getInfo.php?workbook=08_01.xlsx&amp;sheet=A0&amp;row=211&amp;col=24&amp;number=&amp;sourceID=30","")</f>
        <v/>
      </c>
      <c r="Y211" s="4" t="str">
        <f>HYPERLINK("http://141.218.60.56/~jnz1568/getInfo.php?workbook=08_01.xlsx&amp;sheet=A0&amp;row=211&amp;col=25&amp;number=&amp;sourceID=30","")</f>
        <v/>
      </c>
      <c r="Z211" s="4" t="str">
        <f>HYPERLINK("http://141.218.60.56/~jnz1568/getInfo.php?workbook=08_01.xlsx&amp;sheet=A0&amp;row=211&amp;col=26&amp;number=&amp;sourceID=13","")</f>
        <v/>
      </c>
      <c r="AA211" s="4" t="str">
        <f>HYPERLINK("http://141.218.60.56/~jnz1568/getInfo.php?workbook=08_01.xlsx&amp;sheet=A0&amp;row=211&amp;col=27&amp;number=&amp;sourceID=13","")</f>
        <v/>
      </c>
      <c r="AB211" s="4" t="str">
        <f>HYPERLINK("http://141.218.60.56/~jnz1568/getInfo.php?workbook=08_01.xlsx&amp;sheet=A0&amp;row=211&amp;col=28&amp;number=&amp;sourceID=13","")</f>
        <v/>
      </c>
      <c r="AC211" s="4" t="str">
        <f>HYPERLINK("http://141.218.60.56/~jnz1568/getInfo.php?workbook=08_01.xlsx&amp;sheet=A0&amp;row=211&amp;col=29&amp;number=&amp;sourceID=13","")</f>
        <v/>
      </c>
      <c r="AD211" s="4" t="str">
        <f>HYPERLINK("http://141.218.60.56/~jnz1568/getInfo.php?workbook=08_01.xlsx&amp;sheet=A0&amp;row=211&amp;col=30&amp;number=&amp;sourceID=13","")</f>
        <v/>
      </c>
      <c r="AE211" s="4" t="str">
        <f>HYPERLINK("http://141.218.60.56/~jnz1568/getInfo.php?workbook=08_01.xlsx&amp;sheet=A0&amp;row=211&amp;col=31&amp;number=&amp;sourceID=13","")</f>
        <v/>
      </c>
      <c r="AF211" s="4" t="str">
        <f>HYPERLINK("http://141.218.60.56/~jnz1568/getInfo.php?workbook=08_01.xlsx&amp;sheet=A0&amp;row=211&amp;col=32&amp;number=&amp;sourceID=20","")</f>
        <v/>
      </c>
    </row>
    <row r="212" spans="1:32">
      <c r="A212" s="3">
        <v>8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HYPERLINK("http://141.218.60.56/~jnz1568/getInfo.php?workbook=08_01.xlsx&amp;sheet=A0&amp;row=212&amp;col=6&amp;number=&amp;sourceID=18","")</f>
        <v/>
      </c>
      <c r="G212" s="4" t="str">
        <f>HYPERLINK("http://141.218.60.56/~jnz1568/getInfo.php?workbook=08_01.xlsx&amp;sheet=A0&amp;row=212&amp;col=7&amp;number==&amp;sourceID=11","=")</f>
        <v>=</v>
      </c>
      <c r="H212" s="4" t="str">
        <f>HYPERLINK("http://141.218.60.56/~jnz1568/getInfo.php?workbook=08_01.xlsx&amp;sheet=A0&amp;row=212&amp;col=8&amp;number=&amp;sourceID=11","")</f>
        <v/>
      </c>
      <c r="I212" s="4" t="str">
        <f>HYPERLINK("http://141.218.60.56/~jnz1568/getInfo.php?workbook=08_01.xlsx&amp;sheet=A0&amp;row=212&amp;col=9&amp;number=30089&amp;sourceID=11","30089")</f>
        <v>30089</v>
      </c>
      <c r="J212" s="4" t="str">
        <f>HYPERLINK("http://141.218.60.56/~jnz1568/getInfo.php?workbook=08_01.xlsx&amp;sheet=A0&amp;row=212&amp;col=10&amp;number=&amp;sourceID=11","")</f>
        <v/>
      </c>
      <c r="K212" s="4" t="str">
        <f>HYPERLINK("http://141.218.60.56/~jnz1568/getInfo.php?workbook=08_01.xlsx&amp;sheet=A0&amp;row=212&amp;col=11&amp;number=0.0092131&amp;sourceID=11","0.0092131")</f>
        <v>0.0092131</v>
      </c>
      <c r="L212" s="4" t="str">
        <f>HYPERLINK("http://141.218.60.56/~jnz1568/getInfo.php?workbook=08_01.xlsx&amp;sheet=A0&amp;row=212&amp;col=12&amp;number=&amp;sourceID=11","")</f>
        <v/>
      </c>
      <c r="M212" s="4" t="str">
        <f>HYPERLINK("http://141.218.60.56/~jnz1568/getInfo.php?workbook=08_01.xlsx&amp;sheet=A0&amp;row=212&amp;col=13&amp;number=5.6143e-06&amp;sourceID=11","5.6143e-06")</f>
        <v>5.6143e-06</v>
      </c>
      <c r="N212" s="4" t="str">
        <f>HYPERLINK("http://141.218.60.56/~jnz1568/getInfo.php?workbook=08_01.xlsx&amp;sheet=A0&amp;row=212&amp;col=14&amp;number=30090&amp;sourceID=12","30090")</f>
        <v>30090</v>
      </c>
      <c r="O212" s="4" t="str">
        <f>HYPERLINK("http://141.218.60.56/~jnz1568/getInfo.php?workbook=08_01.xlsx&amp;sheet=A0&amp;row=212&amp;col=15&amp;number=&amp;sourceID=12","")</f>
        <v/>
      </c>
      <c r="P212" s="4" t="str">
        <f>HYPERLINK("http://141.218.60.56/~jnz1568/getInfo.php?workbook=08_01.xlsx&amp;sheet=A0&amp;row=212&amp;col=16&amp;number=30090&amp;sourceID=12","30090")</f>
        <v>30090</v>
      </c>
      <c r="Q212" s="4" t="str">
        <f>HYPERLINK("http://141.218.60.56/~jnz1568/getInfo.php?workbook=08_01.xlsx&amp;sheet=A0&amp;row=212&amp;col=17&amp;number=&amp;sourceID=12","")</f>
        <v/>
      </c>
      <c r="R212" s="4" t="str">
        <f>HYPERLINK("http://141.218.60.56/~jnz1568/getInfo.php?workbook=08_01.xlsx&amp;sheet=A0&amp;row=212&amp;col=18&amp;number=0.0092135&amp;sourceID=12","0.0092135")</f>
        <v>0.0092135</v>
      </c>
      <c r="S212" s="4" t="str">
        <f>HYPERLINK("http://141.218.60.56/~jnz1568/getInfo.php?workbook=08_01.xlsx&amp;sheet=A0&amp;row=212&amp;col=19&amp;number=&amp;sourceID=12","")</f>
        <v/>
      </c>
      <c r="T212" s="4" t="str">
        <f>HYPERLINK("http://141.218.60.56/~jnz1568/getInfo.php?workbook=08_01.xlsx&amp;sheet=A0&amp;row=212&amp;col=20&amp;number=5.6144e-06&amp;sourceID=12","5.6144e-06")</f>
        <v>5.6144e-06</v>
      </c>
      <c r="U212" s="4" t="str">
        <f>HYPERLINK("http://141.218.60.56/~jnz1568/getInfo.php?workbook=08_01.xlsx&amp;sheet=A0&amp;row=212&amp;col=21&amp;number=30090.009216&amp;sourceID=30","30090.009216")</f>
        <v>30090.009216</v>
      </c>
      <c r="V212" s="4" t="str">
        <f>HYPERLINK("http://141.218.60.56/~jnz1568/getInfo.php?workbook=08_01.xlsx&amp;sheet=A0&amp;row=212&amp;col=22&amp;number=&amp;sourceID=30","")</f>
        <v/>
      </c>
      <c r="W212" s="4" t="str">
        <f>HYPERLINK("http://141.218.60.56/~jnz1568/getInfo.php?workbook=08_01.xlsx&amp;sheet=A0&amp;row=212&amp;col=23&amp;number=30090&amp;sourceID=30","30090")</f>
        <v>30090</v>
      </c>
      <c r="X212" s="4" t="str">
        <f>HYPERLINK("http://141.218.60.56/~jnz1568/getInfo.php?workbook=08_01.xlsx&amp;sheet=A0&amp;row=212&amp;col=24&amp;number=0.009216&amp;sourceID=30","0.009216")</f>
        <v>0.009216</v>
      </c>
      <c r="Y212" s="4" t="str">
        <f>HYPERLINK("http://141.218.60.56/~jnz1568/getInfo.php?workbook=08_01.xlsx&amp;sheet=A0&amp;row=212&amp;col=25&amp;number=&amp;sourceID=30","")</f>
        <v/>
      </c>
      <c r="Z212" s="4" t="str">
        <f>HYPERLINK("http://141.218.60.56/~jnz1568/getInfo.php?workbook=08_01.xlsx&amp;sheet=A0&amp;row=212&amp;col=26&amp;number=&amp;sourceID=13","")</f>
        <v/>
      </c>
      <c r="AA212" s="4" t="str">
        <f>HYPERLINK("http://141.218.60.56/~jnz1568/getInfo.php?workbook=08_01.xlsx&amp;sheet=A0&amp;row=212&amp;col=27&amp;number=&amp;sourceID=13","")</f>
        <v/>
      </c>
      <c r="AB212" s="4" t="str">
        <f>HYPERLINK("http://141.218.60.56/~jnz1568/getInfo.php?workbook=08_01.xlsx&amp;sheet=A0&amp;row=212&amp;col=28&amp;number=&amp;sourceID=13","")</f>
        <v/>
      </c>
      <c r="AC212" s="4" t="str">
        <f>HYPERLINK("http://141.218.60.56/~jnz1568/getInfo.php?workbook=08_01.xlsx&amp;sheet=A0&amp;row=212&amp;col=29&amp;number=&amp;sourceID=13","")</f>
        <v/>
      </c>
      <c r="AD212" s="4" t="str">
        <f>HYPERLINK("http://141.218.60.56/~jnz1568/getInfo.php?workbook=08_01.xlsx&amp;sheet=A0&amp;row=212&amp;col=30&amp;number=&amp;sourceID=13","")</f>
        <v/>
      </c>
      <c r="AE212" s="4" t="str">
        <f>HYPERLINK("http://141.218.60.56/~jnz1568/getInfo.php?workbook=08_01.xlsx&amp;sheet=A0&amp;row=212&amp;col=31&amp;number=&amp;sourceID=13","")</f>
        <v/>
      </c>
      <c r="AF212" s="4" t="str">
        <f>HYPERLINK("http://141.218.60.56/~jnz1568/getInfo.php?workbook=08_01.xlsx&amp;sheet=A0&amp;row=212&amp;col=32&amp;number=&amp;sourceID=20","")</f>
        <v/>
      </c>
    </row>
    <row r="213" spans="1:32">
      <c r="A213" s="3">
        <v>8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HYPERLINK("http://141.218.60.56/~jnz1568/getInfo.php?workbook=08_01.xlsx&amp;sheet=A0&amp;row=213&amp;col=6&amp;number=&amp;sourceID=18","")</f>
        <v/>
      </c>
      <c r="G213" s="4" t="str">
        <f>HYPERLINK("http://141.218.60.56/~jnz1568/getInfo.php?workbook=08_01.xlsx&amp;sheet=A0&amp;row=213&amp;col=7&amp;number==&amp;sourceID=11","=")</f>
        <v>=</v>
      </c>
      <c r="H213" s="4" t="str">
        <f>HYPERLINK("http://141.218.60.56/~jnz1568/getInfo.php?workbook=08_01.xlsx&amp;sheet=A0&amp;row=213&amp;col=8&amp;number=13901000000&amp;sourceID=11","13901000000")</f>
        <v>13901000000</v>
      </c>
      <c r="I213" s="4" t="str">
        <f>HYPERLINK("http://141.218.60.56/~jnz1568/getInfo.php?workbook=08_01.xlsx&amp;sheet=A0&amp;row=213&amp;col=9&amp;number=&amp;sourceID=11","")</f>
        <v/>
      </c>
      <c r="J213" s="4" t="str">
        <f>HYPERLINK("http://141.218.60.56/~jnz1568/getInfo.php?workbook=08_01.xlsx&amp;sheet=A0&amp;row=213&amp;col=10&amp;number=0.56244&amp;sourceID=11","0.56244")</f>
        <v>0.56244</v>
      </c>
      <c r="K213" s="4" t="str">
        <f>HYPERLINK("http://141.218.60.56/~jnz1568/getInfo.php?workbook=08_01.xlsx&amp;sheet=A0&amp;row=213&amp;col=11&amp;number=&amp;sourceID=11","")</f>
        <v/>
      </c>
      <c r="L213" s="4" t="str">
        <f>HYPERLINK("http://141.218.60.56/~jnz1568/getInfo.php?workbook=08_01.xlsx&amp;sheet=A0&amp;row=213&amp;col=12&amp;number=49.642&amp;sourceID=11","49.642")</f>
        <v>49.642</v>
      </c>
      <c r="M213" s="4" t="str">
        <f>HYPERLINK("http://141.218.60.56/~jnz1568/getInfo.php?workbook=08_01.xlsx&amp;sheet=A0&amp;row=213&amp;col=13&amp;number=&amp;sourceID=11","")</f>
        <v/>
      </c>
      <c r="N213" s="4" t="str">
        <f>HYPERLINK("http://141.218.60.56/~jnz1568/getInfo.php?workbook=08_01.xlsx&amp;sheet=A0&amp;row=213&amp;col=14&amp;number=13902000000&amp;sourceID=12","13902000000")</f>
        <v>13902000000</v>
      </c>
      <c r="O213" s="4" t="str">
        <f>HYPERLINK("http://141.218.60.56/~jnz1568/getInfo.php?workbook=08_01.xlsx&amp;sheet=A0&amp;row=213&amp;col=15&amp;number=13902000000&amp;sourceID=12","13902000000")</f>
        <v>13902000000</v>
      </c>
      <c r="P213" s="4" t="str">
        <f>HYPERLINK("http://141.218.60.56/~jnz1568/getInfo.php?workbook=08_01.xlsx&amp;sheet=A0&amp;row=213&amp;col=16&amp;number=&amp;sourceID=12","")</f>
        <v/>
      </c>
      <c r="Q213" s="4" t="str">
        <f>HYPERLINK("http://141.218.60.56/~jnz1568/getInfo.php?workbook=08_01.xlsx&amp;sheet=A0&amp;row=213&amp;col=17&amp;number=0.56246&amp;sourceID=12","0.56246")</f>
        <v>0.56246</v>
      </c>
      <c r="R213" s="4" t="str">
        <f>HYPERLINK("http://141.218.60.56/~jnz1568/getInfo.php?workbook=08_01.xlsx&amp;sheet=A0&amp;row=213&amp;col=18&amp;number=&amp;sourceID=12","")</f>
        <v/>
      </c>
      <c r="S213" s="4" t="str">
        <f>HYPERLINK("http://141.218.60.56/~jnz1568/getInfo.php?workbook=08_01.xlsx&amp;sheet=A0&amp;row=213&amp;col=19&amp;number=49.644&amp;sourceID=12","49.644")</f>
        <v>49.644</v>
      </c>
      <c r="T213" s="4" t="str">
        <f>HYPERLINK("http://141.218.60.56/~jnz1568/getInfo.php?workbook=08_01.xlsx&amp;sheet=A0&amp;row=213&amp;col=20&amp;number=&amp;sourceID=12","")</f>
        <v/>
      </c>
      <c r="U213" s="4" t="str">
        <f>HYPERLINK("http://141.218.60.56/~jnz1568/getInfo.php?workbook=08_01.xlsx&amp;sheet=A0&amp;row=213&amp;col=21&amp;number=13900000049.6&amp;sourceID=30","13900000049.6")</f>
        <v>13900000049.6</v>
      </c>
      <c r="V213" s="4" t="str">
        <f>HYPERLINK("http://141.218.60.56/~jnz1568/getInfo.php?workbook=08_01.xlsx&amp;sheet=A0&amp;row=213&amp;col=22&amp;number=13900000000&amp;sourceID=30","13900000000")</f>
        <v>13900000000</v>
      </c>
      <c r="W213" s="4" t="str">
        <f>HYPERLINK("http://141.218.60.56/~jnz1568/getInfo.php?workbook=08_01.xlsx&amp;sheet=A0&amp;row=213&amp;col=23&amp;number=&amp;sourceID=30","")</f>
        <v/>
      </c>
      <c r="X213" s="4" t="str">
        <f>HYPERLINK("http://141.218.60.56/~jnz1568/getInfo.php?workbook=08_01.xlsx&amp;sheet=A0&amp;row=213&amp;col=24&amp;number=&amp;sourceID=30","")</f>
        <v/>
      </c>
      <c r="Y213" s="4" t="str">
        <f>HYPERLINK("http://141.218.60.56/~jnz1568/getInfo.php?workbook=08_01.xlsx&amp;sheet=A0&amp;row=213&amp;col=25&amp;number=49.64&amp;sourceID=30","49.64")</f>
        <v>49.64</v>
      </c>
      <c r="Z213" s="4" t="str">
        <f>HYPERLINK("http://141.218.60.56/~jnz1568/getInfo.php?workbook=08_01.xlsx&amp;sheet=A0&amp;row=213&amp;col=26&amp;number=&amp;sourceID=13","")</f>
        <v/>
      </c>
      <c r="AA213" s="4" t="str">
        <f>HYPERLINK("http://141.218.60.56/~jnz1568/getInfo.php?workbook=08_01.xlsx&amp;sheet=A0&amp;row=213&amp;col=27&amp;number=&amp;sourceID=13","")</f>
        <v/>
      </c>
      <c r="AB213" s="4" t="str">
        <f>HYPERLINK("http://141.218.60.56/~jnz1568/getInfo.php?workbook=08_01.xlsx&amp;sheet=A0&amp;row=213&amp;col=28&amp;number=&amp;sourceID=13","")</f>
        <v/>
      </c>
      <c r="AC213" s="4" t="str">
        <f>HYPERLINK("http://141.218.60.56/~jnz1568/getInfo.php?workbook=08_01.xlsx&amp;sheet=A0&amp;row=213&amp;col=29&amp;number=&amp;sourceID=13","")</f>
        <v/>
      </c>
      <c r="AD213" s="4" t="str">
        <f>HYPERLINK("http://141.218.60.56/~jnz1568/getInfo.php?workbook=08_01.xlsx&amp;sheet=A0&amp;row=213&amp;col=30&amp;number=&amp;sourceID=13","")</f>
        <v/>
      </c>
      <c r="AE213" s="4" t="str">
        <f>HYPERLINK("http://141.218.60.56/~jnz1568/getInfo.php?workbook=08_01.xlsx&amp;sheet=A0&amp;row=213&amp;col=31&amp;number=&amp;sourceID=13","")</f>
        <v/>
      </c>
      <c r="AF213" s="4" t="str">
        <f>HYPERLINK("http://141.218.60.56/~jnz1568/getInfo.php?workbook=08_01.xlsx&amp;sheet=A0&amp;row=213&amp;col=32&amp;number=&amp;sourceID=20","")</f>
        <v/>
      </c>
    </row>
    <row r="214" spans="1:32">
      <c r="A214" s="3">
        <v>8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HYPERLINK("http://141.218.60.56/~jnz1568/getInfo.php?workbook=08_01.xlsx&amp;sheet=A0&amp;row=214&amp;col=6&amp;number=&amp;sourceID=18","")</f>
        <v/>
      </c>
      <c r="G214" s="4" t="str">
        <f>HYPERLINK("http://141.218.60.56/~jnz1568/getInfo.php?workbook=08_01.xlsx&amp;sheet=A0&amp;row=214&amp;col=7&amp;number==&amp;sourceID=11","=")</f>
        <v>=</v>
      </c>
      <c r="H214" s="4" t="str">
        <f>HYPERLINK("http://141.218.60.56/~jnz1568/getInfo.php?workbook=08_01.xlsx&amp;sheet=A0&amp;row=214&amp;col=8&amp;number=&amp;sourceID=11","")</f>
        <v/>
      </c>
      <c r="I214" s="4" t="str">
        <f>HYPERLINK("http://141.218.60.56/~jnz1568/getInfo.php?workbook=08_01.xlsx&amp;sheet=A0&amp;row=214&amp;col=9&amp;number=120240&amp;sourceID=11","120240")</f>
        <v>120240</v>
      </c>
      <c r="J214" s="4" t="str">
        <f>HYPERLINK("http://141.218.60.56/~jnz1568/getInfo.php?workbook=08_01.xlsx&amp;sheet=A0&amp;row=214&amp;col=10&amp;number=&amp;sourceID=11","")</f>
        <v/>
      </c>
      <c r="K214" s="4" t="str">
        <f>HYPERLINK("http://141.218.60.56/~jnz1568/getInfo.php?workbook=08_01.xlsx&amp;sheet=A0&amp;row=214&amp;col=11&amp;number=0.067181&amp;sourceID=11","0.067181")</f>
        <v>0.067181</v>
      </c>
      <c r="L214" s="4" t="str">
        <f>HYPERLINK("http://141.218.60.56/~jnz1568/getInfo.php?workbook=08_01.xlsx&amp;sheet=A0&amp;row=214&amp;col=12&amp;number=&amp;sourceID=11","")</f>
        <v/>
      </c>
      <c r="M214" s="4" t="str">
        <f>HYPERLINK("http://141.218.60.56/~jnz1568/getInfo.php?workbook=08_01.xlsx&amp;sheet=A0&amp;row=214&amp;col=13&amp;number=0.00068106&amp;sourceID=11","0.00068106")</f>
        <v>0.00068106</v>
      </c>
      <c r="N214" s="4" t="str">
        <f>HYPERLINK("http://141.218.60.56/~jnz1568/getInfo.php?workbook=08_01.xlsx&amp;sheet=A0&amp;row=214&amp;col=14&amp;number=120240&amp;sourceID=12","120240")</f>
        <v>120240</v>
      </c>
      <c r="O214" s="4" t="str">
        <f>HYPERLINK("http://141.218.60.56/~jnz1568/getInfo.php?workbook=08_01.xlsx&amp;sheet=A0&amp;row=214&amp;col=15&amp;number=&amp;sourceID=12","")</f>
        <v/>
      </c>
      <c r="P214" s="4" t="str">
        <f>HYPERLINK("http://141.218.60.56/~jnz1568/getInfo.php?workbook=08_01.xlsx&amp;sheet=A0&amp;row=214&amp;col=16&amp;number=120240&amp;sourceID=12","120240")</f>
        <v>120240</v>
      </c>
      <c r="Q214" s="4" t="str">
        <f>HYPERLINK("http://141.218.60.56/~jnz1568/getInfo.php?workbook=08_01.xlsx&amp;sheet=A0&amp;row=214&amp;col=17&amp;number=&amp;sourceID=12","")</f>
        <v/>
      </c>
      <c r="R214" s="4" t="str">
        <f>HYPERLINK("http://141.218.60.56/~jnz1568/getInfo.php?workbook=08_01.xlsx&amp;sheet=A0&amp;row=214&amp;col=18&amp;number=0.067184&amp;sourceID=12","0.067184")</f>
        <v>0.067184</v>
      </c>
      <c r="S214" s="4" t="str">
        <f>HYPERLINK("http://141.218.60.56/~jnz1568/getInfo.php?workbook=08_01.xlsx&amp;sheet=A0&amp;row=214&amp;col=19&amp;number=&amp;sourceID=12","")</f>
        <v/>
      </c>
      <c r="T214" s="4" t="str">
        <f>HYPERLINK("http://141.218.60.56/~jnz1568/getInfo.php?workbook=08_01.xlsx&amp;sheet=A0&amp;row=214&amp;col=20&amp;number=0.00068108&amp;sourceID=12","0.00068108")</f>
        <v>0.00068108</v>
      </c>
      <c r="U214" s="4" t="str">
        <f>HYPERLINK("http://141.218.60.56/~jnz1568/getInfo.php?workbook=08_01.xlsx&amp;sheet=A0&amp;row=214&amp;col=21&amp;number=120200.06717&amp;sourceID=30","120200.06717")</f>
        <v>120200.06717</v>
      </c>
      <c r="V214" s="4" t="str">
        <f>HYPERLINK("http://141.218.60.56/~jnz1568/getInfo.php?workbook=08_01.xlsx&amp;sheet=A0&amp;row=214&amp;col=22&amp;number=&amp;sourceID=30","")</f>
        <v/>
      </c>
      <c r="W214" s="4" t="str">
        <f>HYPERLINK("http://141.218.60.56/~jnz1568/getInfo.php?workbook=08_01.xlsx&amp;sheet=A0&amp;row=214&amp;col=23&amp;number=120200&amp;sourceID=30","120200")</f>
        <v>120200</v>
      </c>
      <c r="X214" s="4" t="str">
        <f>HYPERLINK("http://141.218.60.56/~jnz1568/getInfo.php?workbook=08_01.xlsx&amp;sheet=A0&amp;row=214&amp;col=24&amp;number=0.06717&amp;sourceID=30","0.06717")</f>
        <v>0.06717</v>
      </c>
      <c r="Y214" s="4" t="str">
        <f>HYPERLINK("http://141.218.60.56/~jnz1568/getInfo.php?workbook=08_01.xlsx&amp;sheet=A0&amp;row=214&amp;col=25&amp;number=&amp;sourceID=30","")</f>
        <v/>
      </c>
      <c r="Z214" s="4" t="str">
        <f>HYPERLINK("http://141.218.60.56/~jnz1568/getInfo.php?workbook=08_01.xlsx&amp;sheet=A0&amp;row=214&amp;col=26&amp;number=&amp;sourceID=13","")</f>
        <v/>
      </c>
      <c r="AA214" s="4" t="str">
        <f>HYPERLINK("http://141.218.60.56/~jnz1568/getInfo.php?workbook=08_01.xlsx&amp;sheet=A0&amp;row=214&amp;col=27&amp;number=&amp;sourceID=13","")</f>
        <v/>
      </c>
      <c r="AB214" s="4" t="str">
        <f>HYPERLINK("http://141.218.60.56/~jnz1568/getInfo.php?workbook=08_01.xlsx&amp;sheet=A0&amp;row=214&amp;col=28&amp;number=&amp;sourceID=13","")</f>
        <v/>
      </c>
      <c r="AC214" s="4" t="str">
        <f>HYPERLINK("http://141.218.60.56/~jnz1568/getInfo.php?workbook=08_01.xlsx&amp;sheet=A0&amp;row=214&amp;col=29&amp;number=&amp;sourceID=13","")</f>
        <v/>
      </c>
      <c r="AD214" s="4" t="str">
        <f>HYPERLINK("http://141.218.60.56/~jnz1568/getInfo.php?workbook=08_01.xlsx&amp;sheet=A0&amp;row=214&amp;col=30&amp;number=&amp;sourceID=13","")</f>
        <v/>
      </c>
      <c r="AE214" s="4" t="str">
        <f>HYPERLINK("http://141.218.60.56/~jnz1568/getInfo.php?workbook=08_01.xlsx&amp;sheet=A0&amp;row=214&amp;col=31&amp;number=&amp;sourceID=13","")</f>
        <v/>
      </c>
      <c r="AF214" s="4" t="str">
        <f>HYPERLINK("http://141.218.60.56/~jnz1568/getInfo.php?workbook=08_01.xlsx&amp;sheet=A0&amp;row=214&amp;col=32&amp;number=&amp;sourceID=20","")</f>
        <v/>
      </c>
    </row>
    <row r="215" spans="1:32">
      <c r="A215" s="3">
        <v>8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HYPERLINK("http://141.218.60.56/~jnz1568/getInfo.php?workbook=08_01.xlsx&amp;sheet=A0&amp;row=215&amp;col=6&amp;number=&amp;sourceID=18","")</f>
        <v/>
      </c>
      <c r="G215" s="4" t="str">
        <f>HYPERLINK("http://141.218.60.56/~jnz1568/getInfo.php?workbook=08_01.xlsx&amp;sheet=A0&amp;row=215&amp;col=7&amp;number==&amp;sourceID=11","=")</f>
        <v>=</v>
      </c>
      <c r="H215" s="4" t="str">
        <f>HYPERLINK("http://141.218.60.56/~jnz1568/getInfo.php?workbook=08_01.xlsx&amp;sheet=A0&amp;row=215&amp;col=8&amp;number=&amp;sourceID=11","")</f>
        <v/>
      </c>
      <c r="I215" s="4" t="str">
        <f>HYPERLINK("http://141.218.60.56/~jnz1568/getInfo.php?workbook=08_01.xlsx&amp;sheet=A0&amp;row=215&amp;col=9&amp;number=&amp;sourceID=11","")</f>
        <v/>
      </c>
      <c r="J215" s="4" t="str">
        <f>HYPERLINK("http://141.218.60.56/~jnz1568/getInfo.php?workbook=08_01.xlsx&amp;sheet=A0&amp;row=215&amp;col=10&amp;number=1.227&amp;sourceID=11","1.227")</f>
        <v>1.227</v>
      </c>
      <c r="K215" s="4" t="str">
        <f>HYPERLINK("http://141.218.60.56/~jnz1568/getInfo.php?workbook=08_01.xlsx&amp;sheet=A0&amp;row=215&amp;col=11&amp;number=&amp;sourceID=11","")</f>
        <v/>
      </c>
      <c r="L215" s="4" t="str">
        <f>HYPERLINK("http://141.218.60.56/~jnz1568/getInfo.php?workbook=08_01.xlsx&amp;sheet=A0&amp;row=215&amp;col=12&amp;number=0.39847&amp;sourceID=11","0.39847")</f>
        <v>0.39847</v>
      </c>
      <c r="M215" s="4" t="str">
        <f>HYPERLINK("http://141.218.60.56/~jnz1568/getInfo.php?workbook=08_01.xlsx&amp;sheet=A0&amp;row=215&amp;col=13&amp;number=&amp;sourceID=11","")</f>
        <v/>
      </c>
      <c r="N215" s="4" t="str">
        <f>HYPERLINK("http://141.218.60.56/~jnz1568/getInfo.php?workbook=08_01.xlsx&amp;sheet=A0&amp;row=215&amp;col=14&amp;number=1.6256&amp;sourceID=12","1.6256")</f>
        <v>1.6256</v>
      </c>
      <c r="O215" s="4" t="str">
        <f>HYPERLINK("http://141.218.60.56/~jnz1568/getInfo.php?workbook=08_01.xlsx&amp;sheet=A0&amp;row=215&amp;col=15&amp;number=&amp;sourceID=12","")</f>
        <v/>
      </c>
      <c r="P215" s="4" t="str">
        <f>HYPERLINK("http://141.218.60.56/~jnz1568/getInfo.php?workbook=08_01.xlsx&amp;sheet=A0&amp;row=215&amp;col=16&amp;number=&amp;sourceID=12","")</f>
        <v/>
      </c>
      <c r="Q215" s="4" t="str">
        <f>HYPERLINK("http://141.218.60.56/~jnz1568/getInfo.php?workbook=08_01.xlsx&amp;sheet=A0&amp;row=215&amp;col=17&amp;number=1.2271&amp;sourceID=12","1.2271")</f>
        <v>1.2271</v>
      </c>
      <c r="R215" s="4" t="str">
        <f>HYPERLINK("http://141.218.60.56/~jnz1568/getInfo.php?workbook=08_01.xlsx&amp;sheet=A0&amp;row=215&amp;col=18&amp;number=&amp;sourceID=12","")</f>
        <v/>
      </c>
      <c r="S215" s="4" t="str">
        <f>HYPERLINK("http://141.218.60.56/~jnz1568/getInfo.php?workbook=08_01.xlsx&amp;sheet=A0&amp;row=215&amp;col=19&amp;number=0.39848&amp;sourceID=12","0.39848")</f>
        <v>0.39848</v>
      </c>
      <c r="T215" s="4" t="str">
        <f>HYPERLINK("http://141.218.60.56/~jnz1568/getInfo.php?workbook=08_01.xlsx&amp;sheet=A0&amp;row=215&amp;col=20&amp;number=&amp;sourceID=12","")</f>
        <v/>
      </c>
      <c r="U215" s="4" t="str">
        <f>HYPERLINK("http://141.218.60.56/~jnz1568/getInfo.php?workbook=08_01.xlsx&amp;sheet=A0&amp;row=215&amp;col=21&amp;number=0.3985&amp;sourceID=30","0.3985")</f>
        <v>0.3985</v>
      </c>
      <c r="V215" s="4" t="str">
        <f>HYPERLINK("http://141.218.60.56/~jnz1568/getInfo.php?workbook=08_01.xlsx&amp;sheet=A0&amp;row=215&amp;col=22&amp;number=&amp;sourceID=30","")</f>
        <v/>
      </c>
      <c r="W215" s="4" t="str">
        <f>HYPERLINK("http://141.218.60.56/~jnz1568/getInfo.php?workbook=08_01.xlsx&amp;sheet=A0&amp;row=215&amp;col=23&amp;number=&amp;sourceID=30","")</f>
        <v/>
      </c>
      <c r="X215" s="4" t="str">
        <f>HYPERLINK("http://141.218.60.56/~jnz1568/getInfo.php?workbook=08_01.xlsx&amp;sheet=A0&amp;row=215&amp;col=24&amp;number=&amp;sourceID=30","")</f>
        <v/>
      </c>
      <c r="Y215" s="4" t="str">
        <f>HYPERLINK("http://141.218.60.56/~jnz1568/getInfo.php?workbook=08_01.xlsx&amp;sheet=A0&amp;row=215&amp;col=25&amp;number=0.3985&amp;sourceID=30","0.3985")</f>
        <v>0.3985</v>
      </c>
      <c r="Z215" s="4" t="str">
        <f>HYPERLINK("http://141.218.60.56/~jnz1568/getInfo.php?workbook=08_01.xlsx&amp;sheet=A0&amp;row=215&amp;col=26&amp;number=&amp;sourceID=13","")</f>
        <v/>
      </c>
      <c r="AA215" s="4" t="str">
        <f>HYPERLINK("http://141.218.60.56/~jnz1568/getInfo.php?workbook=08_01.xlsx&amp;sheet=A0&amp;row=215&amp;col=27&amp;number=&amp;sourceID=13","")</f>
        <v/>
      </c>
      <c r="AB215" s="4" t="str">
        <f>HYPERLINK("http://141.218.60.56/~jnz1568/getInfo.php?workbook=08_01.xlsx&amp;sheet=A0&amp;row=215&amp;col=28&amp;number=&amp;sourceID=13","")</f>
        <v/>
      </c>
      <c r="AC215" s="4" t="str">
        <f>HYPERLINK("http://141.218.60.56/~jnz1568/getInfo.php?workbook=08_01.xlsx&amp;sheet=A0&amp;row=215&amp;col=29&amp;number=&amp;sourceID=13","")</f>
        <v/>
      </c>
      <c r="AD215" s="4" t="str">
        <f>HYPERLINK("http://141.218.60.56/~jnz1568/getInfo.php?workbook=08_01.xlsx&amp;sheet=A0&amp;row=215&amp;col=30&amp;number=&amp;sourceID=13","")</f>
        <v/>
      </c>
      <c r="AE215" s="4" t="str">
        <f>HYPERLINK("http://141.218.60.56/~jnz1568/getInfo.php?workbook=08_01.xlsx&amp;sheet=A0&amp;row=215&amp;col=31&amp;number=&amp;sourceID=13","")</f>
        <v/>
      </c>
      <c r="AF215" s="4" t="str">
        <f>HYPERLINK("http://141.218.60.56/~jnz1568/getInfo.php?workbook=08_01.xlsx&amp;sheet=A0&amp;row=215&amp;col=32&amp;number=&amp;sourceID=20","")</f>
        <v/>
      </c>
    </row>
    <row r="216" spans="1:32">
      <c r="A216" s="3">
        <v>8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HYPERLINK("http://141.218.60.56/~jnz1568/getInfo.php?workbook=08_01.xlsx&amp;sheet=A0&amp;row=216&amp;col=6&amp;number=&amp;sourceID=18","")</f>
        <v/>
      </c>
      <c r="G216" s="4" t="str">
        <f>HYPERLINK("http://141.218.60.56/~jnz1568/getInfo.php?workbook=08_01.xlsx&amp;sheet=A0&amp;row=216&amp;col=7&amp;number==&amp;sourceID=11","=")</f>
        <v>=</v>
      </c>
      <c r="H216" s="4" t="str">
        <f>HYPERLINK("http://141.218.60.56/~jnz1568/getInfo.php?workbook=08_01.xlsx&amp;sheet=A0&amp;row=216&amp;col=8&amp;number=&amp;sourceID=11","")</f>
        <v/>
      </c>
      <c r="I216" s="4" t="str">
        <f>HYPERLINK("http://141.218.60.56/~jnz1568/getInfo.php?workbook=08_01.xlsx&amp;sheet=A0&amp;row=216&amp;col=9&amp;number=141860&amp;sourceID=11","141860")</f>
        <v>141860</v>
      </c>
      <c r="J216" s="4" t="str">
        <f>HYPERLINK("http://141.218.60.56/~jnz1568/getInfo.php?workbook=08_01.xlsx&amp;sheet=A0&amp;row=216&amp;col=10&amp;number=&amp;sourceID=11","")</f>
        <v/>
      </c>
      <c r="K216" s="4" t="str">
        <f>HYPERLINK("http://141.218.60.56/~jnz1568/getInfo.php?workbook=08_01.xlsx&amp;sheet=A0&amp;row=216&amp;col=11&amp;number=&amp;sourceID=11","")</f>
        <v/>
      </c>
      <c r="L216" s="4" t="str">
        <f>HYPERLINK("http://141.218.60.56/~jnz1568/getInfo.php?workbook=08_01.xlsx&amp;sheet=A0&amp;row=216&amp;col=12&amp;number=&amp;sourceID=11","")</f>
        <v/>
      </c>
      <c r="M216" s="4" t="str">
        <f>HYPERLINK("http://141.218.60.56/~jnz1568/getInfo.php?workbook=08_01.xlsx&amp;sheet=A0&amp;row=216&amp;col=13&amp;number=4.6498e-05&amp;sourceID=11","4.6498e-05")</f>
        <v>4.6498e-05</v>
      </c>
      <c r="N216" s="4" t="str">
        <f>HYPERLINK("http://141.218.60.56/~jnz1568/getInfo.php?workbook=08_01.xlsx&amp;sheet=A0&amp;row=216&amp;col=14&amp;number=141860&amp;sourceID=12","141860")</f>
        <v>141860</v>
      </c>
      <c r="O216" s="4" t="str">
        <f>HYPERLINK("http://141.218.60.56/~jnz1568/getInfo.php?workbook=08_01.xlsx&amp;sheet=A0&amp;row=216&amp;col=15&amp;number=&amp;sourceID=12","")</f>
        <v/>
      </c>
      <c r="P216" s="4" t="str">
        <f>HYPERLINK("http://141.218.60.56/~jnz1568/getInfo.php?workbook=08_01.xlsx&amp;sheet=A0&amp;row=216&amp;col=16&amp;number=141860&amp;sourceID=12","141860")</f>
        <v>141860</v>
      </c>
      <c r="Q216" s="4" t="str">
        <f>HYPERLINK("http://141.218.60.56/~jnz1568/getInfo.php?workbook=08_01.xlsx&amp;sheet=A0&amp;row=216&amp;col=17&amp;number=&amp;sourceID=12","")</f>
        <v/>
      </c>
      <c r="R216" s="4" t="str">
        <f>HYPERLINK("http://141.218.60.56/~jnz1568/getInfo.php?workbook=08_01.xlsx&amp;sheet=A0&amp;row=216&amp;col=18&amp;number=&amp;sourceID=12","")</f>
        <v/>
      </c>
      <c r="S216" s="4" t="str">
        <f>HYPERLINK("http://141.218.60.56/~jnz1568/getInfo.php?workbook=08_01.xlsx&amp;sheet=A0&amp;row=216&amp;col=19&amp;number=&amp;sourceID=12","")</f>
        <v/>
      </c>
      <c r="T216" s="4" t="str">
        <f>HYPERLINK("http://141.218.60.56/~jnz1568/getInfo.php?workbook=08_01.xlsx&amp;sheet=A0&amp;row=216&amp;col=20&amp;number=4.65e-05&amp;sourceID=12","4.65e-05")</f>
        <v>4.65e-05</v>
      </c>
      <c r="U216" s="4" t="str">
        <f>HYPERLINK("http://141.218.60.56/~jnz1568/getInfo.php?workbook=08_01.xlsx&amp;sheet=A0&amp;row=216&amp;col=21&amp;number=141900&amp;sourceID=30","141900")</f>
        <v>141900</v>
      </c>
      <c r="V216" s="4" t="str">
        <f>HYPERLINK("http://141.218.60.56/~jnz1568/getInfo.php?workbook=08_01.xlsx&amp;sheet=A0&amp;row=216&amp;col=22&amp;number=&amp;sourceID=30","")</f>
        <v/>
      </c>
      <c r="W216" s="4" t="str">
        <f>HYPERLINK("http://141.218.60.56/~jnz1568/getInfo.php?workbook=08_01.xlsx&amp;sheet=A0&amp;row=216&amp;col=23&amp;number=141900&amp;sourceID=30","141900")</f>
        <v>141900</v>
      </c>
      <c r="X216" s="4" t="str">
        <f>HYPERLINK("http://141.218.60.56/~jnz1568/getInfo.php?workbook=08_01.xlsx&amp;sheet=A0&amp;row=216&amp;col=24&amp;number=&amp;sourceID=30","")</f>
        <v/>
      </c>
      <c r="Y216" s="4" t="str">
        <f>HYPERLINK("http://141.218.60.56/~jnz1568/getInfo.php?workbook=08_01.xlsx&amp;sheet=A0&amp;row=216&amp;col=25&amp;number=&amp;sourceID=30","")</f>
        <v/>
      </c>
      <c r="Z216" s="4" t="str">
        <f>HYPERLINK("http://141.218.60.56/~jnz1568/getInfo.php?workbook=08_01.xlsx&amp;sheet=A0&amp;row=216&amp;col=26&amp;number=&amp;sourceID=13","")</f>
        <v/>
      </c>
      <c r="AA216" s="4" t="str">
        <f>HYPERLINK("http://141.218.60.56/~jnz1568/getInfo.php?workbook=08_01.xlsx&amp;sheet=A0&amp;row=216&amp;col=27&amp;number=&amp;sourceID=13","")</f>
        <v/>
      </c>
      <c r="AB216" s="4" t="str">
        <f>HYPERLINK("http://141.218.60.56/~jnz1568/getInfo.php?workbook=08_01.xlsx&amp;sheet=A0&amp;row=216&amp;col=28&amp;number=&amp;sourceID=13","")</f>
        <v/>
      </c>
      <c r="AC216" s="4" t="str">
        <f>HYPERLINK("http://141.218.60.56/~jnz1568/getInfo.php?workbook=08_01.xlsx&amp;sheet=A0&amp;row=216&amp;col=29&amp;number=&amp;sourceID=13","")</f>
        <v/>
      </c>
      <c r="AD216" s="4" t="str">
        <f>HYPERLINK("http://141.218.60.56/~jnz1568/getInfo.php?workbook=08_01.xlsx&amp;sheet=A0&amp;row=216&amp;col=30&amp;number=&amp;sourceID=13","")</f>
        <v/>
      </c>
      <c r="AE216" s="4" t="str">
        <f>HYPERLINK("http://141.218.60.56/~jnz1568/getInfo.php?workbook=08_01.xlsx&amp;sheet=A0&amp;row=216&amp;col=31&amp;number=&amp;sourceID=13","")</f>
        <v/>
      </c>
      <c r="AF216" s="4" t="str">
        <f>HYPERLINK("http://141.218.60.56/~jnz1568/getInfo.php?workbook=08_01.xlsx&amp;sheet=A0&amp;row=216&amp;col=32&amp;number=&amp;sourceID=20","")</f>
        <v/>
      </c>
    </row>
    <row r="217" spans="1:32">
      <c r="A217" s="3">
        <v>8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HYPERLINK("http://141.218.60.56/~jnz1568/getInfo.php?workbook=08_01.xlsx&amp;sheet=A0&amp;row=217&amp;col=6&amp;number=&amp;sourceID=18","")</f>
        <v/>
      </c>
      <c r="G217" s="4" t="str">
        <f>HYPERLINK("http://141.218.60.56/~jnz1568/getInfo.php?workbook=08_01.xlsx&amp;sheet=A0&amp;row=217&amp;col=7&amp;number==&amp;sourceID=11","=")</f>
        <v>=</v>
      </c>
      <c r="H217" s="4" t="str">
        <f>HYPERLINK("http://141.218.60.56/~jnz1568/getInfo.php?workbook=08_01.xlsx&amp;sheet=A0&amp;row=217&amp;col=8&amp;number=&amp;sourceID=11","")</f>
        <v/>
      </c>
      <c r="I217" s="4" t="str">
        <f>HYPERLINK("http://141.218.60.56/~jnz1568/getInfo.php?workbook=08_01.xlsx&amp;sheet=A0&amp;row=217&amp;col=9&amp;number=13940&amp;sourceID=11","13940")</f>
        <v>13940</v>
      </c>
      <c r="J217" s="4" t="str">
        <f>HYPERLINK("http://141.218.60.56/~jnz1568/getInfo.php?workbook=08_01.xlsx&amp;sheet=A0&amp;row=217&amp;col=10&amp;number=&amp;sourceID=11","")</f>
        <v/>
      </c>
      <c r="K217" s="4" t="str">
        <f>HYPERLINK("http://141.218.60.56/~jnz1568/getInfo.php?workbook=08_01.xlsx&amp;sheet=A0&amp;row=217&amp;col=11&amp;number=0.002254&amp;sourceID=11","0.002254")</f>
        <v>0.002254</v>
      </c>
      <c r="L217" s="4" t="str">
        <f>HYPERLINK("http://141.218.60.56/~jnz1568/getInfo.php?workbook=08_01.xlsx&amp;sheet=A0&amp;row=217&amp;col=12&amp;number=&amp;sourceID=11","")</f>
        <v/>
      </c>
      <c r="M217" s="4" t="str">
        <f>HYPERLINK("http://141.218.60.56/~jnz1568/getInfo.php?workbook=08_01.xlsx&amp;sheet=A0&amp;row=217&amp;col=13&amp;number=2.6049e-07&amp;sourceID=11","2.6049e-07")</f>
        <v>2.6049e-07</v>
      </c>
      <c r="N217" s="4" t="str">
        <f>HYPERLINK("http://141.218.60.56/~jnz1568/getInfo.php?workbook=08_01.xlsx&amp;sheet=A0&amp;row=217&amp;col=14&amp;number=13940&amp;sourceID=12","13940")</f>
        <v>13940</v>
      </c>
      <c r="O217" s="4" t="str">
        <f>HYPERLINK("http://141.218.60.56/~jnz1568/getInfo.php?workbook=08_01.xlsx&amp;sheet=A0&amp;row=217&amp;col=15&amp;number=&amp;sourceID=12","")</f>
        <v/>
      </c>
      <c r="P217" s="4" t="str">
        <f>HYPERLINK("http://141.218.60.56/~jnz1568/getInfo.php?workbook=08_01.xlsx&amp;sheet=A0&amp;row=217&amp;col=16&amp;number=13940&amp;sourceID=12","13940")</f>
        <v>13940</v>
      </c>
      <c r="Q217" s="4" t="str">
        <f>HYPERLINK("http://141.218.60.56/~jnz1568/getInfo.php?workbook=08_01.xlsx&amp;sheet=A0&amp;row=217&amp;col=17&amp;number=&amp;sourceID=12","")</f>
        <v/>
      </c>
      <c r="R217" s="4" t="str">
        <f>HYPERLINK("http://141.218.60.56/~jnz1568/getInfo.php?workbook=08_01.xlsx&amp;sheet=A0&amp;row=217&amp;col=18&amp;number=0.0022542&amp;sourceID=12","0.0022542")</f>
        <v>0.0022542</v>
      </c>
      <c r="S217" s="4" t="str">
        <f>HYPERLINK("http://141.218.60.56/~jnz1568/getInfo.php?workbook=08_01.xlsx&amp;sheet=A0&amp;row=217&amp;col=19&amp;number=&amp;sourceID=12","")</f>
        <v/>
      </c>
      <c r="T217" s="4" t="str">
        <f>HYPERLINK("http://141.218.60.56/~jnz1568/getInfo.php?workbook=08_01.xlsx&amp;sheet=A0&amp;row=217&amp;col=20&amp;number=2.6049e-07&amp;sourceID=12","2.6049e-07")</f>
        <v>2.6049e-07</v>
      </c>
      <c r="U217" s="4" t="str">
        <f>HYPERLINK("http://141.218.60.56/~jnz1568/getInfo.php?workbook=08_01.xlsx&amp;sheet=A0&amp;row=217&amp;col=21&amp;number=13940.002256&amp;sourceID=30","13940.002256")</f>
        <v>13940.002256</v>
      </c>
      <c r="V217" s="4" t="str">
        <f>HYPERLINK("http://141.218.60.56/~jnz1568/getInfo.php?workbook=08_01.xlsx&amp;sheet=A0&amp;row=217&amp;col=22&amp;number=&amp;sourceID=30","")</f>
        <v/>
      </c>
      <c r="W217" s="4" t="str">
        <f>HYPERLINK("http://141.218.60.56/~jnz1568/getInfo.php?workbook=08_01.xlsx&amp;sheet=A0&amp;row=217&amp;col=23&amp;number=13940&amp;sourceID=30","13940")</f>
        <v>13940</v>
      </c>
      <c r="X217" s="4" t="str">
        <f>HYPERLINK("http://141.218.60.56/~jnz1568/getInfo.php?workbook=08_01.xlsx&amp;sheet=A0&amp;row=217&amp;col=24&amp;number=0.002256&amp;sourceID=30","0.002256")</f>
        <v>0.002256</v>
      </c>
      <c r="Y217" s="4" t="str">
        <f>HYPERLINK("http://141.218.60.56/~jnz1568/getInfo.php?workbook=08_01.xlsx&amp;sheet=A0&amp;row=217&amp;col=25&amp;number=&amp;sourceID=30","")</f>
        <v/>
      </c>
      <c r="Z217" s="4" t="str">
        <f>HYPERLINK("http://141.218.60.56/~jnz1568/getInfo.php?workbook=08_01.xlsx&amp;sheet=A0&amp;row=217&amp;col=26&amp;number=&amp;sourceID=13","")</f>
        <v/>
      </c>
      <c r="AA217" s="4" t="str">
        <f>HYPERLINK("http://141.218.60.56/~jnz1568/getInfo.php?workbook=08_01.xlsx&amp;sheet=A0&amp;row=217&amp;col=27&amp;number=&amp;sourceID=13","")</f>
        <v/>
      </c>
      <c r="AB217" s="4" t="str">
        <f>HYPERLINK("http://141.218.60.56/~jnz1568/getInfo.php?workbook=08_01.xlsx&amp;sheet=A0&amp;row=217&amp;col=28&amp;number=&amp;sourceID=13","")</f>
        <v/>
      </c>
      <c r="AC217" s="4" t="str">
        <f>HYPERLINK("http://141.218.60.56/~jnz1568/getInfo.php?workbook=08_01.xlsx&amp;sheet=A0&amp;row=217&amp;col=29&amp;number=&amp;sourceID=13","")</f>
        <v/>
      </c>
      <c r="AD217" s="4" t="str">
        <f>HYPERLINK("http://141.218.60.56/~jnz1568/getInfo.php?workbook=08_01.xlsx&amp;sheet=A0&amp;row=217&amp;col=30&amp;number=&amp;sourceID=13","")</f>
        <v/>
      </c>
      <c r="AE217" s="4" t="str">
        <f>HYPERLINK("http://141.218.60.56/~jnz1568/getInfo.php?workbook=08_01.xlsx&amp;sheet=A0&amp;row=217&amp;col=31&amp;number=&amp;sourceID=13","")</f>
        <v/>
      </c>
      <c r="AF217" s="4" t="str">
        <f>HYPERLINK("http://141.218.60.56/~jnz1568/getInfo.php?workbook=08_01.xlsx&amp;sheet=A0&amp;row=217&amp;col=32&amp;number=&amp;sourceID=20","")</f>
        <v/>
      </c>
    </row>
    <row r="218" spans="1:32">
      <c r="A218" s="3">
        <v>8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HYPERLINK("http://141.218.60.56/~jnz1568/getInfo.php?workbook=08_01.xlsx&amp;sheet=A0&amp;row=218&amp;col=6&amp;number=&amp;sourceID=18","")</f>
        <v/>
      </c>
      <c r="G218" s="4" t="str">
        <f>HYPERLINK("http://141.218.60.56/~jnz1568/getInfo.php?workbook=08_01.xlsx&amp;sheet=A0&amp;row=218&amp;col=7&amp;number==&amp;sourceID=11","=")</f>
        <v>=</v>
      </c>
      <c r="H218" s="4" t="str">
        <f>HYPERLINK("http://141.218.60.56/~jnz1568/getInfo.php?workbook=08_01.xlsx&amp;sheet=A0&amp;row=218&amp;col=8&amp;number=6087300000&amp;sourceID=11","6087300000")</f>
        <v>6087300000</v>
      </c>
      <c r="I218" s="4" t="str">
        <f>HYPERLINK("http://141.218.60.56/~jnz1568/getInfo.php?workbook=08_01.xlsx&amp;sheet=A0&amp;row=218&amp;col=9&amp;number=&amp;sourceID=11","")</f>
        <v/>
      </c>
      <c r="J218" s="4" t="str">
        <f>HYPERLINK("http://141.218.60.56/~jnz1568/getInfo.php?workbook=08_01.xlsx&amp;sheet=A0&amp;row=218&amp;col=10&amp;number=0.97724&amp;sourceID=11","0.97724")</f>
        <v>0.97724</v>
      </c>
      <c r="K218" s="4" t="str">
        <f>HYPERLINK("http://141.218.60.56/~jnz1568/getInfo.php?workbook=08_01.xlsx&amp;sheet=A0&amp;row=218&amp;col=11&amp;number=&amp;sourceID=11","")</f>
        <v/>
      </c>
      <c r="L218" s="4" t="str">
        <f>HYPERLINK("http://141.218.60.56/~jnz1568/getInfo.php?workbook=08_01.xlsx&amp;sheet=A0&amp;row=218&amp;col=12&amp;number=2.1773&amp;sourceID=11","2.1773")</f>
        <v>2.1773</v>
      </c>
      <c r="M218" s="4" t="str">
        <f>HYPERLINK("http://141.218.60.56/~jnz1568/getInfo.php?workbook=08_01.xlsx&amp;sheet=A0&amp;row=218&amp;col=13&amp;number=&amp;sourceID=11","")</f>
        <v/>
      </c>
      <c r="N218" s="4" t="str">
        <f>HYPERLINK("http://141.218.60.56/~jnz1568/getInfo.php?workbook=08_01.xlsx&amp;sheet=A0&amp;row=218&amp;col=14&amp;number=6087600000&amp;sourceID=12","6087600000")</f>
        <v>6087600000</v>
      </c>
      <c r="O218" s="4" t="str">
        <f>HYPERLINK("http://141.218.60.56/~jnz1568/getInfo.php?workbook=08_01.xlsx&amp;sheet=A0&amp;row=218&amp;col=15&amp;number=6087600000&amp;sourceID=12","6087600000")</f>
        <v>6087600000</v>
      </c>
      <c r="P218" s="4" t="str">
        <f>HYPERLINK("http://141.218.60.56/~jnz1568/getInfo.php?workbook=08_01.xlsx&amp;sheet=A0&amp;row=218&amp;col=16&amp;number=&amp;sourceID=12","")</f>
        <v/>
      </c>
      <c r="Q218" s="4" t="str">
        <f>HYPERLINK("http://141.218.60.56/~jnz1568/getInfo.php?workbook=08_01.xlsx&amp;sheet=A0&amp;row=218&amp;col=17&amp;number=0.97727&amp;sourceID=12","0.97727")</f>
        <v>0.97727</v>
      </c>
      <c r="R218" s="4" t="str">
        <f>HYPERLINK("http://141.218.60.56/~jnz1568/getInfo.php?workbook=08_01.xlsx&amp;sheet=A0&amp;row=218&amp;col=18&amp;number=&amp;sourceID=12","")</f>
        <v/>
      </c>
      <c r="S218" s="4" t="str">
        <f>HYPERLINK("http://141.218.60.56/~jnz1568/getInfo.php?workbook=08_01.xlsx&amp;sheet=A0&amp;row=218&amp;col=19&amp;number=2.1773&amp;sourceID=12","2.1773")</f>
        <v>2.1773</v>
      </c>
      <c r="T218" s="4" t="str">
        <f>HYPERLINK("http://141.218.60.56/~jnz1568/getInfo.php?workbook=08_01.xlsx&amp;sheet=A0&amp;row=218&amp;col=20&amp;number=&amp;sourceID=12","")</f>
        <v/>
      </c>
      <c r="U218" s="4" t="str">
        <f>HYPERLINK("http://141.218.60.56/~jnz1568/getInfo.php?workbook=08_01.xlsx&amp;sheet=A0&amp;row=218&amp;col=21&amp;number=6088000002.18&amp;sourceID=30","6088000002.18")</f>
        <v>6088000002.18</v>
      </c>
      <c r="V218" s="4" t="str">
        <f>HYPERLINK("http://141.218.60.56/~jnz1568/getInfo.php?workbook=08_01.xlsx&amp;sheet=A0&amp;row=218&amp;col=22&amp;number=6088000000&amp;sourceID=30","6088000000")</f>
        <v>6088000000</v>
      </c>
      <c r="W218" s="4" t="str">
        <f>HYPERLINK("http://141.218.60.56/~jnz1568/getInfo.php?workbook=08_01.xlsx&amp;sheet=A0&amp;row=218&amp;col=23&amp;number=&amp;sourceID=30","")</f>
        <v/>
      </c>
      <c r="X218" s="4" t="str">
        <f>HYPERLINK("http://141.218.60.56/~jnz1568/getInfo.php?workbook=08_01.xlsx&amp;sheet=A0&amp;row=218&amp;col=24&amp;number=&amp;sourceID=30","")</f>
        <v/>
      </c>
      <c r="Y218" s="4" t="str">
        <f>HYPERLINK("http://141.218.60.56/~jnz1568/getInfo.php?workbook=08_01.xlsx&amp;sheet=A0&amp;row=218&amp;col=25&amp;number=2.177&amp;sourceID=30","2.177")</f>
        <v>2.177</v>
      </c>
      <c r="Z218" s="4" t="str">
        <f>HYPERLINK("http://141.218.60.56/~jnz1568/getInfo.php?workbook=08_01.xlsx&amp;sheet=A0&amp;row=218&amp;col=26&amp;number=&amp;sourceID=13","")</f>
        <v/>
      </c>
      <c r="AA218" s="4" t="str">
        <f>HYPERLINK("http://141.218.60.56/~jnz1568/getInfo.php?workbook=08_01.xlsx&amp;sheet=A0&amp;row=218&amp;col=27&amp;number=&amp;sourceID=13","")</f>
        <v/>
      </c>
      <c r="AB218" s="4" t="str">
        <f>HYPERLINK("http://141.218.60.56/~jnz1568/getInfo.php?workbook=08_01.xlsx&amp;sheet=A0&amp;row=218&amp;col=28&amp;number=&amp;sourceID=13","")</f>
        <v/>
      </c>
      <c r="AC218" s="4" t="str">
        <f>HYPERLINK("http://141.218.60.56/~jnz1568/getInfo.php?workbook=08_01.xlsx&amp;sheet=A0&amp;row=218&amp;col=29&amp;number=&amp;sourceID=13","")</f>
        <v/>
      </c>
      <c r="AD218" s="4" t="str">
        <f>HYPERLINK("http://141.218.60.56/~jnz1568/getInfo.php?workbook=08_01.xlsx&amp;sheet=A0&amp;row=218&amp;col=30&amp;number=&amp;sourceID=13","")</f>
        <v/>
      </c>
      <c r="AE218" s="4" t="str">
        <f>HYPERLINK("http://141.218.60.56/~jnz1568/getInfo.php?workbook=08_01.xlsx&amp;sheet=A0&amp;row=218&amp;col=31&amp;number=&amp;sourceID=13","")</f>
        <v/>
      </c>
      <c r="AF218" s="4" t="str">
        <f>HYPERLINK("http://141.218.60.56/~jnz1568/getInfo.php?workbook=08_01.xlsx&amp;sheet=A0&amp;row=218&amp;col=32&amp;number=&amp;sourceID=20","")</f>
        <v/>
      </c>
    </row>
    <row r="219" spans="1:32">
      <c r="A219" s="3">
        <v>8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HYPERLINK("http://141.218.60.56/~jnz1568/getInfo.php?workbook=08_01.xlsx&amp;sheet=A0&amp;row=219&amp;col=6&amp;number=&amp;sourceID=18","")</f>
        <v/>
      </c>
      <c r="G219" s="4" t="str">
        <f>HYPERLINK("http://141.218.60.56/~jnz1568/getInfo.php?workbook=08_01.xlsx&amp;sheet=A0&amp;row=219&amp;col=7&amp;number==&amp;sourceID=11","=")</f>
        <v>=</v>
      </c>
      <c r="H219" s="4" t="str">
        <f>HYPERLINK("http://141.218.60.56/~jnz1568/getInfo.php?workbook=08_01.xlsx&amp;sheet=A0&amp;row=219&amp;col=8&amp;number=9853900&amp;sourceID=11","9853900")</f>
        <v>9853900</v>
      </c>
      <c r="I219" s="4" t="str">
        <f>HYPERLINK("http://141.218.60.56/~jnz1568/getInfo.php?workbook=08_01.xlsx&amp;sheet=A0&amp;row=219&amp;col=9&amp;number=&amp;sourceID=11","")</f>
        <v/>
      </c>
      <c r="J219" s="4" t="str">
        <f>HYPERLINK("http://141.218.60.56/~jnz1568/getInfo.php?workbook=08_01.xlsx&amp;sheet=A0&amp;row=219&amp;col=10&amp;number=0.087874&amp;sourceID=11","0.087874")</f>
        <v>0.087874</v>
      </c>
      <c r="K219" s="4" t="str">
        <f>HYPERLINK("http://141.218.60.56/~jnz1568/getInfo.php?workbook=08_01.xlsx&amp;sheet=A0&amp;row=219&amp;col=11&amp;number=&amp;sourceID=11","")</f>
        <v/>
      </c>
      <c r="L219" s="4" t="str">
        <f>HYPERLINK("http://141.218.60.56/~jnz1568/getInfo.php?workbook=08_01.xlsx&amp;sheet=A0&amp;row=219&amp;col=12&amp;number=&amp;sourceID=11","")</f>
        <v/>
      </c>
      <c r="M219" s="4" t="str">
        <f>HYPERLINK("http://141.218.60.56/~jnz1568/getInfo.php?workbook=08_01.xlsx&amp;sheet=A0&amp;row=219&amp;col=13&amp;number=&amp;sourceID=11","")</f>
        <v/>
      </c>
      <c r="N219" s="4" t="str">
        <f>HYPERLINK("http://141.218.60.56/~jnz1568/getInfo.php?workbook=08_01.xlsx&amp;sheet=A0&amp;row=219&amp;col=14&amp;number=9854200&amp;sourceID=12","9854200")</f>
        <v>9854200</v>
      </c>
      <c r="O219" s="4" t="str">
        <f>HYPERLINK("http://141.218.60.56/~jnz1568/getInfo.php?workbook=08_01.xlsx&amp;sheet=A0&amp;row=219&amp;col=15&amp;number=9854200&amp;sourceID=12","9854200")</f>
        <v>9854200</v>
      </c>
      <c r="P219" s="4" t="str">
        <f>HYPERLINK("http://141.218.60.56/~jnz1568/getInfo.php?workbook=08_01.xlsx&amp;sheet=A0&amp;row=219&amp;col=16&amp;number=&amp;sourceID=12","")</f>
        <v/>
      </c>
      <c r="Q219" s="4" t="str">
        <f>HYPERLINK("http://141.218.60.56/~jnz1568/getInfo.php?workbook=08_01.xlsx&amp;sheet=A0&amp;row=219&amp;col=17&amp;number=0.087877&amp;sourceID=12","0.087877")</f>
        <v>0.087877</v>
      </c>
      <c r="R219" s="4" t="str">
        <f>HYPERLINK("http://141.218.60.56/~jnz1568/getInfo.php?workbook=08_01.xlsx&amp;sheet=A0&amp;row=219&amp;col=18&amp;number=&amp;sourceID=12","")</f>
        <v/>
      </c>
      <c r="S219" s="4" t="str">
        <f>HYPERLINK("http://141.218.60.56/~jnz1568/getInfo.php?workbook=08_01.xlsx&amp;sheet=A0&amp;row=219&amp;col=19&amp;number=&amp;sourceID=12","")</f>
        <v/>
      </c>
      <c r="T219" s="4" t="str">
        <f>HYPERLINK("http://141.218.60.56/~jnz1568/getInfo.php?workbook=08_01.xlsx&amp;sheet=A0&amp;row=219&amp;col=20&amp;number=&amp;sourceID=12","")</f>
        <v/>
      </c>
      <c r="U219" s="4" t="str">
        <f>HYPERLINK("http://141.218.60.56/~jnz1568/getInfo.php?workbook=08_01.xlsx&amp;sheet=A0&amp;row=219&amp;col=21&amp;number=9854000&amp;sourceID=30","9854000")</f>
        <v>9854000</v>
      </c>
      <c r="V219" s="4" t="str">
        <f>HYPERLINK("http://141.218.60.56/~jnz1568/getInfo.php?workbook=08_01.xlsx&amp;sheet=A0&amp;row=219&amp;col=22&amp;number=9854000&amp;sourceID=30","9854000")</f>
        <v>9854000</v>
      </c>
      <c r="W219" s="4" t="str">
        <f>HYPERLINK("http://141.218.60.56/~jnz1568/getInfo.php?workbook=08_01.xlsx&amp;sheet=A0&amp;row=219&amp;col=23&amp;number=&amp;sourceID=30","")</f>
        <v/>
      </c>
      <c r="X219" s="4" t="str">
        <f>HYPERLINK("http://141.218.60.56/~jnz1568/getInfo.php?workbook=08_01.xlsx&amp;sheet=A0&amp;row=219&amp;col=24&amp;number=&amp;sourceID=30","")</f>
        <v/>
      </c>
      <c r="Y219" s="4" t="str">
        <f>HYPERLINK("http://141.218.60.56/~jnz1568/getInfo.php?workbook=08_01.xlsx&amp;sheet=A0&amp;row=219&amp;col=25&amp;number=&amp;sourceID=30","")</f>
        <v/>
      </c>
      <c r="Z219" s="4" t="str">
        <f>HYPERLINK("http://141.218.60.56/~jnz1568/getInfo.php?workbook=08_01.xlsx&amp;sheet=A0&amp;row=219&amp;col=26&amp;number=&amp;sourceID=13","")</f>
        <v/>
      </c>
      <c r="AA219" s="4" t="str">
        <f>HYPERLINK("http://141.218.60.56/~jnz1568/getInfo.php?workbook=08_01.xlsx&amp;sheet=A0&amp;row=219&amp;col=27&amp;number=&amp;sourceID=13","")</f>
        <v/>
      </c>
      <c r="AB219" s="4" t="str">
        <f>HYPERLINK("http://141.218.60.56/~jnz1568/getInfo.php?workbook=08_01.xlsx&amp;sheet=A0&amp;row=219&amp;col=28&amp;number=&amp;sourceID=13","")</f>
        <v/>
      </c>
      <c r="AC219" s="4" t="str">
        <f>HYPERLINK("http://141.218.60.56/~jnz1568/getInfo.php?workbook=08_01.xlsx&amp;sheet=A0&amp;row=219&amp;col=29&amp;number=&amp;sourceID=13","")</f>
        <v/>
      </c>
      <c r="AD219" s="4" t="str">
        <f>HYPERLINK("http://141.218.60.56/~jnz1568/getInfo.php?workbook=08_01.xlsx&amp;sheet=A0&amp;row=219&amp;col=30&amp;number=&amp;sourceID=13","")</f>
        <v/>
      </c>
      <c r="AE219" s="4" t="str">
        <f>HYPERLINK("http://141.218.60.56/~jnz1568/getInfo.php?workbook=08_01.xlsx&amp;sheet=A0&amp;row=219&amp;col=31&amp;number=&amp;sourceID=13","")</f>
        <v/>
      </c>
      <c r="AF219" s="4" t="str">
        <f>HYPERLINK("http://141.218.60.56/~jnz1568/getInfo.php?workbook=08_01.xlsx&amp;sheet=A0&amp;row=219&amp;col=32&amp;number=&amp;sourceID=20","")</f>
        <v/>
      </c>
    </row>
    <row r="220" spans="1:32">
      <c r="A220" s="3">
        <v>8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HYPERLINK("http://141.218.60.56/~jnz1568/getInfo.php?workbook=08_01.xlsx&amp;sheet=A0&amp;row=220&amp;col=6&amp;number=&amp;sourceID=18","")</f>
        <v/>
      </c>
      <c r="G220" s="4" t="str">
        <f>HYPERLINK("http://141.218.60.56/~jnz1568/getInfo.php?workbook=08_01.xlsx&amp;sheet=A0&amp;row=220&amp;col=7&amp;number==&amp;sourceID=11","=")</f>
        <v>=</v>
      </c>
      <c r="H220" s="4" t="str">
        <f>HYPERLINK("http://141.218.60.56/~jnz1568/getInfo.php?workbook=08_01.xlsx&amp;sheet=A0&amp;row=220&amp;col=8&amp;number=&amp;sourceID=11","")</f>
        <v/>
      </c>
      <c r="I220" s="4" t="str">
        <f>HYPERLINK("http://141.218.60.56/~jnz1568/getInfo.php?workbook=08_01.xlsx&amp;sheet=A0&amp;row=220&amp;col=9&amp;number=55739&amp;sourceID=11","55739")</f>
        <v>55739</v>
      </c>
      <c r="J220" s="4" t="str">
        <f>HYPERLINK("http://141.218.60.56/~jnz1568/getInfo.php?workbook=08_01.xlsx&amp;sheet=A0&amp;row=220&amp;col=10&amp;number=&amp;sourceID=11","")</f>
        <v/>
      </c>
      <c r="K220" s="4" t="str">
        <f>HYPERLINK("http://141.218.60.56/~jnz1568/getInfo.php?workbook=08_01.xlsx&amp;sheet=A0&amp;row=220&amp;col=11&amp;number=0.003117&amp;sourceID=11","0.003117")</f>
        <v>0.003117</v>
      </c>
      <c r="L220" s="4" t="str">
        <f>HYPERLINK("http://141.218.60.56/~jnz1568/getInfo.php?workbook=08_01.xlsx&amp;sheet=A0&amp;row=220&amp;col=12&amp;number=&amp;sourceID=11","")</f>
        <v/>
      </c>
      <c r="M220" s="4" t="str">
        <f>HYPERLINK("http://141.218.60.56/~jnz1568/getInfo.php?workbook=08_01.xlsx&amp;sheet=A0&amp;row=220&amp;col=13&amp;number=3.1613e-05&amp;sourceID=11","3.1613e-05")</f>
        <v>3.1613e-05</v>
      </c>
      <c r="N220" s="4" t="str">
        <f>HYPERLINK("http://141.218.60.56/~jnz1568/getInfo.php?workbook=08_01.xlsx&amp;sheet=A0&amp;row=220&amp;col=14&amp;number=55741&amp;sourceID=12","55741")</f>
        <v>55741</v>
      </c>
      <c r="O220" s="4" t="str">
        <f>HYPERLINK("http://141.218.60.56/~jnz1568/getInfo.php?workbook=08_01.xlsx&amp;sheet=A0&amp;row=220&amp;col=15&amp;number=&amp;sourceID=12","")</f>
        <v/>
      </c>
      <c r="P220" s="4" t="str">
        <f>HYPERLINK("http://141.218.60.56/~jnz1568/getInfo.php?workbook=08_01.xlsx&amp;sheet=A0&amp;row=220&amp;col=16&amp;number=55741&amp;sourceID=12","55741")</f>
        <v>55741</v>
      </c>
      <c r="Q220" s="4" t="str">
        <f>HYPERLINK("http://141.218.60.56/~jnz1568/getInfo.php?workbook=08_01.xlsx&amp;sheet=A0&amp;row=220&amp;col=17&amp;number=&amp;sourceID=12","")</f>
        <v/>
      </c>
      <c r="R220" s="4" t="str">
        <f>HYPERLINK("http://141.218.60.56/~jnz1568/getInfo.php?workbook=08_01.xlsx&amp;sheet=A0&amp;row=220&amp;col=18&amp;number=0.0031171&amp;sourceID=12","0.0031171")</f>
        <v>0.0031171</v>
      </c>
      <c r="S220" s="4" t="str">
        <f>HYPERLINK("http://141.218.60.56/~jnz1568/getInfo.php?workbook=08_01.xlsx&amp;sheet=A0&amp;row=220&amp;col=19&amp;number=&amp;sourceID=12","")</f>
        <v/>
      </c>
      <c r="T220" s="4" t="str">
        <f>HYPERLINK("http://141.218.60.56/~jnz1568/getInfo.php?workbook=08_01.xlsx&amp;sheet=A0&amp;row=220&amp;col=20&amp;number=3.1614e-05&amp;sourceID=12","3.1614e-05")</f>
        <v>3.1614e-05</v>
      </c>
      <c r="U220" s="4" t="str">
        <f>HYPERLINK("http://141.218.60.56/~jnz1568/getInfo.php?workbook=08_01.xlsx&amp;sheet=A0&amp;row=220&amp;col=21&amp;number=55740.003114&amp;sourceID=30","55740.003114")</f>
        <v>55740.003114</v>
      </c>
      <c r="V220" s="4" t="str">
        <f>HYPERLINK("http://141.218.60.56/~jnz1568/getInfo.php?workbook=08_01.xlsx&amp;sheet=A0&amp;row=220&amp;col=22&amp;number=&amp;sourceID=30","")</f>
        <v/>
      </c>
      <c r="W220" s="4" t="str">
        <f>HYPERLINK("http://141.218.60.56/~jnz1568/getInfo.php?workbook=08_01.xlsx&amp;sheet=A0&amp;row=220&amp;col=23&amp;number=55740&amp;sourceID=30","55740")</f>
        <v>55740</v>
      </c>
      <c r="X220" s="4" t="str">
        <f>HYPERLINK("http://141.218.60.56/~jnz1568/getInfo.php?workbook=08_01.xlsx&amp;sheet=A0&amp;row=220&amp;col=24&amp;number=0.003114&amp;sourceID=30","0.003114")</f>
        <v>0.003114</v>
      </c>
      <c r="Y220" s="4" t="str">
        <f>HYPERLINK("http://141.218.60.56/~jnz1568/getInfo.php?workbook=08_01.xlsx&amp;sheet=A0&amp;row=220&amp;col=25&amp;number=&amp;sourceID=30","")</f>
        <v/>
      </c>
      <c r="Z220" s="4" t="str">
        <f>HYPERLINK("http://141.218.60.56/~jnz1568/getInfo.php?workbook=08_01.xlsx&amp;sheet=A0&amp;row=220&amp;col=26&amp;number=&amp;sourceID=13","")</f>
        <v/>
      </c>
      <c r="AA220" s="4" t="str">
        <f>HYPERLINK("http://141.218.60.56/~jnz1568/getInfo.php?workbook=08_01.xlsx&amp;sheet=A0&amp;row=220&amp;col=27&amp;number=&amp;sourceID=13","")</f>
        <v/>
      </c>
      <c r="AB220" s="4" t="str">
        <f>HYPERLINK("http://141.218.60.56/~jnz1568/getInfo.php?workbook=08_01.xlsx&amp;sheet=A0&amp;row=220&amp;col=28&amp;number=&amp;sourceID=13","")</f>
        <v/>
      </c>
      <c r="AC220" s="4" t="str">
        <f>HYPERLINK("http://141.218.60.56/~jnz1568/getInfo.php?workbook=08_01.xlsx&amp;sheet=A0&amp;row=220&amp;col=29&amp;number=&amp;sourceID=13","")</f>
        <v/>
      </c>
      <c r="AD220" s="4" t="str">
        <f>HYPERLINK("http://141.218.60.56/~jnz1568/getInfo.php?workbook=08_01.xlsx&amp;sheet=A0&amp;row=220&amp;col=30&amp;number=&amp;sourceID=13","")</f>
        <v/>
      </c>
      <c r="AE220" s="4" t="str">
        <f>HYPERLINK("http://141.218.60.56/~jnz1568/getInfo.php?workbook=08_01.xlsx&amp;sheet=A0&amp;row=220&amp;col=31&amp;number=&amp;sourceID=13","")</f>
        <v/>
      </c>
      <c r="AF220" s="4" t="str">
        <f>HYPERLINK("http://141.218.60.56/~jnz1568/getInfo.php?workbook=08_01.xlsx&amp;sheet=A0&amp;row=220&amp;col=32&amp;number=&amp;sourceID=20","")</f>
        <v/>
      </c>
    </row>
    <row r="221" spans="1:32">
      <c r="A221" s="3">
        <v>8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HYPERLINK("http://141.218.60.56/~jnz1568/getInfo.php?workbook=08_01.xlsx&amp;sheet=A0&amp;row=221&amp;col=6&amp;number=&amp;sourceID=18","")</f>
        <v/>
      </c>
      <c r="G221" s="4" t="str">
        <f>HYPERLINK("http://141.218.60.56/~jnz1568/getInfo.php?workbook=08_01.xlsx&amp;sheet=A0&amp;row=221&amp;col=7&amp;number==&amp;sourceID=11","=")</f>
        <v>=</v>
      </c>
      <c r="H221" s="4" t="str">
        <f>HYPERLINK("http://141.218.60.56/~jnz1568/getInfo.php?workbook=08_01.xlsx&amp;sheet=A0&amp;row=221&amp;col=8&amp;number=197390000&amp;sourceID=11","197390000")</f>
        <v>197390000</v>
      </c>
      <c r="I221" s="4" t="str">
        <f>HYPERLINK("http://141.218.60.56/~jnz1568/getInfo.php?workbook=08_01.xlsx&amp;sheet=A0&amp;row=221&amp;col=9&amp;number=&amp;sourceID=11","")</f>
        <v/>
      </c>
      <c r="J221" s="4" t="str">
        <f>HYPERLINK("http://141.218.60.56/~jnz1568/getInfo.php?workbook=08_01.xlsx&amp;sheet=A0&amp;row=221&amp;col=10&amp;number=0.21957&amp;sourceID=11","0.21957")</f>
        <v>0.21957</v>
      </c>
      <c r="K221" s="4" t="str">
        <f>HYPERLINK("http://141.218.60.56/~jnz1568/getInfo.php?workbook=08_01.xlsx&amp;sheet=A0&amp;row=221&amp;col=11&amp;number=&amp;sourceID=11","")</f>
        <v/>
      </c>
      <c r="L221" s="4" t="str">
        <f>HYPERLINK("http://141.218.60.56/~jnz1568/getInfo.php?workbook=08_01.xlsx&amp;sheet=A0&amp;row=221&amp;col=12&amp;number=0.10665&amp;sourceID=11","0.10665")</f>
        <v>0.10665</v>
      </c>
      <c r="M221" s="4" t="str">
        <f>HYPERLINK("http://141.218.60.56/~jnz1568/getInfo.php?workbook=08_01.xlsx&amp;sheet=A0&amp;row=221&amp;col=13&amp;number=&amp;sourceID=11","")</f>
        <v/>
      </c>
      <c r="N221" s="4" t="str">
        <f>HYPERLINK("http://141.218.60.56/~jnz1568/getInfo.php?workbook=08_01.xlsx&amp;sheet=A0&amp;row=221&amp;col=14&amp;number=197400000&amp;sourceID=12","197400000")</f>
        <v>197400000</v>
      </c>
      <c r="O221" s="4" t="str">
        <f>HYPERLINK("http://141.218.60.56/~jnz1568/getInfo.php?workbook=08_01.xlsx&amp;sheet=A0&amp;row=221&amp;col=15&amp;number=197400000&amp;sourceID=12","197400000")</f>
        <v>197400000</v>
      </c>
      <c r="P221" s="4" t="str">
        <f>HYPERLINK("http://141.218.60.56/~jnz1568/getInfo.php?workbook=08_01.xlsx&amp;sheet=A0&amp;row=221&amp;col=16&amp;number=&amp;sourceID=12","")</f>
        <v/>
      </c>
      <c r="Q221" s="4" t="str">
        <f>HYPERLINK("http://141.218.60.56/~jnz1568/getInfo.php?workbook=08_01.xlsx&amp;sheet=A0&amp;row=221&amp;col=17&amp;number=0.21958&amp;sourceID=12","0.21958")</f>
        <v>0.21958</v>
      </c>
      <c r="R221" s="4" t="str">
        <f>HYPERLINK("http://141.218.60.56/~jnz1568/getInfo.php?workbook=08_01.xlsx&amp;sheet=A0&amp;row=221&amp;col=18&amp;number=&amp;sourceID=12","")</f>
        <v/>
      </c>
      <c r="S221" s="4" t="str">
        <f>HYPERLINK("http://141.218.60.56/~jnz1568/getInfo.php?workbook=08_01.xlsx&amp;sheet=A0&amp;row=221&amp;col=19&amp;number=0.10665&amp;sourceID=12","0.10665")</f>
        <v>0.10665</v>
      </c>
      <c r="T221" s="4" t="str">
        <f>HYPERLINK("http://141.218.60.56/~jnz1568/getInfo.php?workbook=08_01.xlsx&amp;sheet=A0&amp;row=221&amp;col=20&amp;number=&amp;sourceID=12","")</f>
        <v/>
      </c>
      <c r="U221" s="4" t="str">
        <f>HYPERLINK("http://141.218.60.56/~jnz1568/getInfo.php?workbook=08_01.xlsx&amp;sheet=A0&amp;row=221&amp;col=21&amp;number=197400000.107&amp;sourceID=30","197400000.107")</f>
        <v>197400000.107</v>
      </c>
      <c r="V221" s="4" t="str">
        <f>HYPERLINK("http://141.218.60.56/~jnz1568/getInfo.php?workbook=08_01.xlsx&amp;sheet=A0&amp;row=221&amp;col=22&amp;number=197400000&amp;sourceID=30","197400000")</f>
        <v>197400000</v>
      </c>
      <c r="W221" s="4" t="str">
        <f>HYPERLINK("http://141.218.60.56/~jnz1568/getInfo.php?workbook=08_01.xlsx&amp;sheet=A0&amp;row=221&amp;col=23&amp;number=&amp;sourceID=30","")</f>
        <v/>
      </c>
      <c r="X221" s="4" t="str">
        <f>HYPERLINK("http://141.218.60.56/~jnz1568/getInfo.php?workbook=08_01.xlsx&amp;sheet=A0&amp;row=221&amp;col=24&amp;number=&amp;sourceID=30","")</f>
        <v/>
      </c>
      <c r="Y221" s="4" t="str">
        <f>HYPERLINK("http://141.218.60.56/~jnz1568/getInfo.php?workbook=08_01.xlsx&amp;sheet=A0&amp;row=221&amp;col=25&amp;number=0.1067&amp;sourceID=30","0.1067")</f>
        <v>0.1067</v>
      </c>
      <c r="Z221" s="4" t="str">
        <f>HYPERLINK("http://141.218.60.56/~jnz1568/getInfo.php?workbook=08_01.xlsx&amp;sheet=A0&amp;row=221&amp;col=26&amp;number=&amp;sourceID=13","")</f>
        <v/>
      </c>
      <c r="AA221" s="4" t="str">
        <f>HYPERLINK("http://141.218.60.56/~jnz1568/getInfo.php?workbook=08_01.xlsx&amp;sheet=A0&amp;row=221&amp;col=27&amp;number=&amp;sourceID=13","")</f>
        <v/>
      </c>
      <c r="AB221" s="4" t="str">
        <f>HYPERLINK("http://141.218.60.56/~jnz1568/getInfo.php?workbook=08_01.xlsx&amp;sheet=A0&amp;row=221&amp;col=28&amp;number=&amp;sourceID=13","")</f>
        <v/>
      </c>
      <c r="AC221" s="4" t="str">
        <f>HYPERLINK("http://141.218.60.56/~jnz1568/getInfo.php?workbook=08_01.xlsx&amp;sheet=A0&amp;row=221&amp;col=29&amp;number=&amp;sourceID=13","")</f>
        <v/>
      </c>
      <c r="AD221" s="4" t="str">
        <f>HYPERLINK("http://141.218.60.56/~jnz1568/getInfo.php?workbook=08_01.xlsx&amp;sheet=A0&amp;row=221&amp;col=30&amp;number=&amp;sourceID=13","")</f>
        <v/>
      </c>
      <c r="AE221" s="4" t="str">
        <f>HYPERLINK("http://141.218.60.56/~jnz1568/getInfo.php?workbook=08_01.xlsx&amp;sheet=A0&amp;row=221&amp;col=31&amp;number=&amp;sourceID=13","")</f>
        <v/>
      </c>
      <c r="AF221" s="4" t="str">
        <f>HYPERLINK("http://141.218.60.56/~jnz1568/getInfo.php?workbook=08_01.xlsx&amp;sheet=A0&amp;row=221&amp;col=32&amp;number=&amp;sourceID=20","")</f>
        <v/>
      </c>
    </row>
    <row r="222" spans="1:32">
      <c r="A222" s="3">
        <v>8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HYPERLINK("http://141.218.60.56/~jnz1568/getInfo.php?workbook=08_01.xlsx&amp;sheet=A0&amp;row=222&amp;col=6&amp;number=&amp;sourceID=18","")</f>
        <v/>
      </c>
      <c r="G222" s="4" t="str">
        <f>HYPERLINK("http://141.218.60.56/~jnz1568/getInfo.php?workbook=08_01.xlsx&amp;sheet=A0&amp;row=222&amp;col=7&amp;number==&amp;sourceID=11","=")</f>
        <v>=</v>
      </c>
      <c r="H222" s="4" t="str">
        <f>HYPERLINK("http://141.218.60.56/~jnz1568/getInfo.php?workbook=08_01.xlsx&amp;sheet=A0&amp;row=222&amp;col=8&amp;number=&amp;sourceID=11","")</f>
        <v/>
      </c>
      <c r="I222" s="4" t="str">
        <f>HYPERLINK("http://141.218.60.56/~jnz1568/getInfo.php?workbook=08_01.xlsx&amp;sheet=A0&amp;row=222&amp;col=9&amp;number=&amp;sourceID=11","")</f>
        <v/>
      </c>
      <c r="J222" s="4" t="str">
        <f>HYPERLINK("http://141.218.60.56/~jnz1568/getInfo.php?workbook=08_01.xlsx&amp;sheet=A0&amp;row=222&amp;col=10&amp;number=0&amp;sourceID=11","0")</f>
        <v>0</v>
      </c>
      <c r="K222" s="4" t="str">
        <f>HYPERLINK("http://141.218.60.56/~jnz1568/getInfo.php?workbook=08_01.xlsx&amp;sheet=A0&amp;row=222&amp;col=11&amp;number=&amp;sourceID=11","")</f>
        <v/>
      </c>
      <c r="L222" s="4" t="str">
        <f>HYPERLINK("http://141.218.60.56/~jnz1568/getInfo.php?workbook=08_01.xlsx&amp;sheet=A0&amp;row=222&amp;col=12&amp;number=1e-15&amp;sourceID=11","1e-15")</f>
        <v>1e-15</v>
      </c>
      <c r="M222" s="4" t="str">
        <f>HYPERLINK("http://141.218.60.56/~jnz1568/getInfo.php?workbook=08_01.xlsx&amp;sheet=A0&amp;row=222&amp;col=13&amp;number=&amp;sourceID=11","")</f>
        <v/>
      </c>
      <c r="N222" s="4" t="str">
        <f>HYPERLINK("http://141.218.60.56/~jnz1568/getInfo.php?workbook=08_01.xlsx&amp;sheet=A0&amp;row=222&amp;col=14&amp;number=1e-15&amp;sourceID=12","1e-15")</f>
        <v>1e-15</v>
      </c>
      <c r="O222" s="4" t="str">
        <f>HYPERLINK("http://141.218.60.56/~jnz1568/getInfo.php?workbook=08_01.xlsx&amp;sheet=A0&amp;row=222&amp;col=15&amp;number=&amp;sourceID=12","")</f>
        <v/>
      </c>
      <c r="P222" s="4" t="str">
        <f>HYPERLINK("http://141.218.60.56/~jnz1568/getInfo.php?workbook=08_01.xlsx&amp;sheet=A0&amp;row=222&amp;col=16&amp;number=&amp;sourceID=12","")</f>
        <v/>
      </c>
      <c r="Q222" s="4" t="str">
        <f>HYPERLINK("http://141.218.60.56/~jnz1568/getInfo.php?workbook=08_01.xlsx&amp;sheet=A0&amp;row=222&amp;col=17&amp;number=0&amp;sourceID=12","0")</f>
        <v>0</v>
      </c>
      <c r="R222" s="4" t="str">
        <f>HYPERLINK("http://141.218.60.56/~jnz1568/getInfo.php?workbook=08_01.xlsx&amp;sheet=A0&amp;row=222&amp;col=18&amp;number=&amp;sourceID=12","")</f>
        <v/>
      </c>
      <c r="S222" s="4" t="str">
        <f>HYPERLINK("http://141.218.60.56/~jnz1568/getInfo.php?workbook=08_01.xlsx&amp;sheet=A0&amp;row=222&amp;col=19&amp;number=1e-15&amp;sourceID=12","1e-15")</f>
        <v>1e-15</v>
      </c>
      <c r="T222" s="4" t="str">
        <f>HYPERLINK("http://141.218.60.56/~jnz1568/getInfo.php?workbook=08_01.xlsx&amp;sheet=A0&amp;row=222&amp;col=20&amp;number=&amp;sourceID=12","")</f>
        <v/>
      </c>
      <c r="U222" s="4" t="str">
        <f>HYPERLINK("http://141.218.60.56/~jnz1568/getInfo.php?workbook=08_01.xlsx&amp;sheet=A0&amp;row=222&amp;col=21&amp;number=1e-15&amp;sourceID=30","1e-15")</f>
        <v>1e-15</v>
      </c>
      <c r="V222" s="4" t="str">
        <f>HYPERLINK("http://141.218.60.56/~jnz1568/getInfo.php?workbook=08_01.xlsx&amp;sheet=A0&amp;row=222&amp;col=22&amp;number=&amp;sourceID=30","")</f>
        <v/>
      </c>
      <c r="W222" s="4" t="str">
        <f>HYPERLINK("http://141.218.60.56/~jnz1568/getInfo.php?workbook=08_01.xlsx&amp;sheet=A0&amp;row=222&amp;col=23&amp;number=&amp;sourceID=30","")</f>
        <v/>
      </c>
      <c r="X222" s="4" t="str">
        <f>HYPERLINK("http://141.218.60.56/~jnz1568/getInfo.php?workbook=08_01.xlsx&amp;sheet=A0&amp;row=222&amp;col=24&amp;number=&amp;sourceID=30","")</f>
        <v/>
      </c>
      <c r="Y222" s="4" t="str">
        <f>HYPERLINK("http://141.218.60.56/~jnz1568/getInfo.php?workbook=08_01.xlsx&amp;sheet=A0&amp;row=222&amp;col=25&amp;number=1e-15&amp;sourceID=30","1e-15")</f>
        <v>1e-15</v>
      </c>
      <c r="Z222" s="4" t="str">
        <f>HYPERLINK("http://141.218.60.56/~jnz1568/getInfo.php?workbook=08_01.xlsx&amp;sheet=A0&amp;row=222&amp;col=26&amp;number=&amp;sourceID=13","")</f>
        <v/>
      </c>
      <c r="AA222" s="4" t="str">
        <f>HYPERLINK("http://141.218.60.56/~jnz1568/getInfo.php?workbook=08_01.xlsx&amp;sheet=A0&amp;row=222&amp;col=27&amp;number=&amp;sourceID=13","")</f>
        <v/>
      </c>
      <c r="AB222" s="4" t="str">
        <f>HYPERLINK("http://141.218.60.56/~jnz1568/getInfo.php?workbook=08_01.xlsx&amp;sheet=A0&amp;row=222&amp;col=28&amp;number=&amp;sourceID=13","")</f>
        <v/>
      </c>
      <c r="AC222" s="4" t="str">
        <f>HYPERLINK("http://141.218.60.56/~jnz1568/getInfo.php?workbook=08_01.xlsx&amp;sheet=A0&amp;row=222&amp;col=29&amp;number=&amp;sourceID=13","")</f>
        <v/>
      </c>
      <c r="AD222" s="4" t="str">
        <f>HYPERLINK("http://141.218.60.56/~jnz1568/getInfo.php?workbook=08_01.xlsx&amp;sheet=A0&amp;row=222&amp;col=30&amp;number=&amp;sourceID=13","")</f>
        <v/>
      </c>
      <c r="AE222" s="4" t="str">
        <f>HYPERLINK("http://141.218.60.56/~jnz1568/getInfo.php?workbook=08_01.xlsx&amp;sheet=A0&amp;row=222&amp;col=31&amp;number=&amp;sourceID=13","")</f>
        <v/>
      </c>
      <c r="AF222" s="4" t="str">
        <f>HYPERLINK("http://141.218.60.56/~jnz1568/getInfo.php?workbook=08_01.xlsx&amp;sheet=A0&amp;row=222&amp;col=32&amp;number=&amp;sourceID=20","")</f>
        <v/>
      </c>
    </row>
    <row r="223" spans="1:32">
      <c r="A223" s="3">
        <v>8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HYPERLINK("http://141.218.60.56/~jnz1568/getInfo.php?workbook=08_01.xlsx&amp;sheet=A0&amp;row=223&amp;col=6&amp;number=&amp;sourceID=18","")</f>
        <v/>
      </c>
      <c r="G223" s="4" t="str">
        <f>HYPERLINK("http://141.218.60.56/~jnz1568/getInfo.php?workbook=08_01.xlsx&amp;sheet=A0&amp;row=223&amp;col=7&amp;number==&amp;sourceID=11","=")</f>
        <v>=</v>
      </c>
      <c r="H223" s="4" t="str">
        <f>HYPERLINK("http://141.218.60.56/~jnz1568/getInfo.php?workbook=08_01.xlsx&amp;sheet=A0&amp;row=223&amp;col=8&amp;number=&amp;sourceID=11","")</f>
        <v/>
      </c>
      <c r="I223" s="4" t="str">
        <f>HYPERLINK("http://141.218.60.56/~jnz1568/getInfo.php?workbook=08_01.xlsx&amp;sheet=A0&amp;row=223&amp;col=9&amp;number=3.6784e-10&amp;sourceID=11","3.6784e-10")</f>
        <v>3.6784e-10</v>
      </c>
      <c r="J223" s="4" t="str">
        <f>HYPERLINK("http://141.218.60.56/~jnz1568/getInfo.php?workbook=08_01.xlsx&amp;sheet=A0&amp;row=223&amp;col=10&amp;number=&amp;sourceID=11","")</f>
        <v/>
      </c>
      <c r="K223" s="4" t="str">
        <f>HYPERLINK("http://141.218.60.56/~jnz1568/getInfo.php?workbook=08_01.xlsx&amp;sheet=A0&amp;row=223&amp;col=11&amp;number=&amp;sourceID=11","")</f>
        <v/>
      </c>
      <c r="L223" s="4" t="str">
        <f>HYPERLINK("http://141.218.60.56/~jnz1568/getInfo.php?workbook=08_01.xlsx&amp;sheet=A0&amp;row=223&amp;col=12&amp;number=&amp;sourceID=11","")</f>
        <v/>
      </c>
      <c r="M223" s="4" t="str">
        <f>HYPERLINK("http://141.218.60.56/~jnz1568/getInfo.php?workbook=08_01.xlsx&amp;sheet=A0&amp;row=223&amp;col=13&amp;number=0&amp;sourceID=11","0")</f>
        <v>0</v>
      </c>
      <c r="N223" s="4" t="str">
        <f>HYPERLINK("http://141.218.60.56/~jnz1568/getInfo.php?workbook=08_01.xlsx&amp;sheet=A0&amp;row=223&amp;col=14&amp;number=3.6791e-10&amp;sourceID=12","3.6791e-10")</f>
        <v>3.6791e-10</v>
      </c>
      <c r="O223" s="4" t="str">
        <f>HYPERLINK("http://141.218.60.56/~jnz1568/getInfo.php?workbook=08_01.xlsx&amp;sheet=A0&amp;row=223&amp;col=15&amp;number=&amp;sourceID=12","")</f>
        <v/>
      </c>
      <c r="P223" s="4" t="str">
        <f>HYPERLINK("http://141.218.60.56/~jnz1568/getInfo.php?workbook=08_01.xlsx&amp;sheet=A0&amp;row=223&amp;col=16&amp;number=3.6791e-10&amp;sourceID=12","3.6791e-10")</f>
        <v>3.6791e-10</v>
      </c>
      <c r="Q223" s="4" t="str">
        <f>HYPERLINK("http://141.218.60.56/~jnz1568/getInfo.php?workbook=08_01.xlsx&amp;sheet=A0&amp;row=223&amp;col=17&amp;number=&amp;sourceID=12","")</f>
        <v/>
      </c>
      <c r="R223" s="4" t="str">
        <f>HYPERLINK("http://141.218.60.56/~jnz1568/getInfo.php?workbook=08_01.xlsx&amp;sheet=A0&amp;row=223&amp;col=18&amp;number=&amp;sourceID=12","")</f>
        <v/>
      </c>
      <c r="S223" s="4" t="str">
        <f>HYPERLINK("http://141.218.60.56/~jnz1568/getInfo.php?workbook=08_01.xlsx&amp;sheet=A0&amp;row=223&amp;col=19&amp;number=&amp;sourceID=12","")</f>
        <v/>
      </c>
      <c r="T223" s="4" t="str">
        <f>HYPERLINK("http://141.218.60.56/~jnz1568/getInfo.php?workbook=08_01.xlsx&amp;sheet=A0&amp;row=223&amp;col=20&amp;number=0&amp;sourceID=12","0")</f>
        <v>0</v>
      </c>
      <c r="U223" s="4" t="str">
        <f>HYPERLINK("http://141.218.60.56/~jnz1568/getInfo.php?workbook=08_01.xlsx&amp;sheet=A0&amp;row=223&amp;col=21&amp;number=3.679e-10&amp;sourceID=30","3.679e-10")</f>
        <v>3.679e-10</v>
      </c>
      <c r="V223" s="4" t="str">
        <f>HYPERLINK("http://141.218.60.56/~jnz1568/getInfo.php?workbook=08_01.xlsx&amp;sheet=A0&amp;row=223&amp;col=22&amp;number=&amp;sourceID=30","")</f>
        <v/>
      </c>
      <c r="W223" s="4" t="str">
        <f>HYPERLINK("http://141.218.60.56/~jnz1568/getInfo.php?workbook=08_01.xlsx&amp;sheet=A0&amp;row=223&amp;col=23&amp;number=3.679e-10&amp;sourceID=30","3.679e-10")</f>
        <v>3.679e-10</v>
      </c>
      <c r="X223" s="4" t="str">
        <f>HYPERLINK("http://141.218.60.56/~jnz1568/getInfo.php?workbook=08_01.xlsx&amp;sheet=A0&amp;row=223&amp;col=24&amp;number=&amp;sourceID=30","")</f>
        <v/>
      </c>
      <c r="Y223" s="4" t="str">
        <f>HYPERLINK("http://141.218.60.56/~jnz1568/getInfo.php?workbook=08_01.xlsx&amp;sheet=A0&amp;row=223&amp;col=25&amp;number=&amp;sourceID=30","")</f>
        <v/>
      </c>
      <c r="Z223" s="4" t="str">
        <f>HYPERLINK("http://141.218.60.56/~jnz1568/getInfo.php?workbook=08_01.xlsx&amp;sheet=A0&amp;row=223&amp;col=26&amp;number=&amp;sourceID=13","")</f>
        <v/>
      </c>
      <c r="AA223" s="4" t="str">
        <f>HYPERLINK("http://141.218.60.56/~jnz1568/getInfo.php?workbook=08_01.xlsx&amp;sheet=A0&amp;row=223&amp;col=27&amp;number=&amp;sourceID=13","")</f>
        <v/>
      </c>
      <c r="AB223" s="4" t="str">
        <f>HYPERLINK("http://141.218.60.56/~jnz1568/getInfo.php?workbook=08_01.xlsx&amp;sheet=A0&amp;row=223&amp;col=28&amp;number=&amp;sourceID=13","")</f>
        <v/>
      </c>
      <c r="AC223" s="4" t="str">
        <f>HYPERLINK("http://141.218.60.56/~jnz1568/getInfo.php?workbook=08_01.xlsx&amp;sheet=A0&amp;row=223&amp;col=29&amp;number=&amp;sourceID=13","")</f>
        <v/>
      </c>
      <c r="AD223" s="4" t="str">
        <f>HYPERLINK("http://141.218.60.56/~jnz1568/getInfo.php?workbook=08_01.xlsx&amp;sheet=A0&amp;row=223&amp;col=30&amp;number=&amp;sourceID=13","")</f>
        <v/>
      </c>
      <c r="AE223" s="4" t="str">
        <f>HYPERLINK("http://141.218.60.56/~jnz1568/getInfo.php?workbook=08_01.xlsx&amp;sheet=A0&amp;row=223&amp;col=31&amp;number=&amp;sourceID=13","")</f>
        <v/>
      </c>
      <c r="AF223" s="4" t="str">
        <f>HYPERLINK("http://141.218.60.56/~jnz1568/getInfo.php?workbook=08_01.xlsx&amp;sheet=A0&amp;row=223&amp;col=32&amp;number=&amp;sourceID=20","")</f>
        <v/>
      </c>
    </row>
    <row r="224" spans="1:32">
      <c r="A224" s="3">
        <v>8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HYPERLINK("http://141.218.60.56/~jnz1568/getInfo.php?workbook=08_01.xlsx&amp;sheet=A0&amp;row=224&amp;col=6&amp;number=&amp;sourceID=18","")</f>
        <v/>
      </c>
      <c r="G224" s="4" t="str">
        <f>HYPERLINK("http://141.218.60.56/~jnz1568/getInfo.php?workbook=08_01.xlsx&amp;sheet=A0&amp;row=224&amp;col=7&amp;number==&amp;sourceID=11","=")</f>
        <v>=</v>
      </c>
      <c r="H224" s="4" t="str">
        <f>HYPERLINK("http://141.218.60.56/~jnz1568/getInfo.php?workbook=08_01.xlsx&amp;sheet=A0&amp;row=224&amp;col=8&amp;number=&amp;sourceID=11","")</f>
        <v/>
      </c>
      <c r="I224" s="4" t="str">
        <f>HYPERLINK("http://141.218.60.56/~jnz1568/getInfo.php?workbook=08_01.xlsx&amp;sheet=A0&amp;row=224&amp;col=9&amp;number=9.5e-14&amp;sourceID=11","9.5e-14")</f>
        <v>9.5e-14</v>
      </c>
      <c r="J224" s="4" t="str">
        <f>HYPERLINK("http://141.218.60.56/~jnz1568/getInfo.php?workbook=08_01.xlsx&amp;sheet=A0&amp;row=224&amp;col=10&amp;number=&amp;sourceID=11","")</f>
        <v/>
      </c>
      <c r="K224" s="4" t="str">
        <f>HYPERLINK("http://141.218.60.56/~jnz1568/getInfo.php?workbook=08_01.xlsx&amp;sheet=A0&amp;row=224&amp;col=11&amp;number=3.5138e-07&amp;sourceID=11","3.5138e-07")</f>
        <v>3.5138e-07</v>
      </c>
      <c r="L224" s="4" t="str">
        <f>HYPERLINK("http://141.218.60.56/~jnz1568/getInfo.php?workbook=08_01.xlsx&amp;sheet=A0&amp;row=224&amp;col=12&amp;number=&amp;sourceID=11","")</f>
        <v/>
      </c>
      <c r="M224" s="4" t="str">
        <f>HYPERLINK("http://141.218.60.56/~jnz1568/getInfo.php?workbook=08_01.xlsx&amp;sheet=A0&amp;row=224&amp;col=13&amp;number=0&amp;sourceID=11","0")</f>
        <v>0</v>
      </c>
      <c r="N224" s="4" t="str">
        <f>HYPERLINK("http://141.218.60.56/~jnz1568/getInfo.php?workbook=08_01.xlsx&amp;sheet=A0&amp;row=224&amp;col=14&amp;number=3.5146e-07&amp;sourceID=12","3.5146e-07")</f>
        <v>3.5146e-07</v>
      </c>
      <c r="O224" s="4" t="str">
        <f>HYPERLINK("http://141.218.60.56/~jnz1568/getInfo.php?workbook=08_01.xlsx&amp;sheet=A0&amp;row=224&amp;col=15&amp;number=&amp;sourceID=12","")</f>
        <v/>
      </c>
      <c r="P224" s="4" t="str">
        <f>HYPERLINK("http://141.218.60.56/~jnz1568/getInfo.php?workbook=08_01.xlsx&amp;sheet=A0&amp;row=224&amp;col=16&amp;number=9.5e-14&amp;sourceID=12","9.5e-14")</f>
        <v>9.5e-14</v>
      </c>
      <c r="Q224" s="4" t="str">
        <f>HYPERLINK("http://141.218.60.56/~jnz1568/getInfo.php?workbook=08_01.xlsx&amp;sheet=A0&amp;row=224&amp;col=17&amp;number=&amp;sourceID=12","")</f>
        <v/>
      </c>
      <c r="R224" s="4" t="str">
        <f>HYPERLINK("http://141.218.60.56/~jnz1568/getInfo.php?workbook=08_01.xlsx&amp;sheet=A0&amp;row=224&amp;col=18&amp;number=3.5146e-07&amp;sourceID=12","3.5146e-07")</f>
        <v>3.5146e-07</v>
      </c>
      <c r="S224" s="4" t="str">
        <f>HYPERLINK("http://141.218.60.56/~jnz1568/getInfo.php?workbook=08_01.xlsx&amp;sheet=A0&amp;row=224&amp;col=19&amp;number=&amp;sourceID=12","")</f>
        <v/>
      </c>
      <c r="T224" s="4" t="str">
        <f>HYPERLINK("http://141.218.60.56/~jnz1568/getInfo.php?workbook=08_01.xlsx&amp;sheet=A0&amp;row=224&amp;col=20&amp;number=0&amp;sourceID=12","0")</f>
        <v>0</v>
      </c>
      <c r="U224" s="4" t="str">
        <f>HYPERLINK("http://141.218.60.56/~jnz1568/getInfo.php?workbook=08_01.xlsx&amp;sheet=A0&amp;row=224&amp;col=21&amp;number=3.51500095e-07&amp;sourceID=30","3.51500095e-07")</f>
        <v>3.51500095e-07</v>
      </c>
      <c r="V224" s="4" t="str">
        <f>HYPERLINK("http://141.218.60.56/~jnz1568/getInfo.php?workbook=08_01.xlsx&amp;sheet=A0&amp;row=224&amp;col=22&amp;number=&amp;sourceID=30","")</f>
        <v/>
      </c>
      <c r="W224" s="4" t="str">
        <f>HYPERLINK("http://141.218.60.56/~jnz1568/getInfo.php?workbook=08_01.xlsx&amp;sheet=A0&amp;row=224&amp;col=23&amp;number=9.5e-14&amp;sourceID=30","9.5e-14")</f>
        <v>9.5e-14</v>
      </c>
      <c r="X224" s="4" t="str">
        <f>HYPERLINK("http://141.218.60.56/~jnz1568/getInfo.php?workbook=08_01.xlsx&amp;sheet=A0&amp;row=224&amp;col=24&amp;number=3.515e-07&amp;sourceID=30","3.515e-07")</f>
        <v>3.515e-07</v>
      </c>
      <c r="Y224" s="4" t="str">
        <f>HYPERLINK("http://141.218.60.56/~jnz1568/getInfo.php?workbook=08_01.xlsx&amp;sheet=A0&amp;row=224&amp;col=25&amp;number=&amp;sourceID=30","")</f>
        <v/>
      </c>
      <c r="Z224" s="4" t="str">
        <f>HYPERLINK("http://141.218.60.56/~jnz1568/getInfo.php?workbook=08_01.xlsx&amp;sheet=A0&amp;row=224&amp;col=26&amp;number=&amp;sourceID=13","")</f>
        <v/>
      </c>
      <c r="AA224" s="4" t="str">
        <f>HYPERLINK("http://141.218.60.56/~jnz1568/getInfo.php?workbook=08_01.xlsx&amp;sheet=A0&amp;row=224&amp;col=27&amp;number=&amp;sourceID=13","")</f>
        <v/>
      </c>
      <c r="AB224" s="4" t="str">
        <f>HYPERLINK("http://141.218.60.56/~jnz1568/getInfo.php?workbook=08_01.xlsx&amp;sheet=A0&amp;row=224&amp;col=28&amp;number=&amp;sourceID=13","")</f>
        <v/>
      </c>
      <c r="AC224" s="4" t="str">
        <f>HYPERLINK("http://141.218.60.56/~jnz1568/getInfo.php?workbook=08_01.xlsx&amp;sheet=A0&amp;row=224&amp;col=29&amp;number=&amp;sourceID=13","")</f>
        <v/>
      </c>
      <c r="AD224" s="4" t="str">
        <f>HYPERLINK("http://141.218.60.56/~jnz1568/getInfo.php?workbook=08_01.xlsx&amp;sheet=A0&amp;row=224&amp;col=30&amp;number=&amp;sourceID=13","")</f>
        <v/>
      </c>
      <c r="AE224" s="4" t="str">
        <f>HYPERLINK("http://141.218.60.56/~jnz1568/getInfo.php?workbook=08_01.xlsx&amp;sheet=A0&amp;row=224&amp;col=31&amp;number=&amp;sourceID=13","")</f>
        <v/>
      </c>
      <c r="AF224" s="4" t="str">
        <f>HYPERLINK("http://141.218.60.56/~jnz1568/getInfo.php?workbook=08_01.xlsx&amp;sheet=A0&amp;row=224&amp;col=32&amp;number=&amp;sourceID=20","")</f>
        <v/>
      </c>
    </row>
    <row r="225" spans="1:32">
      <c r="A225" s="3">
        <v>8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HYPERLINK("http://141.218.60.56/~jnz1568/getInfo.php?workbook=08_01.xlsx&amp;sheet=A0&amp;row=225&amp;col=6&amp;number=&amp;sourceID=18","")</f>
        <v/>
      </c>
      <c r="G225" s="4" t="str">
        <f>HYPERLINK("http://141.218.60.56/~jnz1568/getInfo.php?workbook=08_01.xlsx&amp;sheet=A0&amp;row=225&amp;col=7&amp;number==&amp;sourceID=11","=")</f>
        <v>=</v>
      </c>
      <c r="H225" s="4" t="str">
        <f>HYPERLINK("http://141.218.60.56/~jnz1568/getInfo.php?workbook=08_01.xlsx&amp;sheet=A0&amp;row=225&amp;col=8&amp;number=0.48706&amp;sourceID=11","0.48706")</f>
        <v>0.48706</v>
      </c>
      <c r="I225" s="4" t="str">
        <f>HYPERLINK("http://141.218.60.56/~jnz1568/getInfo.php?workbook=08_01.xlsx&amp;sheet=A0&amp;row=225&amp;col=9&amp;number=&amp;sourceID=11","")</f>
        <v/>
      </c>
      <c r="J225" s="4" t="str">
        <f>HYPERLINK("http://141.218.60.56/~jnz1568/getInfo.php?workbook=08_01.xlsx&amp;sheet=A0&amp;row=225&amp;col=10&amp;number=0&amp;sourceID=11","0")</f>
        <v>0</v>
      </c>
      <c r="K225" s="4" t="str">
        <f>HYPERLINK("http://141.218.60.56/~jnz1568/getInfo.php?workbook=08_01.xlsx&amp;sheet=A0&amp;row=225&amp;col=11&amp;number=&amp;sourceID=11","")</f>
        <v/>
      </c>
      <c r="L225" s="4" t="str">
        <f>HYPERLINK("http://141.218.60.56/~jnz1568/getInfo.php?workbook=08_01.xlsx&amp;sheet=A0&amp;row=225&amp;col=12&amp;number=0&amp;sourceID=11","0")</f>
        <v>0</v>
      </c>
      <c r="M225" s="4" t="str">
        <f>HYPERLINK("http://141.218.60.56/~jnz1568/getInfo.php?workbook=08_01.xlsx&amp;sheet=A0&amp;row=225&amp;col=13&amp;number=&amp;sourceID=11","")</f>
        <v/>
      </c>
      <c r="N225" s="4" t="str">
        <f>HYPERLINK("http://141.218.60.56/~jnz1568/getInfo.php?workbook=08_01.xlsx&amp;sheet=A0&amp;row=225&amp;col=14&amp;number=0.48717&amp;sourceID=12","0.48717")</f>
        <v>0.48717</v>
      </c>
      <c r="O225" s="4" t="str">
        <f>HYPERLINK("http://141.218.60.56/~jnz1568/getInfo.php?workbook=08_01.xlsx&amp;sheet=A0&amp;row=225&amp;col=15&amp;number=0.48717&amp;sourceID=12","0.48717")</f>
        <v>0.48717</v>
      </c>
      <c r="P225" s="4" t="str">
        <f>HYPERLINK("http://141.218.60.56/~jnz1568/getInfo.php?workbook=08_01.xlsx&amp;sheet=A0&amp;row=225&amp;col=16&amp;number=&amp;sourceID=12","")</f>
        <v/>
      </c>
      <c r="Q225" s="4" t="str">
        <f>HYPERLINK("http://141.218.60.56/~jnz1568/getInfo.php?workbook=08_01.xlsx&amp;sheet=A0&amp;row=225&amp;col=17&amp;number=0&amp;sourceID=12","0")</f>
        <v>0</v>
      </c>
      <c r="R225" s="4" t="str">
        <f>HYPERLINK("http://141.218.60.56/~jnz1568/getInfo.php?workbook=08_01.xlsx&amp;sheet=A0&amp;row=225&amp;col=18&amp;number=&amp;sourceID=12","")</f>
        <v/>
      </c>
      <c r="S225" s="4" t="str">
        <f>HYPERLINK("http://141.218.60.56/~jnz1568/getInfo.php?workbook=08_01.xlsx&amp;sheet=A0&amp;row=225&amp;col=19&amp;number=0&amp;sourceID=12","0")</f>
        <v>0</v>
      </c>
      <c r="T225" s="4" t="str">
        <f>HYPERLINK("http://141.218.60.56/~jnz1568/getInfo.php?workbook=08_01.xlsx&amp;sheet=A0&amp;row=225&amp;col=20&amp;number=&amp;sourceID=12","")</f>
        <v/>
      </c>
      <c r="U225" s="4" t="str">
        <f>HYPERLINK("http://141.218.60.56/~jnz1568/getInfo.php?workbook=08_01.xlsx&amp;sheet=A0&amp;row=225&amp;col=21&amp;number=0.4872&amp;sourceID=30","0.4872")</f>
        <v>0.4872</v>
      </c>
      <c r="V225" s="4" t="str">
        <f>HYPERLINK("http://141.218.60.56/~jnz1568/getInfo.php?workbook=08_01.xlsx&amp;sheet=A0&amp;row=225&amp;col=22&amp;number=0.4872&amp;sourceID=30","0.4872")</f>
        <v>0.4872</v>
      </c>
      <c r="W225" s="4" t="str">
        <f>HYPERLINK("http://141.218.60.56/~jnz1568/getInfo.php?workbook=08_01.xlsx&amp;sheet=A0&amp;row=225&amp;col=23&amp;number=&amp;sourceID=30","")</f>
        <v/>
      </c>
      <c r="X225" s="4" t="str">
        <f>HYPERLINK("http://141.218.60.56/~jnz1568/getInfo.php?workbook=08_01.xlsx&amp;sheet=A0&amp;row=225&amp;col=24&amp;number=&amp;sourceID=30","")</f>
        <v/>
      </c>
      <c r="Y225" s="4" t="str">
        <f>HYPERLINK("http://141.218.60.56/~jnz1568/getInfo.php?workbook=08_01.xlsx&amp;sheet=A0&amp;row=225&amp;col=25&amp;number=0&amp;sourceID=30","0")</f>
        <v>0</v>
      </c>
      <c r="Z225" s="4" t="str">
        <f>HYPERLINK("http://141.218.60.56/~jnz1568/getInfo.php?workbook=08_01.xlsx&amp;sheet=A0&amp;row=225&amp;col=26&amp;number=&amp;sourceID=13","")</f>
        <v/>
      </c>
      <c r="AA225" s="4" t="str">
        <f>HYPERLINK("http://141.218.60.56/~jnz1568/getInfo.php?workbook=08_01.xlsx&amp;sheet=A0&amp;row=225&amp;col=27&amp;number=&amp;sourceID=13","")</f>
        <v/>
      </c>
      <c r="AB225" s="4" t="str">
        <f>HYPERLINK("http://141.218.60.56/~jnz1568/getInfo.php?workbook=08_01.xlsx&amp;sheet=A0&amp;row=225&amp;col=28&amp;number=&amp;sourceID=13","")</f>
        <v/>
      </c>
      <c r="AC225" s="4" t="str">
        <f>HYPERLINK("http://141.218.60.56/~jnz1568/getInfo.php?workbook=08_01.xlsx&amp;sheet=A0&amp;row=225&amp;col=29&amp;number=&amp;sourceID=13","")</f>
        <v/>
      </c>
      <c r="AD225" s="4" t="str">
        <f>HYPERLINK("http://141.218.60.56/~jnz1568/getInfo.php?workbook=08_01.xlsx&amp;sheet=A0&amp;row=225&amp;col=30&amp;number=&amp;sourceID=13","")</f>
        <v/>
      </c>
      <c r="AE225" s="4" t="str">
        <f>HYPERLINK("http://141.218.60.56/~jnz1568/getInfo.php?workbook=08_01.xlsx&amp;sheet=A0&amp;row=225&amp;col=31&amp;number=&amp;sourceID=13","")</f>
        <v/>
      </c>
      <c r="AF225" s="4" t="str">
        <f>HYPERLINK("http://141.218.60.56/~jnz1568/getInfo.php?workbook=08_01.xlsx&amp;sheet=A0&amp;row=225&amp;col=32&amp;number=&amp;sourceID=20","")</f>
        <v/>
      </c>
    </row>
    <row r="226" spans="1:32">
      <c r="A226" s="3">
        <v>8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HYPERLINK("http://141.218.60.56/~jnz1568/getInfo.php?workbook=08_01.xlsx&amp;sheet=A0&amp;row=226&amp;col=6&amp;number=&amp;sourceID=18","")</f>
        <v/>
      </c>
      <c r="G226" s="4" t="str">
        <f>HYPERLINK("http://141.218.60.56/~jnz1568/getInfo.php?workbook=08_01.xlsx&amp;sheet=A0&amp;row=226&amp;col=7&amp;number==&amp;sourceID=11","=")</f>
        <v>=</v>
      </c>
      <c r="H226" s="4" t="str">
        <f>HYPERLINK("http://141.218.60.56/~jnz1568/getInfo.php?workbook=08_01.xlsx&amp;sheet=A0&amp;row=226&amp;col=8&amp;number=&amp;sourceID=11","")</f>
        <v/>
      </c>
      <c r="I226" s="4" t="str">
        <f>HYPERLINK("http://141.218.60.56/~jnz1568/getInfo.php?workbook=08_01.xlsx&amp;sheet=A0&amp;row=226&amp;col=9&amp;number=&amp;sourceID=11","")</f>
        <v/>
      </c>
      <c r="J226" s="4" t="str">
        <f>HYPERLINK("http://141.218.60.56/~jnz1568/getInfo.php?workbook=08_01.xlsx&amp;sheet=A0&amp;row=226&amp;col=10&amp;number=&amp;sourceID=11","")</f>
        <v/>
      </c>
      <c r="K226" s="4" t="str">
        <f>HYPERLINK("http://141.218.60.56/~jnz1568/getInfo.php?workbook=08_01.xlsx&amp;sheet=A0&amp;row=226&amp;col=11&amp;number=&amp;sourceID=11","")</f>
        <v/>
      </c>
      <c r="L226" s="4" t="str">
        <f>HYPERLINK("http://141.218.60.56/~jnz1568/getInfo.php?workbook=08_01.xlsx&amp;sheet=A0&amp;row=226&amp;col=12&amp;number=&amp;sourceID=11","")</f>
        <v/>
      </c>
      <c r="M226" s="4" t="str">
        <f>HYPERLINK("http://141.218.60.56/~jnz1568/getInfo.php?workbook=08_01.xlsx&amp;sheet=A0&amp;row=226&amp;col=13&amp;number=1.2875e-09&amp;sourceID=11","1.2875e-09")</f>
        <v>1.2875e-09</v>
      </c>
      <c r="N226" s="4" t="str">
        <f>HYPERLINK("http://141.218.60.56/~jnz1568/getInfo.php?workbook=08_01.xlsx&amp;sheet=A0&amp;row=226&amp;col=14&amp;number=8.6148e-10&amp;sourceID=12","8.6148e-10")</f>
        <v>8.6148e-10</v>
      </c>
      <c r="O226" s="4" t="str">
        <f>HYPERLINK("http://141.218.60.56/~jnz1568/getInfo.php?workbook=08_01.xlsx&amp;sheet=A0&amp;row=226&amp;col=15&amp;number=&amp;sourceID=12","")</f>
        <v/>
      </c>
      <c r="P226" s="4" t="str">
        <f>HYPERLINK("http://141.218.60.56/~jnz1568/getInfo.php?workbook=08_01.xlsx&amp;sheet=A0&amp;row=226&amp;col=16&amp;number=&amp;sourceID=12","")</f>
        <v/>
      </c>
      <c r="Q226" s="4" t="str">
        <f>HYPERLINK("http://141.218.60.56/~jnz1568/getInfo.php?workbook=08_01.xlsx&amp;sheet=A0&amp;row=226&amp;col=17&amp;number=&amp;sourceID=12","")</f>
        <v/>
      </c>
      <c r="R226" s="4" t="str">
        <f>HYPERLINK("http://141.218.60.56/~jnz1568/getInfo.php?workbook=08_01.xlsx&amp;sheet=A0&amp;row=226&amp;col=18&amp;number=&amp;sourceID=12","")</f>
        <v/>
      </c>
      <c r="S226" s="4" t="str">
        <f>HYPERLINK("http://141.218.60.56/~jnz1568/getInfo.php?workbook=08_01.xlsx&amp;sheet=A0&amp;row=226&amp;col=19&amp;number=&amp;sourceID=12","")</f>
        <v/>
      </c>
      <c r="T226" s="4" t="str">
        <f>HYPERLINK("http://141.218.60.56/~jnz1568/getInfo.php?workbook=08_01.xlsx&amp;sheet=A0&amp;row=226&amp;col=20&amp;number=8.6148e-10&amp;sourceID=12","8.6148e-10")</f>
        <v>8.6148e-10</v>
      </c>
      <c r="U226" s="4" t="str">
        <f>HYPERLINK("http://141.218.60.56/~jnz1568/getInfo.php?workbook=08_01.xlsx&amp;sheet=A0&amp;row=226&amp;col=21&amp;number=&amp;sourceID=30","")</f>
        <v/>
      </c>
      <c r="V226" s="4" t="str">
        <f>HYPERLINK("http://141.218.60.56/~jnz1568/getInfo.php?workbook=08_01.xlsx&amp;sheet=A0&amp;row=226&amp;col=22&amp;number=&amp;sourceID=30","")</f>
        <v/>
      </c>
      <c r="W226" s="4" t="str">
        <f>HYPERLINK("http://141.218.60.56/~jnz1568/getInfo.php?workbook=08_01.xlsx&amp;sheet=A0&amp;row=226&amp;col=23&amp;number=&amp;sourceID=30","")</f>
        <v/>
      </c>
      <c r="X226" s="4" t="str">
        <f>HYPERLINK("http://141.218.60.56/~jnz1568/getInfo.php?workbook=08_01.xlsx&amp;sheet=A0&amp;row=226&amp;col=24&amp;number=&amp;sourceID=30","")</f>
        <v/>
      </c>
      <c r="Y226" s="4" t="str">
        <f>HYPERLINK("http://141.218.60.56/~jnz1568/getInfo.php?workbook=08_01.xlsx&amp;sheet=A0&amp;row=226&amp;col=25&amp;number=&amp;sourceID=30","")</f>
        <v/>
      </c>
      <c r="Z226" s="4" t="str">
        <f>HYPERLINK("http://141.218.60.56/~jnz1568/getInfo.php?workbook=08_01.xlsx&amp;sheet=A0&amp;row=226&amp;col=26&amp;number=&amp;sourceID=13","")</f>
        <v/>
      </c>
      <c r="AA226" s="4" t="str">
        <f>HYPERLINK("http://141.218.60.56/~jnz1568/getInfo.php?workbook=08_01.xlsx&amp;sheet=A0&amp;row=226&amp;col=27&amp;number=&amp;sourceID=13","")</f>
        <v/>
      </c>
      <c r="AB226" s="4" t="str">
        <f>HYPERLINK("http://141.218.60.56/~jnz1568/getInfo.php?workbook=08_01.xlsx&amp;sheet=A0&amp;row=226&amp;col=28&amp;number=&amp;sourceID=13","")</f>
        <v/>
      </c>
      <c r="AC226" s="4" t="str">
        <f>HYPERLINK("http://141.218.60.56/~jnz1568/getInfo.php?workbook=08_01.xlsx&amp;sheet=A0&amp;row=226&amp;col=29&amp;number=&amp;sourceID=13","")</f>
        <v/>
      </c>
      <c r="AD226" s="4" t="str">
        <f>HYPERLINK("http://141.218.60.56/~jnz1568/getInfo.php?workbook=08_01.xlsx&amp;sheet=A0&amp;row=226&amp;col=30&amp;number=&amp;sourceID=13","")</f>
        <v/>
      </c>
      <c r="AE226" s="4" t="str">
        <f>HYPERLINK("http://141.218.60.56/~jnz1568/getInfo.php?workbook=08_01.xlsx&amp;sheet=A0&amp;row=226&amp;col=31&amp;number=&amp;sourceID=13","")</f>
        <v/>
      </c>
      <c r="AF226" s="4" t="str">
        <f>HYPERLINK("http://141.218.60.56/~jnz1568/getInfo.php?workbook=08_01.xlsx&amp;sheet=A0&amp;row=226&amp;col=32&amp;number=&amp;sourceID=20","")</f>
        <v/>
      </c>
    </row>
    <row r="227" spans="1:32">
      <c r="A227" s="3">
        <v>8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HYPERLINK("http://141.218.60.56/~jnz1568/getInfo.php?workbook=08_01.xlsx&amp;sheet=A0&amp;row=227&amp;col=6&amp;number=&amp;sourceID=18","")</f>
        <v/>
      </c>
      <c r="G227" s="4" t="str">
        <f>HYPERLINK("http://141.218.60.56/~jnz1568/getInfo.php?workbook=08_01.xlsx&amp;sheet=A0&amp;row=227&amp;col=7&amp;number==&amp;sourceID=11","=")</f>
        <v>=</v>
      </c>
      <c r="H227" s="4" t="str">
        <f>HYPERLINK("http://141.218.60.56/~jnz1568/getInfo.php?workbook=08_01.xlsx&amp;sheet=A0&amp;row=227&amp;col=8&amp;number=&amp;sourceID=11","")</f>
        <v/>
      </c>
      <c r="I227" s="4" t="str">
        <f>HYPERLINK("http://141.218.60.56/~jnz1568/getInfo.php?workbook=08_01.xlsx&amp;sheet=A0&amp;row=227&amp;col=9&amp;number=&amp;sourceID=11","")</f>
        <v/>
      </c>
      <c r="J227" s="4" t="str">
        <f>HYPERLINK("http://141.218.60.56/~jnz1568/getInfo.php?workbook=08_01.xlsx&amp;sheet=A0&amp;row=227&amp;col=10&amp;number=421.36&amp;sourceID=11","421.36")</f>
        <v>421.36</v>
      </c>
      <c r="K227" s="4" t="str">
        <f>HYPERLINK("http://141.218.60.56/~jnz1568/getInfo.php?workbook=08_01.xlsx&amp;sheet=A0&amp;row=227&amp;col=11&amp;number=&amp;sourceID=11","")</f>
        <v/>
      </c>
      <c r="L227" s="4" t="str">
        <f>HYPERLINK("http://141.218.60.56/~jnz1568/getInfo.php?workbook=08_01.xlsx&amp;sheet=A0&amp;row=227&amp;col=12&amp;number=&amp;sourceID=11","")</f>
        <v/>
      </c>
      <c r="M227" s="4" t="str">
        <f>HYPERLINK("http://141.218.60.56/~jnz1568/getInfo.php?workbook=08_01.xlsx&amp;sheet=A0&amp;row=227&amp;col=13&amp;number=&amp;sourceID=11","")</f>
        <v/>
      </c>
      <c r="N227" s="4" t="str">
        <f>HYPERLINK("http://141.218.60.56/~jnz1568/getInfo.php?workbook=08_01.xlsx&amp;sheet=A0&amp;row=227&amp;col=14&amp;number=421.38&amp;sourceID=12","421.38")</f>
        <v>421.38</v>
      </c>
      <c r="O227" s="4" t="str">
        <f>HYPERLINK("http://141.218.60.56/~jnz1568/getInfo.php?workbook=08_01.xlsx&amp;sheet=A0&amp;row=227&amp;col=15&amp;number=&amp;sourceID=12","")</f>
        <v/>
      </c>
      <c r="P227" s="4" t="str">
        <f>HYPERLINK("http://141.218.60.56/~jnz1568/getInfo.php?workbook=08_01.xlsx&amp;sheet=A0&amp;row=227&amp;col=16&amp;number=&amp;sourceID=12","")</f>
        <v/>
      </c>
      <c r="Q227" s="4" t="str">
        <f>HYPERLINK("http://141.218.60.56/~jnz1568/getInfo.php?workbook=08_01.xlsx&amp;sheet=A0&amp;row=227&amp;col=17&amp;number=421.38&amp;sourceID=12","421.38")</f>
        <v>421.38</v>
      </c>
      <c r="R227" s="4" t="str">
        <f>HYPERLINK("http://141.218.60.56/~jnz1568/getInfo.php?workbook=08_01.xlsx&amp;sheet=A0&amp;row=227&amp;col=18&amp;number=&amp;sourceID=12","")</f>
        <v/>
      </c>
      <c r="S227" s="4" t="str">
        <f>HYPERLINK("http://141.218.60.56/~jnz1568/getInfo.php?workbook=08_01.xlsx&amp;sheet=A0&amp;row=227&amp;col=19&amp;number=&amp;sourceID=12","")</f>
        <v/>
      </c>
      <c r="T227" s="4" t="str">
        <f>HYPERLINK("http://141.218.60.56/~jnz1568/getInfo.php?workbook=08_01.xlsx&amp;sheet=A0&amp;row=227&amp;col=20&amp;number=&amp;sourceID=12","")</f>
        <v/>
      </c>
      <c r="U227" s="4" t="str">
        <f>HYPERLINK("http://141.218.60.56/~jnz1568/getInfo.php?workbook=08_01.xlsx&amp;sheet=A0&amp;row=227&amp;col=21&amp;number=&amp;sourceID=30","")</f>
        <v/>
      </c>
      <c r="V227" s="4" t="str">
        <f>HYPERLINK("http://141.218.60.56/~jnz1568/getInfo.php?workbook=08_01.xlsx&amp;sheet=A0&amp;row=227&amp;col=22&amp;number=&amp;sourceID=30","")</f>
        <v/>
      </c>
      <c r="W227" s="4" t="str">
        <f>HYPERLINK("http://141.218.60.56/~jnz1568/getInfo.php?workbook=08_01.xlsx&amp;sheet=A0&amp;row=227&amp;col=23&amp;number=&amp;sourceID=30","")</f>
        <v/>
      </c>
      <c r="X227" s="4" t="str">
        <f>HYPERLINK("http://141.218.60.56/~jnz1568/getInfo.php?workbook=08_01.xlsx&amp;sheet=A0&amp;row=227&amp;col=24&amp;number=&amp;sourceID=30","")</f>
        <v/>
      </c>
      <c r="Y227" s="4" t="str">
        <f>HYPERLINK("http://141.218.60.56/~jnz1568/getInfo.php?workbook=08_01.xlsx&amp;sheet=A0&amp;row=227&amp;col=25&amp;number=&amp;sourceID=30","")</f>
        <v/>
      </c>
      <c r="Z227" s="4" t="str">
        <f>HYPERLINK("http://141.218.60.56/~jnz1568/getInfo.php?workbook=08_01.xlsx&amp;sheet=A0&amp;row=227&amp;col=26&amp;number=&amp;sourceID=13","")</f>
        <v/>
      </c>
      <c r="AA227" s="4" t="str">
        <f>HYPERLINK("http://141.218.60.56/~jnz1568/getInfo.php?workbook=08_01.xlsx&amp;sheet=A0&amp;row=227&amp;col=27&amp;number=&amp;sourceID=13","")</f>
        <v/>
      </c>
      <c r="AB227" s="4" t="str">
        <f>HYPERLINK("http://141.218.60.56/~jnz1568/getInfo.php?workbook=08_01.xlsx&amp;sheet=A0&amp;row=227&amp;col=28&amp;number=&amp;sourceID=13","")</f>
        <v/>
      </c>
      <c r="AC227" s="4" t="str">
        <f>HYPERLINK("http://141.218.60.56/~jnz1568/getInfo.php?workbook=08_01.xlsx&amp;sheet=A0&amp;row=227&amp;col=29&amp;number=&amp;sourceID=13","")</f>
        <v/>
      </c>
      <c r="AD227" s="4" t="str">
        <f>HYPERLINK("http://141.218.60.56/~jnz1568/getInfo.php?workbook=08_01.xlsx&amp;sheet=A0&amp;row=227&amp;col=30&amp;number=&amp;sourceID=13","")</f>
        <v/>
      </c>
      <c r="AE227" s="4" t="str">
        <f>HYPERLINK("http://141.218.60.56/~jnz1568/getInfo.php?workbook=08_01.xlsx&amp;sheet=A0&amp;row=227&amp;col=31&amp;number=&amp;sourceID=13","")</f>
        <v/>
      </c>
      <c r="AF227" s="4" t="str">
        <f>HYPERLINK("http://141.218.60.56/~jnz1568/getInfo.php?workbook=08_01.xlsx&amp;sheet=A0&amp;row=227&amp;col=32&amp;number=&amp;sourceID=20","")</f>
        <v/>
      </c>
    </row>
    <row r="228" spans="1:32">
      <c r="A228" s="3">
        <v>8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HYPERLINK("http://141.218.60.56/~jnz1568/getInfo.php?workbook=08_01.xlsx&amp;sheet=A0&amp;row=228&amp;col=6&amp;number=&amp;sourceID=18","")</f>
        <v/>
      </c>
      <c r="G228" s="4" t="str">
        <f>HYPERLINK("http://141.218.60.56/~jnz1568/getInfo.php?workbook=08_01.xlsx&amp;sheet=A0&amp;row=228&amp;col=7&amp;number==&amp;sourceID=11","=")</f>
        <v>=</v>
      </c>
      <c r="H228" s="4" t="str">
        <f>HYPERLINK("http://141.218.60.56/~jnz1568/getInfo.php?workbook=08_01.xlsx&amp;sheet=A0&amp;row=228&amp;col=8&amp;number=&amp;sourceID=11","")</f>
        <v/>
      </c>
      <c r="I228" s="4" t="str">
        <f>HYPERLINK("http://141.218.60.56/~jnz1568/getInfo.php?workbook=08_01.xlsx&amp;sheet=A0&amp;row=228&amp;col=9&amp;number=&amp;sourceID=11","")</f>
        <v/>
      </c>
      <c r="J228" s="4" t="str">
        <f>HYPERLINK("http://141.218.60.56/~jnz1568/getInfo.php?workbook=08_01.xlsx&amp;sheet=A0&amp;row=228&amp;col=10&amp;number=&amp;sourceID=11","")</f>
        <v/>
      </c>
      <c r="K228" s="4" t="str">
        <f>HYPERLINK("http://141.218.60.56/~jnz1568/getInfo.php?workbook=08_01.xlsx&amp;sheet=A0&amp;row=228&amp;col=11&amp;number=&amp;sourceID=11","")</f>
        <v/>
      </c>
      <c r="L228" s="4" t="str">
        <f>HYPERLINK("http://141.218.60.56/~jnz1568/getInfo.php?workbook=08_01.xlsx&amp;sheet=A0&amp;row=228&amp;col=12&amp;number=&amp;sourceID=11","")</f>
        <v/>
      </c>
      <c r="M228" s="4" t="str">
        <f>HYPERLINK("http://141.218.60.56/~jnz1568/getInfo.php?workbook=08_01.xlsx&amp;sheet=A0&amp;row=228&amp;col=13&amp;number=1.334e-10&amp;sourceID=11","1.334e-10")</f>
        <v>1.334e-10</v>
      </c>
      <c r="N228" s="4" t="str">
        <f>HYPERLINK("http://141.218.60.56/~jnz1568/getInfo.php?workbook=08_01.xlsx&amp;sheet=A0&amp;row=228&amp;col=14&amp;number=1.3139e-10&amp;sourceID=12","1.3139e-10")</f>
        <v>1.3139e-10</v>
      </c>
      <c r="O228" s="4" t="str">
        <f>HYPERLINK("http://141.218.60.56/~jnz1568/getInfo.php?workbook=08_01.xlsx&amp;sheet=A0&amp;row=228&amp;col=15&amp;number=&amp;sourceID=12","")</f>
        <v/>
      </c>
      <c r="P228" s="4" t="str">
        <f>HYPERLINK("http://141.218.60.56/~jnz1568/getInfo.php?workbook=08_01.xlsx&amp;sheet=A0&amp;row=228&amp;col=16&amp;number=&amp;sourceID=12","")</f>
        <v/>
      </c>
      <c r="Q228" s="4" t="str">
        <f>HYPERLINK("http://141.218.60.56/~jnz1568/getInfo.php?workbook=08_01.xlsx&amp;sheet=A0&amp;row=228&amp;col=17&amp;number=&amp;sourceID=12","")</f>
        <v/>
      </c>
      <c r="R228" s="4" t="str">
        <f>HYPERLINK("http://141.218.60.56/~jnz1568/getInfo.php?workbook=08_01.xlsx&amp;sheet=A0&amp;row=228&amp;col=18&amp;number=&amp;sourceID=12","")</f>
        <v/>
      </c>
      <c r="S228" s="4" t="str">
        <f>HYPERLINK("http://141.218.60.56/~jnz1568/getInfo.php?workbook=08_01.xlsx&amp;sheet=A0&amp;row=228&amp;col=19&amp;number=&amp;sourceID=12","")</f>
        <v/>
      </c>
      <c r="T228" s="4" t="str">
        <f>HYPERLINK("http://141.218.60.56/~jnz1568/getInfo.php?workbook=08_01.xlsx&amp;sheet=A0&amp;row=228&amp;col=20&amp;number=1.3139e-10&amp;sourceID=12","1.3139e-10")</f>
        <v>1.3139e-10</v>
      </c>
      <c r="U228" s="4" t="str">
        <f>HYPERLINK("http://141.218.60.56/~jnz1568/getInfo.php?workbook=08_01.xlsx&amp;sheet=A0&amp;row=228&amp;col=21&amp;number=&amp;sourceID=30","")</f>
        <v/>
      </c>
      <c r="V228" s="4" t="str">
        <f>HYPERLINK("http://141.218.60.56/~jnz1568/getInfo.php?workbook=08_01.xlsx&amp;sheet=A0&amp;row=228&amp;col=22&amp;number=&amp;sourceID=30","")</f>
        <v/>
      </c>
      <c r="W228" s="4" t="str">
        <f>HYPERLINK("http://141.218.60.56/~jnz1568/getInfo.php?workbook=08_01.xlsx&amp;sheet=A0&amp;row=228&amp;col=23&amp;number=&amp;sourceID=30","")</f>
        <v/>
      </c>
      <c r="X228" s="4" t="str">
        <f>HYPERLINK("http://141.218.60.56/~jnz1568/getInfo.php?workbook=08_01.xlsx&amp;sheet=A0&amp;row=228&amp;col=24&amp;number=&amp;sourceID=30","")</f>
        <v/>
      </c>
      <c r="Y228" s="4" t="str">
        <f>HYPERLINK("http://141.218.60.56/~jnz1568/getInfo.php?workbook=08_01.xlsx&amp;sheet=A0&amp;row=228&amp;col=25&amp;number=&amp;sourceID=30","")</f>
        <v/>
      </c>
      <c r="Z228" s="4" t="str">
        <f>HYPERLINK("http://141.218.60.56/~jnz1568/getInfo.php?workbook=08_01.xlsx&amp;sheet=A0&amp;row=228&amp;col=26&amp;number=&amp;sourceID=13","")</f>
        <v/>
      </c>
      <c r="AA228" s="4" t="str">
        <f>HYPERLINK("http://141.218.60.56/~jnz1568/getInfo.php?workbook=08_01.xlsx&amp;sheet=A0&amp;row=228&amp;col=27&amp;number=&amp;sourceID=13","")</f>
        <v/>
      </c>
      <c r="AB228" s="4" t="str">
        <f>HYPERLINK("http://141.218.60.56/~jnz1568/getInfo.php?workbook=08_01.xlsx&amp;sheet=A0&amp;row=228&amp;col=28&amp;number=&amp;sourceID=13","")</f>
        <v/>
      </c>
      <c r="AC228" s="4" t="str">
        <f>HYPERLINK("http://141.218.60.56/~jnz1568/getInfo.php?workbook=08_01.xlsx&amp;sheet=A0&amp;row=228&amp;col=29&amp;number=&amp;sourceID=13","")</f>
        <v/>
      </c>
      <c r="AD228" s="4" t="str">
        <f>HYPERLINK("http://141.218.60.56/~jnz1568/getInfo.php?workbook=08_01.xlsx&amp;sheet=A0&amp;row=228&amp;col=30&amp;number=&amp;sourceID=13","")</f>
        <v/>
      </c>
      <c r="AE228" s="4" t="str">
        <f>HYPERLINK("http://141.218.60.56/~jnz1568/getInfo.php?workbook=08_01.xlsx&amp;sheet=A0&amp;row=228&amp;col=31&amp;number=&amp;sourceID=13","")</f>
        <v/>
      </c>
      <c r="AF228" s="4" t="str">
        <f>HYPERLINK("http://141.218.60.56/~jnz1568/getInfo.php?workbook=08_01.xlsx&amp;sheet=A0&amp;row=228&amp;col=32&amp;number=&amp;sourceID=20","")</f>
        <v/>
      </c>
    </row>
    <row r="229" spans="1:32">
      <c r="A229" s="3">
        <v>8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HYPERLINK("http://141.218.60.56/~jnz1568/getInfo.php?workbook=08_01.xlsx&amp;sheet=A0&amp;row=229&amp;col=6&amp;number=&amp;sourceID=18","")</f>
        <v/>
      </c>
      <c r="G229" s="4" t="str">
        <f>HYPERLINK("http://141.218.60.56/~jnz1568/getInfo.php?workbook=08_01.xlsx&amp;sheet=A0&amp;row=229&amp;col=7&amp;number==&amp;sourceID=11","=")</f>
        <v>=</v>
      </c>
      <c r="H229" s="4" t="str">
        <f>HYPERLINK("http://141.218.60.56/~jnz1568/getInfo.php?workbook=08_01.xlsx&amp;sheet=A0&amp;row=229&amp;col=8&amp;number=&amp;sourceID=11","")</f>
        <v/>
      </c>
      <c r="I229" s="4" t="str">
        <f>HYPERLINK("http://141.218.60.56/~jnz1568/getInfo.php?workbook=08_01.xlsx&amp;sheet=A0&amp;row=229&amp;col=9&amp;number=&amp;sourceID=11","")</f>
        <v/>
      </c>
      <c r="J229" s="4" t="str">
        <f>HYPERLINK("http://141.218.60.56/~jnz1568/getInfo.php?workbook=08_01.xlsx&amp;sheet=A0&amp;row=229&amp;col=10&amp;number=140.53&amp;sourceID=11","140.53")</f>
        <v>140.53</v>
      </c>
      <c r="K229" s="4" t="str">
        <f>HYPERLINK("http://141.218.60.56/~jnz1568/getInfo.php?workbook=08_01.xlsx&amp;sheet=A0&amp;row=229&amp;col=11&amp;number=&amp;sourceID=11","")</f>
        <v/>
      </c>
      <c r="L229" s="4" t="str">
        <f>HYPERLINK("http://141.218.60.56/~jnz1568/getInfo.php?workbook=08_01.xlsx&amp;sheet=A0&amp;row=229&amp;col=12&amp;number=8.7728e-07&amp;sourceID=11","8.7728e-07")</f>
        <v>8.7728e-07</v>
      </c>
      <c r="M229" s="4" t="str">
        <f>HYPERLINK("http://141.218.60.56/~jnz1568/getInfo.php?workbook=08_01.xlsx&amp;sheet=A0&amp;row=229&amp;col=13&amp;number=&amp;sourceID=11","")</f>
        <v/>
      </c>
      <c r="N229" s="4" t="str">
        <f>HYPERLINK("http://141.218.60.56/~jnz1568/getInfo.php?workbook=08_01.xlsx&amp;sheet=A0&amp;row=229&amp;col=14&amp;number=140.53&amp;sourceID=12","140.53")</f>
        <v>140.53</v>
      </c>
      <c r="O229" s="4" t="str">
        <f>HYPERLINK("http://141.218.60.56/~jnz1568/getInfo.php?workbook=08_01.xlsx&amp;sheet=A0&amp;row=229&amp;col=15&amp;number=&amp;sourceID=12","")</f>
        <v/>
      </c>
      <c r="P229" s="4" t="str">
        <f>HYPERLINK("http://141.218.60.56/~jnz1568/getInfo.php?workbook=08_01.xlsx&amp;sheet=A0&amp;row=229&amp;col=16&amp;number=&amp;sourceID=12","")</f>
        <v/>
      </c>
      <c r="Q229" s="4" t="str">
        <f>HYPERLINK("http://141.218.60.56/~jnz1568/getInfo.php?workbook=08_01.xlsx&amp;sheet=A0&amp;row=229&amp;col=17&amp;number=140.53&amp;sourceID=12","140.53")</f>
        <v>140.53</v>
      </c>
      <c r="R229" s="4" t="str">
        <f>HYPERLINK("http://141.218.60.56/~jnz1568/getInfo.php?workbook=08_01.xlsx&amp;sheet=A0&amp;row=229&amp;col=18&amp;number=&amp;sourceID=12","")</f>
        <v/>
      </c>
      <c r="S229" s="4" t="str">
        <f>HYPERLINK("http://141.218.60.56/~jnz1568/getInfo.php?workbook=08_01.xlsx&amp;sheet=A0&amp;row=229&amp;col=19&amp;number=8.7118e-07&amp;sourceID=12","8.7118e-07")</f>
        <v>8.7118e-07</v>
      </c>
      <c r="T229" s="4" t="str">
        <f>HYPERLINK("http://141.218.60.56/~jnz1568/getInfo.php?workbook=08_01.xlsx&amp;sheet=A0&amp;row=229&amp;col=20&amp;number=&amp;sourceID=12","")</f>
        <v/>
      </c>
      <c r="U229" s="4" t="str">
        <f>HYPERLINK("http://141.218.60.56/~jnz1568/getInfo.php?workbook=08_01.xlsx&amp;sheet=A0&amp;row=229&amp;col=21&amp;number=8.783e-07&amp;sourceID=30","8.783e-07")</f>
        <v>8.783e-07</v>
      </c>
      <c r="V229" s="4" t="str">
        <f>HYPERLINK("http://141.218.60.56/~jnz1568/getInfo.php?workbook=08_01.xlsx&amp;sheet=A0&amp;row=229&amp;col=22&amp;number=&amp;sourceID=30","")</f>
        <v/>
      </c>
      <c r="W229" s="4" t="str">
        <f>HYPERLINK("http://141.218.60.56/~jnz1568/getInfo.php?workbook=08_01.xlsx&amp;sheet=A0&amp;row=229&amp;col=23&amp;number=&amp;sourceID=30","")</f>
        <v/>
      </c>
      <c r="X229" s="4" t="str">
        <f>HYPERLINK("http://141.218.60.56/~jnz1568/getInfo.php?workbook=08_01.xlsx&amp;sheet=A0&amp;row=229&amp;col=24&amp;number=&amp;sourceID=30","")</f>
        <v/>
      </c>
      <c r="Y229" s="4" t="str">
        <f>HYPERLINK("http://141.218.60.56/~jnz1568/getInfo.php?workbook=08_01.xlsx&amp;sheet=A0&amp;row=229&amp;col=25&amp;number=8.783e-07&amp;sourceID=30","8.783e-07")</f>
        <v>8.783e-07</v>
      </c>
      <c r="Z229" s="4" t="str">
        <f>HYPERLINK("http://141.218.60.56/~jnz1568/getInfo.php?workbook=08_01.xlsx&amp;sheet=A0&amp;row=229&amp;col=26&amp;number=&amp;sourceID=13","")</f>
        <v/>
      </c>
      <c r="AA229" s="4" t="str">
        <f>HYPERLINK("http://141.218.60.56/~jnz1568/getInfo.php?workbook=08_01.xlsx&amp;sheet=A0&amp;row=229&amp;col=27&amp;number=&amp;sourceID=13","")</f>
        <v/>
      </c>
      <c r="AB229" s="4" t="str">
        <f>HYPERLINK("http://141.218.60.56/~jnz1568/getInfo.php?workbook=08_01.xlsx&amp;sheet=A0&amp;row=229&amp;col=28&amp;number=&amp;sourceID=13","")</f>
        <v/>
      </c>
      <c r="AC229" s="4" t="str">
        <f>HYPERLINK("http://141.218.60.56/~jnz1568/getInfo.php?workbook=08_01.xlsx&amp;sheet=A0&amp;row=229&amp;col=29&amp;number=&amp;sourceID=13","")</f>
        <v/>
      </c>
      <c r="AD229" s="4" t="str">
        <f>HYPERLINK("http://141.218.60.56/~jnz1568/getInfo.php?workbook=08_01.xlsx&amp;sheet=A0&amp;row=229&amp;col=30&amp;number=&amp;sourceID=13","")</f>
        <v/>
      </c>
      <c r="AE229" s="4" t="str">
        <f>HYPERLINK("http://141.218.60.56/~jnz1568/getInfo.php?workbook=08_01.xlsx&amp;sheet=A0&amp;row=229&amp;col=31&amp;number=&amp;sourceID=13","")</f>
        <v/>
      </c>
      <c r="AF229" s="4" t="str">
        <f>HYPERLINK("http://141.218.60.56/~jnz1568/getInfo.php?workbook=08_01.xlsx&amp;sheet=A0&amp;row=229&amp;col=32&amp;number=&amp;sourceID=20","")</f>
        <v/>
      </c>
    </row>
    <row r="230" spans="1:32">
      <c r="A230" s="3">
        <v>8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HYPERLINK("http://141.218.60.56/~jnz1568/getInfo.php?workbook=08_01.xlsx&amp;sheet=A0&amp;row=230&amp;col=6&amp;number=&amp;sourceID=18","")</f>
        <v/>
      </c>
      <c r="G230" s="4" t="str">
        <f>HYPERLINK("http://141.218.60.56/~jnz1568/getInfo.php?workbook=08_01.xlsx&amp;sheet=A0&amp;row=230&amp;col=7&amp;number==&amp;sourceID=11","=")</f>
        <v>=</v>
      </c>
      <c r="H230" s="4" t="str">
        <f>HYPERLINK("http://141.218.60.56/~jnz1568/getInfo.php?workbook=08_01.xlsx&amp;sheet=A0&amp;row=230&amp;col=8&amp;number=&amp;sourceID=11","")</f>
        <v/>
      </c>
      <c r="I230" s="4" t="str">
        <f>HYPERLINK("http://141.218.60.56/~jnz1568/getInfo.php?workbook=08_01.xlsx&amp;sheet=A0&amp;row=230&amp;col=9&amp;number=&amp;sourceID=11","")</f>
        <v/>
      </c>
      <c r="J230" s="4" t="str">
        <f>HYPERLINK("http://141.218.60.56/~jnz1568/getInfo.php?workbook=08_01.xlsx&amp;sheet=A0&amp;row=230&amp;col=10&amp;number=178.66&amp;sourceID=11","178.66")</f>
        <v>178.66</v>
      </c>
      <c r="K230" s="4" t="str">
        <f>HYPERLINK("http://141.218.60.56/~jnz1568/getInfo.php?workbook=08_01.xlsx&amp;sheet=A0&amp;row=230&amp;col=11&amp;number=&amp;sourceID=11","")</f>
        <v/>
      </c>
      <c r="L230" s="4" t="str">
        <f>HYPERLINK("http://141.218.60.56/~jnz1568/getInfo.php?workbook=08_01.xlsx&amp;sheet=A0&amp;row=230&amp;col=12&amp;number=&amp;sourceID=11","")</f>
        <v/>
      </c>
      <c r="M230" s="4" t="str">
        <f>HYPERLINK("http://141.218.60.56/~jnz1568/getInfo.php?workbook=08_01.xlsx&amp;sheet=A0&amp;row=230&amp;col=13&amp;number=&amp;sourceID=11","")</f>
        <v/>
      </c>
      <c r="N230" s="4" t="str">
        <f>HYPERLINK("http://141.218.60.56/~jnz1568/getInfo.php?workbook=08_01.xlsx&amp;sheet=A0&amp;row=230&amp;col=14&amp;number=178.67&amp;sourceID=12","178.67")</f>
        <v>178.67</v>
      </c>
      <c r="O230" s="4" t="str">
        <f>HYPERLINK("http://141.218.60.56/~jnz1568/getInfo.php?workbook=08_01.xlsx&amp;sheet=A0&amp;row=230&amp;col=15&amp;number=&amp;sourceID=12","")</f>
        <v/>
      </c>
      <c r="P230" s="4" t="str">
        <f>HYPERLINK("http://141.218.60.56/~jnz1568/getInfo.php?workbook=08_01.xlsx&amp;sheet=A0&amp;row=230&amp;col=16&amp;number=&amp;sourceID=12","")</f>
        <v/>
      </c>
      <c r="Q230" s="4" t="str">
        <f>HYPERLINK("http://141.218.60.56/~jnz1568/getInfo.php?workbook=08_01.xlsx&amp;sheet=A0&amp;row=230&amp;col=17&amp;number=178.67&amp;sourceID=12","178.67")</f>
        <v>178.67</v>
      </c>
      <c r="R230" s="4" t="str">
        <f>HYPERLINK("http://141.218.60.56/~jnz1568/getInfo.php?workbook=08_01.xlsx&amp;sheet=A0&amp;row=230&amp;col=18&amp;number=&amp;sourceID=12","")</f>
        <v/>
      </c>
      <c r="S230" s="4" t="str">
        <f>HYPERLINK("http://141.218.60.56/~jnz1568/getInfo.php?workbook=08_01.xlsx&amp;sheet=A0&amp;row=230&amp;col=19&amp;number=&amp;sourceID=12","")</f>
        <v/>
      </c>
      <c r="T230" s="4" t="str">
        <f>HYPERLINK("http://141.218.60.56/~jnz1568/getInfo.php?workbook=08_01.xlsx&amp;sheet=A0&amp;row=230&amp;col=20&amp;number=&amp;sourceID=12","")</f>
        <v/>
      </c>
      <c r="U230" s="4" t="str">
        <f>HYPERLINK("http://141.218.60.56/~jnz1568/getInfo.php?workbook=08_01.xlsx&amp;sheet=A0&amp;row=230&amp;col=21&amp;number=&amp;sourceID=30","")</f>
        <v/>
      </c>
      <c r="V230" s="4" t="str">
        <f>HYPERLINK("http://141.218.60.56/~jnz1568/getInfo.php?workbook=08_01.xlsx&amp;sheet=A0&amp;row=230&amp;col=22&amp;number=&amp;sourceID=30","")</f>
        <v/>
      </c>
      <c r="W230" s="4" t="str">
        <f>HYPERLINK("http://141.218.60.56/~jnz1568/getInfo.php?workbook=08_01.xlsx&amp;sheet=A0&amp;row=230&amp;col=23&amp;number=&amp;sourceID=30","")</f>
        <v/>
      </c>
      <c r="X230" s="4" t="str">
        <f>HYPERLINK("http://141.218.60.56/~jnz1568/getInfo.php?workbook=08_01.xlsx&amp;sheet=A0&amp;row=230&amp;col=24&amp;number=&amp;sourceID=30","")</f>
        <v/>
      </c>
      <c r="Y230" s="4" t="str">
        <f>HYPERLINK("http://141.218.60.56/~jnz1568/getInfo.php?workbook=08_01.xlsx&amp;sheet=A0&amp;row=230&amp;col=25&amp;number=&amp;sourceID=30","")</f>
        <v/>
      </c>
      <c r="Z230" s="4" t="str">
        <f>HYPERLINK("http://141.218.60.56/~jnz1568/getInfo.php?workbook=08_01.xlsx&amp;sheet=A0&amp;row=230&amp;col=26&amp;number=&amp;sourceID=13","")</f>
        <v/>
      </c>
      <c r="AA230" s="4" t="str">
        <f>HYPERLINK("http://141.218.60.56/~jnz1568/getInfo.php?workbook=08_01.xlsx&amp;sheet=A0&amp;row=230&amp;col=27&amp;number=&amp;sourceID=13","")</f>
        <v/>
      </c>
      <c r="AB230" s="4" t="str">
        <f>HYPERLINK("http://141.218.60.56/~jnz1568/getInfo.php?workbook=08_01.xlsx&amp;sheet=A0&amp;row=230&amp;col=28&amp;number=&amp;sourceID=13","")</f>
        <v/>
      </c>
      <c r="AC230" s="4" t="str">
        <f>HYPERLINK("http://141.218.60.56/~jnz1568/getInfo.php?workbook=08_01.xlsx&amp;sheet=A0&amp;row=230&amp;col=29&amp;number=&amp;sourceID=13","")</f>
        <v/>
      </c>
      <c r="AD230" s="4" t="str">
        <f>HYPERLINK("http://141.218.60.56/~jnz1568/getInfo.php?workbook=08_01.xlsx&amp;sheet=A0&amp;row=230&amp;col=30&amp;number=&amp;sourceID=13","")</f>
        <v/>
      </c>
      <c r="AE230" s="4" t="str">
        <f>HYPERLINK("http://141.218.60.56/~jnz1568/getInfo.php?workbook=08_01.xlsx&amp;sheet=A0&amp;row=230&amp;col=31&amp;number=&amp;sourceID=13","")</f>
        <v/>
      </c>
      <c r="AF230" s="4" t="str">
        <f>HYPERLINK("http://141.218.60.56/~jnz1568/getInfo.php?workbook=08_01.xlsx&amp;sheet=A0&amp;row=230&amp;col=32&amp;number=&amp;sourceID=20","")</f>
        <v/>
      </c>
    </row>
    <row r="231" spans="1:32">
      <c r="A231" s="3">
        <v>8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HYPERLINK("http://141.218.60.56/~jnz1568/getInfo.php?workbook=08_01.xlsx&amp;sheet=A0&amp;row=231&amp;col=6&amp;number=&amp;sourceID=18","")</f>
        <v/>
      </c>
      <c r="G231" s="4" t="str">
        <f>HYPERLINK("http://141.218.60.56/~jnz1568/getInfo.php?workbook=08_01.xlsx&amp;sheet=A0&amp;row=231&amp;col=7&amp;number==&amp;sourceID=11","=")</f>
        <v>=</v>
      </c>
      <c r="H231" s="4" t="str">
        <f>HYPERLINK("http://141.218.60.56/~jnz1568/getInfo.php?workbook=08_01.xlsx&amp;sheet=A0&amp;row=231&amp;col=8&amp;number=&amp;sourceID=11","")</f>
        <v/>
      </c>
      <c r="I231" s="4" t="str">
        <f>HYPERLINK("http://141.218.60.56/~jnz1568/getInfo.php?workbook=08_01.xlsx&amp;sheet=A0&amp;row=231&amp;col=9&amp;number=&amp;sourceID=11","")</f>
        <v/>
      </c>
      <c r="J231" s="4" t="str">
        <f>HYPERLINK("http://141.218.60.56/~jnz1568/getInfo.php?workbook=08_01.xlsx&amp;sheet=A0&amp;row=231&amp;col=10&amp;number=&amp;sourceID=11","")</f>
        <v/>
      </c>
      <c r="K231" s="4" t="str">
        <f>HYPERLINK("http://141.218.60.56/~jnz1568/getInfo.php?workbook=08_01.xlsx&amp;sheet=A0&amp;row=231&amp;col=11&amp;number=&amp;sourceID=11","")</f>
        <v/>
      </c>
      <c r="L231" s="4" t="str">
        <f>HYPERLINK("http://141.218.60.56/~jnz1568/getInfo.php?workbook=08_01.xlsx&amp;sheet=A0&amp;row=231&amp;col=12&amp;number=&amp;sourceID=11","")</f>
        <v/>
      </c>
      <c r="M231" s="4" t="str">
        <f>HYPERLINK("http://141.218.60.56/~jnz1568/getInfo.php?workbook=08_01.xlsx&amp;sheet=A0&amp;row=231&amp;col=13&amp;number=3.364e-12&amp;sourceID=11","3.364e-12")</f>
        <v>3.364e-12</v>
      </c>
      <c r="N231" s="4" t="str">
        <f>HYPERLINK("http://141.218.60.56/~jnz1568/getInfo.php?workbook=08_01.xlsx&amp;sheet=A0&amp;row=231&amp;col=14&amp;number=3.364e-12&amp;sourceID=12","3.364e-12")</f>
        <v>3.364e-12</v>
      </c>
      <c r="O231" s="4" t="str">
        <f>HYPERLINK("http://141.218.60.56/~jnz1568/getInfo.php?workbook=08_01.xlsx&amp;sheet=A0&amp;row=231&amp;col=15&amp;number=&amp;sourceID=12","")</f>
        <v/>
      </c>
      <c r="P231" s="4" t="str">
        <f>HYPERLINK("http://141.218.60.56/~jnz1568/getInfo.php?workbook=08_01.xlsx&amp;sheet=A0&amp;row=231&amp;col=16&amp;number=&amp;sourceID=12","")</f>
        <v/>
      </c>
      <c r="Q231" s="4" t="str">
        <f>HYPERLINK("http://141.218.60.56/~jnz1568/getInfo.php?workbook=08_01.xlsx&amp;sheet=A0&amp;row=231&amp;col=17&amp;number=&amp;sourceID=12","")</f>
        <v/>
      </c>
      <c r="R231" s="4" t="str">
        <f>HYPERLINK("http://141.218.60.56/~jnz1568/getInfo.php?workbook=08_01.xlsx&amp;sheet=A0&amp;row=231&amp;col=18&amp;number=&amp;sourceID=12","")</f>
        <v/>
      </c>
      <c r="S231" s="4" t="str">
        <f>HYPERLINK("http://141.218.60.56/~jnz1568/getInfo.php?workbook=08_01.xlsx&amp;sheet=A0&amp;row=231&amp;col=19&amp;number=&amp;sourceID=12","")</f>
        <v/>
      </c>
      <c r="T231" s="4" t="str">
        <f>HYPERLINK("http://141.218.60.56/~jnz1568/getInfo.php?workbook=08_01.xlsx&amp;sheet=A0&amp;row=231&amp;col=20&amp;number=3.364e-12&amp;sourceID=12","3.364e-12")</f>
        <v>3.364e-12</v>
      </c>
      <c r="U231" s="4" t="str">
        <f>HYPERLINK("http://141.218.60.56/~jnz1568/getInfo.php?workbook=08_01.xlsx&amp;sheet=A0&amp;row=231&amp;col=21&amp;number=&amp;sourceID=30","")</f>
        <v/>
      </c>
      <c r="V231" s="4" t="str">
        <f>HYPERLINK("http://141.218.60.56/~jnz1568/getInfo.php?workbook=08_01.xlsx&amp;sheet=A0&amp;row=231&amp;col=22&amp;number=&amp;sourceID=30","")</f>
        <v/>
      </c>
      <c r="W231" s="4" t="str">
        <f>HYPERLINK("http://141.218.60.56/~jnz1568/getInfo.php?workbook=08_01.xlsx&amp;sheet=A0&amp;row=231&amp;col=23&amp;number=&amp;sourceID=30","")</f>
        <v/>
      </c>
      <c r="X231" s="4" t="str">
        <f>HYPERLINK("http://141.218.60.56/~jnz1568/getInfo.php?workbook=08_01.xlsx&amp;sheet=A0&amp;row=231&amp;col=24&amp;number=&amp;sourceID=30","")</f>
        <v/>
      </c>
      <c r="Y231" s="4" t="str">
        <f>HYPERLINK("http://141.218.60.56/~jnz1568/getInfo.php?workbook=08_01.xlsx&amp;sheet=A0&amp;row=231&amp;col=25&amp;number=&amp;sourceID=30","")</f>
        <v/>
      </c>
      <c r="Z231" s="4" t="str">
        <f>HYPERLINK("http://141.218.60.56/~jnz1568/getInfo.php?workbook=08_01.xlsx&amp;sheet=A0&amp;row=231&amp;col=26&amp;number=&amp;sourceID=13","")</f>
        <v/>
      </c>
      <c r="AA231" s="4" t="str">
        <f>HYPERLINK("http://141.218.60.56/~jnz1568/getInfo.php?workbook=08_01.xlsx&amp;sheet=A0&amp;row=231&amp;col=27&amp;number=&amp;sourceID=13","")</f>
        <v/>
      </c>
      <c r="AB231" s="4" t="str">
        <f>HYPERLINK("http://141.218.60.56/~jnz1568/getInfo.php?workbook=08_01.xlsx&amp;sheet=A0&amp;row=231&amp;col=28&amp;number=&amp;sourceID=13","")</f>
        <v/>
      </c>
      <c r="AC231" s="4" t="str">
        <f>HYPERLINK("http://141.218.60.56/~jnz1568/getInfo.php?workbook=08_01.xlsx&amp;sheet=A0&amp;row=231&amp;col=29&amp;number=&amp;sourceID=13","")</f>
        <v/>
      </c>
      <c r="AD231" s="4" t="str">
        <f>HYPERLINK("http://141.218.60.56/~jnz1568/getInfo.php?workbook=08_01.xlsx&amp;sheet=A0&amp;row=231&amp;col=30&amp;number=&amp;sourceID=13","")</f>
        <v/>
      </c>
      <c r="AE231" s="4" t="str">
        <f>HYPERLINK("http://141.218.60.56/~jnz1568/getInfo.php?workbook=08_01.xlsx&amp;sheet=A0&amp;row=231&amp;col=31&amp;number=&amp;sourceID=13","")</f>
        <v/>
      </c>
      <c r="AF231" s="4" t="str">
        <f>HYPERLINK("http://141.218.60.56/~jnz1568/getInfo.php?workbook=08_01.xlsx&amp;sheet=A0&amp;row=231&amp;col=32&amp;number=&amp;sourceID=20","")</f>
        <v/>
      </c>
    </row>
    <row r="232" spans="1:32">
      <c r="A232" s="3">
        <v>8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HYPERLINK("http://141.218.60.56/~jnz1568/getInfo.php?workbook=08_01.xlsx&amp;sheet=A0&amp;row=232&amp;col=6&amp;number=&amp;sourceID=18","")</f>
        <v/>
      </c>
      <c r="G232" s="4" t="str">
        <f>HYPERLINK("http://141.218.60.56/~jnz1568/getInfo.php?workbook=08_01.xlsx&amp;sheet=A0&amp;row=232&amp;col=7&amp;number==&amp;sourceID=11","=")</f>
        <v>=</v>
      </c>
      <c r="H232" s="4" t="str">
        <f>HYPERLINK("http://141.218.60.56/~jnz1568/getInfo.php?workbook=08_01.xlsx&amp;sheet=A0&amp;row=232&amp;col=8&amp;number=&amp;sourceID=11","")</f>
        <v/>
      </c>
      <c r="I232" s="4" t="str">
        <f>HYPERLINK("http://141.218.60.56/~jnz1568/getInfo.php?workbook=08_01.xlsx&amp;sheet=A0&amp;row=232&amp;col=9&amp;number=2740400&amp;sourceID=11","2740400")</f>
        <v>2740400</v>
      </c>
      <c r="J232" s="4" t="str">
        <f>HYPERLINK("http://141.218.60.56/~jnz1568/getInfo.php?workbook=08_01.xlsx&amp;sheet=A0&amp;row=232&amp;col=10&amp;number=&amp;sourceID=11","")</f>
        <v/>
      </c>
      <c r="K232" s="4" t="str">
        <f>HYPERLINK("http://141.218.60.56/~jnz1568/getInfo.php?workbook=08_01.xlsx&amp;sheet=A0&amp;row=232&amp;col=11&amp;number=&amp;sourceID=11","")</f>
        <v/>
      </c>
      <c r="L232" s="4" t="str">
        <f>HYPERLINK("http://141.218.60.56/~jnz1568/getInfo.php?workbook=08_01.xlsx&amp;sheet=A0&amp;row=232&amp;col=12&amp;number=&amp;sourceID=11","")</f>
        <v/>
      </c>
      <c r="M232" s="4" t="str">
        <f>HYPERLINK("http://141.218.60.56/~jnz1568/getInfo.php?workbook=08_01.xlsx&amp;sheet=A0&amp;row=232&amp;col=13&amp;number=0.00095875&amp;sourceID=11","0.00095875")</f>
        <v>0.00095875</v>
      </c>
      <c r="N232" s="4" t="str">
        <f>HYPERLINK("http://141.218.60.56/~jnz1568/getInfo.php?workbook=08_01.xlsx&amp;sheet=A0&amp;row=232&amp;col=14&amp;number=2740500&amp;sourceID=12","2740500")</f>
        <v>2740500</v>
      </c>
      <c r="O232" s="4" t="str">
        <f>HYPERLINK("http://141.218.60.56/~jnz1568/getInfo.php?workbook=08_01.xlsx&amp;sheet=A0&amp;row=232&amp;col=15&amp;number=&amp;sourceID=12","")</f>
        <v/>
      </c>
      <c r="P232" s="4" t="str">
        <f>HYPERLINK("http://141.218.60.56/~jnz1568/getInfo.php?workbook=08_01.xlsx&amp;sheet=A0&amp;row=232&amp;col=16&amp;number=2740500&amp;sourceID=12","2740500")</f>
        <v>2740500</v>
      </c>
      <c r="Q232" s="4" t="str">
        <f>HYPERLINK("http://141.218.60.56/~jnz1568/getInfo.php?workbook=08_01.xlsx&amp;sheet=A0&amp;row=232&amp;col=17&amp;number=&amp;sourceID=12","")</f>
        <v/>
      </c>
      <c r="R232" s="4" t="str">
        <f>HYPERLINK("http://141.218.60.56/~jnz1568/getInfo.php?workbook=08_01.xlsx&amp;sheet=A0&amp;row=232&amp;col=18&amp;number=&amp;sourceID=12","")</f>
        <v/>
      </c>
      <c r="S232" s="4" t="str">
        <f>HYPERLINK("http://141.218.60.56/~jnz1568/getInfo.php?workbook=08_01.xlsx&amp;sheet=A0&amp;row=232&amp;col=19&amp;number=&amp;sourceID=12","")</f>
        <v/>
      </c>
      <c r="T232" s="4" t="str">
        <f>HYPERLINK("http://141.218.60.56/~jnz1568/getInfo.php?workbook=08_01.xlsx&amp;sheet=A0&amp;row=232&amp;col=20&amp;number=0.00095878&amp;sourceID=12","0.00095878")</f>
        <v>0.00095878</v>
      </c>
      <c r="U232" s="4" t="str">
        <f>HYPERLINK("http://141.218.60.56/~jnz1568/getInfo.php?workbook=08_01.xlsx&amp;sheet=A0&amp;row=232&amp;col=21&amp;number=2740000&amp;sourceID=30","2740000")</f>
        <v>2740000</v>
      </c>
      <c r="V232" s="4" t="str">
        <f>HYPERLINK("http://141.218.60.56/~jnz1568/getInfo.php?workbook=08_01.xlsx&amp;sheet=A0&amp;row=232&amp;col=22&amp;number=&amp;sourceID=30","")</f>
        <v/>
      </c>
      <c r="W232" s="4" t="str">
        <f>HYPERLINK("http://141.218.60.56/~jnz1568/getInfo.php?workbook=08_01.xlsx&amp;sheet=A0&amp;row=232&amp;col=23&amp;number=2740000&amp;sourceID=30","2740000")</f>
        <v>2740000</v>
      </c>
      <c r="X232" s="4" t="str">
        <f>HYPERLINK("http://141.218.60.56/~jnz1568/getInfo.php?workbook=08_01.xlsx&amp;sheet=A0&amp;row=232&amp;col=24&amp;number=&amp;sourceID=30","")</f>
        <v/>
      </c>
      <c r="Y232" s="4" t="str">
        <f>HYPERLINK("http://141.218.60.56/~jnz1568/getInfo.php?workbook=08_01.xlsx&amp;sheet=A0&amp;row=232&amp;col=25&amp;number=&amp;sourceID=30","")</f>
        <v/>
      </c>
      <c r="Z232" s="4" t="str">
        <f>HYPERLINK("http://141.218.60.56/~jnz1568/getInfo.php?workbook=08_01.xlsx&amp;sheet=A0&amp;row=232&amp;col=26&amp;number=&amp;sourceID=13","")</f>
        <v/>
      </c>
      <c r="AA232" s="4" t="str">
        <f>HYPERLINK("http://141.218.60.56/~jnz1568/getInfo.php?workbook=08_01.xlsx&amp;sheet=A0&amp;row=232&amp;col=27&amp;number=&amp;sourceID=13","")</f>
        <v/>
      </c>
      <c r="AB232" s="4" t="str">
        <f>HYPERLINK("http://141.218.60.56/~jnz1568/getInfo.php?workbook=08_01.xlsx&amp;sheet=A0&amp;row=232&amp;col=28&amp;number=&amp;sourceID=13","")</f>
        <v/>
      </c>
      <c r="AC232" s="4" t="str">
        <f>HYPERLINK("http://141.218.60.56/~jnz1568/getInfo.php?workbook=08_01.xlsx&amp;sheet=A0&amp;row=232&amp;col=29&amp;number=&amp;sourceID=13","")</f>
        <v/>
      </c>
      <c r="AD232" s="4" t="str">
        <f>HYPERLINK("http://141.218.60.56/~jnz1568/getInfo.php?workbook=08_01.xlsx&amp;sheet=A0&amp;row=232&amp;col=30&amp;number=&amp;sourceID=13","")</f>
        <v/>
      </c>
      <c r="AE232" s="4" t="str">
        <f>HYPERLINK("http://141.218.60.56/~jnz1568/getInfo.php?workbook=08_01.xlsx&amp;sheet=A0&amp;row=232&amp;col=31&amp;number=&amp;sourceID=13","")</f>
        <v/>
      </c>
      <c r="AF232" s="4" t="str">
        <f>HYPERLINK("http://141.218.60.56/~jnz1568/getInfo.php?workbook=08_01.xlsx&amp;sheet=A0&amp;row=232&amp;col=32&amp;number=&amp;sourceID=20","")</f>
        <v/>
      </c>
    </row>
    <row r="233" spans="1:32">
      <c r="A233" s="3">
        <v>8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HYPERLINK("http://141.218.60.56/~jnz1568/getInfo.php?workbook=08_01.xlsx&amp;sheet=A0&amp;row=233&amp;col=6&amp;number=&amp;sourceID=18","")</f>
        <v/>
      </c>
      <c r="G233" s="4" t="str">
        <f>HYPERLINK("http://141.218.60.56/~jnz1568/getInfo.php?workbook=08_01.xlsx&amp;sheet=A0&amp;row=233&amp;col=7&amp;number==&amp;sourceID=11","=")</f>
        <v>=</v>
      </c>
      <c r="H233" s="4" t="str">
        <f>HYPERLINK("http://141.218.60.56/~jnz1568/getInfo.php?workbook=08_01.xlsx&amp;sheet=A0&amp;row=233&amp;col=8&amp;number=&amp;sourceID=11","")</f>
        <v/>
      </c>
      <c r="I233" s="4" t="str">
        <f>HYPERLINK("http://141.218.60.56/~jnz1568/getInfo.php?workbook=08_01.xlsx&amp;sheet=A0&amp;row=233&amp;col=9&amp;number=&amp;sourceID=11","")</f>
        <v/>
      </c>
      <c r="J233" s="4" t="str">
        <f>HYPERLINK("http://141.218.60.56/~jnz1568/getInfo.php?workbook=08_01.xlsx&amp;sheet=A0&amp;row=233&amp;col=10&amp;number=59.426&amp;sourceID=11","59.426")</f>
        <v>59.426</v>
      </c>
      <c r="K233" s="4" t="str">
        <f>HYPERLINK("http://141.218.60.56/~jnz1568/getInfo.php?workbook=08_01.xlsx&amp;sheet=A0&amp;row=233&amp;col=11&amp;number=&amp;sourceID=11","")</f>
        <v/>
      </c>
      <c r="L233" s="4" t="str">
        <f>HYPERLINK("http://141.218.60.56/~jnz1568/getInfo.php?workbook=08_01.xlsx&amp;sheet=A0&amp;row=233&amp;col=12&amp;number=1.1631e-07&amp;sourceID=11","1.1631e-07")</f>
        <v>1.1631e-07</v>
      </c>
      <c r="M233" s="4" t="str">
        <f>HYPERLINK("http://141.218.60.56/~jnz1568/getInfo.php?workbook=08_01.xlsx&amp;sheet=A0&amp;row=233&amp;col=13&amp;number=&amp;sourceID=11","")</f>
        <v/>
      </c>
      <c r="N233" s="4" t="str">
        <f>HYPERLINK("http://141.218.60.56/~jnz1568/getInfo.php?workbook=08_01.xlsx&amp;sheet=A0&amp;row=233&amp;col=14&amp;number=59.428&amp;sourceID=12","59.428")</f>
        <v>59.428</v>
      </c>
      <c r="O233" s="4" t="str">
        <f>HYPERLINK("http://141.218.60.56/~jnz1568/getInfo.php?workbook=08_01.xlsx&amp;sheet=A0&amp;row=233&amp;col=15&amp;number=&amp;sourceID=12","")</f>
        <v/>
      </c>
      <c r="P233" s="4" t="str">
        <f>HYPERLINK("http://141.218.60.56/~jnz1568/getInfo.php?workbook=08_01.xlsx&amp;sheet=A0&amp;row=233&amp;col=16&amp;number=&amp;sourceID=12","")</f>
        <v/>
      </c>
      <c r="Q233" s="4" t="str">
        <f>HYPERLINK("http://141.218.60.56/~jnz1568/getInfo.php?workbook=08_01.xlsx&amp;sheet=A0&amp;row=233&amp;col=17&amp;number=59.428&amp;sourceID=12","59.428")</f>
        <v>59.428</v>
      </c>
      <c r="R233" s="4" t="str">
        <f>HYPERLINK("http://141.218.60.56/~jnz1568/getInfo.php?workbook=08_01.xlsx&amp;sheet=A0&amp;row=233&amp;col=18&amp;number=&amp;sourceID=12","")</f>
        <v/>
      </c>
      <c r="S233" s="4" t="str">
        <f>HYPERLINK("http://141.218.60.56/~jnz1568/getInfo.php?workbook=08_01.xlsx&amp;sheet=A0&amp;row=233&amp;col=19&amp;number=1.163e-07&amp;sourceID=12","1.163e-07")</f>
        <v>1.163e-07</v>
      </c>
      <c r="T233" s="4" t="str">
        <f>HYPERLINK("http://141.218.60.56/~jnz1568/getInfo.php?workbook=08_01.xlsx&amp;sheet=A0&amp;row=233&amp;col=20&amp;number=&amp;sourceID=12","")</f>
        <v/>
      </c>
      <c r="U233" s="4" t="str">
        <f>HYPERLINK("http://141.218.60.56/~jnz1568/getInfo.php?workbook=08_01.xlsx&amp;sheet=A0&amp;row=233&amp;col=21&amp;number=1.161e-07&amp;sourceID=30","1.161e-07")</f>
        <v>1.161e-07</v>
      </c>
      <c r="V233" s="4" t="str">
        <f>HYPERLINK("http://141.218.60.56/~jnz1568/getInfo.php?workbook=08_01.xlsx&amp;sheet=A0&amp;row=233&amp;col=22&amp;number=&amp;sourceID=30","")</f>
        <v/>
      </c>
      <c r="W233" s="4" t="str">
        <f>HYPERLINK("http://141.218.60.56/~jnz1568/getInfo.php?workbook=08_01.xlsx&amp;sheet=A0&amp;row=233&amp;col=23&amp;number=&amp;sourceID=30","")</f>
        <v/>
      </c>
      <c r="X233" s="4" t="str">
        <f>HYPERLINK("http://141.218.60.56/~jnz1568/getInfo.php?workbook=08_01.xlsx&amp;sheet=A0&amp;row=233&amp;col=24&amp;number=&amp;sourceID=30","")</f>
        <v/>
      </c>
      <c r="Y233" s="4" t="str">
        <f>HYPERLINK("http://141.218.60.56/~jnz1568/getInfo.php?workbook=08_01.xlsx&amp;sheet=A0&amp;row=233&amp;col=25&amp;number=1.161e-07&amp;sourceID=30","1.161e-07")</f>
        <v>1.161e-07</v>
      </c>
      <c r="Z233" s="4" t="str">
        <f>HYPERLINK("http://141.218.60.56/~jnz1568/getInfo.php?workbook=08_01.xlsx&amp;sheet=A0&amp;row=233&amp;col=26&amp;number=&amp;sourceID=13","")</f>
        <v/>
      </c>
      <c r="AA233" s="4" t="str">
        <f>HYPERLINK("http://141.218.60.56/~jnz1568/getInfo.php?workbook=08_01.xlsx&amp;sheet=A0&amp;row=233&amp;col=27&amp;number=&amp;sourceID=13","")</f>
        <v/>
      </c>
      <c r="AB233" s="4" t="str">
        <f>HYPERLINK("http://141.218.60.56/~jnz1568/getInfo.php?workbook=08_01.xlsx&amp;sheet=A0&amp;row=233&amp;col=28&amp;number=&amp;sourceID=13","")</f>
        <v/>
      </c>
      <c r="AC233" s="4" t="str">
        <f>HYPERLINK("http://141.218.60.56/~jnz1568/getInfo.php?workbook=08_01.xlsx&amp;sheet=A0&amp;row=233&amp;col=29&amp;number=&amp;sourceID=13","")</f>
        <v/>
      </c>
      <c r="AD233" s="4" t="str">
        <f>HYPERLINK("http://141.218.60.56/~jnz1568/getInfo.php?workbook=08_01.xlsx&amp;sheet=A0&amp;row=233&amp;col=30&amp;number=&amp;sourceID=13","")</f>
        <v/>
      </c>
      <c r="AE233" s="4" t="str">
        <f>HYPERLINK("http://141.218.60.56/~jnz1568/getInfo.php?workbook=08_01.xlsx&amp;sheet=A0&amp;row=233&amp;col=31&amp;number=&amp;sourceID=13","")</f>
        <v/>
      </c>
      <c r="AF233" s="4" t="str">
        <f>HYPERLINK("http://141.218.60.56/~jnz1568/getInfo.php?workbook=08_01.xlsx&amp;sheet=A0&amp;row=233&amp;col=32&amp;number=&amp;sourceID=20","")</f>
        <v/>
      </c>
    </row>
    <row r="234" spans="1:32">
      <c r="A234" s="3">
        <v>8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HYPERLINK("http://141.218.60.56/~jnz1568/getInfo.php?workbook=08_01.xlsx&amp;sheet=A0&amp;row=234&amp;col=6&amp;number=&amp;sourceID=18","")</f>
        <v/>
      </c>
      <c r="G234" s="4" t="str">
        <f>HYPERLINK("http://141.218.60.56/~jnz1568/getInfo.php?workbook=08_01.xlsx&amp;sheet=A0&amp;row=234&amp;col=7&amp;number==&amp;sourceID=11","=")</f>
        <v>=</v>
      </c>
      <c r="H234" s="4" t="str">
        <f>HYPERLINK("http://141.218.60.56/~jnz1568/getInfo.php?workbook=08_01.xlsx&amp;sheet=A0&amp;row=234&amp;col=8&amp;number=&amp;sourceID=11","")</f>
        <v/>
      </c>
      <c r="I234" s="4" t="str">
        <f>HYPERLINK("http://141.218.60.56/~jnz1568/getInfo.php?workbook=08_01.xlsx&amp;sheet=A0&amp;row=234&amp;col=9&amp;number=304450&amp;sourceID=11","304450")</f>
        <v>304450</v>
      </c>
      <c r="J234" s="4" t="str">
        <f>HYPERLINK("http://141.218.60.56/~jnz1568/getInfo.php?workbook=08_01.xlsx&amp;sheet=A0&amp;row=234&amp;col=10&amp;number=&amp;sourceID=11","")</f>
        <v/>
      </c>
      <c r="K234" s="4" t="str">
        <f>HYPERLINK("http://141.218.60.56/~jnz1568/getInfo.php?workbook=08_01.xlsx&amp;sheet=A0&amp;row=234&amp;col=11&amp;number=0.0014906&amp;sourceID=11","0.0014906")</f>
        <v>0.0014906</v>
      </c>
      <c r="L234" s="4" t="str">
        <f>HYPERLINK("http://141.218.60.56/~jnz1568/getInfo.php?workbook=08_01.xlsx&amp;sheet=A0&amp;row=234&amp;col=12&amp;number=&amp;sourceID=11","")</f>
        <v/>
      </c>
      <c r="M234" s="4" t="str">
        <f>HYPERLINK("http://141.218.60.56/~jnz1568/getInfo.php?workbook=08_01.xlsx&amp;sheet=A0&amp;row=234&amp;col=13&amp;number=3.5491e-05&amp;sourceID=11","3.5491e-05")</f>
        <v>3.5491e-05</v>
      </c>
      <c r="N234" s="4" t="str">
        <f>HYPERLINK("http://141.218.60.56/~jnz1568/getInfo.php?workbook=08_01.xlsx&amp;sheet=A0&amp;row=234&amp;col=14&amp;number=304460&amp;sourceID=12","304460")</f>
        <v>304460</v>
      </c>
      <c r="O234" s="4" t="str">
        <f>HYPERLINK("http://141.218.60.56/~jnz1568/getInfo.php?workbook=08_01.xlsx&amp;sheet=A0&amp;row=234&amp;col=15&amp;number=&amp;sourceID=12","")</f>
        <v/>
      </c>
      <c r="P234" s="4" t="str">
        <f>HYPERLINK("http://141.218.60.56/~jnz1568/getInfo.php?workbook=08_01.xlsx&amp;sheet=A0&amp;row=234&amp;col=16&amp;number=304460&amp;sourceID=12","304460")</f>
        <v>304460</v>
      </c>
      <c r="Q234" s="4" t="str">
        <f>HYPERLINK("http://141.218.60.56/~jnz1568/getInfo.php?workbook=08_01.xlsx&amp;sheet=A0&amp;row=234&amp;col=17&amp;number=&amp;sourceID=12","")</f>
        <v/>
      </c>
      <c r="R234" s="4" t="str">
        <f>HYPERLINK("http://141.218.60.56/~jnz1568/getInfo.php?workbook=08_01.xlsx&amp;sheet=A0&amp;row=234&amp;col=18&amp;number=0.0014907&amp;sourceID=12","0.0014907")</f>
        <v>0.0014907</v>
      </c>
      <c r="S234" s="4" t="str">
        <f>HYPERLINK("http://141.218.60.56/~jnz1568/getInfo.php?workbook=08_01.xlsx&amp;sheet=A0&amp;row=234&amp;col=19&amp;number=&amp;sourceID=12","")</f>
        <v/>
      </c>
      <c r="T234" s="4" t="str">
        <f>HYPERLINK("http://141.218.60.56/~jnz1568/getInfo.php?workbook=08_01.xlsx&amp;sheet=A0&amp;row=234&amp;col=20&amp;number=3.5492e-05&amp;sourceID=12","3.5492e-05")</f>
        <v>3.5492e-05</v>
      </c>
      <c r="U234" s="4" t="str">
        <f>HYPERLINK("http://141.218.60.56/~jnz1568/getInfo.php?workbook=08_01.xlsx&amp;sheet=A0&amp;row=234&amp;col=21&amp;number=304500.00149&amp;sourceID=30","304500.00149")</f>
        <v>304500.00149</v>
      </c>
      <c r="V234" s="4" t="str">
        <f>HYPERLINK("http://141.218.60.56/~jnz1568/getInfo.php?workbook=08_01.xlsx&amp;sheet=A0&amp;row=234&amp;col=22&amp;number=&amp;sourceID=30","")</f>
        <v/>
      </c>
      <c r="W234" s="4" t="str">
        <f>HYPERLINK("http://141.218.60.56/~jnz1568/getInfo.php?workbook=08_01.xlsx&amp;sheet=A0&amp;row=234&amp;col=23&amp;number=304500&amp;sourceID=30","304500")</f>
        <v>304500</v>
      </c>
      <c r="X234" s="4" t="str">
        <f>HYPERLINK("http://141.218.60.56/~jnz1568/getInfo.php?workbook=08_01.xlsx&amp;sheet=A0&amp;row=234&amp;col=24&amp;number=0.00149&amp;sourceID=30","0.00149")</f>
        <v>0.00149</v>
      </c>
      <c r="Y234" s="4" t="str">
        <f>HYPERLINK("http://141.218.60.56/~jnz1568/getInfo.php?workbook=08_01.xlsx&amp;sheet=A0&amp;row=234&amp;col=25&amp;number=&amp;sourceID=30","")</f>
        <v/>
      </c>
      <c r="Z234" s="4" t="str">
        <f>HYPERLINK("http://141.218.60.56/~jnz1568/getInfo.php?workbook=08_01.xlsx&amp;sheet=A0&amp;row=234&amp;col=26&amp;number=&amp;sourceID=13","")</f>
        <v/>
      </c>
      <c r="AA234" s="4" t="str">
        <f>HYPERLINK("http://141.218.60.56/~jnz1568/getInfo.php?workbook=08_01.xlsx&amp;sheet=A0&amp;row=234&amp;col=27&amp;number=&amp;sourceID=13","")</f>
        <v/>
      </c>
      <c r="AB234" s="4" t="str">
        <f>HYPERLINK("http://141.218.60.56/~jnz1568/getInfo.php?workbook=08_01.xlsx&amp;sheet=A0&amp;row=234&amp;col=28&amp;number=&amp;sourceID=13","")</f>
        <v/>
      </c>
      <c r="AC234" s="4" t="str">
        <f>HYPERLINK("http://141.218.60.56/~jnz1568/getInfo.php?workbook=08_01.xlsx&amp;sheet=A0&amp;row=234&amp;col=29&amp;number=&amp;sourceID=13","")</f>
        <v/>
      </c>
      <c r="AD234" s="4" t="str">
        <f>HYPERLINK("http://141.218.60.56/~jnz1568/getInfo.php?workbook=08_01.xlsx&amp;sheet=A0&amp;row=234&amp;col=30&amp;number=&amp;sourceID=13","")</f>
        <v/>
      </c>
      <c r="AE234" s="4" t="str">
        <f>HYPERLINK("http://141.218.60.56/~jnz1568/getInfo.php?workbook=08_01.xlsx&amp;sheet=A0&amp;row=234&amp;col=31&amp;number=&amp;sourceID=13","")</f>
        <v/>
      </c>
      <c r="AF234" s="4" t="str">
        <f>HYPERLINK("http://141.218.60.56/~jnz1568/getInfo.php?workbook=08_01.xlsx&amp;sheet=A0&amp;row=234&amp;col=32&amp;number=&amp;sourceID=20","")</f>
        <v/>
      </c>
    </row>
    <row r="235" spans="1:32">
      <c r="A235" s="3">
        <v>8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HYPERLINK("http://141.218.60.56/~jnz1568/getInfo.php?workbook=08_01.xlsx&amp;sheet=A0&amp;row=235&amp;col=6&amp;number=&amp;sourceID=18","")</f>
        <v/>
      </c>
      <c r="G235" s="4" t="str">
        <f>HYPERLINK("http://141.218.60.56/~jnz1568/getInfo.php?workbook=08_01.xlsx&amp;sheet=A0&amp;row=235&amp;col=7&amp;number==&amp;sourceID=11","=")</f>
        <v>=</v>
      </c>
      <c r="H235" s="4" t="str">
        <f>HYPERLINK("http://141.218.60.56/~jnz1568/getInfo.php?workbook=08_01.xlsx&amp;sheet=A0&amp;row=235&amp;col=8&amp;number=&amp;sourceID=11","")</f>
        <v/>
      </c>
      <c r="I235" s="4" t="str">
        <f>HYPERLINK("http://141.218.60.56/~jnz1568/getInfo.php?workbook=08_01.xlsx&amp;sheet=A0&amp;row=235&amp;col=9&amp;number=&amp;sourceID=11","")</f>
        <v/>
      </c>
      <c r="J235" s="4" t="str">
        <f>HYPERLINK("http://141.218.60.56/~jnz1568/getInfo.php?workbook=08_01.xlsx&amp;sheet=A0&amp;row=235&amp;col=10&amp;number=1.6567&amp;sourceID=11","1.6567")</f>
        <v>1.6567</v>
      </c>
      <c r="K235" s="4" t="str">
        <f>HYPERLINK("http://141.218.60.56/~jnz1568/getInfo.php?workbook=08_01.xlsx&amp;sheet=A0&amp;row=235&amp;col=11&amp;number=&amp;sourceID=11","")</f>
        <v/>
      </c>
      <c r="L235" s="4" t="str">
        <f>HYPERLINK("http://141.218.60.56/~jnz1568/getInfo.php?workbook=08_01.xlsx&amp;sheet=A0&amp;row=235&amp;col=12&amp;number=&amp;sourceID=11","")</f>
        <v/>
      </c>
      <c r="M235" s="4" t="str">
        <f>HYPERLINK("http://141.218.60.56/~jnz1568/getInfo.php?workbook=08_01.xlsx&amp;sheet=A0&amp;row=235&amp;col=13&amp;number=&amp;sourceID=11","")</f>
        <v/>
      </c>
      <c r="N235" s="4" t="str">
        <f>HYPERLINK("http://141.218.60.56/~jnz1568/getInfo.php?workbook=08_01.xlsx&amp;sheet=A0&amp;row=235&amp;col=14&amp;number=1.6568&amp;sourceID=12","1.6568")</f>
        <v>1.6568</v>
      </c>
      <c r="O235" s="4" t="str">
        <f>HYPERLINK("http://141.218.60.56/~jnz1568/getInfo.php?workbook=08_01.xlsx&amp;sheet=A0&amp;row=235&amp;col=15&amp;number=&amp;sourceID=12","")</f>
        <v/>
      </c>
      <c r="P235" s="4" t="str">
        <f>HYPERLINK("http://141.218.60.56/~jnz1568/getInfo.php?workbook=08_01.xlsx&amp;sheet=A0&amp;row=235&amp;col=16&amp;number=&amp;sourceID=12","")</f>
        <v/>
      </c>
      <c r="Q235" s="4" t="str">
        <f>HYPERLINK("http://141.218.60.56/~jnz1568/getInfo.php?workbook=08_01.xlsx&amp;sheet=A0&amp;row=235&amp;col=17&amp;number=1.6568&amp;sourceID=12","1.6568")</f>
        <v>1.6568</v>
      </c>
      <c r="R235" s="4" t="str">
        <f>HYPERLINK("http://141.218.60.56/~jnz1568/getInfo.php?workbook=08_01.xlsx&amp;sheet=A0&amp;row=235&amp;col=18&amp;number=&amp;sourceID=12","")</f>
        <v/>
      </c>
      <c r="S235" s="4" t="str">
        <f>HYPERLINK("http://141.218.60.56/~jnz1568/getInfo.php?workbook=08_01.xlsx&amp;sheet=A0&amp;row=235&amp;col=19&amp;number=&amp;sourceID=12","")</f>
        <v/>
      </c>
      <c r="T235" s="4" t="str">
        <f>HYPERLINK("http://141.218.60.56/~jnz1568/getInfo.php?workbook=08_01.xlsx&amp;sheet=A0&amp;row=235&amp;col=20&amp;number=&amp;sourceID=12","")</f>
        <v/>
      </c>
      <c r="U235" s="4" t="str">
        <f>HYPERLINK("http://141.218.60.56/~jnz1568/getInfo.php?workbook=08_01.xlsx&amp;sheet=A0&amp;row=235&amp;col=21&amp;number=&amp;sourceID=30","")</f>
        <v/>
      </c>
      <c r="V235" s="4" t="str">
        <f>HYPERLINK("http://141.218.60.56/~jnz1568/getInfo.php?workbook=08_01.xlsx&amp;sheet=A0&amp;row=235&amp;col=22&amp;number=&amp;sourceID=30","")</f>
        <v/>
      </c>
      <c r="W235" s="4" t="str">
        <f>HYPERLINK("http://141.218.60.56/~jnz1568/getInfo.php?workbook=08_01.xlsx&amp;sheet=A0&amp;row=235&amp;col=23&amp;number=&amp;sourceID=30","")</f>
        <v/>
      </c>
      <c r="X235" s="4" t="str">
        <f>HYPERLINK("http://141.218.60.56/~jnz1568/getInfo.php?workbook=08_01.xlsx&amp;sheet=A0&amp;row=235&amp;col=24&amp;number=&amp;sourceID=30","")</f>
        <v/>
      </c>
      <c r="Y235" s="4" t="str">
        <f>HYPERLINK("http://141.218.60.56/~jnz1568/getInfo.php?workbook=08_01.xlsx&amp;sheet=A0&amp;row=235&amp;col=25&amp;number=&amp;sourceID=30","")</f>
        <v/>
      </c>
      <c r="Z235" s="4" t="str">
        <f>HYPERLINK("http://141.218.60.56/~jnz1568/getInfo.php?workbook=08_01.xlsx&amp;sheet=A0&amp;row=235&amp;col=26&amp;number=&amp;sourceID=13","")</f>
        <v/>
      </c>
      <c r="AA235" s="4" t="str">
        <f>HYPERLINK("http://141.218.60.56/~jnz1568/getInfo.php?workbook=08_01.xlsx&amp;sheet=A0&amp;row=235&amp;col=27&amp;number=&amp;sourceID=13","")</f>
        <v/>
      </c>
      <c r="AB235" s="4" t="str">
        <f>HYPERLINK("http://141.218.60.56/~jnz1568/getInfo.php?workbook=08_01.xlsx&amp;sheet=A0&amp;row=235&amp;col=28&amp;number=&amp;sourceID=13","")</f>
        <v/>
      </c>
      <c r="AC235" s="4" t="str">
        <f>HYPERLINK("http://141.218.60.56/~jnz1568/getInfo.php?workbook=08_01.xlsx&amp;sheet=A0&amp;row=235&amp;col=29&amp;number=&amp;sourceID=13","")</f>
        <v/>
      </c>
      <c r="AD235" s="4" t="str">
        <f>HYPERLINK("http://141.218.60.56/~jnz1568/getInfo.php?workbook=08_01.xlsx&amp;sheet=A0&amp;row=235&amp;col=30&amp;number=&amp;sourceID=13","")</f>
        <v/>
      </c>
      <c r="AE235" s="4" t="str">
        <f>HYPERLINK("http://141.218.60.56/~jnz1568/getInfo.php?workbook=08_01.xlsx&amp;sheet=A0&amp;row=235&amp;col=31&amp;number=&amp;sourceID=13","")</f>
        <v/>
      </c>
      <c r="AF235" s="4" t="str">
        <f>HYPERLINK("http://141.218.60.56/~jnz1568/getInfo.php?workbook=08_01.xlsx&amp;sheet=A0&amp;row=235&amp;col=32&amp;number=&amp;sourceID=20","")</f>
        <v/>
      </c>
    </row>
    <row r="236" spans="1:32">
      <c r="A236" s="3">
        <v>8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HYPERLINK("http://141.218.60.56/~jnz1568/getInfo.php?workbook=08_01.xlsx&amp;sheet=A0&amp;row=236&amp;col=6&amp;number=&amp;sourceID=18","")</f>
        <v/>
      </c>
      <c r="G236" s="4" t="str">
        <f>HYPERLINK("http://141.218.60.56/~jnz1568/getInfo.php?workbook=08_01.xlsx&amp;sheet=A0&amp;row=236&amp;col=7&amp;number==&amp;sourceID=11","=")</f>
        <v>=</v>
      </c>
      <c r="H236" s="4" t="str">
        <f>HYPERLINK("http://141.218.60.56/~jnz1568/getInfo.php?workbook=08_01.xlsx&amp;sheet=A0&amp;row=236&amp;col=8&amp;number=&amp;sourceID=11","")</f>
        <v/>
      </c>
      <c r="I236" s="4" t="str">
        <f>HYPERLINK("http://141.218.60.56/~jnz1568/getInfo.php?workbook=08_01.xlsx&amp;sheet=A0&amp;row=236&amp;col=9&amp;number=&amp;sourceID=11","")</f>
        <v/>
      </c>
      <c r="J236" s="4" t="str">
        <f>HYPERLINK("http://141.218.60.56/~jnz1568/getInfo.php?workbook=08_01.xlsx&amp;sheet=A0&amp;row=236&amp;col=10&amp;number=&amp;sourceID=11","")</f>
        <v/>
      </c>
      <c r="K236" s="4" t="str">
        <f>HYPERLINK("http://141.218.60.56/~jnz1568/getInfo.php?workbook=08_01.xlsx&amp;sheet=A0&amp;row=236&amp;col=11&amp;number=&amp;sourceID=11","")</f>
        <v/>
      </c>
      <c r="L236" s="4" t="str">
        <f>HYPERLINK("http://141.218.60.56/~jnz1568/getInfo.php?workbook=08_01.xlsx&amp;sheet=A0&amp;row=236&amp;col=12&amp;number=&amp;sourceID=11","")</f>
        <v/>
      </c>
      <c r="M236" s="4" t="str">
        <f>HYPERLINK("http://141.218.60.56/~jnz1568/getInfo.php?workbook=08_01.xlsx&amp;sheet=A0&amp;row=236&amp;col=13&amp;number=4e-15&amp;sourceID=11","4e-15")</f>
        <v>4e-15</v>
      </c>
      <c r="N236" s="4" t="str">
        <f>HYPERLINK("http://141.218.60.56/~jnz1568/getInfo.php?workbook=08_01.xlsx&amp;sheet=A0&amp;row=236&amp;col=14&amp;number=4e-15&amp;sourceID=12","4e-15")</f>
        <v>4e-15</v>
      </c>
      <c r="O236" s="4" t="str">
        <f>HYPERLINK("http://141.218.60.56/~jnz1568/getInfo.php?workbook=08_01.xlsx&amp;sheet=A0&amp;row=236&amp;col=15&amp;number=&amp;sourceID=12","")</f>
        <v/>
      </c>
      <c r="P236" s="4" t="str">
        <f>HYPERLINK("http://141.218.60.56/~jnz1568/getInfo.php?workbook=08_01.xlsx&amp;sheet=A0&amp;row=236&amp;col=16&amp;number=&amp;sourceID=12","")</f>
        <v/>
      </c>
      <c r="Q236" s="4" t="str">
        <f>HYPERLINK("http://141.218.60.56/~jnz1568/getInfo.php?workbook=08_01.xlsx&amp;sheet=A0&amp;row=236&amp;col=17&amp;number=&amp;sourceID=12","")</f>
        <v/>
      </c>
      <c r="R236" s="4" t="str">
        <f>HYPERLINK("http://141.218.60.56/~jnz1568/getInfo.php?workbook=08_01.xlsx&amp;sheet=A0&amp;row=236&amp;col=18&amp;number=&amp;sourceID=12","")</f>
        <v/>
      </c>
      <c r="S236" s="4" t="str">
        <f>HYPERLINK("http://141.218.60.56/~jnz1568/getInfo.php?workbook=08_01.xlsx&amp;sheet=A0&amp;row=236&amp;col=19&amp;number=&amp;sourceID=12","")</f>
        <v/>
      </c>
      <c r="T236" s="4" t="str">
        <f>HYPERLINK("http://141.218.60.56/~jnz1568/getInfo.php?workbook=08_01.xlsx&amp;sheet=A0&amp;row=236&amp;col=20&amp;number=4e-15&amp;sourceID=12","4e-15")</f>
        <v>4e-15</v>
      </c>
      <c r="U236" s="4" t="str">
        <f>HYPERLINK("http://141.218.60.56/~jnz1568/getInfo.php?workbook=08_01.xlsx&amp;sheet=A0&amp;row=236&amp;col=21&amp;number=&amp;sourceID=30","")</f>
        <v/>
      </c>
      <c r="V236" s="4" t="str">
        <f>HYPERLINK("http://141.218.60.56/~jnz1568/getInfo.php?workbook=08_01.xlsx&amp;sheet=A0&amp;row=236&amp;col=22&amp;number=&amp;sourceID=30","")</f>
        <v/>
      </c>
      <c r="W236" s="4" t="str">
        <f>HYPERLINK("http://141.218.60.56/~jnz1568/getInfo.php?workbook=08_01.xlsx&amp;sheet=A0&amp;row=236&amp;col=23&amp;number=&amp;sourceID=30","")</f>
        <v/>
      </c>
      <c r="X236" s="4" t="str">
        <f>HYPERLINK("http://141.218.60.56/~jnz1568/getInfo.php?workbook=08_01.xlsx&amp;sheet=A0&amp;row=236&amp;col=24&amp;number=&amp;sourceID=30","")</f>
        <v/>
      </c>
      <c r="Y236" s="4" t="str">
        <f>HYPERLINK("http://141.218.60.56/~jnz1568/getInfo.php?workbook=08_01.xlsx&amp;sheet=A0&amp;row=236&amp;col=25&amp;number=&amp;sourceID=30","")</f>
        <v/>
      </c>
      <c r="Z236" s="4" t="str">
        <f>HYPERLINK("http://141.218.60.56/~jnz1568/getInfo.php?workbook=08_01.xlsx&amp;sheet=A0&amp;row=236&amp;col=26&amp;number=&amp;sourceID=13","")</f>
        <v/>
      </c>
      <c r="AA236" s="4" t="str">
        <f>HYPERLINK("http://141.218.60.56/~jnz1568/getInfo.php?workbook=08_01.xlsx&amp;sheet=A0&amp;row=236&amp;col=27&amp;number=&amp;sourceID=13","")</f>
        <v/>
      </c>
      <c r="AB236" s="4" t="str">
        <f>HYPERLINK("http://141.218.60.56/~jnz1568/getInfo.php?workbook=08_01.xlsx&amp;sheet=A0&amp;row=236&amp;col=28&amp;number=&amp;sourceID=13","")</f>
        <v/>
      </c>
      <c r="AC236" s="4" t="str">
        <f>HYPERLINK("http://141.218.60.56/~jnz1568/getInfo.php?workbook=08_01.xlsx&amp;sheet=A0&amp;row=236&amp;col=29&amp;number=&amp;sourceID=13","")</f>
        <v/>
      </c>
      <c r="AD236" s="4" t="str">
        <f>HYPERLINK("http://141.218.60.56/~jnz1568/getInfo.php?workbook=08_01.xlsx&amp;sheet=A0&amp;row=236&amp;col=30&amp;number=&amp;sourceID=13","")</f>
        <v/>
      </c>
      <c r="AE236" s="4" t="str">
        <f>HYPERLINK("http://141.218.60.56/~jnz1568/getInfo.php?workbook=08_01.xlsx&amp;sheet=A0&amp;row=236&amp;col=31&amp;number=&amp;sourceID=13","")</f>
        <v/>
      </c>
      <c r="AF236" s="4" t="str">
        <f>HYPERLINK("http://141.218.60.56/~jnz1568/getInfo.php?workbook=08_01.xlsx&amp;sheet=A0&amp;row=236&amp;col=32&amp;number=&amp;sourceID=20","")</f>
        <v/>
      </c>
    </row>
    <row r="237" spans="1:32">
      <c r="A237" s="3">
        <v>8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HYPERLINK("http://141.218.60.56/~jnz1568/getInfo.php?workbook=08_01.xlsx&amp;sheet=A0&amp;row=237&amp;col=6&amp;number=&amp;sourceID=18","")</f>
        <v/>
      </c>
      <c r="G237" s="4" t="str">
        <f>HYPERLINK("http://141.218.60.56/~jnz1568/getInfo.php?workbook=08_01.xlsx&amp;sheet=A0&amp;row=237&amp;col=7&amp;number==&amp;sourceID=11","=")</f>
        <v>=</v>
      </c>
      <c r="H237" s="4" t="str">
        <f>HYPERLINK("http://141.218.60.56/~jnz1568/getInfo.php?workbook=08_01.xlsx&amp;sheet=A0&amp;row=237&amp;col=8&amp;number=&amp;sourceID=11","")</f>
        <v/>
      </c>
      <c r="I237" s="4" t="str">
        <f>HYPERLINK("http://141.218.60.56/~jnz1568/getInfo.php?workbook=08_01.xlsx&amp;sheet=A0&amp;row=237&amp;col=9&amp;number=236270&amp;sourceID=11","236270")</f>
        <v>236270</v>
      </c>
      <c r="J237" s="4" t="str">
        <f>HYPERLINK("http://141.218.60.56/~jnz1568/getInfo.php?workbook=08_01.xlsx&amp;sheet=A0&amp;row=237&amp;col=10&amp;number=&amp;sourceID=11","")</f>
        <v/>
      </c>
      <c r="K237" s="4" t="str">
        <f>HYPERLINK("http://141.218.60.56/~jnz1568/getInfo.php?workbook=08_01.xlsx&amp;sheet=A0&amp;row=237&amp;col=11&amp;number=&amp;sourceID=11","")</f>
        <v/>
      </c>
      <c r="L237" s="4" t="str">
        <f>HYPERLINK("http://141.218.60.56/~jnz1568/getInfo.php?workbook=08_01.xlsx&amp;sheet=A0&amp;row=237&amp;col=12&amp;number=&amp;sourceID=11","")</f>
        <v/>
      </c>
      <c r="M237" s="4" t="str">
        <f>HYPERLINK("http://141.218.60.56/~jnz1568/getInfo.php?workbook=08_01.xlsx&amp;sheet=A0&amp;row=237&amp;col=13&amp;number=8.2792e-06&amp;sourceID=11","8.2792e-06")</f>
        <v>8.2792e-06</v>
      </c>
      <c r="N237" s="4" t="str">
        <f>HYPERLINK("http://141.218.60.56/~jnz1568/getInfo.php?workbook=08_01.xlsx&amp;sheet=A0&amp;row=237&amp;col=14&amp;number=236280&amp;sourceID=12","236280")</f>
        <v>236280</v>
      </c>
      <c r="O237" s="4" t="str">
        <f>HYPERLINK("http://141.218.60.56/~jnz1568/getInfo.php?workbook=08_01.xlsx&amp;sheet=A0&amp;row=237&amp;col=15&amp;number=&amp;sourceID=12","")</f>
        <v/>
      </c>
      <c r="P237" s="4" t="str">
        <f>HYPERLINK("http://141.218.60.56/~jnz1568/getInfo.php?workbook=08_01.xlsx&amp;sheet=A0&amp;row=237&amp;col=16&amp;number=236280&amp;sourceID=12","236280")</f>
        <v>236280</v>
      </c>
      <c r="Q237" s="4" t="str">
        <f>HYPERLINK("http://141.218.60.56/~jnz1568/getInfo.php?workbook=08_01.xlsx&amp;sheet=A0&amp;row=237&amp;col=17&amp;number=&amp;sourceID=12","")</f>
        <v/>
      </c>
      <c r="R237" s="4" t="str">
        <f>HYPERLINK("http://141.218.60.56/~jnz1568/getInfo.php?workbook=08_01.xlsx&amp;sheet=A0&amp;row=237&amp;col=18&amp;number=&amp;sourceID=12","")</f>
        <v/>
      </c>
      <c r="S237" s="4" t="str">
        <f>HYPERLINK("http://141.218.60.56/~jnz1568/getInfo.php?workbook=08_01.xlsx&amp;sheet=A0&amp;row=237&amp;col=19&amp;number=&amp;sourceID=12","")</f>
        <v/>
      </c>
      <c r="T237" s="4" t="str">
        <f>HYPERLINK("http://141.218.60.56/~jnz1568/getInfo.php?workbook=08_01.xlsx&amp;sheet=A0&amp;row=237&amp;col=20&amp;number=8.2795e-06&amp;sourceID=12","8.2795e-06")</f>
        <v>8.2795e-06</v>
      </c>
      <c r="U237" s="4" t="str">
        <f>HYPERLINK("http://141.218.60.56/~jnz1568/getInfo.php?workbook=08_01.xlsx&amp;sheet=A0&amp;row=237&amp;col=21&amp;number=236300&amp;sourceID=30","236300")</f>
        <v>236300</v>
      </c>
      <c r="V237" s="4" t="str">
        <f>HYPERLINK("http://141.218.60.56/~jnz1568/getInfo.php?workbook=08_01.xlsx&amp;sheet=A0&amp;row=237&amp;col=22&amp;number=&amp;sourceID=30","")</f>
        <v/>
      </c>
      <c r="W237" s="4" t="str">
        <f>HYPERLINK("http://141.218.60.56/~jnz1568/getInfo.php?workbook=08_01.xlsx&amp;sheet=A0&amp;row=237&amp;col=23&amp;number=236300&amp;sourceID=30","236300")</f>
        <v>236300</v>
      </c>
      <c r="X237" s="4" t="str">
        <f>HYPERLINK("http://141.218.60.56/~jnz1568/getInfo.php?workbook=08_01.xlsx&amp;sheet=A0&amp;row=237&amp;col=24&amp;number=&amp;sourceID=30","")</f>
        <v/>
      </c>
      <c r="Y237" s="4" t="str">
        <f>HYPERLINK("http://141.218.60.56/~jnz1568/getInfo.php?workbook=08_01.xlsx&amp;sheet=A0&amp;row=237&amp;col=25&amp;number=&amp;sourceID=30","")</f>
        <v/>
      </c>
      <c r="Z237" s="4" t="str">
        <f>HYPERLINK("http://141.218.60.56/~jnz1568/getInfo.php?workbook=08_01.xlsx&amp;sheet=A0&amp;row=237&amp;col=26&amp;number=&amp;sourceID=13","")</f>
        <v/>
      </c>
      <c r="AA237" s="4" t="str">
        <f>HYPERLINK("http://141.218.60.56/~jnz1568/getInfo.php?workbook=08_01.xlsx&amp;sheet=A0&amp;row=237&amp;col=27&amp;number=&amp;sourceID=13","")</f>
        <v/>
      </c>
      <c r="AB237" s="4" t="str">
        <f>HYPERLINK("http://141.218.60.56/~jnz1568/getInfo.php?workbook=08_01.xlsx&amp;sheet=A0&amp;row=237&amp;col=28&amp;number=&amp;sourceID=13","")</f>
        <v/>
      </c>
      <c r="AC237" s="4" t="str">
        <f>HYPERLINK("http://141.218.60.56/~jnz1568/getInfo.php?workbook=08_01.xlsx&amp;sheet=A0&amp;row=237&amp;col=29&amp;number=&amp;sourceID=13","")</f>
        <v/>
      </c>
      <c r="AD237" s="4" t="str">
        <f>HYPERLINK("http://141.218.60.56/~jnz1568/getInfo.php?workbook=08_01.xlsx&amp;sheet=A0&amp;row=237&amp;col=30&amp;number=&amp;sourceID=13","")</f>
        <v/>
      </c>
      <c r="AE237" s="4" t="str">
        <f>HYPERLINK("http://141.218.60.56/~jnz1568/getInfo.php?workbook=08_01.xlsx&amp;sheet=A0&amp;row=237&amp;col=31&amp;number=&amp;sourceID=13","")</f>
        <v/>
      </c>
      <c r="AF237" s="4" t="str">
        <f>HYPERLINK("http://141.218.60.56/~jnz1568/getInfo.php?workbook=08_01.xlsx&amp;sheet=A0&amp;row=237&amp;col=32&amp;number=&amp;sourceID=20","")</f>
        <v/>
      </c>
    </row>
    <row r="238" spans="1:32">
      <c r="A238" s="3">
        <v>8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HYPERLINK("http://141.218.60.56/~jnz1568/getInfo.php?workbook=08_01.xlsx&amp;sheet=A0&amp;row=238&amp;col=6&amp;number=&amp;sourceID=18","")</f>
        <v/>
      </c>
      <c r="G238" s="4" t="str">
        <f>HYPERLINK("http://141.218.60.56/~jnz1568/getInfo.php?workbook=08_01.xlsx&amp;sheet=A0&amp;row=238&amp;col=7&amp;number==&amp;sourceID=11","=")</f>
        <v>=</v>
      </c>
      <c r="H238" s="4" t="str">
        <f>HYPERLINK("http://141.218.60.56/~jnz1568/getInfo.php?workbook=08_01.xlsx&amp;sheet=A0&amp;row=238&amp;col=8&amp;number=&amp;sourceID=11","")</f>
        <v/>
      </c>
      <c r="I238" s="4" t="str">
        <f>HYPERLINK("http://141.218.60.56/~jnz1568/getInfo.php?workbook=08_01.xlsx&amp;sheet=A0&amp;row=238&amp;col=9&amp;number=&amp;sourceID=11","")</f>
        <v/>
      </c>
      <c r="J238" s="4" t="str">
        <f>HYPERLINK("http://141.218.60.56/~jnz1568/getInfo.php?workbook=08_01.xlsx&amp;sheet=A0&amp;row=238&amp;col=10&amp;number=0.54865&amp;sourceID=11","0.54865")</f>
        <v>0.54865</v>
      </c>
      <c r="K238" s="4" t="str">
        <f>HYPERLINK("http://141.218.60.56/~jnz1568/getInfo.php?workbook=08_01.xlsx&amp;sheet=A0&amp;row=238&amp;col=11&amp;number=&amp;sourceID=11","")</f>
        <v/>
      </c>
      <c r="L238" s="4" t="str">
        <f>HYPERLINK("http://141.218.60.56/~jnz1568/getInfo.php?workbook=08_01.xlsx&amp;sheet=A0&amp;row=238&amp;col=12&amp;number=6.7684e-10&amp;sourceID=11","6.7684e-10")</f>
        <v>6.7684e-10</v>
      </c>
      <c r="M238" s="4" t="str">
        <f>HYPERLINK("http://141.218.60.56/~jnz1568/getInfo.php?workbook=08_01.xlsx&amp;sheet=A0&amp;row=238&amp;col=13&amp;number=&amp;sourceID=11","")</f>
        <v/>
      </c>
      <c r="N238" s="4" t="str">
        <f>HYPERLINK("http://141.218.60.56/~jnz1568/getInfo.php?workbook=08_01.xlsx&amp;sheet=A0&amp;row=238&amp;col=14&amp;number=0.54867&amp;sourceID=12","0.54867")</f>
        <v>0.54867</v>
      </c>
      <c r="O238" s="4" t="str">
        <f>HYPERLINK("http://141.218.60.56/~jnz1568/getInfo.php?workbook=08_01.xlsx&amp;sheet=A0&amp;row=238&amp;col=15&amp;number=&amp;sourceID=12","")</f>
        <v/>
      </c>
      <c r="P238" s="4" t="str">
        <f>HYPERLINK("http://141.218.60.56/~jnz1568/getInfo.php?workbook=08_01.xlsx&amp;sheet=A0&amp;row=238&amp;col=16&amp;number=&amp;sourceID=12","")</f>
        <v/>
      </c>
      <c r="Q238" s="4" t="str">
        <f>HYPERLINK("http://141.218.60.56/~jnz1568/getInfo.php?workbook=08_01.xlsx&amp;sheet=A0&amp;row=238&amp;col=17&amp;number=0.54867&amp;sourceID=12","0.54867")</f>
        <v>0.54867</v>
      </c>
      <c r="R238" s="4" t="str">
        <f>HYPERLINK("http://141.218.60.56/~jnz1568/getInfo.php?workbook=08_01.xlsx&amp;sheet=A0&amp;row=238&amp;col=18&amp;number=&amp;sourceID=12","")</f>
        <v/>
      </c>
      <c r="S238" s="4" t="str">
        <f>HYPERLINK("http://141.218.60.56/~jnz1568/getInfo.php?workbook=08_01.xlsx&amp;sheet=A0&amp;row=238&amp;col=19&amp;number=6.7683e-10&amp;sourceID=12","6.7683e-10")</f>
        <v>6.7683e-10</v>
      </c>
      <c r="T238" s="4" t="str">
        <f>HYPERLINK("http://141.218.60.56/~jnz1568/getInfo.php?workbook=08_01.xlsx&amp;sheet=A0&amp;row=238&amp;col=20&amp;number=&amp;sourceID=12","")</f>
        <v/>
      </c>
      <c r="U238" s="4" t="str">
        <f>HYPERLINK("http://141.218.60.56/~jnz1568/getInfo.php?workbook=08_01.xlsx&amp;sheet=A0&amp;row=238&amp;col=21&amp;number=6.782e-10&amp;sourceID=30","6.782e-10")</f>
        <v>6.782e-10</v>
      </c>
      <c r="V238" s="4" t="str">
        <f>HYPERLINK("http://141.218.60.56/~jnz1568/getInfo.php?workbook=08_01.xlsx&amp;sheet=A0&amp;row=238&amp;col=22&amp;number=&amp;sourceID=30","")</f>
        <v/>
      </c>
      <c r="W238" s="4" t="str">
        <f>HYPERLINK("http://141.218.60.56/~jnz1568/getInfo.php?workbook=08_01.xlsx&amp;sheet=A0&amp;row=238&amp;col=23&amp;number=&amp;sourceID=30","")</f>
        <v/>
      </c>
      <c r="X238" s="4" t="str">
        <f>HYPERLINK("http://141.218.60.56/~jnz1568/getInfo.php?workbook=08_01.xlsx&amp;sheet=A0&amp;row=238&amp;col=24&amp;number=&amp;sourceID=30","")</f>
        <v/>
      </c>
      <c r="Y238" s="4" t="str">
        <f>HYPERLINK("http://141.218.60.56/~jnz1568/getInfo.php?workbook=08_01.xlsx&amp;sheet=A0&amp;row=238&amp;col=25&amp;number=6.782e-10&amp;sourceID=30","6.782e-10")</f>
        <v>6.782e-10</v>
      </c>
      <c r="Z238" s="4" t="str">
        <f>HYPERLINK("http://141.218.60.56/~jnz1568/getInfo.php?workbook=08_01.xlsx&amp;sheet=A0&amp;row=238&amp;col=26&amp;number=&amp;sourceID=13","")</f>
        <v/>
      </c>
      <c r="AA238" s="4" t="str">
        <f>HYPERLINK("http://141.218.60.56/~jnz1568/getInfo.php?workbook=08_01.xlsx&amp;sheet=A0&amp;row=238&amp;col=27&amp;number=&amp;sourceID=13","")</f>
        <v/>
      </c>
      <c r="AB238" s="4" t="str">
        <f>HYPERLINK("http://141.218.60.56/~jnz1568/getInfo.php?workbook=08_01.xlsx&amp;sheet=A0&amp;row=238&amp;col=28&amp;number=&amp;sourceID=13","")</f>
        <v/>
      </c>
      <c r="AC238" s="4" t="str">
        <f>HYPERLINK("http://141.218.60.56/~jnz1568/getInfo.php?workbook=08_01.xlsx&amp;sheet=A0&amp;row=238&amp;col=29&amp;number=&amp;sourceID=13","")</f>
        <v/>
      </c>
      <c r="AD238" s="4" t="str">
        <f>HYPERLINK("http://141.218.60.56/~jnz1568/getInfo.php?workbook=08_01.xlsx&amp;sheet=A0&amp;row=238&amp;col=30&amp;number=&amp;sourceID=13","")</f>
        <v/>
      </c>
      <c r="AE238" s="4" t="str">
        <f>HYPERLINK("http://141.218.60.56/~jnz1568/getInfo.php?workbook=08_01.xlsx&amp;sheet=A0&amp;row=238&amp;col=31&amp;number=&amp;sourceID=13","")</f>
        <v/>
      </c>
      <c r="AF238" s="4" t="str">
        <f>HYPERLINK("http://141.218.60.56/~jnz1568/getInfo.php?workbook=08_01.xlsx&amp;sheet=A0&amp;row=238&amp;col=32&amp;number=&amp;sourceID=20","")</f>
        <v/>
      </c>
    </row>
    <row r="239" spans="1:32">
      <c r="A239" s="3">
        <v>8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HYPERLINK("http://141.218.60.56/~jnz1568/getInfo.php?workbook=08_01.xlsx&amp;sheet=A0&amp;row=239&amp;col=6&amp;number=&amp;sourceID=18","")</f>
        <v/>
      </c>
      <c r="G239" s="4" t="str">
        <f>HYPERLINK("http://141.218.60.56/~jnz1568/getInfo.php?workbook=08_01.xlsx&amp;sheet=A0&amp;row=239&amp;col=7&amp;number==&amp;sourceID=11","=")</f>
        <v>=</v>
      </c>
      <c r="H239" s="4" t="str">
        <f>HYPERLINK("http://141.218.60.56/~jnz1568/getInfo.php?workbook=08_01.xlsx&amp;sheet=A0&amp;row=239&amp;col=8&amp;number=16814000000&amp;sourceID=11","16814000000")</f>
        <v>16814000000</v>
      </c>
      <c r="I239" s="4" t="str">
        <f>HYPERLINK("http://141.218.60.56/~jnz1568/getInfo.php?workbook=08_01.xlsx&amp;sheet=A0&amp;row=239&amp;col=9&amp;number=&amp;sourceID=11","")</f>
        <v/>
      </c>
      <c r="J239" s="4" t="str">
        <f>HYPERLINK("http://141.218.60.56/~jnz1568/getInfo.php?workbook=08_01.xlsx&amp;sheet=A0&amp;row=239&amp;col=10&amp;number=0.56286&amp;sourceID=11","0.56286")</f>
        <v>0.56286</v>
      </c>
      <c r="K239" s="4" t="str">
        <f>HYPERLINK("http://141.218.60.56/~jnz1568/getInfo.php?workbook=08_01.xlsx&amp;sheet=A0&amp;row=239&amp;col=11&amp;number=&amp;sourceID=11","")</f>
        <v/>
      </c>
      <c r="L239" s="4" t="str">
        <f>HYPERLINK("http://141.218.60.56/~jnz1568/getInfo.php?workbook=08_01.xlsx&amp;sheet=A0&amp;row=239&amp;col=12&amp;number=2.8045&amp;sourceID=11","2.8045")</f>
        <v>2.8045</v>
      </c>
      <c r="M239" s="4" t="str">
        <f>HYPERLINK("http://141.218.60.56/~jnz1568/getInfo.php?workbook=08_01.xlsx&amp;sheet=A0&amp;row=239&amp;col=13&amp;number=&amp;sourceID=11","")</f>
        <v/>
      </c>
      <c r="N239" s="4" t="str">
        <f>HYPERLINK("http://141.218.60.56/~jnz1568/getInfo.php?workbook=08_01.xlsx&amp;sheet=A0&amp;row=239&amp;col=14&amp;number=16815000000&amp;sourceID=12","16815000000")</f>
        <v>16815000000</v>
      </c>
      <c r="O239" s="4" t="str">
        <f>HYPERLINK("http://141.218.60.56/~jnz1568/getInfo.php?workbook=08_01.xlsx&amp;sheet=A0&amp;row=239&amp;col=15&amp;number=16815000000&amp;sourceID=12","16815000000")</f>
        <v>16815000000</v>
      </c>
      <c r="P239" s="4" t="str">
        <f>HYPERLINK("http://141.218.60.56/~jnz1568/getInfo.php?workbook=08_01.xlsx&amp;sheet=A0&amp;row=239&amp;col=16&amp;number=&amp;sourceID=12","")</f>
        <v/>
      </c>
      <c r="Q239" s="4" t="str">
        <f>HYPERLINK("http://141.218.60.56/~jnz1568/getInfo.php?workbook=08_01.xlsx&amp;sheet=A0&amp;row=239&amp;col=17&amp;number=0.56288&amp;sourceID=12","0.56288")</f>
        <v>0.56288</v>
      </c>
      <c r="R239" s="4" t="str">
        <f>HYPERLINK("http://141.218.60.56/~jnz1568/getInfo.php?workbook=08_01.xlsx&amp;sheet=A0&amp;row=239&amp;col=18&amp;number=&amp;sourceID=12","")</f>
        <v/>
      </c>
      <c r="S239" s="4" t="str">
        <f>HYPERLINK("http://141.218.60.56/~jnz1568/getInfo.php?workbook=08_01.xlsx&amp;sheet=A0&amp;row=239&amp;col=19&amp;number=2.8046&amp;sourceID=12","2.8046")</f>
        <v>2.8046</v>
      </c>
      <c r="T239" s="4" t="str">
        <f>HYPERLINK("http://141.218.60.56/~jnz1568/getInfo.php?workbook=08_01.xlsx&amp;sheet=A0&amp;row=239&amp;col=20&amp;number=&amp;sourceID=12","")</f>
        <v/>
      </c>
      <c r="U239" s="4" t="str">
        <f>HYPERLINK("http://141.218.60.56/~jnz1568/getInfo.php?workbook=08_01.xlsx&amp;sheet=A0&amp;row=239&amp;col=21&amp;number=16810000002.8&amp;sourceID=30","16810000002.8")</f>
        <v>16810000002.8</v>
      </c>
      <c r="V239" s="4" t="str">
        <f>HYPERLINK("http://141.218.60.56/~jnz1568/getInfo.php?workbook=08_01.xlsx&amp;sheet=A0&amp;row=239&amp;col=22&amp;number=16810000000&amp;sourceID=30","16810000000")</f>
        <v>16810000000</v>
      </c>
      <c r="W239" s="4" t="str">
        <f>HYPERLINK("http://141.218.60.56/~jnz1568/getInfo.php?workbook=08_01.xlsx&amp;sheet=A0&amp;row=239&amp;col=23&amp;number=&amp;sourceID=30","")</f>
        <v/>
      </c>
      <c r="X239" s="4" t="str">
        <f>HYPERLINK("http://141.218.60.56/~jnz1568/getInfo.php?workbook=08_01.xlsx&amp;sheet=A0&amp;row=239&amp;col=24&amp;number=&amp;sourceID=30","")</f>
        <v/>
      </c>
      <c r="Y239" s="4" t="str">
        <f>HYPERLINK("http://141.218.60.56/~jnz1568/getInfo.php?workbook=08_01.xlsx&amp;sheet=A0&amp;row=239&amp;col=25&amp;number=2.805&amp;sourceID=30","2.805")</f>
        <v>2.805</v>
      </c>
      <c r="Z239" s="4" t="str">
        <f>HYPERLINK("http://141.218.60.56/~jnz1568/getInfo.php?workbook=08_01.xlsx&amp;sheet=A0&amp;row=239&amp;col=26&amp;number=&amp;sourceID=13","")</f>
        <v/>
      </c>
      <c r="AA239" s="4" t="str">
        <f>HYPERLINK("http://141.218.60.56/~jnz1568/getInfo.php?workbook=08_01.xlsx&amp;sheet=A0&amp;row=239&amp;col=27&amp;number=&amp;sourceID=13","")</f>
        <v/>
      </c>
      <c r="AB239" s="4" t="str">
        <f>HYPERLINK("http://141.218.60.56/~jnz1568/getInfo.php?workbook=08_01.xlsx&amp;sheet=A0&amp;row=239&amp;col=28&amp;number=&amp;sourceID=13","")</f>
        <v/>
      </c>
      <c r="AC239" s="4" t="str">
        <f>HYPERLINK("http://141.218.60.56/~jnz1568/getInfo.php?workbook=08_01.xlsx&amp;sheet=A0&amp;row=239&amp;col=29&amp;number=&amp;sourceID=13","")</f>
        <v/>
      </c>
      <c r="AD239" s="4" t="str">
        <f>HYPERLINK("http://141.218.60.56/~jnz1568/getInfo.php?workbook=08_01.xlsx&amp;sheet=A0&amp;row=239&amp;col=30&amp;number=&amp;sourceID=13","")</f>
        <v/>
      </c>
      <c r="AE239" s="4" t="str">
        <f>HYPERLINK("http://141.218.60.56/~jnz1568/getInfo.php?workbook=08_01.xlsx&amp;sheet=A0&amp;row=239&amp;col=31&amp;number=&amp;sourceID=13","")</f>
        <v/>
      </c>
      <c r="AF239" s="4" t="str">
        <f>HYPERLINK("http://141.218.60.56/~jnz1568/getInfo.php?workbook=08_01.xlsx&amp;sheet=A0&amp;row=239&amp;col=32&amp;number=&amp;sourceID=20","")</f>
        <v/>
      </c>
    </row>
    <row r="240" spans="1:32">
      <c r="A240" s="3">
        <v>8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HYPERLINK("http://141.218.60.56/~jnz1568/getInfo.php?workbook=08_01.xlsx&amp;sheet=A0&amp;row=240&amp;col=6&amp;number=&amp;sourceID=18","")</f>
        <v/>
      </c>
      <c r="G240" s="4" t="str">
        <f>HYPERLINK("http://141.218.60.56/~jnz1568/getInfo.php?workbook=08_01.xlsx&amp;sheet=A0&amp;row=240&amp;col=7&amp;number==&amp;sourceID=11","=")</f>
        <v>=</v>
      </c>
      <c r="H240" s="4" t="str">
        <f>HYPERLINK("http://141.218.60.56/~jnz1568/getInfo.php?workbook=08_01.xlsx&amp;sheet=A0&amp;row=240&amp;col=8&amp;number=&amp;sourceID=11","")</f>
        <v/>
      </c>
      <c r="I240" s="4" t="str">
        <f>HYPERLINK("http://141.218.60.56/~jnz1568/getInfo.php?workbook=08_01.xlsx&amp;sheet=A0&amp;row=240&amp;col=9&amp;number=26215&amp;sourceID=11","26215")</f>
        <v>26215</v>
      </c>
      <c r="J240" s="4" t="str">
        <f>HYPERLINK("http://141.218.60.56/~jnz1568/getInfo.php?workbook=08_01.xlsx&amp;sheet=A0&amp;row=240&amp;col=10&amp;number=&amp;sourceID=11","")</f>
        <v/>
      </c>
      <c r="K240" s="4" t="str">
        <f>HYPERLINK("http://141.218.60.56/~jnz1568/getInfo.php?workbook=08_01.xlsx&amp;sheet=A0&amp;row=240&amp;col=11&amp;number=5.754e-05&amp;sourceID=11","5.754e-05")</f>
        <v>5.754e-05</v>
      </c>
      <c r="L240" s="4" t="str">
        <f>HYPERLINK("http://141.218.60.56/~jnz1568/getInfo.php?workbook=08_01.xlsx&amp;sheet=A0&amp;row=240&amp;col=12&amp;number=&amp;sourceID=11","")</f>
        <v/>
      </c>
      <c r="M240" s="4" t="str">
        <f>HYPERLINK("http://141.218.60.56/~jnz1568/getInfo.php?workbook=08_01.xlsx&amp;sheet=A0&amp;row=240&amp;col=13&amp;number=3.0599e-07&amp;sourceID=11","3.0599e-07")</f>
        <v>3.0599e-07</v>
      </c>
      <c r="N240" s="4" t="str">
        <f>HYPERLINK("http://141.218.60.56/~jnz1568/getInfo.php?workbook=08_01.xlsx&amp;sheet=A0&amp;row=240&amp;col=14&amp;number=26216&amp;sourceID=12","26216")</f>
        <v>26216</v>
      </c>
      <c r="O240" s="4" t="str">
        <f>HYPERLINK("http://141.218.60.56/~jnz1568/getInfo.php?workbook=08_01.xlsx&amp;sheet=A0&amp;row=240&amp;col=15&amp;number=&amp;sourceID=12","")</f>
        <v/>
      </c>
      <c r="P240" s="4" t="str">
        <f>HYPERLINK("http://141.218.60.56/~jnz1568/getInfo.php?workbook=08_01.xlsx&amp;sheet=A0&amp;row=240&amp;col=16&amp;number=26216&amp;sourceID=12","26216")</f>
        <v>26216</v>
      </c>
      <c r="Q240" s="4" t="str">
        <f>HYPERLINK("http://141.218.60.56/~jnz1568/getInfo.php?workbook=08_01.xlsx&amp;sheet=A0&amp;row=240&amp;col=17&amp;number=&amp;sourceID=12","")</f>
        <v/>
      </c>
      <c r="R240" s="4" t="str">
        <f>HYPERLINK("http://141.218.60.56/~jnz1568/getInfo.php?workbook=08_01.xlsx&amp;sheet=A0&amp;row=240&amp;col=18&amp;number=5.754e-05&amp;sourceID=12","5.754e-05")</f>
        <v>5.754e-05</v>
      </c>
      <c r="S240" s="4" t="str">
        <f>HYPERLINK("http://141.218.60.56/~jnz1568/getInfo.php?workbook=08_01.xlsx&amp;sheet=A0&amp;row=240&amp;col=19&amp;number=&amp;sourceID=12","")</f>
        <v/>
      </c>
      <c r="T240" s="4" t="str">
        <f>HYPERLINK("http://141.218.60.56/~jnz1568/getInfo.php?workbook=08_01.xlsx&amp;sheet=A0&amp;row=240&amp;col=20&amp;number=3.06e-07&amp;sourceID=12","3.06e-07")</f>
        <v>3.06e-07</v>
      </c>
      <c r="U240" s="4" t="str">
        <f>HYPERLINK("http://141.218.60.56/~jnz1568/getInfo.php?workbook=08_01.xlsx&amp;sheet=A0&amp;row=240&amp;col=21&amp;number=26220.0000576&amp;sourceID=30","26220.0000576")</f>
        <v>26220.0000576</v>
      </c>
      <c r="V240" s="4" t="str">
        <f>HYPERLINK("http://141.218.60.56/~jnz1568/getInfo.php?workbook=08_01.xlsx&amp;sheet=A0&amp;row=240&amp;col=22&amp;number=&amp;sourceID=30","")</f>
        <v/>
      </c>
      <c r="W240" s="4" t="str">
        <f>HYPERLINK("http://141.218.60.56/~jnz1568/getInfo.php?workbook=08_01.xlsx&amp;sheet=A0&amp;row=240&amp;col=23&amp;number=26220&amp;sourceID=30","26220")</f>
        <v>26220</v>
      </c>
      <c r="X240" s="4" t="str">
        <f>HYPERLINK("http://141.218.60.56/~jnz1568/getInfo.php?workbook=08_01.xlsx&amp;sheet=A0&amp;row=240&amp;col=24&amp;number=5.757e-05&amp;sourceID=30","5.757e-05")</f>
        <v>5.757e-05</v>
      </c>
      <c r="Y240" s="4" t="str">
        <f>HYPERLINK("http://141.218.60.56/~jnz1568/getInfo.php?workbook=08_01.xlsx&amp;sheet=A0&amp;row=240&amp;col=25&amp;number=&amp;sourceID=30","")</f>
        <v/>
      </c>
      <c r="Z240" s="4" t="str">
        <f>HYPERLINK("http://141.218.60.56/~jnz1568/getInfo.php?workbook=08_01.xlsx&amp;sheet=A0&amp;row=240&amp;col=26&amp;number=&amp;sourceID=13","")</f>
        <v/>
      </c>
      <c r="AA240" s="4" t="str">
        <f>HYPERLINK("http://141.218.60.56/~jnz1568/getInfo.php?workbook=08_01.xlsx&amp;sheet=A0&amp;row=240&amp;col=27&amp;number=&amp;sourceID=13","")</f>
        <v/>
      </c>
      <c r="AB240" s="4" t="str">
        <f>HYPERLINK("http://141.218.60.56/~jnz1568/getInfo.php?workbook=08_01.xlsx&amp;sheet=A0&amp;row=240&amp;col=28&amp;number=&amp;sourceID=13","")</f>
        <v/>
      </c>
      <c r="AC240" s="4" t="str">
        <f>HYPERLINK("http://141.218.60.56/~jnz1568/getInfo.php?workbook=08_01.xlsx&amp;sheet=A0&amp;row=240&amp;col=29&amp;number=&amp;sourceID=13","")</f>
        <v/>
      </c>
      <c r="AD240" s="4" t="str">
        <f>HYPERLINK("http://141.218.60.56/~jnz1568/getInfo.php?workbook=08_01.xlsx&amp;sheet=A0&amp;row=240&amp;col=30&amp;number=&amp;sourceID=13","")</f>
        <v/>
      </c>
      <c r="AE240" s="4" t="str">
        <f>HYPERLINK("http://141.218.60.56/~jnz1568/getInfo.php?workbook=08_01.xlsx&amp;sheet=A0&amp;row=240&amp;col=31&amp;number=&amp;sourceID=13","")</f>
        <v/>
      </c>
      <c r="AF240" s="4" t="str">
        <f>HYPERLINK("http://141.218.60.56/~jnz1568/getInfo.php?workbook=08_01.xlsx&amp;sheet=A0&amp;row=240&amp;col=32&amp;number=&amp;sourceID=20","")</f>
        <v/>
      </c>
    </row>
    <row r="241" spans="1:32">
      <c r="A241" s="3">
        <v>8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HYPERLINK("http://141.218.60.56/~jnz1568/getInfo.php?workbook=08_01.xlsx&amp;sheet=A0&amp;row=241&amp;col=6&amp;number=&amp;sourceID=18","")</f>
        <v/>
      </c>
      <c r="G241" s="4" t="str">
        <f>HYPERLINK("http://141.218.60.56/~jnz1568/getInfo.php?workbook=08_01.xlsx&amp;sheet=A0&amp;row=241&amp;col=7&amp;number==&amp;sourceID=11","=")</f>
        <v>=</v>
      </c>
      <c r="H241" s="4" t="str">
        <f>HYPERLINK("http://141.218.60.56/~jnz1568/getInfo.php?workbook=08_01.xlsx&amp;sheet=A0&amp;row=241&amp;col=8&amp;number=622560000&amp;sourceID=11","622560000")</f>
        <v>622560000</v>
      </c>
      <c r="I241" s="4" t="str">
        <f>HYPERLINK("http://141.218.60.56/~jnz1568/getInfo.php?workbook=08_01.xlsx&amp;sheet=A0&amp;row=241&amp;col=9&amp;number=&amp;sourceID=11","")</f>
        <v/>
      </c>
      <c r="J241" s="4" t="str">
        <f>HYPERLINK("http://141.218.60.56/~jnz1568/getInfo.php?workbook=08_01.xlsx&amp;sheet=A0&amp;row=241&amp;col=10&amp;number=0.15336&amp;sourceID=11","0.15336")</f>
        <v>0.15336</v>
      </c>
      <c r="K241" s="4" t="str">
        <f>HYPERLINK("http://141.218.60.56/~jnz1568/getInfo.php?workbook=08_01.xlsx&amp;sheet=A0&amp;row=241&amp;col=11&amp;number=&amp;sourceID=11","")</f>
        <v/>
      </c>
      <c r="L241" s="4" t="str">
        <f>HYPERLINK("http://141.218.60.56/~jnz1568/getInfo.php?workbook=08_01.xlsx&amp;sheet=A0&amp;row=241&amp;col=12&amp;number=&amp;sourceID=11","")</f>
        <v/>
      </c>
      <c r="M241" s="4" t="str">
        <f>HYPERLINK("http://141.218.60.56/~jnz1568/getInfo.php?workbook=08_01.xlsx&amp;sheet=A0&amp;row=241&amp;col=13&amp;number=&amp;sourceID=11","")</f>
        <v/>
      </c>
      <c r="N241" s="4" t="str">
        <f>HYPERLINK("http://141.218.60.56/~jnz1568/getInfo.php?workbook=08_01.xlsx&amp;sheet=A0&amp;row=241&amp;col=14&amp;number=622580000&amp;sourceID=12","622580000")</f>
        <v>622580000</v>
      </c>
      <c r="O241" s="4" t="str">
        <f>HYPERLINK("http://141.218.60.56/~jnz1568/getInfo.php?workbook=08_01.xlsx&amp;sheet=A0&amp;row=241&amp;col=15&amp;number=622580000&amp;sourceID=12","622580000")</f>
        <v>622580000</v>
      </c>
      <c r="P241" s="4" t="str">
        <f>HYPERLINK("http://141.218.60.56/~jnz1568/getInfo.php?workbook=08_01.xlsx&amp;sheet=A0&amp;row=241&amp;col=16&amp;number=&amp;sourceID=12","")</f>
        <v/>
      </c>
      <c r="Q241" s="4" t="str">
        <f>HYPERLINK("http://141.218.60.56/~jnz1568/getInfo.php?workbook=08_01.xlsx&amp;sheet=A0&amp;row=241&amp;col=17&amp;number=0.15336&amp;sourceID=12","0.15336")</f>
        <v>0.15336</v>
      </c>
      <c r="R241" s="4" t="str">
        <f>HYPERLINK("http://141.218.60.56/~jnz1568/getInfo.php?workbook=08_01.xlsx&amp;sheet=A0&amp;row=241&amp;col=18&amp;number=&amp;sourceID=12","")</f>
        <v/>
      </c>
      <c r="S241" s="4" t="str">
        <f>HYPERLINK("http://141.218.60.56/~jnz1568/getInfo.php?workbook=08_01.xlsx&amp;sheet=A0&amp;row=241&amp;col=19&amp;number=&amp;sourceID=12","")</f>
        <v/>
      </c>
      <c r="T241" s="4" t="str">
        <f>HYPERLINK("http://141.218.60.56/~jnz1568/getInfo.php?workbook=08_01.xlsx&amp;sheet=A0&amp;row=241&amp;col=20&amp;number=&amp;sourceID=12","")</f>
        <v/>
      </c>
      <c r="U241" s="4" t="str">
        <f>HYPERLINK("http://141.218.60.56/~jnz1568/getInfo.php?workbook=08_01.xlsx&amp;sheet=A0&amp;row=241&amp;col=21&amp;number=622600000&amp;sourceID=30","622600000")</f>
        <v>622600000</v>
      </c>
      <c r="V241" s="4" t="str">
        <f>HYPERLINK("http://141.218.60.56/~jnz1568/getInfo.php?workbook=08_01.xlsx&amp;sheet=A0&amp;row=241&amp;col=22&amp;number=622600000&amp;sourceID=30","622600000")</f>
        <v>622600000</v>
      </c>
      <c r="W241" s="4" t="str">
        <f>HYPERLINK("http://141.218.60.56/~jnz1568/getInfo.php?workbook=08_01.xlsx&amp;sheet=A0&amp;row=241&amp;col=23&amp;number=&amp;sourceID=30","")</f>
        <v/>
      </c>
      <c r="X241" s="4" t="str">
        <f>HYPERLINK("http://141.218.60.56/~jnz1568/getInfo.php?workbook=08_01.xlsx&amp;sheet=A0&amp;row=241&amp;col=24&amp;number=&amp;sourceID=30","")</f>
        <v/>
      </c>
      <c r="Y241" s="4" t="str">
        <f>HYPERLINK("http://141.218.60.56/~jnz1568/getInfo.php?workbook=08_01.xlsx&amp;sheet=A0&amp;row=241&amp;col=25&amp;number=&amp;sourceID=30","")</f>
        <v/>
      </c>
      <c r="Z241" s="4" t="str">
        <f>HYPERLINK("http://141.218.60.56/~jnz1568/getInfo.php?workbook=08_01.xlsx&amp;sheet=A0&amp;row=241&amp;col=26&amp;number=&amp;sourceID=13","")</f>
        <v/>
      </c>
      <c r="AA241" s="4" t="str">
        <f>HYPERLINK("http://141.218.60.56/~jnz1568/getInfo.php?workbook=08_01.xlsx&amp;sheet=A0&amp;row=241&amp;col=27&amp;number=&amp;sourceID=13","")</f>
        <v/>
      </c>
      <c r="AB241" s="4" t="str">
        <f>HYPERLINK("http://141.218.60.56/~jnz1568/getInfo.php?workbook=08_01.xlsx&amp;sheet=A0&amp;row=241&amp;col=28&amp;number=&amp;sourceID=13","")</f>
        <v/>
      </c>
      <c r="AC241" s="4" t="str">
        <f>HYPERLINK("http://141.218.60.56/~jnz1568/getInfo.php?workbook=08_01.xlsx&amp;sheet=A0&amp;row=241&amp;col=29&amp;number=&amp;sourceID=13","")</f>
        <v/>
      </c>
      <c r="AD241" s="4" t="str">
        <f>HYPERLINK("http://141.218.60.56/~jnz1568/getInfo.php?workbook=08_01.xlsx&amp;sheet=A0&amp;row=241&amp;col=30&amp;number=&amp;sourceID=13","")</f>
        <v/>
      </c>
      <c r="AE241" s="4" t="str">
        <f>HYPERLINK("http://141.218.60.56/~jnz1568/getInfo.php?workbook=08_01.xlsx&amp;sheet=A0&amp;row=241&amp;col=31&amp;number=&amp;sourceID=13","")</f>
        <v/>
      </c>
      <c r="AF241" s="4" t="str">
        <f>HYPERLINK("http://141.218.60.56/~jnz1568/getInfo.php?workbook=08_01.xlsx&amp;sheet=A0&amp;row=241&amp;col=32&amp;number=&amp;sourceID=20","")</f>
        <v/>
      </c>
    </row>
    <row r="242" spans="1:32">
      <c r="A242" s="3">
        <v>8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HYPERLINK("http://141.218.60.56/~jnz1568/getInfo.php?workbook=08_01.xlsx&amp;sheet=A0&amp;row=242&amp;col=6&amp;number=&amp;sourceID=18","")</f>
        <v/>
      </c>
      <c r="G242" s="4" t="str">
        <f>HYPERLINK("http://141.218.60.56/~jnz1568/getInfo.php?workbook=08_01.xlsx&amp;sheet=A0&amp;row=242&amp;col=7&amp;number==&amp;sourceID=11","=")</f>
        <v>=</v>
      </c>
      <c r="H242" s="4" t="str">
        <f>HYPERLINK("http://141.218.60.56/~jnz1568/getInfo.php?workbook=08_01.xlsx&amp;sheet=A0&amp;row=242&amp;col=8&amp;number=&amp;sourceID=11","")</f>
        <v/>
      </c>
      <c r="I242" s="4" t="str">
        <f>HYPERLINK("http://141.218.60.56/~jnz1568/getInfo.php?workbook=08_01.xlsx&amp;sheet=A0&amp;row=242&amp;col=9&amp;number=&amp;sourceID=11","")</f>
        <v/>
      </c>
      <c r="J242" s="4" t="str">
        <f>HYPERLINK("http://141.218.60.56/~jnz1568/getInfo.php?workbook=08_01.xlsx&amp;sheet=A0&amp;row=242&amp;col=10&amp;number=0&amp;sourceID=11","0")</f>
        <v>0</v>
      </c>
      <c r="K242" s="4" t="str">
        <f>HYPERLINK("http://141.218.60.56/~jnz1568/getInfo.php?workbook=08_01.xlsx&amp;sheet=A0&amp;row=242&amp;col=11&amp;number=&amp;sourceID=11","")</f>
        <v/>
      </c>
      <c r="L242" s="4" t="str">
        <f>HYPERLINK("http://141.218.60.56/~jnz1568/getInfo.php?workbook=08_01.xlsx&amp;sheet=A0&amp;row=242&amp;col=12&amp;number=&amp;sourceID=11","")</f>
        <v/>
      </c>
      <c r="M242" s="4" t="str">
        <f>HYPERLINK("http://141.218.60.56/~jnz1568/getInfo.php?workbook=08_01.xlsx&amp;sheet=A0&amp;row=242&amp;col=13&amp;number=&amp;sourceID=11","")</f>
        <v/>
      </c>
      <c r="N242" s="4" t="str">
        <f>HYPERLINK("http://141.218.60.56/~jnz1568/getInfo.php?workbook=08_01.xlsx&amp;sheet=A0&amp;row=242&amp;col=14&amp;number=0&amp;sourceID=12","0")</f>
        <v>0</v>
      </c>
      <c r="O242" s="4" t="str">
        <f>HYPERLINK("http://141.218.60.56/~jnz1568/getInfo.php?workbook=08_01.xlsx&amp;sheet=A0&amp;row=242&amp;col=15&amp;number=&amp;sourceID=12","")</f>
        <v/>
      </c>
      <c r="P242" s="4" t="str">
        <f>HYPERLINK("http://141.218.60.56/~jnz1568/getInfo.php?workbook=08_01.xlsx&amp;sheet=A0&amp;row=242&amp;col=16&amp;number=&amp;sourceID=12","")</f>
        <v/>
      </c>
      <c r="Q242" s="4" t="str">
        <f>HYPERLINK("http://141.218.60.56/~jnz1568/getInfo.php?workbook=08_01.xlsx&amp;sheet=A0&amp;row=242&amp;col=17&amp;number=0&amp;sourceID=12","0")</f>
        <v>0</v>
      </c>
      <c r="R242" s="4" t="str">
        <f>HYPERLINK("http://141.218.60.56/~jnz1568/getInfo.php?workbook=08_01.xlsx&amp;sheet=A0&amp;row=242&amp;col=18&amp;number=&amp;sourceID=12","")</f>
        <v/>
      </c>
      <c r="S242" s="4" t="str">
        <f>HYPERLINK("http://141.218.60.56/~jnz1568/getInfo.php?workbook=08_01.xlsx&amp;sheet=A0&amp;row=242&amp;col=19&amp;number=&amp;sourceID=12","")</f>
        <v/>
      </c>
      <c r="T242" s="4" t="str">
        <f>HYPERLINK("http://141.218.60.56/~jnz1568/getInfo.php?workbook=08_01.xlsx&amp;sheet=A0&amp;row=242&amp;col=20&amp;number=&amp;sourceID=12","")</f>
        <v/>
      </c>
      <c r="U242" s="4" t="str">
        <f>HYPERLINK("http://141.218.60.56/~jnz1568/getInfo.php?workbook=08_01.xlsx&amp;sheet=A0&amp;row=242&amp;col=21&amp;number=&amp;sourceID=30","")</f>
        <v/>
      </c>
      <c r="V242" s="4" t="str">
        <f>HYPERLINK("http://141.218.60.56/~jnz1568/getInfo.php?workbook=08_01.xlsx&amp;sheet=A0&amp;row=242&amp;col=22&amp;number=&amp;sourceID=30","")</f>
        <v/>
      </c>
      <c r="W242" s="4" t="str">
        <f>HYPERLINK("http://141.218.60.56/~jnz1568/getInfo.php?workbook=08_01.xlsx&amp;sheet=A0&amp;row=242&amp;col=23&amp;number=&amp;sourceID=30","")</f>
        <v/>
      </c>
      <c r="X242" s="4" t="str">
        <f>HYPERLINK("http://141.218.60.56/~jnz1568/getInfo.php?workbook=08_01.xlsx&amp;sheet=A0&amp;row=242&amp;col=24&amp;number=&amp;sourceID=30","")</f>
        <v/>
      </c>
      <c r="Y242" s="4" t="str">
        <f>HYPERLINK("http://141.218.60.56/~jnz1568/getInfo.php?workbook=08_01.xlsx&amp;sheet=A0&amp;row=242&amp;col=25&amp;number=&amp;sourceID=30","")</f>
        <v/>
      </c>
      <c r="Z242" s="4" t="str">
        <f>HYPERLINK("http://141.218.60.56/~jnz1568/getInfo.php?workbook=08_01.xlsx&amp;sheet=A0&amp;row=242&amp;col=26&amp;number=&amp;sourceID=13","")</f>
        <v/>
      </c>
      <c r="AA242" s="4" t="str">
        <f>HYPERLINK("http://141.218.60.56/~jnz1568/getInfo.php?workbook=08_01.xlsx&amp;sheet=A0&amp;row=242&amp;col=27&amp;number=&amp;sourceID=13","")</f>
        <v/>
      </c>
      <c r="AB242" s="4" t="str">
        <f>HYPERLINK("http://141.218.60.56/~jnz1568/getInfo.php?workbook=08_01.xlsx&amp;sheet=A0&amp;row=242&amp;col=28&amp;number=&amp;sourceID=13","")</f>
        <v/>
      </c>
      <c r="AC242" s="4" t="str">
        <f>HYPERLINK("http://141.218.60.56/~jnz1568/getInfo.php?workbook=08_01.xlsx&amp;sheet=A0&amp;row=242&amp;col=29&amp;number=&amp;sourceID=13","")</f>
        <v/>
      </c>
      <c r="AD242" s="4" t="str">
        <f>HYPERLINK("http://141.218.60.56/~jnz1568/getInfo.php?workbook=08_01.xlsx&amp;sheet=A0&amp;row=242&amp;col=30&amp;number=&amp;sourceID=13","")</f>
        <v/>
      </c>
      <c r="AE242" s="4" t="str">
        <f>HYPERLINK("http://141.218.60.56/~jnz1568/getInfo.php?workbook=08_01.xlsx&amp;sheet=A0&amp;row=242&amp;col=31&amp;number=&amp;sourceID=13","")</f>
        <v/>
      </c>
      <c r="AF242" s="4" t="str">
        <f>HYPERLINK("http://141.218.60.56/~jnz1568/getInfo.php?workbook=08_01.xlsx&amp;sheet=A0&amp;row=242&amp;col=32&amp;number=&amp;sourceID=20","")</f>
        <v/>
      </c>
    </row>
    <row r="243" spans="1:32">
      <c r="A243" s="3">
        <v>8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HYPERLINK("http://141.218.60.56/~jnz1568/getInfo.php?workbook=08_01.xlsx&amp;sheet=A0&amp;row=243&amp;col=6&amp;number=&amp;sourceID=18","")</f>
        <v/>
      </c>
      <c r="G243" s="4" t="str">
        <f>HYPERLINK("http://141.218.60.56/~jnz1568/getInfo.php?workbook=08_01.xlsx&amp;sheet=A0&amp;row=243&amp;col=7&amp;number==&amp;sourceID=11","=")</f>
        <v>=</v>
      </c>
      <c r="H243" s="4" t="str">
        <f>HYPERLINK("http://141.218.60.56/~jnz1568/getInfo.php?workbook=08_01.xlsx&amp;sheet=A0&amp;row=243&amp;col=8&amp;number=&amp;sourceID=11","")</f>
        <v/>
      </c>
      <c r="I243" s="4" t="str">
        <f>HYPERLINK("http://141.218.60.56/~jnz1568/getInfo.php?workbook=08_01.xlsx&amp;sheet=A0&amp;row=243&amp;col=9&amp;number=&amp;sourceID=11","")</f>
        <v/>
      </c>
      <c r="J243" s="4" t="str">
        <f>HYPERLINK("http://141.218.60.56/~jnz1568/getInfo.php?workbook=08_01.xlsx&amp;sheet=A0&amp;row=243&amp;col=10&amp;number=&amp;sourceID=11","")</f>
        <v/>
      </c>
      <c r="K243" s="4" t="str">
        <f>HYPERLINK("http://141.218.60.56/~jnz1568/getInfo.php?workbook=08_01.xlsx&amp;sheet=A0&amp;row=243&amp;col=11&amp;number=&amp;sourceID=11","")</f>
        <v/>
      </c>
      <c r="L243" s="4" t="str">
        <f>HYPERLINK("http://141.218.60.56/~jnz1568/getInfo.php?workbook=08_01.xlsx&amp;sheet=A0&amp;row=243&amp;col=12&amp;number=&amp;sourceID=11","")</f>
        <v/>
      </c>
      <c r="M243" s="4" t="str">
        <f>HYPERLINK("http://141.218.60.56/~jnz1568/getInfo.php?workbook=08_01.xlsx&amp;sheet=A0&amp;row=243&amp;col=13&amp;number=0&amp;sourceID=11","0")</f>
        <v>0</v>
      </c>
      <c r="N243" s="4" t="str">
        <f>HYPERLINK("http://141.218.60.56/~jnz1568/getInfo.php?workbook=08_01.xlsx&amp;sheet=A0&amp;row=243&amp;col=14&amp;number=0&amp;sourceID=12","0")</f>
        <v>0</v>
      </c>
      <c r="O243" s="4" t="str">
        <f>HYPERLINK("http://141.218.60.56/~jnz1568/getInfo.php?workbook=08_01.xlsx&amp;sheet=A0&amp;row=243&amp;col=15&amp;number=&amp;sourceID=12","")</f>
        <v/>
      </c>
      <c r="P243" s="4" t="str">
        <f>HYPERLINK("http://141.218.60.56/~jnz1568/getInfo.php?workbook=08_01.xlsx&amp;sheet=A0&amp;row=243&amp;col=16&amp;number=&amp;sourceID=12","")</f>
        <v/>
      </c>
      <c r="Q243" s="4" t="str">
        <f>HYPERLINK("http://141.218.60.56/~jnz1568/getInfo.php?workbook=08_01.xlsx&amp;sheet=A0&amp;row=243&amp;col=17&amp;number=&amp;sourceID=12","")</f>
        <v/>
      </c>
      <c r="R243" s="4" t="str">
        <f>HYPERLINK("http://141.218.60.56/~jnz1568/getInfo.php?workbook=08_01.xlsx&amp;sheet=A0&amp;row=243&amp;col=18&amp;number=&amp;sourceID=12","")</f>
        <v/>
      </c>
      <c r="S243" s="4" t="str">
        <f>HYPERLINK("http://141.218.60.56/~jnz1568/getInfo.php?workbook=08_01.xlsx&amp;sheet=A0&amp;row=243&amp;col=19&amp;number=&amp;sourceID=12","")</f>
        <v/>
      </c>
      <c r="T243" s="4" t="str">
        <f>HYPERLINK("http://141.218.60.56/~jnz1568/getInfo.php?workbook=08_01.xlsx&amp;sheet=A0&amp;row=243&amp;col=20&amp;number=0&amp;sourceID=12","0")</f>
        <v>0</v>
      </c>
      <c r="U243" s="4" t="str">
        <f>HYPERLINK("http://141.218.60.56/~jnz1568/getInfo.php?workbook=08_01.xlsx&amp;sheet=A0&amp;row=243&amp;col=21&amp;number=&amp;sourceID=30","")</f>
        <v/>
      </c>
      <c r="V243" s="4" t="str">
        <f>HYPERLINK("http://141.218.60.56/~jnz1568/getInfo.php?workbook=08_01.xlsx&amp;sheet=A0&amp;row=243&amp;col=22&amp;number=&amp;sourceID=30","")</f>
        <v/>
      </c>
      <c r="W243" s="4" t="str">
        <f>HYPERLINK("http://141.218.60.56/~jnz1568/getInfo.php?workbook=08_01.xlsx&amp;sheet=A0&amp;row=243&amp;col=23&amp;number=&amp;sourceID=30","")</f>
        <v/>
      </c>
      <c r="X243" s="4" t="str">
        <f>HYPERLINK("http://141.218.60.56/~jnz1568/getInfo.php?workbook=08_01.xlsx&amp;sheet=A0&amp;row=243&amp;col=24&amp;number=&amp;sourceID=30","")</f>
        <v/>
      </c>
      <c r="Y243" s="4" t="str">
        <f>HYPERLINK("http://141.218.60.56/~jnz1568/getInfo.php?workbook=08_01.xlsx&amp;sheet=A0&amp;row=243&amp;col=25&amp;number=&amp;sourceID=30","")</f>
        <v/>
      </c>
      <c r="Z243" s="4" t="str">
        <f>HYPERLINK("http://141.218.60.56/~jnz1568/getInfo.php?workbook=08_01.xlsx&amp;sheet=A0&amp;row=243&amp;col=26&amp;number=&amp;sourceID=13","")</f>
        <v/>
      </c>
      <c r="AA243" s="4" t="str">
        <f>HYPERLINK("http://141.218.60.56/~jnz1568/getInfo.php?workbook=08_01.xlsx&amp;sheet=A0&amp;row=243&amp;col=27&amp;number=&amp;sourceID=13","")</f>
        <v/>
      </c>
      <c r="AB243" s="4" t="str">
        <f>HYPERLINK("http://141.218.60.56/~jnz1568/getInfo.php?workbook=08_01.xlsx&amp;sheet=A0&amp;row=243&amp;col=28&amp;number=&amp;sourceID=13","")</f>
        <v/>
      </c>
      <c r="AC243" s="4" t="str">
        <f>HYPERLINK("http://141.218.60.56/~jnz1568/getInfo.php?workbook=08_01.xlsx&amp;sheet=A0&amp;row=243&amp;col=29&amp;number=&amp;sourceID=13","")</f>
        <v/>
      </c>
      <c r="AD243" s="4" t="str">
        <f>HYPERLINK("http://141.218.60.56/~jnz1568/getInfo.php?workbook=08_01.xlsx&amp;sheet=A0&amp;row=243&amp;col=30&amp;number=&amp;sourceID=13","")</f>
        <v/>
      </c>
      <c r="AE243" s="4" t="str">
        <f>HYPERLINK("http://141.218.60.56/~jnz1568/getInfo.php?workbook=08_01.xlsx&amp;sheet=A0&amp;row=243&amp;col=31&amp;number=&amp;sourceID=13","")</f>
        <v/>
      </c>
      <c r="AF243" s="4" t="str">
        <f>HYPERLINK("http://141.218.60.56/~jnz1568/getInfo.php?workbook=08_01.xlsx&amp;sheet=A0&amp;row=243&amp;col=32&amp;number=&amp;sourceID=20","")</f>
        <v/>
      </c>
    </row>
    <row r="244" spans="1:32">
      <c r="A244" s="3">
        <v>8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HYPERLINK("http://141.218.60.56/~jnz1568/getInfo.php?workbook=08_01.xlsx&amp;sheet=A0&amp;row=244&amp;col=6&amp;number=&amp;sourceID=18","")</f>
        <v/>
      </c>
      <c r="G244" s="4" t="str">
        <f>HYPERLINK("http://141.218.60.56/~jnz1568/getInfo.php?workbook=08_01.xlsx&amp;sheet=A0&amp;row=244&amp;col=7&amp;number==&amp;sourceID=11","=")</f>
        <v>=</v>
      </c>
      <c r="H244" s="4" t="str">
        <f>HYPERLINK("http://141.218.60.56/~jnz1568/getInfo.php?workbook=08_01.xlsx&amp;sheet=A0&amp;row=244&amp;col=8&amp;number=&amp;sourceID=11","")</f>
        <v/>
      </c>
      <c r="I244" s="4" t="str">
        <f>HYPERLINK("http://141.218.60.56/~jnz1568/getInfo.php?workbook=08_01.xlsx&amp;sheet=A0&amp;row=244&amp;col=9&amp;number=9.97e-13&amp;sourceID=11","9.97e-13")</f>
        <v>9.97e-13</v>
      </c>
      <c r="J244" s="4" t="str">
        <f>HYPERLINK("http://141.218.60.56/~jnz1568/getInfo.php?workbook=08_01.xlsx&amp;sheet=A0&amp;row=244&amp;col=10&amp;number=&amp;sourceID=11","")</f>
        <v/>
      </c>
      <c r="K244" s="4" t="str">
        <f>HYPERLINK("http://141.218.60.56/~jnz1568/getInfo.php?workbook=08_01.xlsx&amp;sheet=A0&amp;row=244&amp;col=11&amp;number=&amp;sourceID=11","")</f>
        <v/>
      </c>
      <c r="L244" s="4" t="str">
        <f>HYPERLINK("http://141.218.60.56/~jnz1568/getInfo.php?workbook=08_01.xlsx&amp;sheet=A0&amp;row=244&amp;col=12&amp;number=&amp;sourceID=11","")</f>
        <v/>
      </c>
      <c r="M244" s="4" t="str">
        <f>HYPERLINK("http://141.218.60.56/~jnz1568/getInfo.php?workbook=08_01.xlsx&amp;sheet=A0&amp;row=244&amp;col=13&amp;number=0&amp;sourceID=11","0")</f>
        <v>0</v>
      </c>
      <c r="N244" s="4" t="str">
        <f>HYPERLINK("http://141.218.60.56/~jnz1568/getInfo.php?workbook=08_01.xlsx&amp;sheet=A0&amp;row=244&amp;col=14&amp;number=9.97e-13&amp;sourceID=12","9.97e-13")</f>
        <v>9.97e-13</v>
      </c>
      <c r="O244" s="4" t="str">
        <f>HYPERLINK("http://141.218.60.56/~jnz1568/getInfo.php?workbook=08_01.xlsx&amp;sheet=A0&amp;row=244&amp;col=15&amp;number=&amp;sourceID=12","")</f>
        <v/>
      </c>
      <c r="P244" s="4" t="str">
        <f>HYPERLINK("http://141.218.60.56/~jnz1568/getInfo.php?workbook=08_01.xlsx&amp;sheet=A0&amp;row=244&amp;col=16&amp;number=9.97e-13&amp;sourceID=12","9.97e-13")</f>
        <v>9.97e-13</v>
      </c>
      <c r="Q244" s="4" t="str">
        <f>HYPERLINK("http://141.218.60.56/~jnz1568/getInfo.php?workbook=08_01.xlsx&amp;sheet=A0&amp;row=244&amp;col=17&amp;number=&amp;sourceID=12","")</f>
        <v/>
      </c>
      <c r="R244" s="4" t="str">
        <f>HYPERLINK("http://141.218.60.56/~jnz1568/getInfo.php?workbook=08_01.xlsx&amp;sheet=A0&amp;row=244&amp;col=18&amp;number=&amp;sourceID=12","")</f>
        <v/>
      </c>
      <c r="S244" s="4" t="str">
        <f>HYPERLINK("http://141.218.60.56/~jnz1568/getInfo.php?workbook=08_01.xlsx&amp;sheet=A0&amp;row=244&amp;col=19&amp;number=&amp;sourceID=12","")</f>
        <v/>
      </c>
      <c r="T244" s="4" t="str">
        <f>HYPERLINK("http://141.218.60.56/~jnz1568/getInfo.php?workbook=08_01.xlsx&amp;sheet=A0&amp;row=244&amp;col=20&amp;number=0&amp;sourceID=12","0")</f>
        <v>0</v>
      </c>
      <c r="U244" s="4" t="str">
        <f>HYPERLINK("http://141.218.60.56/~jnz1568/getInfo.php?workbook=08_01.xlsx&amp;sheet=A0&amp;row=244&amp;col=21&amp;number=9.97e-13&amp;sourceID=30","9.97e-13")</f>
        <v>9.97e-13</v>
      </c>
      <c r="V244" s="4" t="str">
        <f>HYPERLINK("http://141.218.60.56/~jnz1568/getInfo.php?workbook=08_01.xlsx&amp;sheet=A0&amp;row=244&amp;col=22&amp;number=&amp;sourceID=30","")</f>
        <v/>
      </c>
      <c r="W244" s="4" t="str">
        <f>HYPERLINK("http://141.218.60.56/~jnz1568/getInfo.php?workbook=08_01.xlsx&amp;sheet=A0&amp;row=244&amp;col=23&amp;number=9.97e-13&amp;sourceID=30","9.97e-13")</f>
        <v>9.97e-13</v>
      </c>
      <c r="X244" s="4" t="str">
        <f>HYPERLINK("http://141.218.60.56/~jnz1568/getInfo.php?workbook=08_01.xlsx&amp;sheet=A0&amp;row=244&amp;col=24&amp;number=&amp;sourceID=30","")</f>
        <v/>
      </c>
      <c r="Y244" s="4" t="str">
        <f>HYPERLINK("http://141.218.60.56/~jnz1568/getInfo.php?workbook=08_01.xlsx&amp;sheet=A0&amp;row=244&amp;col=25&amp;number=&amp;sourceID=30","")</f>
        <v/>
      </c>
      <c r="Z244" s="4" t="str">
        <f>HYPERLINK("http://141.218.60.56/~jnz1568/getInfo.php?workbook=08_01.xlsx&amp;sheet=A0&amp;row=244&amp;col=26&amp;number=&amp;sourceID=13","")</f>
        <v/>
      </c>
      <c r="AA244" s="4" t="str">
        <f>HYPERLINK("http://141.218.60.56/~jnz1568/getInfo.php?workbook=08_01.xlsx&amp;sheet=A0&amp;row=244&amp;col=27&amp;number=&amp;sourceID=13","")</f>
        <v/>
      </c>
      <c r="AB244" s="4" t="str">
        <f>HYPERLINK("http://141.218.60.56/~jnz1568/getInfo.php?workbook=08_01.xlsx&amp;sheet=A0&amp;row=244&amp;col=28&amp;number=&amp;sourceID=13","")</f>
        <v/>
      </c>
      <c r="AC244" s="4" t="str">
        <f>HYPERLINK("http://141.218.60.56/~jnz1568/getInfo.php?workbook=08_01.xlsx&amp;sheet=A0&amp;row=244&amp;col=29&amp;number=&amp;sourceID=13","")</f>
        <v/>
      </c>
      <c r="AD244" s="4" t="str">
        <f>HYPERLINK("http://141.218.60.56/~jnz1568/getInfo.php?workbook=08_01.xlsx&amp;sheet=A0&amp;row=244&amp;col=30&amp;number=&amp;sourceID=13","")</f>
        <v/>
      </c>
      <c r="AE244" s="4" t="str">
        <f>HYPERLINK("http://141.218.60.56/~jnz1568/getInfo.php?workbook=08_01.xlsx&amp;sheet=A0&amp;row=244&amp;col=31&amp;number=&amp;sourceID=13","")</f>
        <v/>
      </c>
      <c r="AF244" s="4" t="str">
        <f>HYPERLINK("http://141.218.60.56/~jnz1568/getInfo.php?workbook=08_01.xlsx&amp;sheet=A0&amp;row=244&amp;col=32&amp;number=&amp;sourceID=20","")</f>
        <v/>
      </c>
    </row>
    <row r="245" spans="1:32">
      <c r="A245" s="3">
        <v>8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HYPERLINK("http://141.218.60.56/~jnz1568/getInfo.php?workbook=08_01.xlsx&amp;sheet=A0&amp;row=245&amp;col=6&amp;number=&amp;sourceID=18","")</f>
        <v/>
      </c>
      <c r="G245" s="4" t="str">
        <f>HYPERLINK("http://141.218.60.56/~jnz1568/getInfo.php?workbook=08_01.xlsx&amp;sheet=A0&amp;row=245&amp;col=7&amp;number==&amp;sourceID=11","=")</f>
        <v>=</v>
      </c>
      <c r="H245" s="4" t="str">
        <f>HYPERLINK("http://141.218.60.56/~jnz1568/getInfo.php?workbook=08_01.xlsx&amp;sheet=A0&amp;row=245&amp;col=8&amp;number=&amp;sourceID=11","")</f>
        <v/>
      </c>
      <c r="I245" s="4" t="str">
        <f>HYPERLINK("http://141.218.60.56/~jnz1568/getInfo.php?workbook=08_01.xlsx&amp;sheet=A0&amp;row=245&amp;col=9&amp;number=&amp;sourceID=11","")</f>
        <v/>
      </c>
      <c r="J245" s="4" t="str">
        <f>HYPERLINK("http://141.218.60.56/~jnz1568/getInfo.php?workbook=08_01.xlsx&amp;sheet=A0&amp;row=245&amp;col=10&amp;number=0&amp;sourceID=11","0")</f>
        <v>0</v>
      </c>
      <c r="K245" s="4" t="str">
        <f>HYPERLINK("http://141.218.60.56/~jnz1568/getInfo.php?workbook=08_01.xlsx&amp;sheet=A0&amp;row=245&amp;col=11&amp;number=&amp;sourceID=11","")</f>
        <v/>
      </c>
      <c r="L245" s="4" t="str">
        <f>HYPERLINK("http://141.218.60.56/~jnz1568/getInfo.php?workbook=08_01.xlsx&amp;sheet=A0&amp;row=245&amp;col=12&amp;number=0&amp;sourceID=11","0")</f>
        <v>0</v>
      </c>
      <c r="M245" s="4" t="str">
        <f>HYPERLINK("http://141.218.60.56/~jnz1568/getInfo.php?workbook=08_01.xlsx&amp;sheet=A0&amp;row=245&amp;col=13&amp;number=&amp;sourceID=11","")</f>
        <v/>
      </c>
      <c r="N245" s="4" t="str">
        <f>HYPERLINK("http://141.218.60.56/~jnz1568/getInfo.php?workbook=08_01.xlsx&amp;sheet=A0&amp;row=245&amp;col=14&amp;number=0&amp;sourceID=12","0")</f>
        <v>0</v>
      </c>
      <c r="O245" s="4" t="str">
        <f>HYPERLINK("http://141.218.60.56/~jnz1568/getInfo.php?workbook=08_01.xlsx&amp;sheet=A0&amp;row=245&amp;col=15&amp;number=&amp;sourceID=12","")</f>
        <v/>
      </c>
      <c r="P245" s="4" t="str">
        <f>HYPERLINK("http://141.218.60.56/~jnz1568/getInfo.php?workbook=08_01.xlsx&amp;sheet=A0&amp;row=245&amp;col=16&amp;number=&amp;sourceID=12","")</f>
        <v/>
      </c>
      <c r="Q245" s="4" t="str">
        <f>HYPERLINK("http://141.218.60.56/~jnz1568/getInfo.php?workbook=08_01.xlsx&amp;sheet=A0&amp;row=245&amp;col=17&amp;number=0&amp;sourceID=12","0")</f>
        <v>0</v>
      </c>
      <c r="R245" s="4" t="str">
        <f>HYPERLINK("http://141.218.60.56/~jnz1568/getInfo.php?workbook=08_01.xlsx&amp;sheet=A0&amp;row=245&amp;col=18&amp;number=&amp;sourceID=12","")</f>
        <v/>
      </c>
      <c r="S245" s="4" t="str">
        <f>HYPERLINK("http://141.218.60.56/~jnz1568/getInfo.php?workbook=08_01.xlsx&amp;sheet=A0&amp;row=245&amp;col=19&amp;number=0&amp;sourceID=12","0")</f>
        <v>0</v>
      </c>
      <c r="T245" s="4" t="str">
        <f>HYPERLINK("http://141.218.60.56/~jnz1568/getInfo.php?workbook=08_01.xlsx&amp;sheet=A0&amp;row=245&amp;col=20&amp;number=&amp;sourceID=12","")</f>
        <v/>
      </c>
      <c r="U245" s="4" t="str">
        <f>HYPERLINK("http://141.218.60.56/~jnz1568/getInfo.php?workbook=08_01.xlsx&amp;sheet=A0&amp;row=245&amp;col=21&amp;number=0&amp;sourceID=30","0")</f>
        <v>0</v>
      </c>
      <c r="V245" s="4" t="str">
        <f>HYPERLINK("http://141.218.60.56/~jnz1568/getInfo.php?workbook=08_01.xlsx&amp;sheet=A0&amp;row=245&amp;col=22&amp;number=&amp;sourceID=30","")</f>
        <v/>
      </c>
      <c r="W245" s="4" t="str">
        <f>HYPERLINK("http://141.218.60.56/~jnz1568/getInfo.php?workbook=08_01.xlsx&amp;sheet=A0&amp;row=245&amp;col=23&amp;number=&amp;sourceID=30","")</f>
        <v/>
      </c>
      <c r="X245" s="4" t="str">
        <f>HYPERLINK("http://141.218.60.56/~jnz1568/getInfo.php?workbook=08_01.xlsx&amp;sheet=A0&amp;row=245&amp;col=24&amp;number=&amp;sourceID=30","")</f>
        <v/>
      </c>
      <c r="Y245" s="4" t="str">
        <f>HYPERLINK("http://141.218.60.56/~jnz1568/getInfo.php?workbook=08_01.xlsx&amp;sheet=A0&amp;row=245&amp;col=25&amp;number=0&amp;sourceID=30","0")</f>
        <v>0</v>
      </c>
      <c r="Z245" s="4" t="str">
        <f>HYPERLINK("http://141.218.60.56/~jnz1568/getInfo.php?workbook=08_01.xlsx&amp;sheet=A0&amp;row=245&amp;col=26&amp;number=&amp;sourceID=13","")</f>
        <v/>
      </c>
      <c r="AA245" s="4" t="str">
        <f>HYPERLINK("http://141.218.60.56/~jnz1568/getInfo.php?workbook=08_01.xlsx&amp;sheet=A0&amp;row=245&amp;col=27&amp;number=&amp;sourceID=13","")</f>
        <v/>
      </c>
      <c r="AB245" s="4" t="str">
        <f>HYPERLINK("http://141.218.60.56/~jnz1568/getInfo.php?workbook=08_01.xlsx&amp;sheet=A0&amp;row=245&amp;col=28&amp;number=&amp;sourceID=13","")</f>
        <v/>
      </c>
      <c r="AC245" s="4" t="str">
        <f>HYPERLINK("http://141.218.60.56/~jnz1568/getInfo.php?workbook=08_01.xlsx&amp;sheet=A0&amp;row=245&amp;col=29&amp;number=&amp;sourceID=13","")</f>
        <v/>
      </c>
      <c r="AD245" s="4" t="str">
        <f>HYPERLINK("http://141.218.60.56/~jnz1568/getInfo.php?workbook=08_01.xlsx&amp;sheet=A0&amp;row=245&amp;col=30&amp;number=&amp;sourceID=13","")</f>
        <v/>
      </c>
      <c r="AE245" s="4" t="str">
        <f>HYPERLINK("http://141.218.60.56/~jnz1568/getInfo.php?workbook=08_01.xlsx&amp;sheet=A0&amp;row=245&amp;col=31&amp;number=&amp;sourceID=13","")</f>
        <v/>
      </c>
      <c r="AF245" s="4" t="str">
        <f>HYPERLINK("http://141.218.60.56/~jnz1568/getInfo.php?workbook=08_01.xlsx&amp;sheet=A0&amp;row=245&amp;col=32&amp;number=&amp;sourceID=20","")</f>
        <v/>
      </c>
    </row>
    <row r="246" spans="1:32">
      <c r="A246" s="3">
        <v>8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HYPERLINK("http://141.218.60.56/~jnz1568/getInfo.php?workbook=08_01.xlsx&amp;sheet=A0&amp;row=246&amp;col=6&amp;number=&amp;sourceID=18","")</f>
        <v/>
      </c>
      <c r="G246" s="4" t="str">
        <f>HYPERLINK("http://141.218.60.56/~jnz1568/getInfo.php?workbook=08_01.xlsx&amp;sheet=A0&amp;row=246&amp;col=7&amp;number==&amp;sourceID=11","=")</f>
        <v>=</v>
      </c>
      <c r="H246" s="4" t="str">
        <f>HYPERLINK("http://141.218.60.56/~jnz1568/getInfo.php?workbook=08_01.xlsx&amp;sheet=A0&amp;row=246&amp;col=8&amp;number=0.02793&amp;sourceID=11","0.02793")</f>
        <v>0.02793</v>
      </c>
      <c r="I246" s="4" t="str">
        <f>HYPERLINK("http://141.218.60.56/~jnz1568/getInfo.php?workbook=08_01.xlsx&amp;sheet=A0&amp;row=246&amp;col=9&amp;number=&amp;sourceID=11","")</f>
        <v/>
      </c>
      <c r="J246" s="4" t="str">
        <f>HYPERLINK("http://141.218.60.56/~jnz1568/getInfo.php?workbook=08_01.xlsx&amp;sheet=A0&amp;row=246&amp;col=10&amp;number=0&amp;sourceID=11","0")</f>
        <v>0</v>
      </c>
      <c r="K246" s="4" t="str">
        <f>HYPERLINK("http://141.218.60.56/~jnz1568/getInfo.php?workbook=08_01.xlsx&amp;sheet=A0&amp;row=246&amp;col=11&amp;number=&amp;sourceID=11","")</f>
        <v/>
      </c>
      <c r="L246" s="4" t="str">
        <f>HYPERLINK("http://141.218.60.56/~jnz1568/getInfo.php?workbook=08_01.xlsx&amp;sheet=A0&amp;row=246&amp;col=12&amp;number=0&amp;sourceID=11","0")</f>
        <v>0</v>
      </c>
      <c r="M246" s="4" t="str">
        <f>HYPERLINK("http://141.218.60.56/~jnz1568/getInfo.php?workbook=08_01.xlsx&amp;sheet=A0&amp;row=246&amp;col=13&amp;number=&amp;sourceID=11","")</f>
        <v/>
      </c>
      <c r="N246" s="4" t="str">
        <f>HYPERLINK("http://141.218.60.56/~jnz1568/getInfo.php?workbook=08_01.xlsx&amp;sheet=A0&amp;row=246&amp;col=14&amp;number=0.027937&amp;sourceID=12","0.027937")</f>
        <v>0.027937</v>
      </c>
      <c r="O246" s="4" t="str">
        <f>HYPERLINK("http://141.218.60.56/~jnz1568/getInfo.php?workbook=08_01.xlsx&amp;sheet=A0&amp;row=246&amp;col=15&amp;number=0.027937&amp;sourceID=12","0.027937")</f>
        <v>0.027937</v>
      </c>
      <c r="P246" s="4" t="str">
        <f>HYPERLINK("http://141.218.60.56/~jnz1568/getInfo.php?workbook=08_01.xlsx&amp;sheet=A0&amp;row=246&amp;col=16&amp;number=&amp;sourceID=12","")</f>
        <v/>
      </c>
      <c r="Q246" s="4" t="str">
        <f>HYPERLINK("http://141.218.60.56/~jnz1568/getInfo.php?workbook=08_01.xlsx&amp;sheet=A0&amp;row=246&amp;col=17&amp;number=0&amp;sourceID=12","0")</f>
        <v>0</v>
      </c>
      <c r="R246" s="4" t="str">
        <f>HYPERLINK("http://141.218.60.56/~jnz1568/getInfo.php?workbook=08_01.xlsx&amp;sheet=A0&amp;row=246&amp;col=18&amp;number=&amp;sourceID=12","")</f>
        <v/>
      </c>
      <c r="S246" s="4" t="str">
        <f>HYPERLINK("http://141.218.60.56/~jnz1568/getInfo.php?workbook=08_01.xlsx&amp;sheet=A0&amp;row=246&amp;col=19&amp;number=0&amp;sourceID=12","0")</f>
        <v>0</v>
      </c>
      <c r="T246" s="4" t="str">
        <f>HYPERLINK("http://141.218.60.56/~jnz1568/getInfo.php?workbook=08_01.xlsx&amp;sheet=A0&amp;row=246&amp;col=20&amp;number=&amp;sourceID=12","")</f>
        <v/>
      </c>
      <c r="U246" s="4" t="str">
        <f>HYPERLINK("http://141.218.60.56/~jnz1568/getInfo.php?workbook=08_01.xlsx&amp;sheet=A0&amp;row=246&amp;col=21&amp;number=0.02794&amp;sourceID=30","0.02794")</f>
        <v>0.02794</v>
      </c>
      <c r="V246" s="4" t="str">
        <f>HYPERLINK("http://141.218.60.56/~jnz1568/getInfo.php?workbook=08_01.xlsx&amp;sheet=A0&amp;row=246&amp;col=22&amp;number=0.02794&amp;sourceID=30","0.02794")</f>
        <v>0.02794</v>
      </c>
      <c r="W246" s="4" t="str">
        <f>HYPERLINK("http://141.218.60.56/~jnz1568/getInfo.php?workbook=08_01.xlsx&amp;sheet=A0&amp;row=246&amp;col=23&amp;number=&amp;sourceID=30","")</f>
        <v/>
      </c>
      <c r="X246" s="4" t="str">
        <f>HYPERLINK("http://141.218.60.56/~jnz1568/getInfo.php?workbook=08_01.xlsx&amp;sheet=A0&amp;row=246&amp;col=24&amp;number=&amp;sourceID=30","")</f>
        <v/>
      </c>
      <c r="Y246" s="4" t="str">
        <f>HYPERLINK("http://141.218.60.56/~jnz1568/getInfo.php?workbook=08_01.xlsx&amp;sheet=A0&amp;row=246&amp;col=25&amp;number=0&amp;sourceID=30","0")</f>
        <v>0</v>
      </c>
      <c r="Z246" s="4" t="str">
        <f>HYPERLINK("http://141.218.60.56/~jnz1568/getInfo.php?workbook=08_01.xlsx&amp;sheet=A0&amp;row=246&amp;col=26&amp;number=&amp;sourceID=13","")</f>
        <v/>
      </c>
      <c r="AA246" s="4" t="str">
        <f>HYPERLINK("http://141.218.60.56/~jnz1568/getInfo.php?workbook=08_01.xlsx&amp;sheet=A0&amp;row=246&amp;col=27&amp;number=&amp;sourceID=13","")</f>
        <v/>
      </c>
      <c r="AB246" s="4" t="str">
        <f>HYPERLINK("http://141.218.60.56/~jnz1568/getInfo.php?workbook=08_01.xlsx&amp;sheet=A0&amp;row=246&amp;col=28&amp;number=&amp;sourceID=13","")</f>
        <v/>
      </c>
      <c r="AC246" s="4" t="str">
        <f>HYPERLINK("http://141.218.60.56/~jnz1568/getInfo.php?workbook=08_01.xlsx&amp;sheet=A0&amp;row=246&amp;col=29&amp;number=&amp;sourceID=13","")</f>
        <v/>
      </c>
      <c r="AD246" s="4" t="str">
        <f>HYPERLINK("http://141.218.60.56/~jnz1568/getInfo.php?workbook=08_01.xlsx&amp;sheet=A0&amp;row=246&amp;col=30&amp;number=&amp;sourceID=13","")</f>
        <v/>
      </c>
      <c r="AE246" s="4" t="str">
        <f>HYPERLINK("http://141.218.60.56/~jnz1568/getInfo.php?workbook=08_01.xlsx&amp;sheet=A0&amp;row=246&amp;col=31&amp;number=&amp;sourceID=13","")</f>
        <v/>
      </c>
      <c r="AF246" s="4" t="str">
        <f>HYPERLINK("http://141.218.60.56/~jnz1568/getInfo.php?workbook=08_01.xlsx&amp;sheet=A0&amp;row=246&amp;col=32&amp;number=&amp;sourceID=20","")</f>
        <v/>
      </c>
    </row>
    <row r="247" spans="1:32">
      <c r="A247" s="3">
        <v>8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HYPERLINK("http://141.218.60.56/~jnz1568/getInfo.php?workbook=08_01.xlsx&amp;sheet=A0&amp;row=247&amp;col=6&amp;number=&amp;sourceID=18","")</f>
        <v/>
      </c>
      <c r="G247" s="4" t="str">
        <f>HYPERLINK("http://141.218.60.56/~jnz1568/getInfo.php?workbook=08_01.xlsx&amp;sheet=A0&amp;row=247&amp;col=7&amp;number==&amp;sourceID=11","=")</f>
        <v>=</v>
      </c>
      <c r="H247" s="4" t="str">
        <f>HYPERLINK("http://141.218.60.56/~jnz1568/getInfo.php?workbook=08_01.xlsx&amp;sheet=A0&amp;row=247&amp;col=8&amp;number=&amp;sourceID=11","")</f>
        <v/>
      </c>
      <c r="I247" s="4" t="str">
        <f>HYPERLINK("http://141.218.60.56/~jnz1568/getInfo.php?workbook=08_01.xlsx&amp;sheet=A0&amp;row=247&amp;col=9&amp;number=0&amp;sourceID=11","0")</f>
        <v>0</v>
      </c>
      <c r="J247" s="4" t="str">
        <f>HYPERLINK("http://141.218.60.56/~jnz1568/getInfo.php?workbook=08_01.xlsx&amp;sheet=A0&amp;row=247&amp;col=10&amp;number=&amp;sourceID=11","")</f>
        <v/>
      </c>
      <c r="K247" s="4" t="str">
        <f>HYPERLINK("http://141.218.60.56/~jnz1568/getInfo.php?workbook=08_01.xlsx&amp;sheet=A0&amp;row=247&amp;col=11&amp;number=0&amp;sourceID=11","0")</f>
        <v>0</v>
      </c>
      <c r="L247" s="4" t="str">
        <f>HYPERLINK("http://141.218.60.56/~jnz1568/getInfo.php?workbook=08_01.xlsx&amp;sheet=A0&amp;row=247&amp;col=12&amp;number=&amp;sourceID=11","")</f>
        <v/>
      </c>
      <c r="M247" s="4" t="str">
        <f>HYPERLINK("http://141.218.60.56/~jnz1568/getInfo.php?workbook=08_01.xlsx&amp;sheet=A0&amp;row=247&amp;col=13&amp;number=0&amp;sourceID=11","0")</f>
        <v>0</v>
      </c>
      <c r="N247" s="4" t="str">
        <f>HYPERLINK("http://141.218.60.56/~jnz1568/getInfo.php?workbook=08_01.xlsx&amp;sheet=A0&amp;row=247&amp;col=14&amp;number=0&amp;sourceID=12","0")</f>
        <v>0</v>
      </c>
      <c r="O247" s="4" t="str">
        <f>HYPERLINK("http://141.218.60.56/~jnz1568/getInfo.php?workbook=08_01.xlsx&amp;sheet=A0&amp;row=247&amp;col=15&amp;number=&amp;sourceID=12","")</f>
        <v/>
      </c>
      <c r="P247" s="4" t="str">
        <f>HYPERLINK("http://141.218.60.56/~jnz1568/getInfo.php?workbook=08_01.xlsx&amp;sheet=A0&amp;row=247&amp;col=16&amp;number=0&amp;sourceID=12","0")</f>
        <v>0</v>
      </c>
      <c r="Q247" s="4" t="str">
        <f>HYPERLINK("http://141.218.60.56/~jnz1568/getInfo.php?workbook=08_01.xlsx&amp;sheet=A0&amp;row=247&amp;col=17&amp;number=&amp;sourceID=12","")</f>
        <v/>
      </c>
      <c r="R247" s="4" t="str">
        <f>HYPERLINK("http://141.218.60.56/~jnz1568/getInfo.php?workbook=08_01.xlsx&amp;sheet=A0&amp;row=247&amp;col=18&amp;number=0&amp;sourceID=12","0")</f>
        <v>0</v>
      </c>
      <c r="S247" s="4" t="str">
        <f>HYPERLINK("http://141.218.60.56/~jnz1568/getInfo.php?workbook=08_01.xlsx&amp;sheet=A0&amp;row=247&amp;col=19&amp;number=&amp;sourceID=12","")</f>
        <v/>
      </c>
      <c r="T247" s="4" t="str">
        <f>HYPERLINK("http://141.218.60.56/~jnz1568/getInfo.php?workbook=08_01.xlsx&amp;sheet=A0&amp;row=247&amp;col=20&amp;number=0&amp;sourceID=12","0")</f>
        <v>0</v>
      </c>
      <c r="U247" s="4" t="str">
        <f>HYPERLINK("http://141.218.60.56/~jnz1568/getInfo.php?workbook=08_01.xlsx&amp;sheet=A0&amp;row=247&amp;col=21&amp;number=0&amp;sourceID=30","0")</f>
        <v>0</v>
      </c>
      <c r="V247" s="4" t="str">
        <f>HYPERLINK("http://141.218.60.56/~jnz1568/getInfo.php?workbook=08_01.xlsx&amp;sheet=A0&amp;row=247&amp;col=22&amp;number=&amp;sourceID=30","")</f>
        <v/>
      </c>
      <c r="W247" s="4" t="str">
        <f>HYPERLINK("http://141.218.60.56/~jnz1568/getInfo.php?workbook=08_01.xlsx&amp;sheet=A0&amp;row=247&amp;col=23&amp;number=0&amp;sourceID=30","0")</f>
        <v>0</v>
      </c>
      <c r="X247" s="4" t="str">
        <f>HYPERLINK("http://141.218.60.56/~jnz1568/getInfo.php?workbook=08_01.xlsx&amp;sheet=A0&amp;row=247&amp;col=24&amp;number=0&amp;sourceID=30","0")</f>
        <v>0</v>
      </c>
      <c r="Y247" s="4" t="str">
        <f>HYPERLINK("http://141.218.60.56/~jnz1568/getInfo.php?workbook=08_01.xlsx&amp;sheet=A0&amp;row=247&amp;col=25&amp;number=&amp;sourceID=30","")</f>
        <v/>
      </c>
      <c r="Z247" s="4" t="str">
        <f>HYPERLINK("http://141.218.60.56/~jnz1568/getInfo.php?workbook=08_01.xlsx&amp;sheet=A0&amp;row=247&amp;col=26&amp;number=&amp;sourceID=13","")</f>
        <v/>
      </c>
      <c r="AA247" s="4" t="str">
        <f>HYPERLINK("http://141.218.60.56/~jnz1568/getInfo.php?workbook=08_01.xlsx&amp;sheet=A0&amp;row=247&amp;col=27&amp;number=&amp;sourceID=13","")</f>
        <v/>
      </c>
      <c r="AB247" s="4" t="str">
        <f>HYPERLINK("http://141.218.60.56/~jnz1568/getInfo.php?workbook=08_01.xlsx&amp;sheet=A0&amp;row=247&amp;col=28&amp;number=&amp;sourceID=13","")</f>
        <v/>
      </c>
      <c r="AC247" s="4" t="str">
        <f>HYPERLINK("http://141.218.60.56/~jnz1568/getInfo.php?workbook=08_01.xlsx&amp;sheet=A0&amp;row=247&amp;col=29&amp;number=&amp;sourceID=13","")</f>
        <v/>
      </c>
      <c r="AD247" s="4" t="str">
        <f>HYPERLINK("http://141.218.60.56/~jnz1568/getInfo.php?workbook=08_01.xlsx&amp;sheet=A0&amp;row=247&amp;col=30&amp;number=&amp;sourceID=13","")</f>
        <v/>
      </c>
      <c r="AE247" s="4" t="str">
        <f>HYPERLINK("http://141.218.60.56/~jnz1568/getInfo.php?workbook=08_01.xlsx&amp;sheet=A0&amp;row=247&amp;col=31&amp;number=&amp;sourceID=13","")</f>
        <v/>
      </c>
      <c r="AF247" s="4" t="str">
        <f>HYPERLINK("http://141.218.60.56/~jnz1568/getInfo.php?workbook=08_01.xlsx&amp;sheet=A0&amp;row=247&amp;col=32&amp;number=&amp;sourceID=20","")</f>
        <v/>
      </c>
    </row>
    <row r="248" spans="1:32">
      <c r="A248" s="3">
        <v>8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HYPERLINK("http://141.218.60.56/~jnz1568/getInfo.php?workbook=08_01.xlsx&amp;sheet=A0&amp;row=248&amp;col=6&amp;number=&amp;sourceID=18","")</f>
        <v/>
      </c>
      <c r="G248" s="4" t="str">
        <f>HYPERLINK("http://141.218.60.56/~jnz1568/getInfo.php?workbook=08_01.xlsx&amp;sheet=A0&amp;row=248&amp;col=7&amp;number==&amp;sourceID=11","=")</f>
        <v>=</v>
      </c>
      <c r="H248" s="4" t="str">
        <f>HYPERLINK("http://141.218.60.56/~jnz1568/getInfo.php?workbook=08_01.xlsx&amp;sheet=A0&amp;row=248&amp;col=8&amp;number=&amp;sourceID=11","")</f>
        <v/>
      </c>
      <c r="I248" s="4" t="str">
        <f>HYPERLINK("http://141.218.60.56/~jnz1568/getInfo.php?workbook=08_01.xlsx&amp;sheet=A0&amp;row=248&amp;col=9&amp;number=&amp;sourceID=11","")</f>
        <v/>
      </c>
      <c r="J248" s="4" t="str">
        <f>HYPERLINK("http://141.218.60.56/~jnz1568/getInfo.php?workbook=08_01.xlsx&amp;sheet=A0&amp;row=248&amp;col=10&amp;number=4291&amp;sourceID=11","4291")</f>
        <v>4291</v>
      </c>
      <c r="K248" s="4" t="str">
        <f>HYPERLINK("http://141.218.60.56/~jnz1568/getInfo.php?workbook=08_01.xlsx&amp;sheet=A0&amp;row=248&amp;col=11&amp;number=&amp;sourceID=11","")</f>
        <v/>
      </c>
      <c r="L248" s="4" t="str">
        <f>HYPERLINK("http://141.218.60.56/~jnz1568/getInfo.php?workbook=08_01.xlsx&amp;sheet=A0&amp;row=248&amp;col=12&amp;number=&amp;sourceID=11","")</f>
        <v/>
      </c>
      <c r="M248" s="4" t="str">
        <f>HYPERLINK("http://141.218.60.56/~jnz1568/getInfo.php?workbook=08_01.xlsx&amp;sheet=A0&amp;row=248&amp;col=13&amp;number=&amp;sourceID=11","")</f>
        <v/>
      </c>
      <c r="N248" s="4" t="str">
        <f>HYPERLINK("http://141.218.60.56/~jnz1568/getInfo.php?workbook=08_01.xlsx&amp;sheet=A0&amp;row=248&amp;col=14&amp;number=4291.2&amp;sourceID=12","4291.2")</f>
        <v>4291.2</v>
      </c>
      <c r="O248" s="4" t="str">
        <f>HYPERLINK("http://141.218.60.56/~jnz1568/getInfo.php?workbook=08_01.xlsx&amp;sheet=A0&amp;row=248&amp;col=15&amp;number=&amp;sourceID=12","")</f>
        <v/>
      </c>
      <c r="P248" s="4" t="str">
        <f>HYPERLINK("http://141.218.60.56/~jnz1568/getInfo.php?workbook=08_01.xlsx&amp;sheet=A0&amp;row=248&amp;col=16&amp;number=&amp;sourceID=12","")</f>
        <v/>
      </c>
      <c r="Q248" s="4" t="str">
        <f>HYPERLINK("http://141.218.60.56/~jnz1568/getInfo.php?workbook=08_01.xlsx&amp;sheet=A0&amp;row=248&amp;col=17&amp;number=4291.2&amp;sourceID=12","4291.2")</f>
        <v>4291.2</v>
      </c>
      <c r="R248" s="4" t="str">
        <f>HYPERLINK("http://141.218.60.56/~jnz1568/getInfo.php?workbook=08_01.xlsx&amp;sheet=A0&amp;row=248&amp;col=18&amp;number=&amp;sourceID=12","")</f>
        <v/>
      </c>
      <c r="S248" s="4" t="str">
        <f>HYPERLINK("http://141.218.60.56/~jnz1568/getInfo.php?workbook=08_01.xlsx&amp;sheet=A0&amp;row=248&amp;col=19&amp;number=&amp;sourceID=12","")</f>
        <v/>
      </c>
      <c r="T248" s="4" t="str">
        <f>HYPERLINK("http://141.218.60.56/~jnz1568/getInfo.php?workbook=08_01.xlsx&amp;sheet=A0&amp;row=248&amp;col=20&amp;number=&amp;sourceID=12","")</f>
        <v/>
      </c>
      <c r="U248" s="4" t="str">
        <f>HYPERLINK("http://141.218.60.56/~jnz1568/getInfo.php?workbook=08_01.xlsx&amp;sheet=A0&amp;row=248&amp;col=21&amp;number=&amp;sourceID=30","")</f>
        <v/>
      </c>
      <c r="V248" s="4" t="str">
        <f>HYPERLINK("http://141.218.60.56/~jnz1568/getInfo.php?workbook=08_01.xlsx&amp;sheet=A0&amp;row=248&amp;col=22&amp;number=&amp;sourceID=30","")</f>
        <v/>
      </c>
      <c r="W248" s="4" t="str">
        <f>HYPERLINK("http://141.218.60.56/~jnz1568/getInfo.php?workbook=08_01.xlsx&amp;sheet=A0&amp;row=248&amp;col=23&amp;number=&amp;sourceID=30","")</f>
        <v/>
      </c>
      <c r="X248" s="4" t="str">
        <f>HYPERLINK("http://141.218.60.56/~jnz1568/getInfo.php?workbook=08_01.xlsx&amp;sheet=A0&amp;row=248&amp;col=24&amp;number=&amp;sourceID=30","")</f>
        <v/>
      </c>
      <c r="Y248" s="4" t="str">
        <f>HYPERLINK("http://141.218.60.56/~jnz1568/getInfo.php?workbook=08_01.xlsx&amp;sheet=A0&amp;row=248&amp;col=25&amp;number=&amp;sourceID=30","")</f>
        <v/>
      </c>
      <c r="Z248" s="4" t="str">
        <f>HYPERLINK("http://141.218.60.56/~jnz1568/getInfo.php?workbook=08_01.xlsx&amp;sheet=A0&amp;row=248&amp;col=26&amp;number=&amp;sourceID=13","")</f>
        <v/>
      </c>
      <c r="AA248" s="4" t="str">
        <f>HYPERLINK("http://141.218.60.56/~jnz1568/getInfo.php?workbook=08_01.xlsx&amp;sheet=A0&amp;row=248&amp;col=27&amp;number=&amp;sourceID=13","")</f>
        <v/>
      </c>
      <c r="AB248" s="4" t="str">
        <f>HYPERLINK("http://141.218.60.56/~jnz1568/getInfo.php?workbook=08_01.xlsx&amp;sheet=A0&amp;row=248&amp;col=28&amp;number=&amp;sourceID=13","")</f>
        <v/>
      </c>
      <c r="AC248" s="4" t="str">
        <f>HYPERLINK("http://141.218.60.56/~jnz1568/getInfo.php?workbook=08_01.xlsx&amp;sheet=A0&amp;row=248&amp;col=29&amp;number=&amp;sourceID=13","")</f>
        <v/>
      </c>
      <c r="AD248" s="4" t="str">
        <f>HYPERLINK("http://141.218.60.56/~jnz1568/getInfo.php?workbook=08_01.xlsx&amp;sheet=A0&amp;row=248&amp;col=30&amp;number=&amp;sourceID=13","")</f>
        <v/>
      </c>
      <c r="AE248" s="4" t="str">
        <f>HYPERLINK("http://141.218.60.56/~jnz1568/getInfo.php?workbook=08_01.xlsx&amp;sheet=A0&amp;row=248&amp;col=31&amp;number=&amp;sourceID=13","")</f>
        <v/>
      </c>
      <c r="AF248" s="4" t="str">
        <f>HYPERLINK("http://141.218.60.56/~jnz1568/getInfo.php?workbook=08_01.xlsx&amp;sheet=A0&amp;row=248&amp;col=32&amp;number=&amp;sourceID=20","")</f>
        <v/>
      </c>
    </row>
    <row r="249" spans="1:32">
      <c r="A249" s="3">
        <v>8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HYPERLINK("http://141.218.60.56/~jnz1568/getInfo.php?workbook=08_01.xlsx&amp;sheet=A0&amp;row=249&amp;col=6&amp;number=&amp;sourceID=18","")</f>
        <v/>
      </c>
      <c r="G249" s="4" t="str">
        <f>HYPERLINK("http://141.218.60.56/~jnz1568/getInfo.php?workbook=08_01.xlsx&amp;sheet=A0&amp;row=249&amp;col=7&amp;number==&amp;sourceID=11","=")</f>
        <v>=</v>
      </c>
      <c r="H249" s="4" t="str">
        <f>HYPERLINK("http://141.218.60.56/~jnz1568/getInfo.php?workbook=08_01.xlsx&amp;sheet=A0&amp;row=249&amp;col=8&amp;number=&amp;sourceID=11","")</f>
        <v/>
      </c>
      <c r="I249" s="4" t="str">
        <f>HYPERLINK("http://141.218.60.56/~jnz1568/getInfo.php?workbook=08_01.xlsx&amp;sheet=A0&amp;row=249&amp;col=9&amp;number=&amp;sourceID=11","")</f>
        <v/>
      </c>
      <c r="J249" s="4" t="str">
        <f>HYPERLINK("http://141.218.60.56/~jnz1568/getInfo.php?workbook=08_01.xlsx&amp;sheet=A0&amp;row=249&amp;col=10&amp;number=&amp;sourceID=11","")</f>
        <v/>
      </c>
      <c r="K249" s="4" t="str">
        <f>HYPERLINK("http://141.218.60.56/~jnz1568/getInfo.php?workbook=08_01.xlsx&amp;sheet=A0&amp;row=249&amp;col=11&amp;number=&amp;sourceID=11","")</f>
        <v/>
      </c>
      <c r="L249" s="4" t="str">
        <f>HYPERLINK("http://141.218.60.56/~jnz1568/getInfo.php?workbook=08_01.xlsx&amp;sheet=A0&amp;row=249&amp;col=12&amp;number=&amp;sourceID=11","")</f>
        <v/>
      </c>
      <c r="M249" s="4" t="str">
        <f>HYPERLINK("http://141.218.60.56/~jnz1568/getInfo.php?workbook=08_01.xlsx&amp;sheet=A0&amp;row=249&amp;col=13&amp;number=0.099315&amp;sourceID=11","0.099315")</f>
        <v>0.099315</v>
      </c>
      <c r="N249" s="4" t="str">
        <f>HYPERLINK("http://141.218.60.56/~jnz1568/getInfo.php?workbook=08_01.xlsx&amp;sheet=A0&amp;row=249&amp;col=14&amp;number=0.099318&amp;sourceID=12","0.099318")</f>
        <v>0.099318</v>
      </c>
      <c r="O249" s="4" t="str">
        <f>HYPERLINK("http://141.218.60.56/~jnz1568/getInfo.php?workbook=08_01.xlsx&amp;sheet=A0&amp;row=249&amp;col=15&amp;number=&amp;sourceID=12","")</f>
        <v/>
      </c>
      <c r="P249" s="4" t="str">
        <f>HYPERLINK("http://141.218.60.56/~jnz1568/getInfo.php?workbook=08_01.xlsx&amp;sheet=A0&amp;row=249&amp;col=16&amp;number=&amp;sourceID=12","")</f>
        <v/>
      </c>
      <c r="Q249" s="4" t="str">
        <f>HYPERLINK("http://141.218.60.56/~jnz1568/getInfo.php?workbook=08_01.xlsx&amp;sheet=A0&amp;row=249&amp;col=17&amp;number=&amp;sourceID=12","")</f>
        <v/>
      </c>
      <c r="R249" s="4" t="str">
        <f>HYPERLINK("http://141.218.60.56/~jnz1568/getInfo.php?workbook=08_01.xlsx&amp;sheet=A0&amp;row=249&amp;col=18&amp;number=&amp;sourceID=12","")</f>
        <v/>
      </c>
      <c r="S249" s="4" t="str">
        <f>HYPERLINK("http://141.218.60.56/~jnz1568/getInfo.php?workbook=08_01.xlsx&amp;sheet=A0&amp;row=249&amp;col=19&amp;number=&amp;sourceID=12","")</f>
        <v/>
      </c>
      <c r="T249" s="4" t="str">
        <f>HYPERLINK("http://141.218.60.56/~jnz1568/getInfo.php?workbook=08_01.xlsx&amp;sheet=A0&amp;row=249&amp;col=20&amp;number=0.099318&amp;sourceID=12","0.099318")</f>
        <v>0.099318</v>
      </c>
      <c r="U249" s="4" t="str">
        <f>HYPERLINK("http://141.218.60.56/~jnz1568/getInfo.php?workbook=08_01.xlsx&amp;sheet=A0&amp;row=249&amp;col=21&amp;number=&amp;sourceID=30","")</f>
        <v/>
      </c>
      <c r="V249" s="4" t="str">
        <f>HYPERLINK("http://141.218.60.56/~jnz1568/getInfo.php?workbook=08_01.xlsx&amp;sheet=A0&amp;row=249&amp;col=22&amp;number=&amp;sourceID=30","")</f>
        <v/>
      </c>
      <c r="W249" s="4" t="str">
        <f>HYPERLINK("http://141.218.60.56/~jnz1568/getInfo.php?workbook=08_01.xlsx&amp;sheet=A0&amp;row=249&amp;col=23&amp;number=&amp;sourceID=30","")</f>
        <v/>
      </c>
      <c r="X249" s="4" t="str">
        <f>HYPERLINK("http://141.218.60.56/~jnz1568/getInfo.php?workbook=08_01.xlsx&amp;sheet=A0&amp;row=249&amp;col=24&amp;number=&amp;sourceID=30","")</f>
        <v/>
      </c>
      <c r="Y249" s="4" t="str">
        <f>HYPERLINK("http://141.218.60.56/~jnz1568/getInfo.php?workbook=08_01.xlsx&amp;sheet=A0&amp;row=249&amp;col=25&amp;number=&amp;sourceID=30","")</f>
        <v/>
      </c>
      <c r="Z249" s="4" t="str">
        <f>HYPERLINK("http://141.218.60.56/~jnz1568/getInfo.php?workbook=08_01.xlsx&amp;sheet=A0&amp;row=249&amp;col=26&amp;number=&amp;sourceID=13","")</f>
        <v/>
      </c>
      <c r="AA249" s="4" t="str">
        <f>HYPERLINK("http://141.218.60.56/~jnz1568/getInfo.php?workbook=08_01.xlsx&amp;sheet=A0&amp;row=249&amp;col=27&amp;number=&amp;sourceID=13","")</f>
        <v/>
      </c>
      <c r="AB249" s="4" t="str">
        <f>HYPERLINK("http://141.218.60.56/~jnz1568/getInfo.php?workbook=08_01.xlsx&amp;sheet=A0&amp;row=249&amp;col=28&amp;number=&amp;sourceID=13","")</f>
        <v/>
      </c>
      <c r="AC249" s="4" t="str">
        <f>HYPERLINK("http://141.218.60.56/~jnz1568/getInfo.php?workbook=08_01.xlsx&amp;sheet=A0&amp;row=249&amp;col=29&amp;number=&amp;sourceID=13","")</f>
        <v/>
      </c>
      <c r="AD249" s="4" t="str">
        <f>HYPERLINK("http://141.218.60.56/~jnz1568/getInfo.php?workbook=08_01.xlsx&amp;sheet=A0&amp;row=249&amp;col=30&amp;number=&amp;sourceID=13","")</f>
        <v/>
      </c>
      <c r="AE249" s="4" t="str">
        <f>HYPERLINK("http://141.218.60.56/~jnz1568/getInfo.php?workbook=08_01.xlsx&amp;sheet=A0&amp;row=249&amp;col=31&amp;number=&amp;sourceID=13","")</f>
        <v/>
      </c>
      <c r="AF249" s="4" t="str">
        <f>HYPERLINK("http://141.218.60.56/~jnz1568/getInfo.php?workbook=08_01.xlsx&amp;sheet=A0&amp;row=249&amp;col=32&amp;number=&amp;sourceID=20","")</f>
        <v/>
      </c>
    </row>
    <row r="250" spans="1:32">
      <c r="A250" s="3">
        <v>8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HYPERLINK("http://141.218.60.56/~jnz1568/getInfo.php?workbook=08_01.xlsx&amp;sheet=A0&amp;row=250&amp;col=6&amp;number=&amp;sourceID=18","")</f>
        <v/>
      </c>
      <c r="G250" s="4" t="str">
        <f>HYPERLINK("http://141.218.60.56/~jnz1568/getInfo.php?workbook=08_01.xlsx&amp;sheet=A0&amp;row=250&amp;col=7&amp;number==&amp;sourceID=11","=")</f>
        <v>=</v>
      </c>
      <c r="H250" s="4" t="str">
        <f>HYPERLINK("http://141.218.60.56/~jnz1568/getInfo.php?workbook=08_01.xlsx&amp;sheet=A0&amp;row=250&amp;col=8&amp;number=&amp;sourceID=11","")</f>
        <v/>
      </c>
      <c r="I250" s="4" t="str">
        <f>HYPERLINK("http://141.218.60.56/~jnz1568/getInfo.php?workbook=08_01.xlsx&amp;sheet=A0&amp;row=250&amp;col=9&amp;number=&amp;sourceID=11","")</f>
        <v/>
      </c>
      <c r="J250" s="4" t="str">
        <f>HYPERLINK("http://141.218.60.56/~jnz1568/getInfo.php?workbook=08_01.xlsx&amp;sheet=A0&amp;row=250&amp;col=10&amp;number=1185.9&amp;sourceID=11","1185.9")</f>
        <v>1185.9</v>
      </c>
      <c r="K250" s="4" t="str">
        <f>HYPERLINK("http://141.218.60.56/~jnz1568/getInfo.php?workbook=08_01.xlsx&amp;sheet=A0&amp;row=250&amp;col=11&amp;number=&amp;sourceID=11","")</f>
        <v/>
      </c>
      <c r="L250" s="4" t="str">
        <f>HYPERLINK("http://141.218.60.56/~jnz1568/getInfo.php?workbook=08_01.xlsx&amp;sheet=A0&amp;row=250&amp;col=12&amp;number=&amp;sourceID=11","")</f>
        <v/>
      </c>
      <c r="M250" s="4" t="str">
        <f>HYPERLINK("http://141.218.60.56/~jnz1568/getInfo.php?workbook=08_01.xlsx&amp;sheet=A0&amp;row=250&amp;col=13&amp;number=&amp;sourceID=11","")</f>
        <v/>
      </c>
      <c r="N250" s="4" t="str">
        <f>HYPERLINK("http://141.218.60.56/~jnz1568/getInfo.php?workbook=08_01.xlsx&amp;sheet=A0&amp;row=250&amp;col=14&amp;number=1186&amp;sourceID=12","1186")</f>
        <v>1186</v>
      </c>
      <c r="O250" s="4" t="str">
        <f>HYPERLINK("http://141.218.60.56/~jnz1568/getInfo.php?workbook=08_01.xlsx&amp;sheet=A0&amp;row=250&amp;col=15&amp;number=&amp;sourceID=12","")</f>
        <v/>
      </c>
      <c r="P250" s="4" t="str">
        <f>HYPERLINK("http://141.218.60.56/~jnz1568/getInfo.php?workbook=08_01.xlsx&amp;sheet=A0&amp;row=250&amp;col=16&amp;number=&amp;sourceID=12","")</f>
        <v/>
      </c>
      <c r="Q250" s="4" t="str">
        <f>HYPERLINK("http://141.218.60.56/~jnz1568/getInfo.php?workbook=08_01.xlsx&amp;sheet=A0&amp;row=250&amp;col=17&amp;number=1186&amp;sourceID=12","1186")</f>
        <v>1186</v>
      </c>
      <c r="R250" s="4" t="str">
        <f>HYPERLINK("http://141.218.60.56/~jnz1568/getInfo.php?workbook=08_01.xlsx&amp;sheet=A0&amp;row=250&amp;col=18&amp;number=&amp;sourceID=12","")</f>
        <v/>
      </c>
      <c r="S250" s="4" t="str">
        <f>HYPERLINK("http://141.218.60.56/~jnz1568/getInfo.php?workbook=08_01.xlsx&amp;sheet=A0&amp;row=250&amp;col=19&amp;number=&amp;sourceID=12","")</f>
        <v/>
      </c>
      <c r="T250" s="4" t="str">
        <f>HYPERLINK("http://141.218.60.56/~jnz1568/getInfo.php?workbook=08_01.xlsx&amp;sheet=A0&amp;row=250&amp;col=20&amp;number=&amp;sourceID=12","")</f>
        <v/>
      </c>
      <c r="U250" s="4" t="str">
        <f>HYPERLINK("http://141.218.60.56/~jnz1568/getInfo.php?workbook=08_01.xlsx&amp;sheet=A0&amp;row=250&amp;col=21&amp;number=&amp;sourceID=30","")</f>
        <v/>
      </c>
      <c r="V250" s="4" t="str">
        <f>HYPERLINK("http://141.218.60.56/~jnz1568/getInfo.php?workbook=08_01.xlsx&amp;sheet=A0&amp;row=250&amp;col=22&amp;number=&amp;sourceID=30","")</f>
        <v/>
      </c>
      <c r="W250" s="4" t="str">
        <f>HYPERLINK("http://141.218.60.56/~jnz1568/getInfo.php?workbook=08_01.xlsx&amp;sheet=A0&amp;row=250&amp;col=23&amp;number=&amp;sourceID=30","")</f>
        <v/>
      </c>
      <c r="X250" s="4" t="str">
        <f>HYPERLINK("http://141.218.60.56/~jnz1568/getInfo.php?workbook=08_01.xlsx&amp;sheet=A0&amp;row=250&amp;col=24&amp;number=&amp;sourceID=30","")</f>
        <v/>
      </c>
      <c r="Y250" s="4" t="str">
        <f>HYPERLINK("http://141.218.60.56/~jnz1568/getInfo.php?workbook=08_01.xlsx&amp;sheet=A0&amp;row=250&amp;col=25&amp;number=&amp;sourceID=30","")</f>
        <v/>
      </c>
      <c r="Z250" s="4" t="str">
        <f>HYPERLINK("http://141.218.60.56/~jnz1568/getInfo.php?workbook=08_01.xlsx&amp;sheet=A0&amp;row=250&amp;col=26&amp;number=&amp;sourceID=13","")</f>
        <v/>
      </c>
      <c r="AA250" s="4" t="str">
        <f>HYPERLINK("http://141.218.60.56/~jnz1568/getInfo.php?workbook=08_01.xlsx&amp;sheet=A0&amp;row=250&amp;col=27&amp;number=&amp;sourceID=13","")</f>
        <v/>
      </c>
      <c r="AB250" s="4" t="str">
        <f>HYPERLINK("http://141.218.60.56/~jnz1568/getInfo.php?workbook=08_01.xlsx&amp;sheet=A0&amp;row=250&amp;col=28&amp;number=&amp;sourceID=13","")</f>
        <v/>
      </c>
      <c r="AC250" s="4" t="str">
        <f>HYPERLINK("http://141.218.60.56/~jnz1568/getInfo.php?workbook=08_01.xlsx&amp;sheet=A0&amp;row=250&amp;col=29&amp;number=&amp;sourceID=13","")</f>
        <v/>
      </c>
      <c r="AD250" s="4" t="str">
        <f>HYPERLINK("http://141.218.60.56/~jnz1568/getInfo.php?workbook=08_01.xlsx&amp;sheet=A0&amp;row=250&amp;col=30&amp;number=&amp;sourceID=13","")</f>
        <v/>
      </c>
      <c r="AE250" s="4" t="str">
        <f>HYPERLINK("http://141.218.60.56/~jnz1568/getInfo.php?workbook=08_01.xlsx&amp;sheet=A0&amp;row=250&amp;col=31&amp;number=&amp;sourceID=13","")</f>
        <v/>
      </c>
      <c r="AF250" s="4" t="str">
        <f>HYPERLINK("http://141.218.60.56/~jnz1568/getInfo.php?workbook=08_01.xlsx&amp;sheet=A0&amp;row=250&amp;col=32&amp;number=&amp;sourceID=20","")</f>
        <v/>
      </c>
    </row>
    <row r="251" spans="1:32">
      <c r="A251" s="3">
        <v>8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HYPERLINK("http://141.218.60.56/~jnz1568/getInfo.php?workbook=08_01.xlsx&amp;sheet=A0&amp;row=251&amp;col=6&amp;number=&amp;sourceID=18","")</f>
        <v/>
      </c>
      <c r="G251" s="4" t="str">
        <f>HYPERLINK("http://141.218.60.56/~jnz1568/getInfo.php?workbook=08_01.xlsx&amp;sheet=A0&amp;row=251&amp;col=7&amp;number==&amp;sourceID=11","=")</f>
        <v>=</v>
      </c>
      <c r="H251" s="4" t="str">
        <f>HYPERLINK("http://141.218.60.56/~jnz1568/getInfo.php?workbook=08_01.xlsx&amp;sheet=A0&amp;row=251&amp;col=8&amp;number=&amp;sourceID=11","")</f>
        <v/>
      </c>
      <c r="I251" s="4" t="str">
        <f>HYPERLINK("http://141.218.60.56/~jnz1568/getInfo.php?workbook=08_01.xlsx&amp;sheet=A0&amp;row=251&amp;col=9&amp;number=10825000&amp;sourceID=11","10825000")</f>
        <v>10825000</v>
      </c>
      <c r="J251" s="4" t="str">
        <f>HYPERLINK("http://141.218.60.56/~jnz1568/getInfo.php?workbook=08_01.xlsx&amp;sheet=A0&amp;row=251&amp;col=10&amp;number=&amp;sourceID=11","")</f>
        <v/>
      </c>
      <c r="K251" s="4" t="str">
        <f>HYPERLINK("http://141.218.60.56/~jnz1568/getInfo.php?workbook=08_01.xlsx&amp;sheet=A0&amp;row=251&amp;col=11&amp;number=&amp;sourceID=11","")</f>
        <v/>
      </c>
      <c r="L251" s="4" t="str">
        <f>HYPERLINK("http://141.218.60.56/~jnz1568/getInfo.php?workbook=08_01.xlsx&amp;sheet=A0&amp;row=251&amp;col=12&amp;number=&amp;sourceID=11","")</f>
        <v/>
      </c>
      <c r="M251" s="4" t="str">
        <f>HYPERLINK("http://141.218.60.56/~jnz1568/getInfo.php?workbook=08_01.xlsx&amp;sheet=A0&amp;row=251&amp;col=13&amp;number=0.29716&amp;sourceID=11","0.29716")</f>
        <v>0.29716</v>
      </c>
      <c r="N251" s="4" t="str">
        <f>HYPERLINK("http://141.218.60.56/~jnz1568/getInfo.php?workbook=08_01.xlsx&amp;sheet=A0&amp;row=251&amp;col=14&amp;number=10825000&amp;sourceID=12","10825000")</f>
        <v>10825000</v>
      </c>
      <c r="O251" s="4" t="str">
        <f>HYPERLINK("http://141.218.60.56/~jnz1568/getInfo.php?workbook=08_01.xlsx&amp;sheet=A0&amp;row=251&amp;col=15&amp;number=&amp;sourceID=12","")</f>
        <v/>
      </c>
      <c r="P251" s="4" t="str">
        <f>HYPERLINK("http://141.218.60.56/~jnz1568/getInfo.php?workbook=08_01.xlsx&amp;sheet=A0&amp;row=251&amp;col=16&amp;number=10825000&amp;sourceID=12","10825000")</f>
        <v>10825000</v>
      </c>
      <c r="Q251" s="4" t="str">
        <f>HYPERLINK("http://141.218.60.56/~jnz1568/getInfo.php?workbook=08_01.xlsx&amp;sheet=A0&amp;row=251&amp;col=17&amp;number=&amp;sourceID=12","")</f>
        <v/>
      </c>
      <c r="R251" s="4" t="str">
        <f>HYPERLINK("http://141.218.60.56/~jnz1568/getInfo.php?workbook=08_01.xlsx&amp;sheet=A0&amp;row=251&amp;col=18&amp;number=&amp;sourceID=12","")</f>
        <v/>
      </c>
      <c r="S251" s="4" t="str">
        <f>HYPERLINK("http://141.218.60.56/~jnz1568/getInfo.php?workbook=08_01.xlsx&amp;sheet=A0&amp;row=251&amp;col=19&amp;number=&amp;sourceID=12","")</f>
        <v/>
      </c>
      <c r="T251" s="4" t="str">
        <f>HYPERLINK("http://141.218.60.56/~jnz1568/getInfo.php?workbook=08_01.xlsx&amp;sheet=A0&amp;row=251&amp;col=20&amp;number=0.29717&amp;sourceID=12","0.29717")</f>
        <v>0.29717</v>
      </c>
      <c r="U251" s="4" t="str">
        <f>HYPERLINK("http://141.218.60.56/~jnz1568/getInfo.php?workbook=08_01.xlsx&amp;sheet=A0&amp;row=251&amp;col=21&amp;number=10820000&amp;sourceID=30","10820000")</f>
        <v>10820000</v>
      </c>
      <c r="V251" s="4" t="str">
        <f>HYPERLINK("http://141.218.60.56/~jnz1568/getInfo.php?workbook=08_01.xlsx&amp;sheet=A0&amp;row=251&amp;col=22&amp;number=&amp;sourceID=30","")</f>
        <v/>
      </c>
      <c r="W251" s="4" t="str">
        <f>HYPERLINK("http://141.218.60.56/~jnz1568/getInfo.php?workbook=08_01.xlsx&amp;sheet=A0&amp;row=251&amp;col=23&amp;number=10820000&amp;sourceID=30","10820000")</f>
        <v>10820000</v>
      </c>
      <c r="X251" s="4" t="str">
        <f>HYPERLINK("http://141.218.60.56/~jnz1568/getInfo.php?workbook=08_01.xlsx&amp;sheet=A0&amp;row=251&amp;col=24&amp;number=&amp;sourceID=30","")</f>
        <v/>
      </c>
      <c r="Y251" s="4" t="str">
        <f>HYPERLINK("http://141.218.60.56/~jnz1568/getInfo.php?workbook=08_01.xlsx&amp;sheet=A0&amp;row=251&amp;col=25&amp;number=&amp;sourceID=30","")</f>
        <v/>
      </c>
      <c r="Z251" s="4" t="str">
        <f>HYPERLINK("http://141.218.60.56/~jnz1568/getInfo.php?workbook=08_01.xlsx&amp;sheet=A0&amp;row=251&amp;col=26&amp;number=&amp;sourceID=13","")</f>
        <v/>
      </c>
      <c r="AA251" s="4" t="str">
        <f>HYPERLINK("http://141.218.60.56/~jnz1568/getInfo.php?workbook=08_01.xlsx&amp;sheet=A0&amp;row=251&amp;col=27&amp;number=&amp;sourceID=13","")</f>
        <v/>
      </c>
      <c r="AB251" s="4" t="str">
        <f>HYPERLINK("http://141.218.60.56/~jnz1568/getInfo.php?workbook=08_01.xlsx&amp;sheet=A0&amp;row=251&amp;col=28&amp;number=&amp;sourceID=13","")</f>
        <v/>
      </c>
      <c r="AC251" s="4" t="str">
        <f>HYPERLINK("http://141.218.60.56/~jnz1568/getInfo.php?workbook=08_01.xlsx&amp;sheet=A0&amp;row=251&amp;col=29&amp;number=&amp;sourceID=13","")</f>
        <v/>
      </c>
      <c r="AD251" s="4" t="str">
        <f>HYPERLINK("http://141.218.60.56/~jnz1568/getInfo.php?workbook=08_01.xlsx&amp;sheet=A0&amp;row=251&amp;col=30&amp;number=&amp;sourceID=13","")</f>
        <v/>
      </c>
      <c r="AE251" s="4" t="str">
        <f>HYPERLINK("http://141.218.60.56/~jnz1568/getInfo.php?workbook=08_01.xlsx&amp;sheet=A0&amp;row=251&amp;col=31&amp;number=&amp;sourceID=13","")</f>
        <v/>
      </c>
      <c r="AF251" s="4" t="str">
        <f>HYPERLINK("http://141.218.60.56/~jnz1568/getInfo.php?workbook=08_01.xlsx&amp;sheet=A0&amp;row=251&amp;col=32&amp;number=&amp;sourceID=20","")</f>
        <v/>
      </c>
    </row>
    <row r="252" spans="1:32">
      <c r="A252" s="3">
        <v>8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HYPERLINK("http://141.218.60.56/~jnz1568/getInfo.php?workbook=08_01.xlsx&amp;sheet=A0&amp;row=252&amp;col=6&amp;number=&amp;sourceID=18","")</f>
        <v/>
      </c>
      <c r="G252" s="4" t="str">
        <f>HYPERLINK("http://141.218.60.56/~jnz1568/getInfo.php?workbook=08_01.xlsx&amp;sheet=A0&amp;row=252&amp;col=7&amp;number==&amp;sourceID=11","=")</f>
        <v>=</v>
      </c>
      <c r="H252" s="4" t="str">
        <f>HYPERLINK("http://141.218.60.56/~jnz1568/getInfo.php?workbook=08_01.xlsx&amp;sheet=A0&amp;row=252&amp;col=8&amp;number=&amp;sourceID=11","")</f>
        <v/>
      </c>
      <c r="I252" s="4" t="str">
        <f>HYPERLINK("http://141.218.60.56/~jnz1568/getInfo.php?workbook=08_01.xlsx&amp;sheet=A0&amp;row=252&amp;col=9&amp;number=&amp;sourceID=11","")</f>
        <v/>
      </c>
      <c r="J252" s="4" t="str">
        <f>HYPERLINK("http://141.218.60.56/~jnz1568/getInfo.php?workbook=08_01.xlsx&amp;sheet=A0&amp;row=252&amp;col=10&amp;number=&amp;sourceID=11","")</f>
        <v/>
      </c>
      <c r="K252" s="4" t="str">
        <f>HYPERLINK("http://141.218.60.56/~jnz1568/getInfo.php?workbook=08_01.xlsx&amp;sheet=A0&amp;row=252&amp;col=11&amp;number=&amp;sourceID=11","")</f>
        <v/>
      </c>
      <c r="L252" s="4" t="str">
        <f>HYPERLINK("http://141.218.60.56/~jnz1568/getInfo.php?workbook=08_01.xlsx&amp;sheet=A0&amp;row=252&amp;col=12&amp;number=&amp;sourceID=11","")</f>
        <v/>
      </c>
      <c r="M252" s="4" t="str">
        <f>HYPERLINK("http://141.218.60.56/~jnz1568/getInfo.php?workbook=08_01.xlsx&amp;sheet=A0&amp;row=252&amp;col=13&amp;number=7.6989e-06&amp;sourceID=11","7.6989e-06")</f>
        <v>7.6989e-06</v>
      </c>
      <c r="N252" s="4" t="str">
        <f>HYPERLINK("http://141.218.60.56/~jnz1568/getInfo.php?workbook=08_01.xlsx&amp;sheet=A0&amp;row=252&amp;col=14&amp;number=7.6992e-06&amp;sourceID=12","7.6992e-06")</f>
        <v>7.6992e-06</v>
      </c>
      <c r="O252" s="4" t="str">
        <f>HYPERLINK("http://141.218.60.56/~jnz1568/getInfo.php?workbook=08_01.xlsx&amp;sheet=A0&amp;row=252&amp;col=15&amp;number=&amp;sourceID=12","")</f>
        <v/>
      </c>
      <c r="P252" s="4" t="str">
        <f>HYPERLINK("http://141.218.60.56/~jnz1568/getInfo.php?workbook=08_01.xlsx&amp;sheet=A0&amp;row=252&amp;col=16&amp;number=&amp;sourceID=12","")</f>
        <v/>
      </c>
      <c r="Q252" s="4" t="str">
        <f>HYPERLINK("http://141.218.60.56/~jnz1568/getInfo.php?workbook=08_01.xlsx&amp;sheet=A0&amp;row=252&amp;col=17&amp;number=&amp;sourceID=12","")</f>
        <v/>
      </c>
      <c r="R252" s="4" t="str">
        <f>HYPERLINK("http://141.218.60.56/~jnz1568/getInfo.php?workbook=08_01.xlsx&amp;sheet=A0&amp;row=252&amp;col=18&amp;number=&amp;sourceID=12","")</f>
        <v/>
      </c>
      <c r="S252" s="4" t="str">
        <f>HYPERLINK("http://141.218.60.56/~jnz1568/getInfo.php?workbook=08_01.xlsx&amp;sheet=A0&amp;row=252&amp;col=19&amp;number=&amp;sourceID=12","")</f>
        <v/>
      </c>
      <c r="T252" s="4" t="str">
        <f>HYPERLINK("http://141.218.60.56/~jnz1568/getInfo.php?workbook=08_01.xlsx&amp;sheet=A0&amp;row=252&amp;col=20&amp;number=7.6992e-06&amp;sourceID=12","7.6992e-06")</f>
        <v>7.6992e-06</v>
      </c>
      <c r="U252" s="4" t="str">
        <f>HYPERLINK("http://141.218.60.56/~jnz1568/getInfo.php?workbook=08_01.xlsx&amp;sheet=A0&amp;row=252&amp;col=21&amp;number=&amp;sourceID=30","")</f>
        <v/>
      </c>
      <c r="V252" s="4" t="str">
        <f>HYPERLINK("http://141.218.60.56/~jnz1568/getInfo.php?workbook=08_01.xlsx&amp;sheet=A0&amp;row=252&amp;col=22&amp;number=&amp;sourceID=30","")</f>
        <v/>
      </c>
      <c r="W252" s="4" t="str">
        <f>HYPERLINK("http://141.218.60.56/~jnz1568/getInfo.php?workbook=08_01.xlsx&amp;sheet=A0&amp;row=252&amp;col=23&amp;number=&amp;sourceID=30","")</f>
        <v/>
      </c>
      <c r="X252" s="4" t="str">
        <f>HYPERLINK("http://141.218.60.56/~jnz1568/getInfo.php?workbook=08_01.xlsx&amp;sheet=A0&amp;row=252&amp;col=24&amp;number=&amp;sourceID=30","")</f>
        <v/>
      </c>
      <c r="Y252" s="4" t="str">
        <f>HYPERLINK("http://141.218.60.56/~jnz1568/getInfo.php?workbook=08_01.xlsx&amp;sheet=A0&amp;row=252&amp;col=25&amp;number=&amp;sourceID=30","")</f>
        <v/>
      </c>
      <c r="Z252" s="4" t="str">
        <f>HYPERLINK("http://141.218.60.56/~jnz1568/getInfo.php?workbook=08_01.xlsx&amp;sheet=A0&amp;row=252&amp;col=26&amp;number=&amp;sourceID=13","")</f>
        <v/>
      </c>
      <c r="AA252" s="4" t="str">
        <f>HYPERLINK("http://141.218.60.56/~jnz1568/getInfo.php?workbook=08_01.xlsx&amp;sheet=A0&amp;row=252&amp;col=27&amp;number=&amp;sourceID=13","")</f>
        <v/>
      </c>
      <c r="AB252" s="4" t="str">
        <f>HYPERLINK("http://141.218.60.56/~jnz1568/getInfo.php?workbook=08_01.xlsx&amp;sheet=A0&amp;row=252&amp;col=28&amp;number=&amp;sourceID=13","")</f>
        <v/>
      </c>
      <c r="AC252" s="4" t="str">
        <f>HYPERLINK("http://141.218.60.56/~jnz1568/getInfo.php?workbook=08_01.xlsx&amp;sheet=A0&amp;row=252&amp;col=29&amp;number=&amp;sourceID=13","")</f>
        <v/>
      </c>
      <c r="AD252" s="4" t="str">
        <f>HYPERLINK("http://141.218.60.56/~jnz1568/getInfo.php?workbook=08_01.xlsx&amp;sheet=A0&amp;row=252&amp;col=30&amp;number=&amp;sourceID=13","")</f>
        <v/>
      </c>
      <c r="AE252" s="4" t="str">
        <f>HYPERLINK("http://141.218.60.56/~jnz1568/getInfo.php?workbook=08_01.xlsx&amp;sheet=A0&amp;row=252&amp;col=31&amp;number=&amp;sourceID=13","")</f>
        <v/>
      </c>
      <c r="AF252" s="4" t="str">
        <f>HYPERLINK("http://141.218.60.56/~jnz1568/getInfo.php?workbook=08_01.xlsx&amp;sheet=A0&amp;row=252&amp;col=32&amp;number=&amp;sourceID=20","")</f>
        <v/>
      </c>
    </row>
    <row r="253" spans="1:32">
      <c r="A253" s="3">
        <v>8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HYPERLINK("http://141.218.60.56/~jnz1568/getInfo.php?workbook=08_01.xlsx&amp;sheet=A0&amp;row=253&amp;col=6&amp;number=&amp;sourceID=18","")</f>
        <v/>
      </c>
      <c r="G253" s="4" t="str">
        <f>HYPERLINK("http://141.218.60.56/~jnz1568/getInfo.php?workbook=08_01.xlsx&amp;sheet=A0&amp;row=253&amp;col=7&amp;number==&amp;sourceID=11","=")</f>
        <v>=</v>
      </c>
      <c r="H253" s="4" t="str">
        <f>HYPERLINK("http://141.218.60.56/~jnz1568/getInfo.php?workbook=08_01.xlsx&amp;sheet=A0&amp;row=253&amp;col=8&amp;number=&amp;sourceID=11","")</f>
        <v/>
      </c>
      <c r="I253" s="4" t="str">
        <f>HYPERLINK("http://141.218.60.56/~jnz1568/getInfo.php?workbook=08_01.xlsx&amp;sheet=A0&amp;row=253&amp;col=9&amp;number=&amp;sourceID=11","")</f>
        <v/>
      </c>
      <c r="J253" s="4" t="str">
        <f>HYPERLINK("http://141.218.60.56/~jnz1568/getInfo.php?workbook=08_01.xlsx&amp;sheet=A0&amp;row=253&amp;col=10&amp;number=17.773&amp;sourceID=11","17.773")</f>
        <v>17.773</v>
      </c>
      <c r="K253" s="4" t="str">
        <f>HYPERLINK("http://141.218.60.56/~jnz1568/getInfo.php?workbook=08_01.xlsx&amp;sheet=A0&amp;row=253&amp;col=11&amp;number=&amp;sourceID=11","")</f>
        <v/>
      </c>
      <c r="L253" s="4" t="str">
        <f>HYPERLINK("http://141.218.60.56/~jnz1568/getInfo.php?workbook=08_01.xlsx&amp;sheet=A0&amp;row=253&amp;col=12&amp;number=&amp;sourceID=11","")</f>
        <v/>
      </c>
      <c r="M253" s="4" t="str">
        <f>HYPERLINK("http://141.218.60.56/~jnz1568/getInfo.php?workbook=08_01.xlsx&amp;sheet=A0&amp;row=253&amp;col=13&amp;number=&amp;sourceID=11","")</f>
        <v/>
      </c>
      <c r="N253" s="4" t="str">
        <f>HYPERLINK("http://141.218.60.56/~jnz1568/getInfo.php?workbook=08_01.xlsx&amp;sheet=A0&amp;row=253&amp;col=14&amp;number=17.774&amp;sourceID=12","17.774")</f>
        <v>17.774</v>
      </c>
      <c r="O253" s="4" t="str">
        <f>HYPERLINK("http://141.218.60.56/~jnz1568/getInfo.php?workbook=08_01.xlsx&amp;sheet=A0&amp;row=253&amp;col=15&amp;number=&amp;sourceID=12","")</f>
        <v/>
      </c>
      <c r="P253" s="4" t="str">
        <f>HYPERLINK("http://141.218.60.56/~jnz1568/getInfo.php?workbook=08_01.xlsx&amp;sheet=A0&amp;row=253&amp;col=16&amp;number=&amp;sourceID=12","")</f>
        <v/>
      </c>
      <c r="Q253" s="4" t="str">
        <f>HYPERLINK("http://141.218.60.56/~jnz1568/getInfo.php?workbook=08_01.xlsx&amp;sheet=A0&amp;row=253&amp;col=17&amp;number=17.774&amp;sourceID=12","17.774")</f>
        <v>17.774</v>
      </c>
      <c r="R253" s="4" t="str">
        <f>HYPERLINK("http://141.218.60.56/~jnz1568/getInfo.php?workbook=08_01.xlsx&amp;sheet=A0&amp;row=253&amp;col=18&amp;number=&amp;sourceID=12","")</f>
        <v/>
      </c>
      <c r="S253" s="4" t="str">
        <f>HYPERLINK("http://141.218.60.56/~jnz1568/getInfo.php?workbook=08_01.xlsx&amp;sheet=A0&amp;row=253&amp;col=19&amp;number=&amp;sourceID=12","")</f>
        <v/>
      </c>
      <c r="T253" s="4" t="str">
        <f>HYPERLINK("http://141.218.60.56/~jnz1568/getInfo.php?workbook=08_01.xlsx&amp;sheet=A0&amp;row=253&amp;col=20&amp;number=&amp;sourceID=12","")</f>
        <v/>
      </c>
      <c r="U253" s="4" t="str">
        <f>HYPERLINK("http://141.218.60.56/~jnz1568/getInfo.php?workbook=08_01.xlsx&amp;sheet=A0&amp;row=253&amp;col=21&amp;number=&amp;sourceID=30","")</f>
        <v/>
      </c>
      <c r="V253" s="4" t="str">
        <f>HYPERLINK("http://141.218.60.56/~jnz1568/getInfo.php?workbook=08_01.xlsx&amp;sheet=A0&amp;row=253&amp;col=22&amp;number=&amp;sourceID=30","")</f>
        <v/>
      </c>
      <c r="W253" s="4" t="str">
        <f>HYPERLINK("http://141.218.60.56/~jnz1568/getInfo.php?workbook=08_01.xlsx&amp;sheet=A0&amp;row=253&amp;col=23&amp;number=&amp;sourceID=30","")</f>
        <v/>
      </c>
      <c r="X253" s="4" t="str">
        <f>HYPERLINK("http://141.218.60.56/~jnz1568/getInfo.php?workbook=08_01.xlsx&amp;sheet=A0&amp;row=253&amp;col=24&amp;number=&amp;sourceID=30","")</f>
        <v/>
      </c>
      <c r="Y253" s="4" t="str">
        <f>HYPERLINK("http://141.218.60.56/~jnz1568/getInfo.php?workbook=08_01.xlsx&amp;sheet=A0&amp;row=253&amp;col=25&amp;number=&amp;sourceID=30","")</f>
        <v/>
      </c>
      <c r="Z253" s="4" t="str">
        <f>HYPERLINK("http://141.218.60.56/~jnz1568/getInfo.php?workbook=08_01.xlsx&amp;sheet=A0&amp;row=253&amp;col=26&amp;number=&amp;sourceID=13","")</f>
        <v/>
      </c>
      <c r="AA253" s="4" t="str">
        <f>HYPERLINK("http://141.218.60.56/~jnz1568/getInfo.php?workbook=08_01.xlsx&amp;sheet=A0&amp;row=253&amp;col=27&amp;number=&amp;sourceID=13","")</f>
        <v/>
      </c>
      <c r="AB253" s="4" t="str">
        <f>HYPERLINK("http://141.218.60.56/~jnz1568/getInfo.php?workbook=08_01.xlsx&amp;sheet=A0&amp;row=253&amp;col=28&amp;number=&amp;sourceID=13","")</f>
        <v/>
      </c>
      <c r="AC253" s="4" t="str">
        <f>HYPERLINK("http://141.218.60.56/~jnz1568/getInfo.php?workbook=08_01.xlsx&amp;sheet=A0&amp;row=253&amp;col=29&amp;number=&amp;sourceID=13","")</f>
        <v/>
      </c>
      <c r="AD253" s="4" t="str">
        <f>HYPERLINK("http://141.218.60.56/~jnz1568/getInfo.php?workbook=08_01.xlsx&amp;sheet=A0&amp;row=253&amp;col=30&amp;number=&amp;sourceID=13","")</f>
        <v/>
      </c>
      <c r="AE253" s="4" t="str">
        <f>HYPERLINK("http://141.218.60.56/~jnz1568/getInfo.php?workbook=08_01.xlsx&amp;sheet=A0&amp;row=253&amp;col=31&amp;number=&amp;sourceID=13","")</f>
        <v/>
      </c>
      <c r="AF253" s="4" t="str">
        <f>HYPERLINK("http://141.218.60.56/~jnz1568/getInfo.php?workbook=08_01.xlsx&amp;sheet=A0&amp;row=253&amp;col=32&amp;number=&amp;sourceID=20","")</f>
        <v/>
      </c>
    </row>
    <row r="254" spans="1:32">
      <c r="A254" s="3">
        <v>8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HYPERLINK("http://141.218.60.56/~jnz1568/getInfo.php?workbook=08_01.xlsx&amp;sheet=A0&amp;row=254&amp;col=6&amp;number=&amp;sourceID=18","")</f>
        <v/>
      </c>
      <c r="G254" s="4" t="str">
        <f>HYPERLINK("http://141.218.60.56/~jnz1568/getInfo.php?workbook=08_01.xlsx&amp;sheet=A0&amp;row=254&amp;col=7&amp;number==&amp;sourceID=11","=")</f>
        <v>=</v>
      </c>
      <c r="H254" s="4" t="str">
        <f>HYPERLINK("http://141.218.60.56/~jnz1568/getInfo.php?workbook=08_01.xlsx&amp;sheet=A0&amp;row=254&amp;col=8&amp;number=&amp;sourceID=11","")</f>
        <v/>
      </c>
      <c r="I254" s="4" t="str">
        <f>HYPERLINK("http://141.218.60.56/~jnz1568/getInfo.php?workbook=08_01.xlsx&amp;sheet=A0&amp;row=254&amp;col=9&amp;number=&amp;sourceID=11","")</f>
        <v/>
      </c>
      <c r="J254" s="4" t="str">
        <f>HYPERLINK("http://141.218.60.56/~jnz1568/getInfo.php?workbook=08_01.xlsx&amp;sheet=A0&amp;row=254&amp;col=10&amp;number=0.19413&amp;sourceID=11","0.19413")</f>
        <v>0.19413</v>
      </c>
      <c r="K254" s="4" t="str">
        <f>HYPERLINK("http://141.218.60.56/~jnz1568/getInfo.php?workbook=08_01.xlsx&amp;sheet=A0&amp;row=254&amp;col=11&amp;number=&amp;sourceID=11","")</f>
        <v/>
      </c>
      <c r="L254" s="4" t="str">
        <f>HYPERLINK("http://141.218.60.56/~jnz1568/getInfo.php?workbook=08_01.xlsx&amp;sheet=A0&amp;row=254&amp;col=12&amp;number=14.601&amp;sourceID=11","14.601")</f>
        <v>14.601</v>
      </c>
      <c r="M254" s="4" t="str">
        <f>HYPERLINK("http://141.218.60.56/~jnz1568/getInfo.php?workbook=08_01.xlsx&amp;sheet=A0&amp;row=254&amp;col=13&amp;number=&amp;sourceID=11","")</f>
        <v/>
      </c>
      <c r="N254" s="4" t="str">
        <f>HYPERLINK("http://141.218.60.56/~jnz1568/getInfo.php?workbook=08_01.xlsx&amp;sheet=A0&amp;row=254&amp;col=14&amp;number=14.796&amp;sourceID=12","14.796")</f>
        <v>14.796</v>
      </c>
      <c r="O254" s="4" t="str">
        <f>HYPERLINK("http://141.218.60.56/~jnz1568/getInfo.php?workbook=08_01.xlsx&amp;sheet=A0&amp;row=254&amp;col=15&amp;number=&amp;sourceID=12","")</f>
        <v/>
      </c>
      <c r="P254" s="4" t="str">
        <f>HYPERLINK("http://141.218.60.56/~jnz1568/getInfo.php?workbook=08_01.xlsx&amp;sheet=A0&amp;row=254&amp;col=16&amp;number=&amp;sourceID=12","")</f>
        <v/>
      </c>
      <c r="Q254" s="4" t="str">
        <f>HYPERLINK("http://141.218.60.56/~jnz1568/getInfo.php?workbook=08_01.xlsx&amp;sheet=A0&amp;row=254&amp;col=17&amp;number=0.19414&amp;sourceID=12","0.19414")</f>
        <v>0.19414</v>
      </c>
      <c r="R254" s="4" t="str">
        <f>HYPERLINK("http://141.218.60.56/~jnz1568/getInfo.php?workbook=08_01.xlsx&amp;sheet=A0&amp;row=254&amp;col=18&amp;number=&amp;sourceID=12","")</f>
        <v/>
      </c>
      <c r="S254" s="4" t="str">
        <f>HYPERLINK("http://141.218.60.56/~jnz1568/getInfo.php?workbook=08_01.xlsx&amp;sheet=A0&amp;row=254&amp;col=19&amp;number=14.602&amp;sourceID=12","14.602")</f>
        <v>14.602</v>
      </c>
      <c r="T254" s="4" t="str">
        <f>HYPERLINK("http://141.218.60.56/~jnz1568/getInfo.php?workbook=08_01.xlsx&amp;sheet=A0&amp;row=254&amp;col=20&amp;number=&amp;sourceID=12","")</f>
        <v/>
      </c>
      <c r="U254" s="4" t="str">
        <f>HYPERLINK("http://141.218.60.56/~jnz1568/getInfo.php?workbook=08_01.xlsx&amp;sheet=A0&amp;row=254&amp;col=21&amp;number=14.6&amp;sourceID=30","14.6")</f>
        <v>14.6</v>
      </c>
      <c r="V254" s="4" t="str">
        <f>HYPERLINK("http://141.218.60.56/~jnz1568/getInfo.php?workbook=08_01.xlsx&amp;sheet=A0&amp;row=254&amp;col=22&amp;number=&amp;sourceID=30","")</f>
        <v/>
      </c>
      <c r="W254" s="4" t="str">
        <f>HYPERLINK("http://141.218.60.56/~jnz1568/getInfo.php?workbook=08_01.xlsx&amp;sheet=A0&amp;row=254&amp;col=23&amp;number=&amp;sourceID=30","")</f>
        <v/>
      </c>
      <c r="X254" s="4" t="str">
        <f>HYPERLINK("http://141.218.60.56/~jnz1568/getInfo.php?workbook=08_01.xlsx&amp;sheet=A0&amp;row=254&amp;col=24&amp;number=&amp;sourceID=30","")</f>
        <v/>
      </c>
      <c r="Y254" s="4" t="str">
        <f>HYPERLINK("http://141.218.60.56/~jnz1568/getInfo.php?workbook=08_01.xlsx&amp;sheet=A0&amp;row=254&amp;col=25&amp;number=14.6&amp;sourceID=30","14.6")</f>
        <v>14.6</v>
      </c>
      <c r="Z254" s="4" t="str">
        <f>HYPERLINK("http://141.218.60.56/~jnz1568/getInfo.php?workbook=08_01.xlsx&amp;sheet=A0&amp;row=254&amp;col=26&amp;number=&amp;sourceID=13","")</f>
        <v/>
      </c>
      <c r="AA254" s="4" t="str">
        <f>HYPERLINK("http://141.218.60.56/~jnz1568/getInfo.php?workbook=08_01.xlsx&amp;sheet=A0&amp;row=254&amp;col=27&amp;number=&amp;sourceID=13","")</f>
        <v/>
      </c>
      <c r="AB254" s="4" t="str">
        <f>HYPERLINK("http://141.218.60.56/~jnz1568/getInfo.php?workbook=08_01.xlsx&amp;sheet=A0&amp;row=254&amp;col=28&amp;number=&amp;sourceID=13","")</f>
        <v/>
      </c>
      <c r="AC254" s="4" t="str">
        <f>HYPERLINK("http://141.218.60.56/~jnz1568/getInfo.php?workbook=08_01.xlsx&amp;sheet=A0&amp;row=254&amp;col=29&amp;number=&amp;sourceID=13","")</f>
        <v/>
      </c>
      <c r="AD254" s="4" t="str">
        <f>HYPERLINK("http://141.218.60.56/~jnz1568/getInfo.php?workbook=08_01.xlsx&amp;sheet=A0&amp;row=254&amp;col=30&amp;number=&amp;sourceID=13","")</f>
        <v/>
      </c>
      <c r="AE254" s="4" t="str">
        <f>HYPERLINK("http://141.218.60.56/~jnz1568/getInfo.php?workbook=08_01.xlsx&amp;sheet=A0&amp;row=254&amp;col=31&amp;number=&amp;sourceID=13","")</f>
        <v/>
      </c>
      <c r="AF254" s="4" t="str">
        <f>HYPERLINK("http://141.218.60.56/~jnz1568/getInfo.php?workbook=08_01.xlsx&amp;sheet=A0&amp;row=254&amp;col=32&amp;number=&amp;sourceID=20","")</f>
        <v/>
      </c>
    </row>
    <row r="255" spans="1:32">
      <c r="A255" s="3">
        <v>8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HYPERLINK("http://141.218.60.56/~jnz1568/getInfo.php?workbook=08_01.xlsx&amp;sheet=A0&amp;row=255&amp;col=6&amp;number=&amp;sourceID=18","")</f>
        <v/>
      </c>
      <c r="G255" s="4" t="str">
        <f>HYPERLINK("http://141.218.60.56/~jnz1568/getInfo.php?workbook=08_01.xlsx&amp;sheet=A0&amp;row=255&amp;col=7&amp;number==&amp;sourceID=11","=")</f>
        <v>=</v>
      </c>
      <c r="H255" s="4" t="str">
        <f>HYPERLINK("http://141.218.60.56/~jnz1568/getInfo.php?workbook=08_01.xlsx&amp;sheet=A0&amp;row=255&amp;col=8&amp;number=&amp;sourceID=11","")</f>
        <v/>
      </c>
      <c r="I255" s="4" t="str">
        <f>HYPERLINK("http://141.218.60.56/~jnz1568/getInfo.php?workbook=08_01.xlsx&amp;sheet=A0&amp;row=255&amp;col=9&amp;number=6909.6&amp;sourceID=11","6909.6")</f>
        <v>6909.6</v>
      </c>
      <c r="J255" s="4" t="str">
        <f>HYPERLINK("http://141.218.60.56/~jnz1568/getInfo.php?workbook=08_01.xlsx&amp;sheet=A0&amp;row=255&amp;col=10&amp;number=&amp;sourceID=11","")</f>
        <v/>
      </c>
      <c r="K255" s="4" t="str">
        <f>HYPERLINK("http://141.218.60.56/~jnz1568/getInfo.php?workbook=08_01.xlsx&amp;sheet=A0&amp;row=255&amp;col=11&amp;number=&amp;sourceID=11","")</f>
        <v/>
      </c>
      <c r="L255" s="4" t="str">
        <f>HYPERLINK("http://141.218.60.56/~jnz1568/getInfo.php?workbook=08_01.xlsx&amp;sheet=A0&amp;row=255&amp;col=12&amp;number=&amp;sourceID=11","")</f>
        <v/>
      </c>
      <c r="M255" s="4" t="str">
        <f>HYPERLINK("http://141.218.60.56/~jnz1568/getInfo.php?workbook=08_01.xlsx&amp;sheet=A0&amp;row=255&amp;col=13&amp;number=2.1722e-05&amp;sourceID=11","2.1722e-05")</f>
        <v>2.1722e-05</v>
      </c>
      <c r="N255" s="4" t="str">
        <f>HYPERLINK("http://141.218.60.56/~jnz1568/getInfo.php?workbook=08_01.xlsx&amp;sheet=A0&amp;row=255&amp;col=14&amp;number=6909.8&amp;sourceID=12","6909.8")</f>
        <v>6909.8</v>
      </c>
      <c r="O255" s="4" t="str">
        <f>HYPERLINK("http://141.218.60.56/~jnz1568/getInfo.php?workbook=08_01.xlsx&amp;sheet=A0&amp;row=255&amp;col=15&amp;number=&amp;sourceID=12","")</f>
        <v/>
      </c>
      <c r="P255" s="4" t="str">
        <f>HYPERLINK("http://141.218.60.56/~jnz1568/getInfo.php?workbook=08_01.xlsx&amp;sheet=A0&amp;row=255&amp;col=16&amp;number=6909.8&amp;sourceID=12","6909.8")</f>
        <v>6909.8</v>
      </c>
      <c r="Q255" s="4" t="str">
        <f>HYPERLINK("http://141.218.60.56/~jnz1568/getInfo.php?workbook=08_01.xlsx&amp;sheet=A0&amp;row=255&amp;col=17&amp;number=&amp;sourceID=12","")</f>
        <v/>
      </c>
      <c r="R255" s="4" t="str">
        <f>HYPERLINK("http://141.218.60.56/~jnz1568/getInfo.php?workbook=08_01.xlsx&amp;sheet=A0&amp;row=255&amp;col=18&amp;number=&amp;sourceID=12","")</f>
        <v/>
      </c>
      <c r="S255" s="4" t="str">
        <f>HYPERLINK("http://141.218.60.56/~jnz1568/getInfo.php?workbook=08_01.xlsx&amp;sheet=A0&amp;row=255&amp;col=19&amp;number=&amp;sourceID=12","")</f>
        <v/>
      </c>
      <c r="T255" s="4" t="str">
        <f>HYPERLINK("http://141.218.60.56/~jnz1568/getInfo.php?workbook=08_01.xlsx&amp;sheet=A0&amp;row=255&amp;col=20&amp;number=2.1722e-05&amp;sourceID=12","2.1722e-05")</f>
        <v>2.1722e-05</v>
      </c>
      <c r="U255" s="4" t="str">
        <f>HYPERLINK("http://141.218.60.56/~jnz1568/getInfo.php?workbook=08_01.xlsx&amp;sheet=A0&amp;row=255&amp;col=21&amp;number=6910&amp;sourceID=30","6910")</f>
        <v>6910</v>
      </c>
      <c r="V255" s="4" t="str">
        <f>HYPERLINK("http://141.218.60.56/~jnz1568/getInfo.php?workbook=08_01.xlsx&amp;sheet=A0&amp;row=255&amp;col=22&amp;number=&amp;sourceID=30","")</f>
        <v/>
      </c>
      <c r="W255" s="4" t="str">
        <f>HYPERLINK("http://141.218.60.56/~jnz1568/getInfo.php?workbook=08_01.xlsx&amp;sheet=A0&amp;row=255&amp;col=23&amp;number=6910&amp;sourceID=30","6910")</f>
        <v>6910</v>
      </c>
      <c r="X255" s="4" t="str">
        <f>HYPERLINK("http://141.218.60.56/~jnz1568/getInfo.php?workbook=08_01.xlsx&amp;sheet=A0&amp;row=255&amp;col=24&amp;number=&amp;sourceID=30","")</f>
        <v/>
      </c>
      <c r="Y255" s="4" t="str">
        <f>HYPERLINK("http://141.218.60.56/~jnz1568/getInfo.php?workbook=08_01.xlsx&amp;sheet=A0&amp;row=255&amp;col=25&amp;number=&amp;sourceID=30","")</f>
        <v/>
      </c>
      <c r="Z255" s="4" t="str">
        <f>HYPERLINK("http://141.218.60.56/~jnz1568/getInfo.php?workbook=08_01.xlsx&amp;sheet=A0&amp;row=255&amp;col=26&amp;number=&amp;sourceID=13","")</f>
        <v/>
      </c>
      <c r="AA255" s="4" t="str">
        <f>HYPERLINK("http://141.218.60.56/~jnz1568/getInfo.php?workbook=08_01.xlsx&amp;sheet=A0&amp;row=255&amp;col=27&amp;number=&amp;sourceID=13","")</f>
        <v/>
      </c>
      <c r="AB255" s="4" t="str">
        <f>HYPERLINK("http://141.218.60.56/~jnz1568/getInfo.php?workbook=08_01.xlsx&amp;sheet=A0&amp;row=255&amp;col=28&amp;number=&amp;sourceID=13","")</f>
        <v/>
      </c>
      <c r="AC255" s="4" t="str">
        <f>HYPERLINK("http://141.218.60.56/~jnz1568/getInfo.php?workbook=08_01.xlsx&amp;sheet=A0&amp;row=255&amp;col=29&amp;number=&amp;sourceID=13","")</f>
        <v/>
      </c>
      <c r="AD255" s="4" t="str">
        <f>HYPERLINK("http://141.218.60.56/~jnz1568/getInfo.php?workbook=08_01.xlsx&amp;sheet=A0&amp;row=255&amp;col=30&amp;number=&amp;sourceID=13","")</f>
        <v/>
      </c>
      <c r="AE255" s="4" t="str">
        <f>HYPERLINK("http://141.218.60.56/~jnz1568/getInfo.php?workbook=08_01.xlsx&amp;sheet=A0&amp;row=255&amp;col=31&amp;number=&amp;sourceID=13","")</f>
        <v/>
      </c>
      <c r="AF255" s="4" t="str">
        <f>HYPERLINK("http://141.218.60.56/~jnz1568/getInfo.php?workbook=08_01.xlsx&amp;sheet=A0&amp;row=255&amp;col=32&amp;number=&amp;sourceID=20","")</f>
        <v/>
      </c>
    </row>
    <row r="256" spans="1:32">
      <c r="A256" s="3">
        <v>8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HYPERLINK("http://141.218.60.56/~jnz1568/getInfo.php?workbook=08_01.xlsx&amp;sheet=A0&amp;row=256&amp;col=6&amp;number=&amp;sourceID=18","")</f>
        <v/>
      </c>
      <c r="G256" s="4" t="str">
        <f>HYPERLINK("http://141.218.60.56/~jnz1568/getInfo.php?workbook=08_01.xlsx&amp;sheet=A0&amp;row=256&amp;col=7&amp;number==&amp;sourceID=11","=")</f>
        <v>=</v>
      </c>
      <c r="H256" s="4" t="str">
        <f>HYPERLINK("http://141.218.60.56/~jnz1568/getInfo.php?workbook=08_01.xlsx&amp;sheet=A0&amp;row=256&amp;col=8&amp;number=18614000000&amp;sourceID=11","18614000000")</f>
        <v>18614000000</v>
      </c>
      <c r="I256" s="4" t="str">
        <f>HYPERLINK("http://141.218.60.56/~jnz1568/getInfo.php?workbook=08_01.xlsx&amp;sheet=A0&amp;row=256&amp;col=9&amp;number=&amp;sourceID=11","")</f>
        <v/>
      </c>
      <c r="J256" s="4" t="str">
        <f>HYPERLINK("http://141.218.60.56/~jnz1568/getInfo.php?workbook=08_01.xlsx&amp;sheet=A0&amp;row=256&amp;col=10&amp;number=0.58517&amp;sourceID=11","0.58517")</f>
        <v>0.58517</v>
      </c>
      <c r="K256" s="4" t="str">
        <f>HYPERLINK("http://141.218.60.56/~jnz1568/getInfo.php?workbook=08_01.xlsx&amp;sheet=A0&amp;row=256&amp;col=11&amp;number=&amp;sourceID=11","")</f>
        <v/>
      </c>
      <c r="L256" s="4" t="str">
        <f>HYPERLINK("http://141.218.60.56/~jnz1568/getInfo.php?workbook=08_01.xlsx&amp;sheet=A0&amp;row=256&amp;col=12&amp;number=100.44&amp;sourceID=11","100.44")</f>
        <v>100.44</v>
      </c>
      <c r="M256" s="4" t="str">
        <f>HYPERLINK("http://141.218.60.56/~jnz1568/getInfo.php?workbook=08_01.xlsx&amp;sheet=A0&amp;row=256&amp;col=13&amp;number=&amp;sourceID=11","")</f>
        <v/>
      </c>
      <c r="N256" s="4" t="str">
        <f>HYPERLINK("http://141.218.60.56/~jnz1568/getInfo.php?workbook=08_01.xlsx&amp;sheet=A0&amp;row=256&amp;col=14&amp;number=18615000000&amp;sourceID=12","18615000000")</f>
        <v>18615000000</v>
      </c>
      <c r="O256" s="4" t="str">
        <f>HYPERLINK("http://141.218.60.56/~jnz1568/getInfo.php?workbook=08_01.xlsx&amp;sheet=A0&amp;row=256&amp;col=15&amp;number=18615000000&amp;sourceID=12","18615000000")</f>
        <v>18615000000</v>
      </c>
      <c r="P256" s="4" t="str">
        <f>HYPERLINK("http://141.218.60.56/~jnz1568/getInfo.php?workbook=08_01.xlsx&amp;sheet=A0&amp;row=256&amp;col=16&amp;number=&amp;sourceID=12","")</f>
        <v/>
      </c>
      <c r="Q256" s="4" t="str">
        <f>HYPERLINK("http://141.218.60.56/~jnz1568/getInfo.php?workbook=08_01.xlsx&amp;sheet=A0&amp;row=256&amp;col=17&amp;number=0.58519&amp;sourceID=12","0.58519")</f>
        <v>0.58519</v>
      </c>
      <c r="R256" s="4" t="str">
        <f>HYPERLINK("http://141.218.60.56/~jnz1568/getInfo.php?workbook=08_01.xlsx&amp;sheet=A0&amp;row=256&amp;col=18&amp;number=&amp;sourceID=12","")</f>
        <v/>
      </c>
      <c r="S256" s="4" t="str">
        <f>HYPERLINK("http://141.218.60.56/~jnz1568/getInfo.php?workbook=08_01.xlsx&amp;sheet=A0&amp;row=256&amp;col=19&amp;number=100.44&amp;sourceID=12","100.44")</f>
        <v>100.44</v>
      </c>
      <c r="T256" s="4" t="str">
        <f>HYPERLINK("http://141.218.60.56/~jnz1568/getInfo.php?workbook=08_01.xlsx&amp;sheet=A0&amp;row=256&amp;col=20&amp;number=&amp;sourceID=12","")</f>
        <v/>
      </c>
      <c r="U256" s="4" t="str">
        <f>HYPERLINK("http://141.218.60.56/~jnz1568/getInfo.php?workbook=08_01.xlsx&amp;sheet=A0&amp;row=256&amp;col=21&amp;number=18610000100.4&amp;sourceID=30","18610000100.4")</f>
        <v>18610000100.4</v>
      </c>
      <c r="V256" s="4" t="str">
        <f>HYPERLINK("http://141.218.60.56/~jnz1568/getInfo.php?workbook=08_01.xlsx&amp;sheet=A0&amp;row=256&amp;col=22&amp;number=18610000000&amp;sourceID=30","18610000000")</f>
        <v>18610000000</v>
      </c>
      <c r="W256" s="4" t="str">
        <f>HYPERLINK("http://141.218.60.56/~jnz1568/getInfo.php?workbook=08_01.xlsx&amp;sheet=A0&amp;row=256&amp;col=23&amp;number=&amp;sourceID=30","")</f>
        <v/>
      </c>
      <c r="X256" s="4" t="str">
        <f>HYPERLINK("http://141.218.60.56/~jnz1568/getInfo.php?workbook=08_01.xlsx&amp;sheet=A0&amp;row=256&amp;col=24&amp;number=&amp;sourceID=30","")</f>
        <v/>
      </c>
      <c r="Y256" s="4" t="str">
        <f>HYPERLINK("http://141.218.60.56/~jnz1568/getInfo.php?workbook=08_01.xlsx&amp;sheet=A0&amp;row=256&amp;col=25&amp;number=100.4&amp;sourceID=30","100.4")</f>
        <v>100.4</v>
      </c>
      <c r="Z256" s="4" t="str">
        <f>HYPERLINK("http://141.218.60.56/~jnz1568/getInfo.php?workbook=08_01.xlsx&amp;sheet=A0&amp;row=256&amp;col=26&amp;number=&amp;sourceID=13","")</f>
        <v/>
      </c>
      <c r="AA256" s="4" t="str">
        <f>HYPERLINK("http://141.218.60.56/~jnz1568/getInfo.php?workbook=08_01.xlsx&amp;sheet=A0&amp;row=256&amp;col=27&amp;number=&amp;sourceID=13","")</f>
        <v/>
      </c>
      <c r="AB256" s="4" t="str">
        <f>HYPERLINK("http://141.218.60.56/~jnz1568/getInfo.php?workbook=08_01.xlsx&amp;sheet=A0&amp;row=256&amp;col=28&amp;number=&amp;sourceID=13","")</f>
        <v/>
      </c>
      <c r="AC256" s="4" t="str">
        <f>HYPERLINK("http://141.218.60.56/~jnz1568/getInfo.php?workbook=08_01.xlsx&amp;sheet=A0&amp;row=256&amp;col=29&amp;number=&amp;sourceID=13","")</f>
        <v/>
      </c>
      <c r="AD256" s="4" t="str">
        <f>HYPERLINK("http://141.218.60.56/~jnz1568/getInfo.php?workbook=08_01.xlsx&amp;sheet=A0&amp;row=256&amp;col=30&amp;number=&amp;sourceID=13","")</f>
        <v/>
      </c>
      <c r="AE256" s="4" t="str">
        <f>HYPERLINK("http://141.218.60.56/~jnz1568/getInfo.php?workbook=08_01.xlsx&amp;sheet=A0&amp;row=256&amp;col=31&amp;number=&amp;sourceID=13","")</f>
        <v/>
      </c>
      <c r="AF256" s="4" t="str">
        <f>HYPERLINK("http://141.218.60.56/~jnz1568/getInfo.php?workbook=08_01.xlsx&amp;sheet=A0&amp;row=256&amp;col=32&amp;number=&amp;sourceID=20","")</f>
        <v/>
      </c>
    </row>
    <row r="257" spans="1:32">
      <c r="A257" s="3">
        <v>8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HYPERLINK("http://141.218.60.56/~jnz1568/getInfo.php?workbook=08_01.xlsx&amp;sheet=A0&amp;row=257&amp;col=6&amp;number=&amp;sourceID=18","")</f>
        <v/>
      </c>
      <c r="G257" s="4" t="str">
        <f>HYPERLINK("http://141.218.60.56/~jnz1568/getInfo.php?workbook=08_01.xlsx&amp;sheet=A0&amp;row=257&amp;col=7&amp;number==&amp;sourceID=11","=")</f>
        <v>=</v>
      </c>
      <c r="H257" s="4" t="str">
        <f>HYPERLINK("http://141.218.60.56/~jnz1568/getInfo.php?workbook=08_01.xlsx&amp;sheet=A0&amp;row=257&amp;col=8&amp;number=&amp;sourceID=11","")</f>
        <v/>
      </c>
      <c r="I257" s="4" t="str">
        <f>HYPERLINK("http://141.218.60.56/~jnz1568/getInfo.php?workbook=08_01.xlsx&amp;sheet=A0&amp;row=257&amp;col=9&amp;number=&amp;sourceID=11","")</f>
        <v/>
      </c>
      <c r="J257" s="4" t="str">
        <f>HYPERLINK("http://141.218.60.56/~jnz1568/getInfo.php?workbook=08_01.xlsx&amp;sheet=A0&amp;row=257&amp;col=10&amp;number=&amp;sourceID=11","")</f>
        <v/>
      </c>
      <c r="K257" s="4" t="str">
        <f>HYPERLINK("http://141.218.60.56/~jnz1568/getInfo.php?workbook=08_01.xlsx&amp;sheet=A0&amp;row=257&amp;col=11&amp;number=&amp;sourceID=11","")</f>
        <v/>
      </c>
      <c r="L257" s="4" t="str">
        <f>HYPERLINK("http://141.218.60.56/~jnz1568/getInfo.php?workbook=08_01.xlsx&amp;sheet=A0&amp;row=257&amp;col=12&amp;number=&amp;sourceID=11","")</f>
        <v/>
      </c>
      <c r="M257" s="4" t="str">
        <f>HYPERLINK("http://141.218.60.56/~jnz1568/getInfo.php?workbook=08_01.xlsx&amp;sheet=A0&amp;row=257&amp;col=13&amp;number=2.6011e-05&amp;sourceID=11","2.6011e-05")</f>
        <v>2.6011e-05</v>
      </c>
      <c r="N257" s="4" t="str">
        <f>HYPERLINK("http://141.218.60.56/~jnz1568/getInfo.php?workbook=08_01.xlsx&amp;sheet=A0&amp;row=257&amp;col=14&amp;number=2.6012e-05&amp;sourceID=12","2.6012e-05")</f>
        <v>2.6012e-05</v>
      </c>
      <c r="O257" s="4" t="str">
        <f>HYPERLINK("http://141.218.60.56/~jnz1568/getInfo.php?workbook=08_01.xlsx&amp;sheet=A0&amp;row=257&amp;col=15&amp;number=&amp;sourceID=12","")</f>
        <v/>
      </c>
      <c r="P257" s="4" t="str">
        <f>HYPERLINK("http://141.218.60.56/~jnz1568/getInfo.php?workbook=08_01.xlsx&amp;sheet=A0&amp;row=257&amp;col=16&amp;number=&amp;sourceID=12","")</f>
        <v/>
      </c>
      <c r="Q257" s="4" t="str">
        <f>HYPERLINK("http://141.218.60.56/~jnz1568/getInfo.php?workbook=08_01.xlsx&amp;sheet=A0&amp;row=257&amp;col=17&amp;number=&amp;sourceID=12","")</f>
        <v/>
      </c>
      <c r="R257" s="4" t="str">
        <f>HYPERLINK("http://141.218.60.56/~jnz1568/getInfo.php?workbook=08_01.xlsx&amp;sheet=A0&amp;row=257&amp;col=18&amp;number=&amp;sourceID=12","")</f>
        <v/>
      </c>
      <c r="S257" s="4" t="str">
        <f>HYPERLINK("http://141.218.60.56/~jnz1568/getInfo.php?workbook=08_01.xlsx&amp;sheet=A0&amp;row=257&amp;col=19&amp;number=&amp;sourceID=12","")</f>
        <v/>
      </c>
      <c r="T257" s="4" t="str">
        <f>HYPERLINK("http://141.218.60.56/~jnz1568/getInfo.php?workbook=08_01.xlsx&amp;sheet=A0&amp;row=257&amp;col=20&amp;number=2.6012e-05&amp;sourceID=12","2.6012e-05")</f>
        <v>2.6012e-05</v>
      </c>
      <c r="U257" s="4" t="str">
        <f>HYPERLINK("http://141.218.60.56/~jnz1568/getInfo.php?workbook=08_01.xlsx&amp;sheet=A0&amp;row=257&amp;col=21&amp;number=&amp;sourceID=30","")</f>
        <v/>
      </c>
      <c r="V257" s="4" t="str">
        <f>HYPERLINK("http://141.218.60.56/~jnz1568/getInfo.php?workbook=08_01.xlsx&amp;sheet=A0&amp;row=257&amp;col=22&amp;number=&amp;sourceID=30","")</f>
        <v/>
      </c>
      <c r="W257" s="4" t="str">
        <f>HYPERLINK("http://141.218.60.56/~jnz1568/getInfo.php?workbook=08_01.xlsx&amp;sheet=A0&amp;row=257&amp;col=23&amp;number=&amp;sourceID=30","")</f>
        <v/>
      </c>
      <c r="X257" s="4" t="str">
        <f>HYPERLINK("http://141.218.60.56/~jnz1568/getInfo.php?workbook=08_01.xlsx&amp;sheet=A0&amp;row=257&amp;col=24&amp;number=&amp;sourceID=30","")</f>
        <v/>
      </c>
      <c r="Y257" s="4" t="str">
        <f>HYPERLINK("http://141.218.60.56/~jnz1568/getInfo.php?workbook=08_01.xlsx&amp;sheet=A0&amp;row=257&amp;col=25&amp;number=&amp;sourceID=30","")</f>
        <v/>
      </c>
      <c r="Z257" s="4" t="str">
        <f>HYPERLINK("http://141.218.60.56/~jnz1568/getInfo.php?workbook=08_01.xlsx&amp;sheet=A0&amp;row=257&amp;col=26&amp;number=&amp;sourceID=13","")</f>
        <v/>
      </c>
      <c r="AA257" s="4" t="str">
        <f>HYPERLINK("http://141.218.60.56/~jnz1568/getInfo.php?workbook=08_01.xlsx&amp;sheet=A0&amp;row=257&amp;col=27&amp;number=&amp;sourceID=13","")</f>
        <v/>
      </c>
      <c r="AB257" s="4" t="str">
        <f>HYPERLINK("http://141.218.60.56/~jnz1568/getInfo.php?workbook=08_01.xlsx&amp;sheet=A0&amp;row=257&amp;col=28&amp;number=&amp;sourceID=13","")</f>
        <v/>
      </c>
      <c r="AC257" s="4" t="str">
        <f>HYPERLINK("http://141.218.60.56/~jnz1568/getInfo.php?workbook=08_01.xlsx&amp;sheet=A0&amp;row=257&amp;col=29&amp;number=&amp;sourceID=13","")</f>
        <v/>
      </c>
      <c r="AD257" s="4" t="str">
        <f>HYPERLINK("http://141.218.60.56/~jnz1568/getInfo.php?workbook=08_01.xlsx&amp;sheet=A0&amp;row=257&amp;col=30&amp;number=&amp;sourceID=13","")</f>
        <v/>
      </c>
      <c r="AE257" s="4" t="str">
        <f>HYPERLINK("http://141.218.60.56/~jnz1568/getInfo.php?workbook=08_01.xlsx&amp;sheet=A0&amp;row=257&amp;col=31&amp;number=&amp;sourceID=13","")</f>
        <v/>
      </c>
      <c r="AF257" s="4" t="str">
        <f>HYPERLINK("http://141.218.60.56/~jnz1568/getInfo.php?workbook=08_01.xlsx&amp;sheet=A0&amp;row=257&amp;col=32&amp;number=&amp;sourceID=20","")</f>
        <v/>
      </c>
    </row>
    <row r="258" spans="1:32">
      <c r="A258" s="3">
        <v>8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HYPERLINK("http://141.218.60.56/~jnz1568/getInfo.php?workbook=08_01.xlsx&amp;sheet=A0&amp;row=258&amp;col=6&amp;number=&amp;sourceID=18","")</f>
        <v/>
      </c>
      <c r="G258" s="4" t="str">
        <f>HYPERLINK("http://141.218.60.56/~jnz1568/getInfo.php?workbook=08_01.xlsx&amp;sheet=A0&amp;row=258&amp;col=7&amp;number==&amp;sourceID=11","=")</f>
        <v>=</v>
      </c>
      <c r="H258" s="4" t="str">
        <f>HYPERLINK("http://141.218.60.56/~jnz1568/getInfo.php?workbook=08_01.xlsx&amp;sheet=A0&amp;row=258&amp;col=8&amp;number=&amp;sourceID=11","")</f>
        <v/>
      </c>
      <c r="I258" s="4" t="str">
        <f>HYPERLINK("http://141.218.60.56/~jnz1568/getInfo.php?workbook=08_01.xlsx&amp;sheet=A0&amp;row=258&amp;col=9&amp;number=&amp;sourceID=11","")</f>
        <v/>
      </c>
      <c r="J258" s="4" t="str">
        <f>HYPERLINK("http://141.218.60.56/~jnz1568/getInfo.php?workbook=08_01.xlsx&amp;sheet=A0&amp;row=258&amp;col=10&amp;number=2.1014&amp;sourceID=11","2.1014")</f>
        <v>2.1014</v>
      </c>
      <c r="K258" s="4" t="str">
        <f>HYPERLINK("http://141.218.60.56/~jnz1568/getInfo.php?workbook=08_01.xlsx&amp;sheet=A0&amp;row=258&amp;col=11&amp;number=&amp;sourceID=11","")</f>
        <v/>
      </c>
      <c r="L258" s="4" t="str">
        <f>HYPERLINK("http://141.218.60.56/~jnz1568/getInfo.php?workbook=08_01.xlsx&amp;sheet=A0&amp;row=258&amp;col=12&amp;number=&amp;sourceID=11","")</f>
        <v/>
      </c>
      <c r="M258" s="4" t="str">
        <f>HYPERLINK("http://141.218.60.56/~jnz1568/getInfo.php?workbook=08_01.xlsx&amp;sheet=A0&amp;row=258&amp;col=13&amp;number=&amp;sourceID=11","")</f>
        <v/>
      </c>
      <c r="N258" s="4" t="str">
        <f>HYPERLINK("http://141.218.60.56/~jnz1568/getInfo.php?workbook=08_01.xlsx&amp;sheet=A0&amp;row=258&amp;col=14&amp;number=2.1015&amp;sourceID=12","2.1015")</f>
        <v>2.1015</v>
      </c>
      <c r="O258" s="4" t="str">
        <f>HYPERLINK("http://141.218.60.56/~jnz1568/getInfo.php?workbook=08_01.xlsx&amp;sheet=A0&amp;row=258&amp;col=15&amp;number=&amp;sourceID=12","")</f>
        <v/>
      </c>
      <c r="P258" s="4" t="str">
        <f>HYPERLINK("http://141.218.60.56/~jnz1568/getInfo.php?workbook=08_01.xlsx&amp;sheet=A0&amp;row=258&amp;col=16&amp;number=&amp;sourceID=12","")</f>
        <v/>
      </c>
      <c r="Q258" s="4" t="str">
        <f>HYPERLINK("http://141.218.60.56/~jnz1568/getInfo.php?workbook=08_01.xlsx&amp;sheet=A0&amp;row=258&amp;col=17&amp;number=2.1015&amp;sourceID=12","2.1015")</f>
        <v>2.1015</v>
      </c>
      <c r="R258" s="4" t="str">
        <f>HYPERLINK("http://141.218.60.56/~jnz1568/getInfo.php?workbook=08_01.xlsx&amp;sheet=A0&amp;row=258&amp;col=18&amp;number=&amp;sourceID=12","")</f>
        <v/>
      </c>
      <c r="S258" s="4" t="str">
        <f>HYPERLINK("http://141.218.60.56/~jnz1568/getInfo.php?workbook=08_01.xlsx&amp;sheet=A0&amp;row=258&amp;col=19&amp;number=&amp;sourceID=12","")</f>
        <v/>
      </c>
      <c r="T258" s="4" t="str">
        <f>HYPERLINK("http://141.218.60.56/~jnz1568/getInfo.php?workbook=08_01.xlsx&amp;sheet=A0&amp;row=258&amp;col=20&amp;number=&amp;sourceID=12","")</f>
        <v/>
      </c>
      <c r="U258" s="4" t="str">
        <f>HYPERLINK("http://141.218.60.56/~jnz1568/getInfo.php?workbook=08_01.xlsx&amp;sheet=A0&amp;row=258&amp;col=21&amp;number=&amp;sourceID=30","")</f>
        <v/>
      </c>
      <c r="V258" s="4" t="str">
        <f>HYPERLINK("http://141.218.60.56/~jnz1568/getInfo.php?workbook=08_01.xlsx&amp;sheet=A0&amp;row=258&amp;col=22&amp;number=&amp;sourceID=30","")</f>
        <v/>
      </c>
      <c r="W258" s="4" t="str">
        <f>HYPERLINK("http://141.218.60.56/~jnz1568/getInfo.php?workbook=08_01.xlsx&amp;sheet=A0&amp;row=258&amp;col=23&amp;number=&amp;sourceID=30","")</f>
        <v/>
      </c>
      <c r="X258" s="4" t="str">
        <f>HYPERLINK("http://141.218.60.56/~jnz1568/getInfo.php?workbook=08_01.xlsx&amp;sheet=A0&amp;row=258&amp;col=24&amp;number=&amp;sourceID=30","")</f>
        <v/>
      </c>
      <c r="Y258" s="4" t="str">
        <f>HYPERLINK("http://141.218.60.56/~jnz1568/getInfo.php?workbook=08_01.xlsx&amp;sheet=A0&amp;row=258&amp;col=25&amp;number=&amp;sourceID=30","")</f>
        <v/>
      </c>
      <c r="Z258" s="4" t="str">
        <f>HYPERLINK("http://141.218.60.56/~jnz1568/getInfo.php?workbook=08_01.xlsx&amp;sheet=A0&amp;row=258&amp;col=26&amp;number=&amp;sourceID=13","")</f>
        <v/>
      </c>
      <c r="AA258" s="4" t="str">
        <f>HYPERLINK("http://141.218.60.56/~jnz1568/getInfo.php?workbook=08_01.xlsx&amp;sheet=A0&amp;row=258&amp;col=27&amp;number=&amp;sourceID=13","")</f>
        <v/>
      </c>
      <c r="AB258" s="4" t="str">
        <f>HYPERLINK("http://141.218.60.56/~jnz1568/getInfo.php?workbook=08_01.xlsx&amp;sheet=A0&amp;row=258&amp;col=28&amp;number=&amp;sourceID=13","")</f>
        <v/>
      </c>
      <c r="AC258" s="4" t="str">
        <f>HYPERLINK("http://141.218.60.56/~jnz1568/getInfo.php?workbook=08_01.xlsx&amp;sheet=A0&amp;row=258&amp;col=29&amp;number=&amp;sourceID=13","")</f>
        <v/>
      </c>
      <c r="AD258" s="4" t="str">
        <f>HYPERLINK("http://141.218.60.56/~jnz1568/getInfo.php?workbook=08_01.xlsx&amp;sheet=A0&amp;row=258&amp;col=30&amp;number=&amp;sourceID=13","")</f>
        <v/>
      </c>
      <c r="AE258" s="4" t="str">
        <f>HYPERLINK("http://141.218.60.56/~jnz1568/getInfo.php?workbook=08_01.xlsx&amp;sheet=A0&amp;row=258&amp;col=31&amp;number=&amp;sourceID=13","")</f>
        <v/>
      </c>
      <c r="AF258" s="4" t="str">
        <f>HYPERLINK("http://141.218.60.56/~jnz1568/getInfo.php?workbook=08_01.xlsx&amp;sheet=A0&amp;row=258&amp;col=32&amp;number=&amp;sourceID=20","")</f>
        <v/>
      </c>
    </row>
    <row r="259" spans="1:32">
      <c r="A259" s="3">
        <v>8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HYPERLINK("http://141.218.60.56/~jnz1568/getInfo.php?workbook=08_01.xlsx&amp;sheet=A0&amp;row=259&amp;col=6&amp;number=&amp;sourceID=18","")</f>
        <v/>
      </c>
      <c r="G259" s="4" t="str">
        <f>HYPERLINK("http://141.218.60.56/~jnz1568/getInfo.php?workbook=08_01.xlsx&amp;sheet=A0&amp;row=259&amp;col=7&amp;number==&amp;sourceID=11","=")</f>
        <v>=</v>
      </c>
      <c r="H259" s="4" t="str">
        <f>HYPERLINK("http://141.218.60.56/~jnz1568/getInfo.php?workbook=08_01.xlsx&amp;sheet=A0&amp;row=259&amp;col=8&amp;number=&amp;sourceID=11","")</f>
        <v/>
      </c>
      <c r="I259" s="4" t="str">
        <f>HYPERLINK("http://141.218.60.56/~jnz1568/getInfo.php?workbook=08_01.xlsx&amp;sheet=A0&amp;row=259&amp;col=9&amp;number=&amp;sourceID=11","")</f>
        <v/>
      </c>
      <c r="J259" s="4" t="str">
        <f>HYPERLINK("http://141.218.60.56/~jnz1568/getInfo.php?workbook=08_01.xlsx&amp;sheet=A0&amp;row=259&amp;col=10&amp;number=0.33488&amp;sourceID=11","0.33488")</f>
        <v>0.33488</v>
      </c>
      <c r="K259" s="4" t="str">
        <f>HYPERLINK("http://141.218.60.56/~jnz1568/getInfo.php?workbook=08_01.xlsx&amp;sheet=A0&amp;row=259&amp;col=11&amp;number=&amp;sourceID=11","")</f>
        <v/>
      </c>
      <c r="L259" s="4" t="str">
        <f>HYPERLINK("http://141.218.60.56/~jnz1568/getInfo.php?workbook=08_01.xlsx&amp;sheet=A0&amp;row=259&amp;col=12&amp;number=0.83137&amp;sourceID=11","0.83137")</f>
        <v>0.83137</v>
      </c>
      <c r="M259" s="4" t="str">
        <f>HYPERLINK("http://141.218.60.56/~jnz1568/getInfo.php?workbook=08_01.xlsx&amp;sheet=A0&amp;row=259&amp;col=13&amp;number=&amp;sourceID=11","")</f>
        <v/>
      </c>
      <c r="N259" s="4" t="str">
        <f>HYPERLINK("http://141.218.60.56/~jnz1568/getInfo.php?workbook=08_01.xlsx&amp;sheet=A0&amp;row=259&amp;col=14&amp;number=1.1663&amp;sourceID=12","1.1663")</f>
        <v>1.1663</v>
      </c>
      <c r="O259" s="4" t="str">
        <f>HYPERLINK("http://141.218.60.56/~jnz1568/getInfo.php?workbook=08_01.xlsx&amp;sheet=A0&amp;row=259&amp;col=15&amp;number=&amp;sourceID=12","")</f>
        <v/>
      </c>
      <c r="P259" s="4" t="str">
        <f>HYPERLINK("http://141.218.60.56/~jnz1568/getInfo.php?workbook=08_01.xlsx&amp;sheet=A0&amp;row=259&amp;col=16&amp;number=&amp;sourceID=12","")</f>
        <v/>
      </c>
      <c r="Q259" s="4" t="str">
        <f>HYPERLINK("http://141.218.60.56/~jnz1568/getInfo.php?workbook=08_01.xlsx&amp;sheet=A0&amp;row=259&amp;col=17&amp;number=0.33489&amp;sourceID=12","0.33489")</f>
        <v>0.33489</v>
      </c>
      <c r="R259" s="4" t="str">
        <f>HYPERLINK("http://141.218.60.56/~jnz1568/getInfo.php?workbook=08_01.xlsx&amp;sheet=A0&amp;row=259&amp;col=18&amp;number=&amp;sourceID=12","")</f>
        <v/>
      </c>
      <c r="S259" s="4" t="str">
        <f>HYPERLINK("http://141.218.60.56/~jnz1568/getInfo.php?workbook=08_01.xlsx&amp;sheet=A0&amp;row=259&amp;col=19&amp;number=0.8314&amp;sourceID=12","0.8314")</f>
        <v>0.8314</v>
      </c>
      <c r="T259" s="4" t="str">
        <f>HYPERLINK("http://141.218.60.56/~jnz1568/getInfo.php?workbook=08_01.xlsx&amp;sheet=A0&amp;row=259&amp;col=20&amp;number=&amp;sourceID=12","")</f>
        <v/>
      </c>
      <c r="U259" s="4" t="str">
        <f>HYPERLINK("http://141.218.60.56/~jnz1568/getInfo.php?workbook=08_01.xlsx&amp;sheet=A0&amp;row=259&amp;col=21&amp;number=0.8314&amp;sourceID=30","0.8314")</f>
        <v>0.8314</v>
      </c>
      <c r="V259" s="4" t="str">
        <f>HYPERLINK("http://141.218.60.56/~jnz1568/getInfo.php?workbook=08_01.xlsx&amp;sheet=A0&amp;row=259&amp;col=22&amp;number=&amp;sourceID=30","")</f>
        <v/>
      </c>
      <c r="W259" s="4" t="str">
        <f>HYPERLINK("http://141.218.60.56/~jnz1568/getInfo.php?workbook=08_01.xlsx&amp;sheet=A0&amp;row=259&amp;col=23&amp;number=&amp;sourceID=30","")</f>
        <v/>
      </c>
      <c r="X259" s="4" t="str">
        <f>HYPERLINK("http://141.218.60.56/~jnz1568/getInfo.php?workbook=08_01.xlsx&amp;sheet=A0&amp;row=259&amp;col=24&amp;number=&amp;sourceID=30","")</f>
        <v/>
      </c>
      <c r="Y259" s="4" t="str">
        <f>HYPERLINK("http://141.218.60.56/~jnz1568/getInfo.php?workbook=08_01.xlsx&amp;sheet=A0&amp;row=259&amp;col=25&amp;number=0.8314&amp;sourceID=30","0.8314")</f>
        <v>0.8314</v>
      </c>
      <c r="Z259" s="4" t="str">
        <f>HYPERLINK("http://141.218.60.56/~jnz1568/getInfo.php?workbook=08_01.xlsx&amp;sheet=A0&amp;row=259&amp;col=26&amp;number=&amp;sourceID=13","")</f>
        <v/>
      </c>
      <c r="AA259" s="4" t="str">
        <f>HYPERLINK("http://141.218.60.56/~jnz1568/getInfo.php?workbook=08_01.xlsx&amp;sheet=A0&amp;row=259&amp;col=27&amp;number=&amp;sourceID=13","")</f>
        <v/>
      </c>
      <c r="AB259" s="4" t="str">
        <f>HYPERLINK("http://141.218.60.56/~jnz1568/getInfo.php?workbook=08_01.xlsx&amp;sheet=A0&amp;row=259&amp;col=28&amp;number=&amp;sourceID=13","")</f>
        <v/>
      </c>
      <c r="AC259" s="4" t="str">
        <f>HYPERLINK("http://141.218.60.56/~jnz1568/getInfo.php?workbook=08_01.xlsx&amp;sheet=A0&amp;row=259&amp;col=29&amp;number=&amp;sourceID=13","")</f>
        <v/>
      </c>
      <c r="AD259" s="4" t="str">
        <f>HYPERLINK("http://141.218.60.56/~jnz1568/getInfo.php?workbook=08_01.xlsx&amp;sheet=A0&amp;row=259&amp;col=30&amp;number=&amp;sourceID=13","")</f>
        <v/>
      </c>
      <c r="AE259" s="4" t="str">
        <f>HYPERLINK("http://141.218.60.56/~jnz1568/getInfo.php?workbook=08_01.xlsx&amp;sheet=A0&amp;row=259&amp;col=31&amp;number=&amp;sourceID=13","")</f>
        <v/>
      </c>
      <c r="AF259" s="4" t="str">
        <f>HYPERLINK("http://141.218.60.56/~jnz1568/getInfo.php?workbook=08_01.xlsx&amp;sheet=A0&amp;row=259&amp;col=32&amp;number=&amp;sourceID=20","")</f>
        <v/>
      </c>
    </row>
    <row r="260" spans="1:32">
      <c r="A260" s="3">
        <v>8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HYPERLINK("http://141.218.60.56/~jnz1568/getInfo.php?workbook=08_01.xlsx&amp;sheet=A0&amp;row=260&amp;col=6&amp;number=&amp;sourceID=18","")</f>
        <v/>
      </c>
      <c r="G260" s="4" t="str">
        <f>HYPERLINK("http://141.218.60.56/~jnz1568/getInfo.php?workbook=08_01.xlsx&amp;sheet=A0&amp;row=260&amp;col=7&amp;number==&amp;sourceID=11","=")</f>
        <v>=</v>
      </c>
      <c r="H260" s="4" t="str">
        <f>HYPERLINK("http://141.218.60.56/~jnz1568/getInfo.php?workbook=08_01.xlsx&amp;sheet=A0&amp;row=260&amp;col=8&amp;number=&amp;sourceID=11","")</f>
        <v/>
      </c>
      <c r="I260" s="4" t="str">
        <f>HYPERLINK("http://141.218.60.56/~jnz1568/getInfo.php?workbook=08_01.xlsx&amp;sheet=A0&amp;row=260&amp;col=9&amp;number=246030&amp;sourceID=11","246030")</f>
        <v>246030</v>
      </c>
      <c r="J260" s="4" t="str">
        <f>HYPERLINK("http://141.218.60.56/~jnz1568/getInfo.php?workbook=08_01.xlsx&amp;sheet=A0&amp;row=260&amp;col=10&amp;number=&amp;sourceID=11","")</f>
        <v/>
      </c>
      <c r="K260" s="4" t="str">
        <f>HYPERLINK("http://141.218.60.56/~jnz1568/getInfo.php?workbook=08_01.xlsx&amp;sheet=A0&amp;row=260&amp;col=11&amp;number=&amp;sourceID=11","")</f>
        <v/>
      </c>
      <c r="L260" s="4" t="str">
        <f>HYPERLINK("http://141.218.60.56/~jnz1568/getInfo.php?workbook=08_01.xlsx&amp;sheet=A0&amp;row=260&amp;col=12&amp;number=&amp;sourceID=11","")</f>
        <v/>
      </c>
      <c r="M260" s="4" t="str">
        <f>HYPERLINK("http://141.218.60.56/~jnz1568/getInfo.php?workbook=08_01.xlsx&amp;sheet=A0&amp;row=260&amp;col=13&amp;number=7.7597e-05&amp;sourceID=11","7.7597e-05")</f>
        <v>7.7597e-05</v>
      </c>
      <c r="N260" s="4" t="str">
        <f>HYPERLINK("http://141.218.60.56/~jnz1568/getInfo.php?workbook=08_01.xlsx&amp;sheet=A0&amp;row=260&amp;col=14&amp;number=246040&amp;sourceID=12","246040")</f>
        <v>246040</v>
      </c>
      <c r="O260" s="4" t="str">
        <f>HYPERLINK("http://141.218.60.56/~jnz1568/getInfo.php?workbook=08_01.xlsx&amp;sheet=A0&amp;row=260&amp;col=15&amp;number=&amp;sourceID=12","")</f>
        <v/>
      </c>
      <c r="P260" s="4" t="str">
        <f>HYPERLINK("http://141.218.60.56/~jnz1568/getInfo.php?workbook=08_01.xlsx&amp;sheet=A0&amp;row=260&amp;col=16&amp;number=246040&amp;sourceID=12","246040")</f>
        <v>246040</v>
      </c>
      <c r="Q260" s="4" t="str">
        <f>HYPERLINK("http://141.218.60.56/~jnz1568/getInfo.php?workbook=08_01.xlsx&amp;sheet=A0&amp;row=260&amp;col=17&amp;number=&amp;sourceID=12","")</f>
        <v/>
      </c>
      <c r="R260" s="4" t="str">
        <f>HYPERLINK("http://141.218.60.56/~jnz1568/getInfo.php?workbook=08_01.xlsx&amp;sheet=A0&amp;row=260&amp;col=18&amp;number=&amp;sourceID=12","")</f>
        <v/>
      </c>
      <c r="S260" s="4" t="str">
        <f>HYPERLINK("http://141.218.60.56/~jnz1568/getInfo.php?workbook=08_01.xlsx&amp;sheet=A0&amp;row=260&amp;col=19&amp;number=&amp;sourceID=12","")</f>
        <v/>
      </c>
      <c r="T260" s="4" t="str">
        <f>HYPERLINK("http://141.218.60.56/~jnz1568/getInfo.php?workbook=08_01.xlsx&amp;sheet=A0&amp;row=260&amp;col=20&amp;number=7.76e-05&amp;sourceID=12","7.76e-05")</f>
        <v>7.76e-05</v>
      </c>
      <c r="U260" s="4" t="str">
        <f>HYPERLINK("http://141.218.60.56/~jnz1568/getInfo.php?workbook=08_01.xlsx&amp;sheet=A0&amp;row=260&amp;col=21&amp;number=246000&amp;sourceID=30","246000")</f>
        <v>246000</v>
      </c>
      <c r="V260" s="4" t="str">
        <f>HYPERLINK("http://141.218.60.56/~jnz1568/getInfo.php?workbook=08_01.xlsx&amp;sheet=A0&amp;row=260&amp;col=22&amp;number=&amp;sourceID=30","")</f>
        <v/>
      </c>
      <c r="W260" s="4" t="str">
        <f>HYPERLINK("http://141.218.60.56/~jnz1568/getInfo.php?workbook=08_01.xlsx&amp;sheet=A0&amp;row=260&amp;col=23&amp;number=246000&amp;sourceID=30","246000")</f>
        <v>246000</v>
      </c>
      <c r="X260" s="4" t="str">
        <f>HYPERLINK("http://141.218.60.56/~jnz1568/getInfo.php?workbook=08_01.xlsx&amp;sheet=A0&amp;row=260&amp;col=24&amp;number=&amp;sourceID=30","")</f>
        <v/>
      </c>
      <c r="Y260" s="4" t="str">
        <f>HYPERLINK("http://141.218.60.56/~jnz1568/getInfo.php?workbook=08_01.xlsx&amp;sheet=A0&amp;row=260&amp;col=25&amp;number=&amp;sourceID=30","")</f>
        <v/>
      </c>
      <c r="Z260" s="4" t="str">
        <f>HYPERLINK("http://141.218.60.56/~jnz1568/getInfo.php?workbook=08_01.xlsx&amp;sheet=A0&amp;row=260&amp;col=26&amp;number=&amp;sourceID=13","")</f>
        <v/>
      </c>
      <c r="AA260" s="4" t="str">
        <f>HYPERLINK("http://141.218.60.56/~jnz1568/getInfo.php?workbook=08_01.xlsx&amp;sheet=A0&amp;row=260&amp;col=27&amp;number=&amp;sourceID=13","")</f>
        <v/>
      </c>
      <c r="AB260" s="4" t="str">
        <f>HYPERLINK("http://141.218.60.56/~jnz1568/getInfo.php?workbook=08_01.xlsx&amp;sheet=A0&amp;row=260&amp;col=28&amp;number=&amp;sourceID=13","")</f>
        <v/>
      </c>
      <c r="AC260" s="4" t="str">
        <f>HYPERLINK("http://141.218.60.56/~jnz1568/getInfo.php?workbook=08_01.xlsx&amp;sheet=A0&amp;row=260&amp;col=29&amp;number=&amp;sourceID=13","")</f>
        <v/>
      </c>
      <c r="AD260" s="4" t="str">
        <f>HYPERLINK("http://141.218.60.56/~jnz1568/getInfo.php?workbook=08_01.xlsx&amp;sheet=A0&amp;row=260&amp;col=30&amp;number=&amp;sourceID=13","")</f>
        <v/>
      </c>
      <c r="AE260" s="4" t="str">
        <f>HYPERLINK("http://141.218.60.56/~jnz1568/getInfo.php?workbook=08_01.xlsx&amp;sheet=A0&amp;row=260&amp;col=31&amp;number=&amp;sourceID=13","")</f>
        <v/>
      </c>
      <c r="AF260" s="4" t="str">
        <f>HYPERLINK("http://141.218.60.56/~jnz1568/getInfo.php?workbook=08_01.xlsx&amp;sheet=A0&amp;row=260&amp;col=32&amp;number=&amp;sourceID=20","")</f>
        <v/>
      </c>
    </row>
    <row r="261" spans="1:32">
      <c r="A261" s="3">
        <v>8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HYPERLINK("http://141.218.60.56/~jnz1568/getInfo.php?workbook=08_01.xlsx&amp;sheet=A0&amp;row=261&amp;col=6&amp;number=&amp;sourceID=18","")</f>
        <v/>
      </c>
      <c r="G261" s="4" t="str">
        <f>HYPERLINK("http://141.218.60.56/~jnz1568/getInfo.php?workbook=08_01.xlsx&amp;sheet=A0&amp;row=261&amp;col=7&amp;number==&amp;sourceID=11","=")</f>
        <v>=</v>
      </c>
      <c r="H261" s="4" t="str">
        <f>HYPERLINK("http://141.218.60.56/~jnz1568/getInfo.php?workbook=08_01.xlsx&amp;sheet=A0&amp;row=261&amp;col=8&amp;number=&amp;sourceID=11","")</f>
        <v/>
      </c>
      <c r="I261" s="4" t="str">
        <f>HYPERLINK("http://141.218.60.56/~jnz1568/getInfo.php?workbook=08_01.xlsx&amp;sheet=A0&amp;row=261&amp;col=9&amp;number=4297.5&amp;sourceID=11","4297.5")</f>
        <v>4297.5</v>
      </c>
      <c r="J261" s="4" t="str">
        <f>HYPERLINK("http://141.218.60.56/~jnz1568/getInfo.php?workbook=08_01.xlsx&amp;sheet=A0&amp;row=261&amp;col=10&amp;number=&amp;sourceID=11","")</f>
        <v/>
      </c>
      <c r="K261" s="4" t="str">
        <f>HYPERLINK("http://141.218.60.56/~jnz1568/getInfo.php?workbook=08_01.xlsx&amp;sheet=A0&amp;row=261&amp;col=11&amp;number=0.00032271&amp;sourceID=11","0.00032271")</f>
        <v>0.00032271</v>
      </c>
      <c r="L261" s="4" t="str">
        <f>HYPERLINK("http://141.218.60.56/~jnz1568/getInfo.php?workbook=08_01.xlsx&amp;sheet=A0&amp;row=261&amp;col=12&amp;number=&amp;sourceID=11","")</f>
        <v/>
      </c>
      <c r="M261" s="4" t="str">
        <f>HYPERLINK("http://141.218.60.56/~jnz1568/getInfo.php?workbook=08_01.xlsx&amp;sheet=A0&amp;row=261&amp;col=13&amp;number=2.0065e-07&amp;sourceID=11","2.0065e-07")</f>
        <v>2.0065e-07</v>
      </c>
      <c r="N261" s="4" t="str">
        <f>HYPERLINK("http://141.218.60.56/~jnz1568/getInfo.php?workbook=08_01.xlsx&amp;sheet=A0&amp;row=261&amp;col=14&amp;number=4297.6&amp;sourceID=12","4297.6")</f>
        <v>4297.6</v>
      </c>
      <c r="O261" s="4" t="str">
        <f>HYPERLINK("http://141.218.60.56/~jnz1568/getInfo.php?workbook=08_01.xlsx&amp;sheet=A0&amp;row=261&amp;col=15&amp;number=&amp;sourceID=12","")</f>
        <v/>
      </c>
      <c r="P261" s="4" t="str">
        <f>HYPERLINK("http://141.218.60.56/~jnz1568/getInfo.php?workbook=08_01.xlsx&amp;sheet=A0&amp;row=261&amp;col=16&amp;number=4297.6&amp;sourceID=12","4297.6")</f>
        <v>4297.6</v>
      </c>
      <c r="Q261" s="4" t="str">
        <f>HYPERLINK("http://141.218.60.56/~jnz1568/getInfo.php?workbook=08_01.xlsx&amp;sheet=A0&amp;row=261&amp;col=17&amp;number=&amp;sourceID=12","")</f>
        <v/>
      </c>
      <c r="R261" s="4" t="str">
        <f>HYPERLINK("http://141.218.60.56/~jnz1568/getInfo.php?workbook=08_01.xlsx&amp;sheet=A0&amp;row=261&amp;col=18&amp;number=0.00032274&amp;sourceID=12","0.00032274")</f>
        <v>0.00032274</v>
      </c>
      <c r="S261" s="4" t="str">
        <f>HYPERLINK("http://141.218.60.56/~jnz1568/getInfo.php?workbook=08_01.xlsx&amp;sheet=A0&amp;row=261&amp;col=19&amp;number=&amp;sourceID=12","")</f>
        <v/>
      </c>
      <c r="T261" s="4" t="str">
        <f>HYPERLINK("http://141.218.60.56/~jnz1568/getInfo.php?workbook=08_01.xlsx&amp;sheet=A0&amp;row=261&amp;col=20&amp;number=2.0065e-07&amp;sourceID=12","2.0065e-07")</f>
        <v>2.0065e-07</v>
      </c>
      <c r="U261" s="4" t="str">
        <f>HYPERLINK("http://141.218.60.56/~jnz1568/getInfo.php?workbook=08_01.xlsx&amp;sheet=A0&amp;row=261&amp;col=21&amp;number=4298.0003229&amp;sourceID=30","4298.0003229")</f>
        <v>4298.0003229</v>
      </c>
      <c r="V261" s="4" t="str">
        <f>HYPERLINK("http://141.218.60.56/~jnz1568/getInfo.php?workbook=08_01.xlsx&amp;sheet=A0&amp;row=261&amp;col=22&amp;number=&amp;sourceID=30","")</f>
        <v/>
      </c>
      <c r="W261" s="4" t="str">
        <f>HYPERLINK("http://141.218.60.56/~jnz1568/getInfo.php?workbook=08_01.xlsx&amp;sheet=A0&amp;row=261&amp;col=23&amp;number=4298&amp;sourceID=30","4298")</f>
        <v>4298</v>
      </c>
      <c r="X261" s="4" t="str">
        <f>HYPERLINK("http://141.218.60.56/~jnz1568/getInfo.php?workbook=08_01.xlsx&amp;sheet=A0&amp;row=261&amp;col=24&amp;number=0.0003229&amp;sourceID=30","0.0003229")</f>
        <v>0.0003229</v>
      </c>
      <c r="Y261" s="4" t="str">
        <f>HYPERLINK("http://141.218.60.56/~jnz1568/getInfo.php?workbook=08_01.xlsx&amp;sheet=A0&amp;row=261&amp;col=25&amp;number=&amp;sourceID=30","")</f>
        <v/>
      </c>
      <c r="Z261" s="4" t="str">
        <f>HYPERLINK("http://141.218.60.56/~jnz1568/getInfo.php?workbook=08_01.xlsx&amp;sheet=A0&amp;row=261&amp;col=26&amp;number=&amp;sourceID=13","")</f>
        <v/>
      </c>
      <c r="AA261" s="4" t="str">
        <f>HYPERLINK("http://141.218.60.56/~jnz1568/getInfo.php?workbook=08_01.xlsx&amp;sheet=A0&amp;row=261&amp;col=27&amp;number=&amp;sourceID=13","")</f>
        <v/>
      </c>
      <c r="AB261" s="4" t="str">
        <f>HYPERLINK("http://141.218.60.56/~jnz1568/getInfo.php?workbook=08_01.xlsx&amp;sheet=A0&amp;row=261&amp;col=28&amp;number=&amp;sourceID=13","")</f>
        <v/>
      </c>
      <c r="AC261" s="4" t="str">
        <f>HYPERLINK("http://141.218.60.56/~jnz1568/getInfo.php?workbook=08_01.xlsx&amp;sheet=A0&amp;row=261&amp;col=29&amp;number=&amp;sourceID=13","")</f>
        <v/>
      </c>
      <c r="AD261" s="4" t="str">
        <f>HYPERLINK("http://141.218.60.56/~jnz1568/getInfo.php?workbook=08_01.xlsx&amp;sheet=A0&amp;row=261&amp;col=30&amp;number=&amp;sourceID=13","")</f>
        <v/>
      </c>
      <c r="AE261" s="4" t="str">
        <f>HYPERLINK("http://141.218.60.56/~jnz1568/getInfo.php?workbook=08_01.xlsx&amp;sheet=A0&amp;row=261&amp;col=31&amp;number=&amp;sourceID=13","")</f>
        <v/>
      </c>
      <c r="AF261" s="4" t="str">
        <f>HYPERLINK("http://141.218.60.56/~jnz1568/getInfo.php?workbook=08_01.xlsx&amp;sheet=A0&amp;row=261&amp;col=32&amp;number=&amp;sourceID=20","")</f>
        <v/>
      </c>
    </row>
    <row r="262" spans="1:32">
      <c r="A262" s="3">
        <v>8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HYPERLINK("http://141.218.60.56/~jnz1568/getInfo.php?workbook=08_01.xlsx&amp;sheet=A0&amp;row=262&amp;col=6&amp;number=&amp;sourceID=18","")</f>
        <v/>
      </c>
      <c r="G262" s="4" t="str">
        <f>HYPERLINK("http://141.218.60.56/~jnz1568/getInfo.php?workbook=08_01.xlsx&amp;sheet=A0&amp;row=262&amp;col=7&amp;number==SUM(H262:M262)&amp;sourceID=11","=SUM(H262:M262)")</f>
        <v>=SUM(H262:M262)</v>
      </c>
      <c r="H262" s="4" t="str">
        <f>HYPERLINK("http://141.218.60.56/~jnz1568/getInfo.php?workbook=08_01.xlsx&amp;sheet=A0&amp;row=262&amp;col=8&amp;number=10591000000&amp;sourceID=11","10591000000")</f>
        <v>10591000000</v>
      </c>
      <c r="I262" s="4" t="str">
        <f>HYPERLINK("http://141.218.60.56/~jnz1568/getInfo.php?workbook=08_01.xlsx&amp;sheet=A0&amp;row=262&amp;col=9&amp;number=&amp;sourceID=11","")</f>
        <v/>
      </c>
      <c r="J262" s="4" t="str">
        <f>HYPERLINK("http://141.218.60.56/~jnz1568/getInfo.php?workbook=08_01.xlsx&amp;sheet=A0&amp;row=262&amp;col=10&amp;number=1.003&amp;sourceID=11","1.003")</f>
        <v>1.003</v>
      </c>
      <c r="K262" s="4" t="str">
        <f>HYPERLINK("http://141.218.60.56/~jnz1568/getInfo.php?workbook=08_01.xlsx&amp;sheet=A0&amp;row=262&amp;col=11&amp;number=&amp;sourceID=11","")</f>
        <v/>
      </c>
      <c r="L262" s="4" t="str">
        <f>HYPERLINK("http://141.218.60.56/~jnz1568/getInfo.php?workbook=08_01.xlsx&amp;sheet=A0&amp;row=262&amp;col=12&amp;number=5.7241&amp;sourceID=11","5.7241")</f>
        <v>5.7241</v>
      </c>
      <c r="M262" s="4" t="str">
        <f>HYPERLINK("http://141.218.60.56/~jnz1568/getInfo.php?workbook=08_01.xlsx&amp;sheet=A0&amp;row=262&amp;col=13&amp;number=&amp;sourceID=11","")</f>
        <v/>
      </c>
      <c r="N262" s="4" t="str">
        <f>HYPERLINK("http://141.218.60.56/~jnz1568/getInfo.php?workbook=08_01.xlsx&amp;sheet=A0&amp;row=262&amp;col=14&amp;number=10592000000&amp;sourceID=12","10592000000")</f>
        <v>10592000000</v>
      </c>
      <c r="O262" s="4" t="str">
        <f>HYPERLINK("http://141.218.60.56/~jnz1568/getInfo.php?workbook=08_01.xlsx&amp;sheet=A0&amp;row=262&amp;col=15&amp;number=10592000000&amp;sourceID=12","10592000000")</f>
        <v>10592000000</v>
      </c>
      <c r="P262" s="4" t="str">
        <f>HYPERLINK("http://141.218.60.56/~jnz1568/getInfo.php?workbook=08_01.xlsx&amp;sheet=A0&amp;row=262&amp;col=16&amp;number=&amp;sourceID=12","")</f>
        <v/>
      </c>
      <c r="Q262" s="4" t="str">
        <f>HYPERLINK("http://141.218.60.56/~jnz1568/getInfo.php?workbook=08_01.xlsx&amp;sheet=A0&amp;row=262&amp;col=17&amp;number=1.0031&amp;sourceID=12","1.0031")</f>
        <v>1.0031</v>
      </c>
      <c r="R262" s="4" t="str">
        <f>HYPERLINK("http://141.218.60.56/~jnz1568/getInfo.php?workbook=08_01.xlsx&amp;sheet=A0&amp;row=262&amp;col=18&amp;number=&amp;sourceID=12","")</f>
        <v/>
      </c>
      <c r="S262" s="4" t="str">
        <f>HYPERLINK("http://141.218.60.56/~jnz1568/getInfo.php?workbook=08_01.xlsx&amp;sheet=A0&amp;row=262&amp;col=19&amp;number=5.7243&amp;sourceID=12","5.7243")</f>
        <v>5.7243</v>
      </c>
      <c r="T262" s="4" t="str">
        <f>HYPERLINK("http://141.218.60.56/~jnz1568/getInfo.php?workbook=08_01.xlsx&amp;sheet=A0&amp;row=262&amp;col=20&amp;number=&amp;sourceID=12","")</f>
        <v/>
      </c>
      <c r="U262" s="4" t="str">
        <f>HYPERLINK("http://141.218.60.56/~jnz1568/getInfo.php?workbook=08_01.xlsx&amp;sheet=A0&amp;row=262&amp;col=21&amp;number=10590000005.7&amp;sourceID=30","10590000005.7")</f>
        <v>10590000005.7</v>
      </c>
      <c r="V262" s="4" t="str">
        <f>HYPERLINK("http://141.218.60.56/~jnz1568/getInfo.php?workbook=08_01.xlsx&amp;sheet=A0&amp;row=262&amp;col=22&amp;number=10590000000&amp;sourceID=30","10590000000")</f>
        <v>10590000000</v>
      </c>
      <c r="W262" s="4" t="str">
        <f>HYPERLINK("http://141.218.60.56/~jnz1568/getInfo.php?workbook=08_01.xlsx&amp;sheet=A0&amp;row=262&amp;col=23&amp;number=&amp;sourceID=30","")</f>
        <v/>
      </c>
      <c r="X262" s="4" t="str">
        <f>HYPERLINK("http://141.218.60.56/~jnz1568/getInfo.php?workbook=08_01.xlsx&amp;sheet=A0&amp;row=262&amp;col=24&amp;number=&amp;sourceID=30","")</f>
        <v/>
      </c>
      <c r="Y262" s="4" t="str">
        <f>HYPERLINK("http://141.218.60.56/~jnz1568/getInfo.php?workbook=08_01.xlsx&amp;sheet=A0&amp;row=262&amp;col=25&amp;number=5.724&amp;sourceID=30","5.724")</f>
        <v>5.724</v>
      </c>
      <c r="Z262" s="4" t="str">
        <f>HYPERLINK("http://141.218.60.56/~jnz1568/getInfo.php?workbook=08_01.xlsx&amp;sheet=A0&amp;row=262&amp;col=26&amp;number=&amp;sourceID=13","")</f>
        <v/>
      </c>
      <c r="AA262" s="4" t="str">
        <f>HYPERLINK("http://141.218.60.56/~jnz1568/getInfo.php?workbook=08_01.xlsx&amp;sheet=A0&amp;row=262&amp;col=27&amp;number=&amp;sourceID=13","")</f>
        <v/>
      </c>
      <c r="AB262" s="4" t="str">
        <f>HYPERLINK("http://141.218.60.56/~jnz1568/getInfo.php?workbook=08_01.xlsx&amp;sheet=A0&amp;row=262&amp;col=28&amp;number=&amp;sourceID=13","")</f>
        <v/>
      </c>
      <c r="AC262" s="4" t="str">
        <f>HYPERLINK("http://141.218.60.56/~jnz1568/getInfo.php?workbook=08_01.xlsx&amp;sheet=A0&amp;row=262&amp;col=29&amp;number=&amp;sourceID=13","")</f>
        <v/>
      </c>
      <c r="AD262" s="4" t="str">
        <f>HYPERLINK("http://141.218.60.56/~jnz1568/getInfo.php?workbook=08_01.xlsx&amp;sheet=A0&amp;row=262&amp;col=30&amp;number=&amp;sourceID=13","")</f>
        <v/>
      </c>
      <c r="AE262" s="4" t="str">
        <f>HYPERLINK("http://141.218.60.56/~jnz1568/getInfo.php?workbook=08_01.xlsx&amp;sheet=A0&amp;row=262&amp;col=31&amp;number=&amp;sourceID=13","")</f>
        <v/>
      </c>
      <c r="AF262" s="4" t="str">
        <f>HYPERLINK("http://141.218.60.56/~jnz1568/getInfo.php?workbook=08_01.xlsx&amp;sheet=A0&amp;row=262&amp;col=32&amp;number=&amp;sourceID=20","")</f>
        <v/>
      </c>
    </row>
    <row r="263" spans="1:32">
      <c r="A263" s="3">
        <v>8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HYPERLINK("http://141.218.60.56/~jnz1568/getInfo.php?workbook=08_01.xlsx&amp;sheet=A0&amp;row=263&amp;col=6&amp;number=&amp;sourceID=18","")</f>
        <v/>
      </c>
      <c r="G263" s="4" t="str">
        <f>HYPERLINK("http://141.218.60.56/~jnz1568/getInfo.php?workbook=08_01.xlsx&amp;sheet=A0&amp;row=263&amp;col=7&amp;number==&amp;sourceID=11","=")</f>
        <v>=</v>
      </c>
      <c r="H263" s="4" t="str">
        <f>HYPERLINK("http://141.218.60.56/~jnz1568/getInfo.php?workbook=08_01.xlsx&amp;sheet=A0&amp;row=263&amp;col=8&amp;number=&amp;sourceID=11","")</f>
        <v/>
      </c>
      <c r="I263" s="4" t="str">
        <f>HYPERLINK("http://141.218.60.56/~jnz1568/getInfo.php?workbook=08_01.xlsx&amp;sheet=A0&amp;row=263&amp;col=9&amp;number=35804&amp;sourceID=11","35804")</f>
        <v>35804</v>
      </c>
      <c r="J263" s="4" t="str">
        <f>HYPERLINK("http://141.218.60.56/~jnz1568/getInfo.php?workbook=08_01.xlsx&amp;sheet=A0&amp;row=263&amp;col=10&amp;number=&amp;sourceID=11","")</f>
        <v/>
      </c>
      <c r="K263" s="4" t="str">
        <f>HYPERLINK("http://141.218.60.56/~jnz1568/getInfo.php?workbook=08_01.xlsx&amp;sheet=A0&amp;row=263&amp;col=11&amp;number=0.0032458&amp;sourceID=11","0.0032458")</f>
        <v>0.0032458</v>
      </c>
      <c r="L263" s="4" t="str">
        <f>HYPERLINK("http://141.218.60.56/~jnz1568/getInfo.php?workbook=08_01.xlsx&amp;sheet=A0&amp;row=263&amp;col=12&amp;number=&amp;sourceID=11","")</f>
        <v/>
      </c>
      <c r="M263" s="4" t="str">
        <f>HYPERLINK("http://141.218.60.56/~jnz1568/getInfo.php?workbook=08_01.xlsx&amp;sheet=A0&amp;row=263&amp;col=13&amp;number=2.6468e-05&amp;sourceID=11","2.6468e-05")</f>
        <v>2.6468e-05</v>
      </c>
      <c r="N263" s="4" t="str">
        <f>HYPERLINK("http://141.218.60.56/~jnz1568/getInfo.php?workbook=08_01.xlsx&amp;sheet=A0&amp;row=263&amp;col=14&amp;number=35805&amp;sourceID=12","35805")</f>
        <v>35805</v>
      </c>
      <c r="O263" s="4" t="str">
        <f>HYPERLINK("http://141.218.60.56/~jnz1568/getInfo.php?workbook=08_01.xlsx&amp;sheet=A0&amp;row=263&amp;col=15&amp;number=&amp;sourceID=12","")</f>
        <v/>
      </c>
      <c r="P263" s="4" t="str">
        <f>HYPERLINK("http://141.218.60.56/~jnz1568/getInfo.php?workbook=08_01.xlsx&amp;sheet=A0&amp;row=263&amp;col=16&amp;number=35805&amp;sourceID=12","35805")</f>
        <v>35805</v>
      </c>
      <c r="Q263" s="4" t="str">
        <f>HYPERLINK("http://141.218.60.56/~jnz1568/getInfo.php?workbook=08_01.xlsx&amp;sheet=A0&amp;row=263&amp;col=17&amp;number=&amp;sourceID=12","")</f>
        <v/>
      </c>
      <c r="R263" s="4" t="str">
        <f>HYPERLINK("http://141.218.60.56/~jnz1568/getInfo.php?workbook=08_01.xlsx&amp;sheet=A0&amp;row=263&amp;col=18&amp;number=0.0032459&amp;sourceID=12","0.0032459")</f>
        <v>0.0032459</v>
      </c>
      <c r="S263" s="4" t="str">
        <f>HYPERLINK("http://141.218.60.56/~jnz1568/getInfo.php?workbook=08_01.xlsx&amp;sheet=A0&amp;row=263&amp;col=19&amp;number=&amp;sourceID=12","")</f>
        <v/>
      </c>
      <c r="T263" s="4" t="str">
        <f>HYPERLINK("http://141.218.60.56/~jnz1568/getInfo.php?workbook=08_01.xlsx&amp;sheet=A0&amp;row=263&amp;col=20&amp;number=2.6469e-05&amp;sourceID=12","2.6469e-05")</f>
        <v>2.6469e-05</v>
      </c>
      <c r="U263" s="4" t="str">
        <f>HYPERLINK("http://141.218.60.56/~jnz1568/getInfo.php?workbook=08_01.xlsx&amp;sheet=A0&amp;row=263&amp;col=21&amp;number=35800.003245&amp;sourceID=30","35800.003245")</f>
        <v>35800.003245</v>
      </c>
      <c r="V263" s="4" t="str">
        <f>HYPERLINK("http://141.218.60.56/~jnz1568/getInfo.php?workbook=08_01.xlsx&amp;sheet=A0&amp;row=263&amp;col=22&amp;number=&amp;sourceID=30","")</f>
        <v/>
      </c>
      <c r="W263" s="4" t="str">
        <f>HYPERLINK("http://141.218.60.56/~jnz1568/getInfo.php?workbook=08_01.xlsx&amp;sheet=A0&amp;row=263&amp;col=23&amp;number=35800&amp;sourceID=30","35800")</f>
        <v>35800</v>
      </c>
      <c r="X263" s="4" t="str">
        <f>HYPERLINK("http://141.218.60.56/~jnz1568/getInfo.php?workbook=08_01.xlsx&amp;sheet=A0&amp;row=263&amp;col=24&amp;number=0.003245&amp;sourceID=30","0.003245")</f>
        <v>0.003245</v>
      </c>
      <c r="Y263" s="4" t="str">
        <f>HYPERLINK("http://141.218.60.56/~jnz1568/getInfo.php?workbook=08_01.xlsx&amp;sheet=A0&amp;row=263&amp;col=25&amp;number=&amp;sourceID=30","")</f>
        <v/>
      </c>
      <c r="Z263" s="4" t="str">
        <f>HYPERLINK("http://141.218.60.56/~jnz1568/getInfo.php?workbook=08_01.xlsx&amp;sheet=A0&amp;row=263&amp;col=26&amp;number=&amp;sourceID=13","")</f>
        <v/>
      </c>
      <c r="AA263" s="4" t="str">
        <f>HYPERLINK("http://141.218.60.56/~jnz1568/getInfo.php?workbook=08_01.xlsx&amp;sheet=A0&amp;row=263&amp;col=27&amp;number=&amp;sourceID=13","")</f>
        <v/>
      </c>
      <c r="AB263" s="4" t="str">
        <f>HYPERLINK("http://141.218.60.56/~jnz1568/getInfo.php?workbook=08_01.xlsx&amp;sheet=A0&amp;row=263&amp;col=28&amp;number=&amp;sourceID=13","")</f>
        <v/>
      </c>
      <c r="AC263" s="4" t="str">
        <f>HYPERLINK("http://141.218.60.56/~jnz1568/getInfo.php?workbook=08_01.xlsx&amp;sheet=A0&amp;row=263&amp;col=29&amp;number=&amp;sourceID=13","")</f>
        <v/>
      </c>
      <c r="AD263" s="4" t="str">
        <f>HYPERLINK("http://141.218.60.56/~jnz1568/getInfo.php?workbook=08_01.xlsx&amp;sheet=A0&amp;row=263&amp;col=30&amp;number=&amp;sourceID=13","")</f>
        <v/>
      </c>
      <c r="AE263" s="4" t="str">
        <f>HYPERLINK("http://141.218.60.56/~jnz1568/getInfo.php?workbook=08_01.xlsx&amp;sheet=A0&amp;row=263&amp;col=31&amp;number=&amp;sourceID=13","")</f>
        <v/>
      </c>
      <c r="AF263" s="4" t="str">
        <f>HYPERLINK("http://141.218.60.56/~jnz1568/getInfo.php?workbook=08_01.xlsx&amp;sheet=A0&amp;row=263&amp;col=32&amp;number=&amp;sourceID=20","")</f>
        <v/>
      </c>
    </row>
    <row r="264" spans="1:32">
      <c r="A264" s="3">
        <v>8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HYPERLINK("http://141.218.60.56/~jnz1568/getInfo.php?workbook=08_01.xlsx&amp;sheet=A0&amp;row=264&amp;col=6&amp;number=&amp;sourceID=18","")</f>
        <v/>
      </c>
      <c r="G264" s="4" t="str">
        <f>HYPERLINK("http://141.218.60.56/~jnz1568/getInfo.php?workbook=08_01.xlsx&amp;sheet=A0&amp;row=264&amp;col=7&amp;number==&amp;sourceID=11","=")</f>
        <v>=</v>
      </c>
      <c r="H264" s="4" t="str">
        <f>HYPERLINK("http://141.218.60.56/~jnz1568/getInfo.php?workbook=08_01.xlsx&amp;sheet=A0&amp;row=264&amp;col=8&amp;number=&amp;sourceID=11","")</f>
        <v/>
      </c>
      <c r="I264" s="4" t="str">
        <f>HYPERLINK("http://141.218.60.56/~jnz1568/getInfo.php?workbook=08_01.xlsx&amp;sheet=A0&amp;row=264&amp;col=9&amp;number=&amp;sourceID=11","")</f>
        <v/>
      </c>
      <c r="J264" s="4" t="str">
        <f>HYPERLINK("http://141.218.60.56/~jnz1568/getInfo.php?workbook=08_01.xlsx&amp;sheet=A0&amp;row=264&amp;col=10&amp;number=&amp;sourceID=11","")</f>
        <v/>
      </c>
      <c r="K264" s="4" t="str">
        <f>HYPERLINK("http://141.218.60.56/~jnz1568/getInfo.php?workbook=08_01.xlsx&amp;sheet=A0&amp;row=264&amp;col=11&amp;number=&amp;sourceID=11","")</f>
        <v/>
      </c>
      <c r="L264" s="4" t="str">
        <f>HYPERLINK("http://141.218.60.56/~jnz1568/getInfo.php?workbook=08_01.xlsx&amp;sheet=A0&amp;row=264&amp;col=12&amp;number=&amp;sourceID=11","")</f>
        <v/>
      </c>
      <c r="M264" s="4" t="str">
        <f>HYPERLINK("http://141.218.60.56/~jnz1568/getInfo.php?workbook=08_01.xlsx&amp;sheet=A0&amp;row=264&amp;col=13&amp;number=0&amp;sourceID=11","0")</f>
        <v>0</v>
      </c>
      <c r="N264" s="4" t="str">
        <f>HYPERLINK("http://141.218.60.56/~jnz1568/getInfo.php?workbook=08_01.xlsx&amp;sheet=A0&amp;row=264&amp;col=14&amp;number=0&amp;sourceID=12","0")</f>
        <v>0</v>
      </c>
      <c r="O264" s="4" t="str">
        <f>HYPERLINK("http://141.218.60.56/~jnz1568/getInfo.php?workbook=08_01.xlsx&amp;sheet=A0&amp;row=264&amp;col=15&amp;number=&amp;sourceID=12","")</f>
        <v/>
      </c>
      <c r="P264" s="4" t="str">
        <f>HYPERLINK("http://141.218.60.56/~jnz1568/getInfo.php?workbook=08_01.xlsx&amp;sheet=A0&amp;row=264&amp;col=16&amp;number=&amp;sourceID=12","")</f>
        <v/>
      </c>
      <c r="Q264" s="4" t="str">
        <f>HYPERLINK("http://141.218.60.56/~jnz1568/getInfo.php?workbook=08_01.xlsx&amp;sheet=A0&amp;row=264&amp;col=17&amp;number=&amp;sourceID=12","")</f>
        <v/>
      </c>
      <c r="R264" s="4" t="str">
        <f>HYPERLINK("http://141.218.60.56/~jnz1568/getInfo.php?workbook=08_01.xlsx&amp;sheet=A0&amp;row=264&amp;col=18&amp;number=&amp;sourceID=12","")</f>
        <v/>
      </c>
      <c r="S264" s="4" t="str">
        <f>HYPERLINK("http://141.218.60.56/~jnz1568/getInfo.php?workbook=08_01.xlsx&amp;sheet=A0&amp;row=264&amp;col=19&amp;number=&amp;sourceID=12","")</f>
        <v/>
      </c>
      <c r="T264" s="4" t="str">
        <f>HYPERLINK("http://141.218.60.56/~jnz1568/getInfo.php?workbook=08_01.xlsx&amp;sheet=A0&amp;row=264&amp;col=20&amp;number=0&amp;sourceID=12","0")</f>
        <v>0</v>
      </c>
      <c r="U264" s="4" t="str">
        <f>HYPERLINK("http://141.218.60.56/~jnz1568/getInfo.php?workbook=08_01.xlsx&amp;sheet=A0&amp;row=264&amp;col=21&amp;number=&amp;sourceID=30","")</f>
        <v/>
      </c>
      <c r="V264" s="4" t="str">
        <f>HYPERLINK("http://141.218.60.56/~jnz1568/getInfo.php?workbook=08_01.xlsx&amp;sheet=A0&amp;row=264&amp;col=22&amp;number=&amp;sourceID=30","")</f>
        <v/>
      </c>
      <c r="W264" s="4" t="str">
        <f>HYPERLINK("http://141.218.60.56/~jnz1568/getInfo.php?workbook=08_01.xlsx&amp;sheet=A0&amp;row=264&amp;col=23&amp;number=&amp;sourceID=30","")</f>
        <v/>
      </c>
      <c r="X264" s="4" t="str">
        <f>HYPERLINK("http://141.218.60.56/~jnz1568/getInfo.php?workbook=08_01.xlsx&amp;sheet=A0&amp;row=264&amp;col=24&amp;number=&amp;sourceID=30","")</f>
        <v/>
      </c>
      <c r="Y264" s="4" t="str">
        <f>HYPERLINK("http://141.218.60.56/~jnz1568/getInfo.php?workbook=08_01.xlsx&amp;sheet=A0&amp;row=264&amp;col=25&amp;number=&amp;sourceID=30","")</f>
        <v/>
      </c>
      <c r="Z264" s="4" t="str">
        <f>HYPERLINK("http://141.218.60.56/~jnz1568/getInfo.php?workbook=08_01.xlsx&amp;sheet=A0&amp;row=264&amp;col=26&amp;number=&amp;sourceID=13","")</f>
        <v/>
      </c>
      <c r="AA264" s="4" t="str">
        <f>HYPERLINK("http://141.218.60.56/~jnz1568/getInfo.php?workbook=08_01.xlsx&amp;sheet=A0&amp;row=264&amp;col=27&amp;number=&amp;sourceID=13","")</f>
        <v/>
      </c>
      <c r="AB264" s="4" t="str">
        <f>HYPERLINK("http://141.218.60.56/~jnz1568/getInfo.php?workbook=08_01.xlsx&amp;sheet=A0&amp;row=264&amp;col=28&amp;number=&amp;sourceID=13","")</f>
        <v/>
      </c>
      <c r="AC264" s="4" t="str">
        <f>HYPERLINK("http://141.218.60.56/~jnz1568/getInfo.php?workbook=08_01.xlsx&amp;sheet=A0&amp;row=264&amp;col=29&amp;number=&amp;sourceID=13","")</f>
        <v/>
      </c>
      <c r="AD264" s="4" t="str">
        <f>HYPERLINK("http://141.218.60.56/~jnz1568/getInfo.php?workbook=08_01.xlsx&amp;sheet=A0&amp;row=264&amp;col=30&amp;number=&amp;sourceID=13","")</f>
        <v/>
      </c>
      <c r="AE264" s="4" t="str">
        <f>HYPERLINK("http://141.218.60.56/~jnz1568/getInfo.php?workbook=08_01.xlsx&amp;sheet=A0&amp;row=264&amp;col=31&amp;number=&amp;sourceID=13","")</f>
        <v/>
      </c>
      <c r="AF264" s="4" t="str">
        <f>HYPERLINK("http://141.218.60.56/~jnz1568/getInfo.php?workbook=08_01.xlsx&amp;sheet=A0&amp;row=264&amp;col=32&amp;number=&amp;sourceID=20","")</f>
        <v/>
      </c>
    </row>
    <row r="265" spans="1:32">
      <c r="A265" s="3">
        <v>8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HYPERLINK("http://141.218.60.56/~jnz1568/getInfo.php?workbook=08_01.xlsx&amp;sheet=A0&amp;row=265&amp;col=6&amp;number=&amp;sourceID=18","")</f>
        <v/>
      </c>
      <c r="G265" s="4" t="str">
        <f>HYPERLINK("http://141.218.60.56/~jnz1568/getInfo.php?workbook=08_01.xlsx&amp;sheet=A0&amp;row=265&amp;col=7&amp;number==&amp;sourceID=11","=")</f>
        <v>=</v>
      </c>
      <c r="H265" s="4" t="str">
        <f>HYPERLINK("http://141.218.60.56/~jnz1568/getInfo.php?workbook=08_01.xlsx&amp;sheet=A0&amp;row=265&amp;col=8&amp;number=&amp;sourceID=11","")</f>
        <v/>
      </c>
      <c r="I265" s="4" t="str">
        <f>HYPERLINK("http://141.218.60.56/~jnz1568/getInfo.php?workbook=08_01.xlsx&amp;sheet=A0&amp;row=265&amp;col=9&amp;number=&amp;sourceID=11","")</f>
        <v/>
      </c>
      <c r="J265" s="4" t="str">
        <f>HYPERLINK("http://141.218.60.56/~jnz1568/getInfo.php?workbook=08_01.xlsx&amp;sheet=A0&amp;row=265&amp;col=10&amp;number=0&amp;sourceID=11","0")</f>
        <v>0</v>
      </c>
      <c r="K265" s="4" t="str">
        <f>HYPERLINK("http://141.218.60.56/~jnz1568/getInfo.php?workbook=08_01.xlsx&amp;sheet=A0&amp;row=265&amp;col=11&amp;number=&amp;sourceID=11","")</f>
        <v/>
      </c>
      <c r="L265" s="4" t="str">
        <f>HYPERLINK("http://141.218.60.56/~jnz1568/getInfo.php?workbook=08_01.xlsx&amp;sheet=A0&amp;row=265&amp;col=12&amp;number=&amp;sourceID=11","")</f>
        <v/>
      </c>
      <c r="M265" s="4" t="str">
        <f>HYPERLINK("http://141.218.60.56/~jnz1568/getInfo.php?workbook=08_01.xlsx&amp;sheet=A0&amp;row=265&amp;col=13&amp;number=&amp;sourceID=11","")</f>
        <v/>
      </c>
      <c r="N265" s="4" t="str">
        <f>HYPERLINK("http://141.218.60.56/~jnz1568/getInfo.php?workbook=08_01.xlsx&amp;sheet=A0&amp;row=265&amp;col=14&amp;number=0&amp;sourceID=12","0")</f>
        <v>0</v>
      </c>
      <c r="O265" s="4" t="str">
        <f>HYPERLINK("http://141.218.60.56/~jnz1568/getInfo.php?workbook=08_01.xlsx&amp;sheet=A0&amp;row=265&amp;col=15&amp;number=&amp;sourceID=12","")</f>
        <v/>
      </c>
      <c r="P265" s="4" t="str">
        <f>HYPERLINK("http://141.218.60.56/~jnz1568/getInfo.php?workbook=08_01.xlsx&amp;sheet=A0&amp;row=265&amp;col=16&amp;number=&amp;sourceID=12","")</f>
        <v/>
      </c>
      <c r="Q265" s="4" t="str">
        <f>HYPERLINK("http://141.218.60.56/~jnz1568/getInfo.php?workbook=08_01.xlsx&amp;sheet=A0&amp;row=265&amp;col=17&amp;number=0&amp;sourceID=12","0")</f>
        <v>0</v>
      </c>
      <c r="R265" s="4" t="str">
        <f>HYPERLINK("http://141.218.60.56/~jnz1568/getInfo.php?workbook=08_01.xlsx&amp;sheet=A0&amp;row=265&amp;col=18&amp;number=&amp;sourceID=12","")</f>
        <v/>
      </c>
      <c r="S265" s="4" t="str">
        <f>HYPERLINK("http://141.218.60.56/~jnz1568/getInfo.php?workbook=08_01.xlsx&amp;sheet=A0&amp;row=265&amp;col=19&amp;number=&amp;sourceID=12","")</f>
        <v/>
      </c>
      <c r="T265" s="4" t="str">
        <f>HYPERLINK("http://141.218.60.56/~jnz1568/getInfo.php?workbook=08_01.xlsx&amp;sheet=A0&amp;row=265&amp;col=20&amp;number=&amp;sourceID=12","")</f>
        <v/>
      </c>
      <c r="U265" s="4" t="str">
        <f>HYPERLINK("http://141.218.60.56/~jnz1568/getInfo.php?workbook=08_01.xlsx&amp;sheet=A0&amp;row=265&amp;col=21&amp;number=&amp;sourceID=30","")</f>
        <v/>
      </c>
      <c r="V265" s="4" t="str">
        <f>HYPERLINK("http://141.218.60.56/~jnz1568/getInfo.php?workbook=08_01.xlsx&amp;sheet=A0&amp;row=265&amp;col=22&amp;number=&amp;sourceID=30","")</f>
        <v/>
      </c>
      <c r="W265" s="4" t="str">
        <f>HYPERLINK("http://141.218.60.56/~jnz1568/getInfo.php?workbook=08_01.xlsx&amp;sheet=A0&amp;row=265&amp;col=23&amp;number=&amp;sourceID=30","")</f>
        <v/>
      </c>
      <c r="X265" s="4" t="str">
        <f>HYPERLINK("http://141.218.60.56/~jnz1568/getInfo.php?workbook=08_01.xlsx&amp;sheet=A0&amp;row=265&amp;col=24&amp;number=&amp;sourceID=30","")</f>
        <v/>
      </c>
      <c r="Y265" s="4" t="str">
        <f>HYPERLINK("http://141.218.60.56/~jnz1568/getInfo.php?workbook=08_01.xlsx&amp;sheet=A0&amp;row=265&amp;col=25&amp;number=&amp;sourceID=30","")</f>
        <v/>
      </c>
      <c r="Z265" s="4" t="str">
        <f>HYPERLINK("http://141.218.60.56/~jnz1568/getInfo.php?workbook=08_01.xlsx&amp;sheet=A0&amp;row=265&amp;col=26&amp;number=&amp;sourceID=13","")</f>
        <v/>
      </c>
      <c r="AA265" s="4" t="str">
        <f>HYPERLINK("http://141.218.60.56/~jnz1568/getInfo.php?workbook=08_01.xlsx&amp;sheet=A0&amp;row=265&amp;col=27&amp;number=&amp;sourceID=13","")</f>
        <v/>
      </c>
      <c r="AB265" s="4" t="str">
        <f>HYPERLINK("http://141.218.60.56/~jnz1568/getInfo.php?workbook=08_01.xlsx&amp;sheet=A0&amp;row=265&amp;col=28&amp;number=&amp;sourceID=13","")</f>
        <v/>
      </c>
      <c r="AC265" s="4" t="str">
        <f>HYPERLINK("http://141.218.60.56/~jnz1568/getInfo.php?workbook=08_01.xlsx&amp;sheet=A0&amp;row=265&amp;col=29&amp;number=&amp;sourceID=13","")</f>
        <v/>
      </c>
      <c r="AD265" s="4" t="str">
        <f>HYPERLINK("http://141.218.60.56/~jnz1568/getInfo.php?workbook=08_01.xlsx&amp;sheet=A0&amp;row=265&amp;col=30&amp;number=&amp;sourceID=13","")</f>
        <v/>
      </c>
      <c r="AE265" s="4" t="str">
        <f>HYPERLINK("http://141.218.60.56/~jnz1568/getInfo.php?workbook=08_01.xlsx&amp;sheet=A0&amp;row=265&amp;col=31&amp;number=&amp;sourceID=13","")</f>
        <v/>
      </c>
      <c r="AF265" s="4" t="str">
        <f>HYPERLINK("http://141.218.60.56/~jnz1568/getInfo.php?workbook=08_01.xlsx&amp;sheet=A0&amp;row=265&amp;col=32&amp;number=&amp;sourceID=20","")</f>
        <v/>
      </c>
    </row>
    <row r="266" spans="1:32">
      <c r="A266" s="3">
        <v>8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HYPERLINK("http://141.218.60.56/~jnz1568/getInfo.php?workbook=08_01.xlsx&amp;sheet=A0&amp;row=266&amp;col=6&amp;number=&amp;sourceID=18","")</f>
        <v/>
      </c>
      <c r="G266" s="4" t="str">
        <f>HYPERLINK("http://141.218.60.56/~jnz1568/getInfo.php?workbook=08_01.xlsx&amp;sheet=A0&amp;row=266&amp;col=7&amp;number==&amp;sourceID=11","=")</f>
        <v>=</v>
      </c>
      <c r="H266" s="4" t="str">
        <f>HYPERLINK("http://141.218.60.56/~jnz1568/getInfo.php?workbook=08_01.xlsx&amp;sheet=A0&amp;row=266&amp;col=8&amp;number=&amp;sourceID=11","")</f>
        <v/>
      </c>
      <c r="I266" s="4" t="str">
        <f>HYPERLINK("http://141.218.60.56/~jnz1568/getInfo.php?workbook=08_01.xlsx&amp;sheet=A0&amp;row=266&amp;col=9&amp;number=&amp;sourceID=11","")</f>
        <v/>
      </c>
      <c r="J266" s="4" t="str">
        <f>HYPERLINK("http://141.218.60.56/~jnz1568/getInfo.php?workbook=08_01.xlsx&amp;sheet=A0&amp;row=266&amp;col=10&amp;number=0&amp;sourceID=11","0")</f>
        <v>0</v>
      </c>
      <c r="K266" s="4" t="str">
        <f>HYPERLINK("http://141.218.60.56/~jnz1568/getInfo.php?workbook=08_01.xlsx&amp;sheet=A0&amp;row=266&amp;col=11&amp;number=&amp;sourceID=11","")</f>
        <v/>
      </c>
      <c r="L266" s="4" t="str">
        <f>HYPERLINK("http://141.218.60.56/~jnz1568/getInfo.php?workbook=08_01.xlsx&amp;sheet=A0&amp;row=266&amp;col=12&amp;number=0&amp;sourceID=11","0")</f>
        <v>0</v>
      </c>
      <c r="M266" s="4" t="str">
        <f>HYPERLINK("http://141.218.60.56/~jnz1568/getInfo.php?workbook=08_01.xlsx&amp;sheet=A0&amp;row=266&amp;col=13&amp;number=&amp;sourceID=11","")</f>
        <v/>
      </c>
      <c r="N266" s="4" t="str">
        <f>HYPERLINK("http://141.218.60.56/~jnz1568/getInfo.php?workbook=08_01.xlsx&amp;sheet=A0&amp;row=266&amp;col=14&amp;number=0&amp;sourceID=12","0")</f>
        <v>0</v>
      </c>
      <c r="O266" s="4" t="str">
        <f>HYPERLINK("http://141.218.60.56/~jnz1568/getInfo.php?workbook=08_01.xlsx&amp;sheet=A0&amp;row=266&amp;col=15&amp;number=&amp;sourceID=12","")</f>
        <v/>
      </c>
      <c r="P266" s="4" t="str">
        <f>HYPERLINK("http://141.218.60.56/~jnz1568/getInfo.php?workbook=08_01.xlsx&amp;sheet=A0&amp;row=266&amp;col=16&amp;number=&amp;sourceID=12","")</f>
        <v/>
      </c>
      <c r="Q266" s="4" t="str">
        <f>HYPERLINK("http://141.218.60.56/~jnz1568/getInfo.php?workbook=08_01.xlsx&amp;sheet=A0&amp;row=266&amp;col=17&amp;number=0&amp;sourceID=12","0")</f>
        <v>0</v>
      </c>
      <c r="R266" s="4" t="str">
        <f>HYPERLINK("http://141.218.60.56/~jnz1568/getInfo.php?workbook=08_01.xlsx&amp;sheet=A0&amp;row=266&amp;col=18&amp;number=&amp;sourceID=12","")</f>
        <v/>
      </c>
      <c r="S266" s="4" t="str">
        <f>HYPERLINK("http://141.218.60.56/~jnz1568/getInfo.php?workbook=08_01.xlsx&amp;sheet=A0&amp;row=266&amp;col=19&amp;number=0&amp;sourceID=12","0")</f>
        <v>0</v>
      </c>
      <c r="T266" s="4" t="str">
        <f>HYPERLINK("http://141.218.60.56/~jnz1568/getInfo.php?workbook=08_01.xlsx&amp;sheet=A0&amp;row=266&amp;col=20&amp;number=&amp;sourceID=12","")</f>
        <v/>
      </c>
      <c r="U266" s="4" t="str">
        <f>HYPERLINK("http://141.218.60.56/~jnz1568/getInfo.php?workbook=08_01.xlsx&amp;sheet=A0&amp;row=266&amp;col=21&amp;number=0&amp;sourceID=30","0")</f>
        <v>0</v>
      </c>
      <c r="V266" s="4" t="str">
        <f>HYPERLINK("http://141.218.60.56/~jnz1568/getInfo.php?workbook=08_01.xlsx&amp;sheet=A0&amp;row=266&amp;col=22&amp;number=&amp;sourceID=30","")</f>
        <v/>
      </c>
      <c r="W266" s="4" t="str">
        <f>HYPERLINK("http://141.218.60.56/~jnz1568/getInfo.php?workbook=08_01.xlsx&amp;sheet=A0&amp;row=266&amp;col=23&amp;number=&amp;sourceID=30","")</f>
        <v/>
      </c>
      <c r="X266" s="4" t="str">
        <f>HYPERLINK("http://141.218.60.56/~jnz1568/getInfo.php?workbook=08_01.xlsx&amp;sheet=A0&amp;row=266&amp;col=24&amp;number=&amp;sourceID=30","")</f>
        <v/>
      </c>
      <c r="Y266" s="4" t="str">
        <f>HYPERLINK("http://141.218.60.56/~jnz1568/getInfo.php?workbook=08_01.xlsx&amp;sheet=A0&amp;row=266&amp;col=25&amp;number=0&amp;sourceID=30","0")</f>
        <v>0</v>
      </c>
      <c r="Z266" s="4" t="str">
        <f>HYPERLINK("http://141.218.60.56/~jnz1568/getInfo.php?workbook=08_01.xlsx&amp;sheet=A0&amp;row=266&amp;col=26&amp;number=&amp;sourceID=13","")</f>
        <v/>
      </c>
      <c r="AA266" s="4" t="str">
        <f>HYPERLINK("http://141.218.60.56/~jnz1568/getInfo.php?workbook=08_01.xlsx&amp;sheet=A0&amp;row=266&amp;col=27&amp;number=&amp;sourceID=13","")</f>
        <v/>
      </c>
      <c r="AB266" s="4" t="str">
        <f>HYPERLINK("http://141.218.60.56/~jnz1568/getInfo.php?workbook=08_01.xlsx&amp;sheet=A0&amp;row=266&amp;col=28&amp;number=&amp;sourceID=13","")</f>
        <v/>
      </c>
      <c r="AC266" s="4" t="str">
        <f>HYPERLINK("http://141.218.60.56/~jnz1568/getInfo.php?workbook=08_01.xlsx&amp;sheet=A0&amp;row=266&amp;col=29&amp;number=&amp;sourceID=13","")</f>
        <v/>
      </c>
      <c r="AD266" s="4" t="str">
        <f>HYPERLINK("http://141.218.60.56/~jnz1568/getInfo.php?workbook=08_01.xlsx&amp;sheet=A0&amp;row=266&amp;col=30&amp;number=&amp;sourceID=13","")</f>
        <v/>
      </c>
      <c r="AE266" s="4" t="str">
        <f>HYPERLINK("http://141.218.60.56/~jnz1568/getInfo.php?workbook=08_01.xlsx&amp;sheet=A0&amp;row=266&amp;col=31&amp;number=&amp;sourceID=13","")</f>
        <v/>
      </c>
      <c r="AF266" s="4" t="str">
        <f>HYPERLINK("http://141.218.60.56/~jnz1568/getInfo.php?workbook=08_01.xlsx&amp;sheet=A0&amp;row=266&amp;col=32&amp;number=&amp;sourceID=20","")</f>
        <v/>
      </c>
    </row>
    <row r="267" spans="1:32">
      <c r="A267" s="3">
        <v>8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HYPERLINK("http://141.218.60.56/~jnz1568/getInfo.php?workbook=08_01.xlsx&amp;sheet=A0&amp;row=267&amp;col=6&amp;number=&amp;sourceID=18","")</f>
        <v/>
      </c>
      <c r="G267" s="4" t="str">
        <f>HYPERLINK("http://141.218.60.56/~jnz1568/getInfo.php?workbook=08_01.xlsx&amp;sheet=A0&amp;row=267&amp;col=7&amp;number==&amp;sourceID=11","=")</f>
        <v>=</v>
      </c>
      <c r="H267" s="4" t="str">
        <f>HYPERLINK("http://141.218.60.56/~jnz1568/getInfo.php?workbook=08_01.xlsx&amp;sheet=A0&amp;row=267&amp;col=8&amp;number=&amp;sourceID=11","")</f>
        <v/>
      </c>
      <c r="I267" s="4" t="str">
        <f>HYPERLINK("http://141.218.60.56/~jnz1568/getInfo.php?workbook=08_01.xlsx&amp;sheet=A0&amp;row=267&amp;col=9&amp;number=2.326e-12&amp;sourceID=11","2.326e-12")</f>
        <v>2.326e-12</v>
      </c>
      <c r="J267" s="4" t="str">
        <f>HYPERLINK("http://141.218.60.56/~jnz1568/getInfo.php?workbook=08_01.xlsx&amp;sheet=A0&amp;row=267&amp;col=10&amp;number=&amp;sourceID=11","")</f>
        <v/>
      </c>
      <c r="K267" s="4" t="str">
        <f>HYPERLINK("http://141.218.60.56/~jnz1568/getInfo.php?workbook=08_01.xlsx&amp;sheet=A0&amp;row=267&amp;col=11&amp;number=&amp;sourceID=11","")</f>
        <v/>
      </c>
      <c r="L267" s="4" t="str">
        <f>HYPERLINK("http://141.218.60.56/~jnz1568/getInfo.php?workbook=08_01.xlsx&amp;sheet=A0&amp;row=267&amp;col=12&amp;number=&amp;sourceID=11","")</f>
        <v/>
      </c>
      <c r="M267" s="4" t="str">
        <f>HYPERLINK("http://141.218.60.56/~jnz1568/getInfo.php?workbook=08_01.xlsx&amp;sheet=A0&amp;row=267&amp;col=13&amp;number=0&amp;sourceID=11","0")</f>
        <v>0</v>
      </c>
      <c r="N267" s="4" t="str">
        <f>HYPERLINK("http://141.218.60.56/~jnz1568/getInfo.php?workbook=08_01.xlsx&amp;sheet=A0&amp;row=267&amp;col=14&amp;number=2.327e-12&amp;sourceID=12","2.327e-12")</f>
        <v>2.327e-12</v>
      </c>
      <c r="O267" s="4" t="str">
        <f>HYPERLINK("http://141.218.60.56/~jnz1568/getInfo.php?workbook=08_01.xlsx&amp;sheet=A0&amp;row=267&amp;col=15&amp;number=&amp;sourceID=12","")</f>
        <v/>
      </c>
      <c r="P267" s="4" t="str">
        <f>HYPERLINK("http://141.218.60.56/~jnz1568/getInfo.php?workbook=08_01.xlsx&amp;sheet=A0&amp;row=267&amp;col=16&amp;number=2.327e-12&amp;sourceID=12","2.327e-12")</f>
        <v>2.327e-12</v>
      </c>
      <c r="Q267" s="4" t="str">
        <f>HYPERLINK("http://141.218.60.56/~jnz1568/getInfo.php?workbook=08_01.xlsx&amp;sheet=A0&amp;row=267&amp;col=17&amp;number=&amp;sourceID=12","")</f>
        <v/>
      </c>
      <c r="R267" s="4" t="str">
        <f>HYPERLINK("http://141.218.60.56/~jnz1568/getInfo.php?workbook=08_01.xlsx&amp;sheet=A0&amp;row=267&amp;col=18&amp;number=&amp;sourceID=12","")</f>
        <v/>
      </c>
      <c r="S267" s="4" t="str">
        <f>HYPERLINK("http://141.218.60.56/~jnz1568/getInfo.php?workbook=08_01.xlsx&amp;sheet=A0&amp;row=267&amp;col=19&amp;number=&amp;sourceID=12","")</f>
        <v/>
      </c>
      <c r="T267" s="4" t="str">
        <f>HYPERLINK("http://141.218.60.56/~jnz1568/getInfo.php?workbook=08_01.xlsx&amp;sheet=A0&amp;row=267&amp;col=20&amp;number=0&amp;sourceID=12","0")</f>
        <v>0</v>
      </c>
      <c r="U267" s="4" t="str">
        <f>HYPERLINK("http://141.218.60.56/~jnz1568/getInfo.php?workbook=08_01.xlsx&amp;sheet=A0&amp;row=267&amp;col=21&amp;number=2.327e-12&amp;sourceID=30","2.327e-12")</f>
        <v>2.327e-12</v>
      </c>
      <c r="V267" s="4" t="str">
        <f>HYPERLINK("http://141.218.60.56/~jnz1568/getInfo.php?workbook=08_01.xlsx&amp;sheet=A0&amp;row=267&amp;col=22&amp;number=&amp;sourceID=30","")</f>
        <v/>
      </c>
      <c r="W267" s="4" t="str">
        <f>HYPERLINK("http://141.218.60.56/~jnz1568/getInfo.php?workbook=08_01.xlsx&amp;sheet=A0&amp;row=267&amp;col=23&amp;number=2.327e-12&amp;sourceID=30","2.327e-12")</f>
        <v>2.327e-12</v>
      </c>
      <c r="X267" s="4" t="str">
        <f>HYPERLINK("http://141.218.60.56/~jnz1568/getInfo.php?workbook=08_01.xlsx&amp;sheet=A0&amp;row=267&amp;col=24&amp;number=&amp;sourceID=30","")</f>
        <v/>
      </c>
      <c r="Y267" s="4" t="str">
        <f>HYPERLINK("http://141.218.60.56/~jnz1568/getInfo.php?workbook=08_01.xlsx&amp;sheet=A0&amp;row=267&amp;col=25&amp;number=&amp;sourceID=30","")</f>
        <v/>
      </c>
      <c r="Z267" s="4" t="str">
        <f>HYPERLINK("http://141.218.60.56/~jnz1568/getInfo.php?workbook=08_01.xlsx&amp;sheet=A0&amp;row=267&amp;col=26&amp;number=&amp;sourceID=13","")</f>
        <v/>
      </c>
      <c r="AA267" s="4" t="str">
        <f>HYPERLINK("http://141.218.60.56/~jnz1568/getInfo.php?workbook=08_01.xlsx&amp;sheet=A0&amp;row=267&amp;col=27&amp;number=&amp;sourceID=13","")</f>
        <v/>
      </c>
      <c r="AB267" s="4" t="str">
        <f>HYPERLINK("http://141.218.60.56/~jnz1568/getInfo.php?workbook=08_01.xlsx&amp;sheet=A0&amp;row=267&amp;col=28&amp;number=&amp;sourceID=13","")</f>
        <v/>
      </c>
      <c r="AC267" s="4" t="str">
        <f>HYPERLINK("http://141.218.60.56/~jnz1568/getInfo.php?workbook=08_01.xlsx&amp;sheet=A0&amp;row=267&amp;col=29&amp;number=&amp;sourceID=13","")</f>
        <v/>
      </c>
      <c r="AD267" s="4" t="str">
        <f>HYPERLINK("http://141.218.60.56/~jnz1568/getInfo.php?workbook=08_01.xlsx&amp;sheet=A0&amp;row=267&amp;col=30&amp;number=&amp;sourceID=13","")</f>
        <v/>
      </c>
      <c r="AE267" s="4" t="str">
        <f>HYPERLINK("http://141.218.60.56/~jnz1568/getInfo.php?workbook=08_01.xlsx&amp;sheet=A0&amp;row=267&amp;col=31&amp;number=&amp;sourceID=13","")</f>
        <v/>
      </c>
      <c r="AF267" s="4" t="str">
        <f>HYPERLINK("http://141.218.60.56/~jnz1568/getInfo.php?workbook=08_01.xlsx&amp;sheet=A0&amp;row=267&amp;col=32&amp;number=&amp;sourceID=20","")</f>
        <v/>
      </c>
    </row>
    <row r="268" spans="1:32">
      <c r="A268" s="3">
        <v>8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HYPERLINK("http://141.218.60.56/~jnz1568/getInfo.php?workbook=08_01.xlsx&amp;sheet=A0&amp;row=268&amp;col=6&amp;number=&amp;sourceID=18","")</f>
        <v/>
      </c>
      <c r="G268" s="4" t="str">
        <f>HYPERLINK("http://141.218.60.56/~jnz1568/getInfo.php?workbook=08_01.xlsx&amp;sheet=A0&amp;row=268&amp;col=7&amp;number==&amp;sourceID=11","=")</f>
        <v>=</v>
      </c>
      <c r="H268" s="4" t="str">
        <f>HYPERLINK("http://141.218.60.56/~jnz1568/getInfo.php?workbook=08_01.xlsx&amp;sheet=A0&amp;row=268&amp;col=8&amp;number=&amp;sourceID=11","")</f>
        <v/>
      </c>
      <c r="I268" s="4" t="str">
        <f>HYPERLINK("http://141.218.60.56/~jnz1568/getInfo.php?workbook=08_01.xlsx&amp;sheet=A0&amp;row=268&amp;col=9&amp;number=1e-15&amp;sourceID=11","1e-15")</f>
        <v>1e-15</v>
      </c>
      <c r="J268" s="4" t="str">
        <f>HYPERLINK("http://141.218.60.56/~jnz1568/getInfo.php?workbook=08_01.xlsx&amp;sheet=A0&amp;row=268&amp;col=10&amp;number=&amp;sourceID=11","")</f>
        <v/>
      </c>
      <c r="K268" s="4" t="str">
        <f>HYPERLINK("http://141.218.60.56/~jnz1568/getInfo.php?workbook=08_01.xlsx&amp;sheet=A0&amp;row=268&amp;col=11&amp;number=4.7009e-08&amp;sourceID=11","4.7009e-08")</f>
        <v>4.7009e-08</v>
      </c>
      <c r="L268" s="4" t="str">
        <f>HYPERLINK("http://141.218.60.56/~jnz1568/getInfo.php?workbook=08_01.xlsx&amp;sheet=A0&amp;row=268&amp;col=12&amp;number=&amp;sourceID=11","")</f>
        <v/>
      </c>
      <c r="M268" s="4" t="str">
        <f>HYPERLINK("http://141.218.60.56/~jnz1568/getInfo.php?workbook=08_01.xlsx&amp;sheet=A0&amp;row=268&amp;col=13&amp;number=0&amp;sourceID=11","0")</f>
        <v>0</v>
      </c>
      <c r="N268" s="4" t="str">
        <f>HYPERLINK("http://141.218.60.56/~jnz1568/getInfo.php?workbook=08_01.xlsx&amp;sheet=A0&amp;row=268&amp;col=14&amp;number=4.702e-08&amp;sourceID=12","4.702e-08")</f>
        <v>4.702e-08</v>
      </c>
      <c r="O268" s="4" t="str">
        <f>HYPERLINK("http://141.218.60.56/~jnz1568/getInfo.php?workbook=08_01.xlsx&amp;sheet=A0&amp;row=268&amp;col=15&amp;number=&amp;sourceID=12","")</f>
        <v/>
      </c>
      <c r="P268" s="4" t="str">
        <f>HYPERLINK("http://141.218.60.56/~jnz1568/getInfo.php?workbook=08_01.xlsx&amp;sheet=A0&amp;row=268&amp;col=16&amp;number=1e-15&amp;sourceID=12","1e-15")</f>
        <v>1e-15</v>
      </c>
      <c r="Q268" s="4" t="str">
        <f>HYPERLINK("http://141.218.60.56/~jnz1568/getInfo.php?workbook=08_01.xlsx&amp;sheet=A0&amp;row=268&amp;col=17&amp;number=&amp;sourceID=12","")</f>
        <v/>
      </c>
      <c r="R268" s="4" t="str">
        <f>HYPERLINK("http://141.218.60.56/~jnz1568/getInfo.php?workbook=08_01.xlsx&amp;sheet=A0&amp;row=268&amp;col=18&amp;number=4.702e-08&amp;sourceID=12","4.702e-08")</f>
        <v>4.702e-08</v>
      </c>
      <c r="S268" s="4" t="str">
        <f>HYPERLINK("http://141.218.60.56/~jnz1568/getInfo.php?workbook=08_01.xlsx&amp;sheet=A0&amp;row=268&amp;col=19&amp;number=&amp;sourceID=12","")</f>
        <v/>
      </c>
      <c r="T268" s="4" t="str">
        <f>HYPERLINK("http://141.218.60.56/~jnz1568/getInfo.php?workbook=08_01.xlsx&amp;sheet=A0&amp;row=268&amp;col=20&amp;number=0&amp;sourceID=12","0")</f>
        <v>0</v>
      </c>
      <c r="U268" s="4" t="str">
        <f>HYPERLINK("http://141.218.60.56/~jnz1568/getInfo.php?workbook=08_01.xlsx&amp;sheet=A0&amp;row=268&amp;col=21&amp;number=4.7020001e-08&amp;sourceID=30","4.7020001e-08")</f>
        <v>4.7020001e-08</v>
      </c>
      <c r="V268" s="4" t="str">
        <f>HYPERLINK("http://141.218.60.56/~jnz1568/getInfo.php?workbook=08_01.xlsx&amp;sheet=A0&amp;row=268&amp;col=22&amp;number=&amp;sourceID=30","")</f>
        <v/>
      </c>
      <c r="W268" s="4" t="str">
        <f>HYPERLINK("http://141.218.60.56/~jnz1568/getInfo.php?workbook=08_01.xlsx&amp;sheet=A0&amp;row=268&amp;col=23&amp;number=1e-15&amp;sourceID=30","1e-15")</f>
        <v>1e-15</v>
      </c>
      <c r="X268" s="4" t="str">
        <f>HYPERLINK("http://141.218.60.56/~jnz1568/getInfo.php?workbook=08_01.xlsx&amp;sheet=A0&amp;row=268&amp;col=24&amp;number=4.702e-08&amp;sourceID=30","4.702e-08")</f>
        <v>4.702e-08</v>
      </c>
      <c r="Y268" s="4" t="str">
        <f>HYPERLINK("http://141.218.60.56/~jnz1568/getInfo.php?workbook=08_01.xlsx&amp;sheet=A0&amp;row=268&amp;col=25&amp;number=&amp;sourceID=30","")</f>
        <v/>
      </c>
      <c r="Z268" s="4" t="str">
        <f>HYPERLINK("http://141.218.60.56/~jnz1568/getInfo.php?workbook=08_01.xlsx&amp;sheet=A0&amp;row=268&amp;col=26&amp;number=&amp;sourceID=13","")</f>
        <v/>
      </c>
      <c r="AA268" s="4" t="str">
        <f>HYPERLINK("http://141.218.60.56/~jnz1568/getInfo.php?workbook=08_01.xlsx&amp;sheet=A0&amp;row=268&amp;col=27&amp;number=&amp;sourceID=13","")</f>
        <v/>
      </c>
      <c r="AB268" s="4" t="str">
        <f>HYPERLINK("http://141.218.60.56/~jnz1568/getInfo.php?workbook=08_01.xlsx&amp;sheet=A0&amp;row=268&amp;col=28&amp;number=&amp;sourceID=13","")</f>
        <v/>
      </c>
      <c r="AC268" s="4" t="str">
        <f>HYPERLINK("http://141.218.60.56/~jnz1568/getInfo.php?workbook=08_01.xlsx&amp;sheet=A0&amp;row=268&amp;col=29&amp;number=&amp;sourceID=13","")</f>
        <v/>
      </c>
      <c r="AD268" s="4" t="str">
        <f>HYPERLINK("http://141.218.60.56/~jnz1568/getInfo.php?workbook=08_01.xlsx&amp;sheet=A0&amp;row=268&amp;col=30&amp;number=&amp;sourceID=13","")</f>
        <v/>
      </c>
      <c r="AE268" s="4" t="str">
        <f>HYPERLINK("http://141.218.60.56/~jnz1568/getInfo.php?workbook=08_01.xlsx&amp;sheet=A0&amp;row=268&amp;col=31&amp;number=&amp;sourceID=13","")</f>
        <v/>
      </c>
      <c r="AF268" s="4" t="str">
        <f>HYPERLINK("http://141.218.60.56/~jnz1568/getInfo.php?workbook=08_01.xlsx&amp;sheet=A0&amp;row=268&amp;col=32&amp;number=&amp;sourceID=20","")</f>
        <v/>
      </c>
    </row>
    <row r="269" spans="1:32">
      <c r="A269" s="3">
        <v>8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HYPERLINK("http://141.218.60.56/~jnz1568/getInfo.php?workbook=08_01.xlsx&amp;sheet=A0&amp;row=269&amp;col=6&amp;number=&amp;sourceID=18","")</f>
        <v/>
      </c>
      <c r="G269" s="4" t="str">
        <f>HYPERLINK("http://141.218.60.56/~jnz1568/getInfo.php?workbook=08_01.xlsx&amp;sheet=A0&amp;row=269&amp;col=7&amp;number==&amp;sourceID=11","=")</f>
        <v>=</v>
      </c>
      <c r="H269" s="4" t="str">
        <f>HYPERLINK("http://141.218.60.56/~jnz1568/getInfo.php?workbook=08_01.xlsx&amp;sheet=A0&amp;row=269&amp;col=8&amp;number=0.049652&amp;sourceID=11","0.049652")</f>
        <v>0.049652</v>
      </c>
      <c r="I269" s="4" t="str">
        <f>HYPERLINK("http://141.218.60.56/~jnz1568/getInfo.php?workbook=08_01.xlsx&amp;sheet=A0&amp;row=269&amp;col=9&amp;number=&amp;sourceID=11","")</f>
        <v/>
      </c>
      <c r="J269" s="4" t="str">
        <f>HYPERLINK("http://141.218.60.56/~jnz1568/getInfo.php?workbook=08_01.xlsx&amp;sheet=A0&amp;row=269&amp;col=10&amp;number=0&amp;sourceID=11","0")</f>
        <v>0</v>
      </c>
      <c r="K269" s="4" t="str">
        <f>HYPERLINK("http://141.218.60.56/~jnz1568/getInfo.php?workbook=08_01.xlsx&amp;sheet=A0&amp;row=269&amp;col=11&amp;number=&amp;sourceID=11","")</f>
        <v/>
      </c>
      <c r="L269" s="4" t="str">
        <f>HYPERLINK("http://141.218.60.56/~jnz1568/getInfo.php?workbook=08_01.xlsx&amp;sheet=A0&amp;row=269&amp;col=12&amp;number=0&amp;sourceID=11","0")</f>
        <v>0</v>
      </c>
      <c r="M269" s="4" t="str">
        <f>HYPERLINK("http://141.218.60.56/~jnz1568/getInfo.php?workbook=08_01.xlsx&amp;sheet=A0&amp;row=269&amp;col=13&amp;number=&amp;sourceID=11","")</f>
        <v/>
      </c>
      <c r="N269" s="4" t="str">
        <f>HYPERLINK("http://141.218.60.56/~jnz1568/getInfo.php?workbook=08_01.xlsx&amp;sheet=A0&amp;row=269&amp;col=14&amp;number=0.049664&amp;sourceID=12","0.049664")</f>
        <v>0.049664</v>
      </c>
      <c r="O269" s="4" t="str">
        <f>HYPERLINK("http://141.218.60.56/~jnz1568/getInfo.php?workbook=08_01.xlsx&amp;sheet=A0&amp;row=269&amp;col=15&amp;number=0.049664&amp;sourceID=12","0.049664")</f>
        <v>0.049664</v>
      </c>
      <c r="P269" s="4" t="str">
        <f>HYPERLINK("http://141.218.60.56/~jnz1568/getInfo.php?workbook=08_01.xlsx&amp;sheet=A0&amp;row=269&amp;col=16&amp;number=&amp;sourceID=12","")</f>
        <v/>
      </c>
      <c r="Q269" s="4" t="str">
        <f>HYPERLINK("http://141.218.60.56/~jnz1568/getInfo.php?workbook=08_01.xlsx&amp;sheet=A0&amp;row=269&amp;col=17&amp;number=0&amp;sourceID=12","0")</f>
        <v>0</v>
      </c>
      <c r="R269" s="4" t="str">
        <f>HYPERLINK("http://141.218.60.56/~jnz1568/getInfo.php?workbook=08_01.xlsx&amp;sheet=A0&amp;row=269&amp;col=18&amp;number=&amp;sourceID=12","")</f>
        <v/>
      </c>
      <c r="S269" s="4" t="str">
        <f>HYPERLINK("http://141.218.60.56/~jnz1568/getInfo.php?workbook=08_01.xlsx&amp;sheet=A0&amp;row=269&amp;col=19&amp;number=0&amp;sourceID=12","0")</f>
        <v>0</v>
      </c>
      <c r="T269" s="4" t="str">
        <f>HYPERLINK("http://141.218.60.56/~jnz1568/getInfo.php?workbook=08_01.xlsx&amp;sheet=A0&amp;row=269&amp;col=20&amp;number=&amp;sourceID=12","")</f>
        <v/>
      </c>
      <c r="U269" s="4" t="str">
        <f>HYPERLINK("http://141.218.60.56/~jnz1568/getInfo.php?workbook=08_01.xlsx&amp;sheet=A0&amp;row=269&amp;col=21&amp;number=0.04966&amp;sourceID=30","0.04966")</f>
        <v>0.04966</v>
      </c>
      <c r="V269" s="4" t="str">
        <f>HYPERLINK("http://141.218.60.56/~jnz1568/getInfo.php?workbook=08_01.xlsx&amp;sheet=A0&amp;row=269&amp;col=22&amp;number=0.04966&amp;sourceID=30","0.04966")</f>
        <v>0.04966</v>
      </c>
      <c r="W269" s="4" t="str">
        <f>HYPERLINK("http://141.218.60.56/~jnz1568/getInfo.php?workbook=08_01.xlsx&amp;sheet=A0&amp;row=269&amp;col=23&amp;number=&amp;sourceID=30","")</f>
        <v/>
      </c>
      <c r="X269" s="4" t="str">
        <f>HYPERLINK("http://141.218.60.56/~jnz1568/getInfo.php?workbook=08_01.xlsx&amp;sheet=A0&amp;row=269&amp;col=24&amp;number=&amp;sourceID=30","")</f>
        <v/>
      </c>
      <c r="Y269" s="4" t="str">
        <f>HYPERLINK("http://141.218.60.56/~jnz1568/getInfo.php?workbook=08_01.xlsx&amp;sheet=A0&amp;row=269&amp;col=25&amp;number=0&amp;sourceID=30","0")</f>
        <v>0</v>
      </c>
      <c r="Z269" s="4" t="str">
        <f>HYPERLINK("http://141.218.60.56/~jnz1568/getInfo.php?workbook=08_01.xlsx&amp;sheet=A0&amp;row=269&amp;col=26&amp;number=&amp;sourceID=13","")</f>
        <v/>
      </c>
      <c r="AA269" s="4" t="str">
        <f>HYPERLINK("http://141.218.60.56/~jnz1568/getInfo.php?workbook=08_01.xlsx&amp;sheet=A0&amp;row=269&amp;col=27&amp;number=&amp;sourceID=13","")</f>
        <v/>
      </c>
      <c r="AB269" s="4" t="str">
        <f>HYPERLINK("http://141.218.60.56/~jnz1568/getInfo.php?workbook=08_01.xlsx&amp;sheet=A0&amp;row=269&amp;col=28&amp;number=&amp;sourceID=13","")</f>
        <v/>
      </c>
      <c r="AC269" s="4" t="str">
        <f>HYPERLINK("http://141.218.60.56/~jnz1568/getInfo.php?workbook=08_01.xlsx&amp;sheet=A0&amp;row=269&amp;col=29&amp;number=&amp;sourceID=13","")</f>
        <v/>
      </c>
      <c r="AD269" s="4" t="str">
        <f>HYPERLINK("http://141.218.60.56/~jnz1568/getInfo.php?workbook=08_01.xlsx&amp;sheet=A0&amp;row=269&amp;col=30&amp;number=&amp;sourceID=13","")</f>
        <v/>
      </c>
      <c r="AE269" s="4" t="str">
        <f>HYPERLINK("http://141.218.60.56/~jnz1568/getInfo.php?workbook=08_01.xlsx&amp;sheet=A0&amp;row=269&amp;col=31&amp;number=&amp;sourceID=13","")</f>
        <v/>
      </c>
      <c r="AF269" s="4" t="str">
        <f>HYPERLINK("http://141.218.60.56/~jnz1568/getInfo.php?workbook=08_01.xlsx&amp;sheet=A0&amp;row=269&amp;col=32&amp;number=&amp;sourceID=20","")</f>
        <v/>
      </c>
    </row>
    <row r="270" spans="1:32">
      <c r="A270" s="3">
        <v>8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HYPERLINK("http://141.218.60.56/~jnz1568/getInfo.php?workbook=08_01.xlsx&amp;sheet=A0&amp;row=270&amp;col=6&amp;number=&amp;sourceID=18","")</f>
        <v/>
      </c>
      <c r="G270" s="4" t="str">
        <f>HYPERLINK("http://141.218.60.56/~jnz1568/getInfo.php?workbook=08_01.xlsx&amp;sheet=A0&amp;row=270&amp;col=7&amp;number==&amp;sourceID=11","=")</f>
        <v>=</v>
      </c>
      <c r="H270" s="4" t="str">
        <f>HYPERLINK("http://141.218.60.56/~jnz1568/getInfo.php?workbook=08_01.xlsx&amp;sheet=A0&amp;row=270&amp;col=8&amp;number=&amp;sourceID=11","")</f>
        <v/>
      </c>
      <c r="I270" s="4" t="str">
        <f>HYPERLINK("http://141.218.60.56/~jnz1568/getInfo.php?workbook=08_01.xlsx&amp;sheet=A0&amp;row=270&amp;col=9&amp;number=&amp;sourceID=11","")</f>
        <v/>
      </c>
      <c r="J270" s="4" t="str">
        <f>HYPERLINK("http://141.218.60.56/~jnz1568/getInfo.php?workbook=08_01.xlsx&amp;sheet=A0&amp;row=270&amp;col=10&amp;number=561.82&amp;sourceID=11","561.82")</f>
        <v>561.82</v>
      </c>
      <c r="K270" s="4" t="str">
        <f>HYPERLINK("http://141.218.60.56/~jnz1568/getInfo.php?workbook=08_01.xlsx&amp;sheet=A0&amp;row=270&amp;col=11&amp;number=&amp;sourceID=11","")</f>
        <v/>
      </c>
      <c r="L270" s="4" t="str">
        <f>HYPERLINK("http://141.218.60.56/~jnz1568/getInfo.php?workbook=08_01.xlsx&amp;sheet=A0&amp;row=270&amp;col=12&amp;number=&amp;sourceID=11","")</f>
        <v/>
      </c>
      <c r="M270" s="4" t="str">
        <f>HYPERLINK("http://141.218.60.56/~jnz1568/getInfo.php?workbook=08_01.xlsx&amp;sheet=A0&amp;row=270&amp;col=13&amp;number=&amp;sourceID=11","")</f>
        <v/>
      </c>
      <c r="N270" s="4" t="str">
        <f>HYPERLINK("http://141.218.60.56/~jnz1568/getInfo.php?workbook=08_01.xlsx&amp;sheet=A0&amp;row=270&amp;col=14&amp;number=561.84&amp;sourceID=12","561.84")</f>
        <v>561.84</v>
      </c>
      <c r="O270" s="4" t="str">
        <f>HYPERLINK("http://141.218.60.56/~jnz1568/getInfo.php?workbook=08_01.xlsx&amp;sheet=A0&amp;row=270&amp;col=15&amp;number=&amp;sourceID=12","")</f>
        <v/>
      </c>
      <c r="P270" s="4" t="str">
        <f>HYPERLINK("http://141.218.60.56/~jnz1568/getInfo.php?workbook=08_01.xlsx&amp;sheet=A0&amp;row=270&amp;col=16&amp;number=&amp;sourceID=12","")</f>
        <v/>
      </c>
      <c r="Q270" s="4" t="str">
        <f>HYPERLINK("http://141.218.60.56/~jnz1568/getInfo.php?workbook=08_01.xlsx&amp;sheet=A0&amp;row=270&amp;col=17&amp;number=561.84&amp;sourceID=12","561.84")</f>
        <v>561.84</v>
      </c>
      <c r="R270" s="4" t="str">
        <f>HYPERLINK("http://141.218.60.56/~jnz1568/getInfo.php?workbook=08_01.xlsx&amp;sheet=A0&amp;row=270&amp;col=18&amp;number=&amp;sourceID=12","")</f>
        <v/>
      </c>
      <c r="S270" s="4" t="str">
        <f>HYPERLINK("http://141.218.60.56/~jnz1568/getInfo.php?workbook=08_01.xlsx&amp;sheet=A0&amp;row=270&amp;col=19&amp;number=&amp;sourceID=12","")</f>
        <v/>
      </c>
      <c r="T270" s="4" t="str">
        <f>HYPERLINK("http://141.218.60.56/~jnz1568/getInfo.php?workbook=08_01.xlsx&amp;sheet=A0&amp;row=270&amp;col=20&amp;number=&amp;sourceID=12","")</f>
        <v/>
      </c>
      <c r="U270" s="4" t="str">
        <f>HYPERLINK("http://141.218.60.56/~jnz1568/getInfo.php?workbook=08_01.xlsx&amp;sheet=A0&amp;row=270&amp;col=21&amp;number=&amp;sourceID=30","")</f>
        <v/>
      </c>
      <c r="V270" s="4" t="str">
        <f>HYPERLINK("http://141.218.60.56/~jnz1568/getInfo.php?workbook=08_01.xlsx&amp;sheet=A0&amp;row=270&amp;col=22&amp;number=&amp;sourceID=30","")</f>
        <v/>
      </c>
      <c r="W270" s="4" t="str">
        <f>HYPERLINK("http://141.218.60.56/~jnz1568/getInfo.php?workbook=08_01.xlsx&amp;sheet=A0&amp;row=270&amp;col=23&amp;number=&amp;sourceID=30","")</f>
        <v/>
      </c>
      <c r="X270" s="4" t="str">
        <f>HYPERLINK("http://141.218.60.56/~jnz1568/getInfo.php?workbook=08_01.xlsx&amp;sheet=A0&amp;row=270&amp;col=24&amp;number=&amp;sourceID=30","")</f>
        <v/>
      </c>
      <c r="Y270" s="4" t="str">
        <f>HYPERLINK("http://141.218.60.56/~jnz1568/getInfo.php?workbook=08_01.xlsx&amp;sheet=A0&amp;row=270&amp;col=25&amp;number=&amp;sourceID=30","")</f>
        <v/>
      </c>
      <c r="Z270" s="4" t="str">
        <f>HYPERLINK("http://141.218.60.56/~jnz1568/getInfo.php?workbook=08_01.xlsx&amp;sheet=A0&amp;row=270&amp;col=26&amp;number=&amp;sourceID=13","")</f>
        <v/>
      </c>
      <c r="AA270" s="4" t="str">
        <f>HYPERLINK("http://141.218.60.56/~jnz1568/getInfo.php?workbook=08_01.xlsx&amp;sheet=A0&amp;row=270&amp;col=27&amp;number=&amp;sourceID=13","")</f>
        <v/>
      </c>
      <c r="AB270" s="4" t="str">
        <f>HYPERLINK("http://141.218.60.56/~jnz1568/getInfo.php?workbook=08_01.xlsx&amp;sheet=A0&amp;row=270&amp;col=28&amp;number=&amp;sourceID=13","")</f>
        <v/>
      </c>
      <c r="AC270" s="4" t="str">
        <f>HYPERLINK("http://141.218.60.56/~jnz1568/getInfo.php?workbook=08_01.xlsx&amp;sheet=A0&amp;row=270&amp;col=29&amp;number=&amp;sourceID=13","")</f>
        <v/>
      </c>
      <c r="AD270" s="4" t="str">
        <f>HYPERLINK("http://141.218.60.56/~jnz1568/getInfo.php?workbook=08_01.xlsx&amp;sheet=A0&amp;row=270&amp;col=30&amp;number=&amp;sourceID=13","")</f>
        <v/>
      </c>
      <c r="AE270" s="4" t="str">
        <f>HYPERLINK("http://141.218.60.56/~jnz1568/getInfo.php?workbook=08_01.xlsx&amp;sheet=A0&amp;row=270&amp;col=31&amp;number=&amp;sourceID=13","")</f>
        <v/>
      </c>
      <c r="AF270" s="4" t="str">
        <f>HYPERLINK("http://141.218.60.56/~jnz1568/getInfo.php?workbook=08_01.xlsx&amp;sheet=A0&amp;row=270&amp;col=32&amp;number=&amp;sourceID=20","")</f>
        <v/>
      </c>
    </row>
    <row r="271" spans="1:32">
      <c r="A271" s="3">
        <v>8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HYPERLINK("http://141.218.60.56/~jnz1568/getInfo.php?workbook=08_01.xlsx&amp;sheet=A0&amp;row=271&amp;col=6&amp;number=&amp;sourceID=18","")</f>
        <v/>
      </c>
      <c r="G271" s="4" t="str">
        <f>HYPERLINK("http://141.218.60.56/~jnz1568/getInfo.php?workbook=08_01.xlsx&amp;sheet=A0&amp;row=271&amp;col=7&amp;number==&amp;sourceID=11","=")</f>
        <v>=</v>
      </c>
      <c r="H271" s="4" t="str">
        <f>HYPERLINK("http://141.218.60.56/~jnz1568/getInfo.php?workbook=08_01.xlsx&amp;sheet=A0&amp;row=271&amp;col=8&amp;number=&amp;sourceID=11","")</f>
        <v/>
      </c>
      <c r="I271" s="4" t="str">
        <f>HYPERLINK("http://141.218.60.56/~jnz1568/getInfo.php?workbook=08_01.xlsx&amp;sheet=A0&amp;row=271&amp;col=9&amp;number=&amp;sourceID=11","")</f>
        <v/>
      </c>
      <c r="J271" s="4" t="str">
        <f>HYPERLINK("http://141.218.60.56/~jnz1568/getInfo.php?workbook=08_01.xlsx&amp;sheet=A0&amp;row=271&amp;col=10&amp;number=&amp;sourceID=11","")</f>
        <v/>
      </c>
      <c r="K271" s="4" t="str">
        <f>HYPERLINK("http://141.218.60.56/~jnz1568/getInfo.php?workbook=08_01.xlsx&amp;sheet=A0&amp;row=271&amp;col=11&amp;number=&amp;sourceID=11","")</f>
        <v/>
      </c>
      <c r="L271" s="4" t="str">
        <f>HYPERLINK("http://141.218.60.56/~jnz1568/getInfo.php?workbook=08_01.xlsx&amp;sheet=A0&amp;row=271&amp;col=12&amp;number=&amp;sourceID=11","")</f>
        <v/>
      </c>
      <c r="M271" s="4" t="str">
        <f>HYPERLINK("http://141.218.60.56/~jnz1568/getInfo.php?workbook=08_01.xlsx&amp;sheet=A0&amp;row=271&amp;col=13&amp;number=0.0038349&amp;sourceID=11","0.0038349")</f>
        <v>0.0038349</v>
      </c>
      <c r="N271" s="4" t="str">
        <f>HYPERLINK("http://141.218.60.56/~jnz1568/getInfo.php?workbook=08_01.xlsx&amp;sheet=A0&amp;row=271&amp;col=14&amp;number=0.003835&amp;sourceID=12","0.003835")</f>
        <v>0.003835</v>
      </c>
      <c r="O271" s="4" t="str">
        <f>HYPERLINK("http://141.218.60.56/~jnz1568/getInfo.php?workbook=08_01.xlsx&amp;sheet=A0&amp;row=271&amp;col=15&amp;number=&amp;sourceID=12","")</f>
        <v/>
      </c>
      <c r="P271" s="4" t="str">
        <f>HYPERLINK("http://141.218.60.56/~jnz1568/getInfo.php?workbook=08_01.xlsx&amp;sheet=A0&amp;row=271&amp;col=16&amp;number=&amp;sourceID=12","")</f>
        <v/>
      </c>
      <c r="Q271" s="4" t="str">
        <f>HYPERLINK("http://141.218.60.56/~jnz1568/getInfo.php?workbook=08_01.xlsx&amp;sheet=A0&amp;row=271&amp;col=17&amp;number=&amp;sourceID=12","")</f>
        <v/>
      </c>
      <c r="R271" s="4" t="str">
        <f>HYPERLINK("http://141.218.60.56/~jnz1568/getInfo.php?workbook=08_01.xlsx&amp;sheet=A0&amp;row=271&amp;col=18&amp;number=&amp;sourceID=12","")</f>
        <v/>
      </c>
      <c r="S271" s="4" t="str">
        <f>HYPERLINK("http://141.218.60.56/~jnz1568/getInfo.php?workbook=08_01.xlsx&amp;sheet=A0&amp;row=271&amp;col=19&amp;number=&amp;sourceID=12","")</f>
        <v/>
      </c>
      <c r="T271" s="4" t="str">
        <f>HYPERLINK("http://141.218.60.56/~jnz1568/getInfo.php?workbook=08_01.xlsx&amp;sheet=A0&amp;row=271&amp;col=20&amp;number=0.003835&amp;sourceID=12","0.003835")</f>
        <v>0.003835</v>
      </c>
      <c r="U271" s="4" t="str">
        <f>HYPERLINK("http://141.218.60.56/~jnz1568/getInfo.php?workbook=08_01.xlsx&amp;sheet=A0&amp;row=271&amp;col=21&amp;number=&amp;sourceID=30","")</f>
        <v/>
      </c>
      <c r="V271" s="4" t="str">
        <f>HYPERLINK("http://141.218.60.56/~jnz1568/getInfo.php?workbook=08_01.xlsx&amp;sheet=A0&amp;row=271&amp;col=22&amp;number=&amp;sourceID=30","")</f>
        <v/>
      </c>
      <c r="W271" s="4" t="str">
        <f>HYPERLINK("http://141.218.60.56/~jnz1568/getInfo.php?workbook=08_01.xlsx&amp;sheet=A0&amp;row=271&amp;col=23&amp;number=&amp;sourceID=30","")</f>
        <v/>
      </c>
      <c r="X271" s="4" t="str">
        <f>HYPERLINK("http://141.218.60.56/~jnz1568/getInfo.php?workbook=08_01.xlsx&amp;sheet=A0&amp;row=271&amp;col=24&amp;number=&amp;sourceID=30","")</f>
        <v/>
      </c>
      <c r="Y271" s="4" t="str">
        <f>HYPERLINK("http://141.218.60.56/~jnz1568/getInfo.php?workbook=08_01.xlsx&amp;sheet=A0&amp;row=271&amp;col=25&amp;number=&amp;sourceID=30","")</f>
        <v/>
      </c>
      <c r="Z271" s="4" t="str">
        <f>HYPERLINK("http://141.218.60.56/~jnz1568/getInfo.php?workbook=08_01.xlsx&amp;sheet=A0&amp;row=271&amp;col=26&amp;number=&amp;sourceID=13","")</f>
        <v/>
      </c>
      <c r="AA271" s="4" t="str">
        <f>HYPERLINK("http://141.218.60.56/~jnz1568/getInfo.php?workbook=08_01.xlsx&amp;sheet=A0&amp;row=271&amp;col=27&amp;number=&amp;sourceID=13","")</f>
        <v/>
      </c>
      <c r="AB271" s="4" t="str">
        <f>HYPERLINK("http://141.218.60.56/~jnz1568/getInfo.php?workbook=08_01.xlsx&amp;sheet=A0&amp;row=271&amp;col=28&amp;number=&amp;sourceID=13","")</f>
        <v/>
      </c>
      <c r="AC271" s="4" t="str">
        <f>HYPERLINK("http://141.218.60.56/~jnz1568/getInfo.php?workbook=08_01.xlsx&amp;sheet=A0&amp;row=271&amp;col=29&amp;number=&amp;sourceID=13","")</f>
        <v/>
      </c>
      <c r="AD271" s="4" t="str">
        <f>HYPERLINK("http://141.218.60.56/~jnz1568/getInfo.php?workbook=08_01.xlsx&amp;sheet=A0&amp;row=271&amp;col=30&amp;number=&amp;sourceID=13","")</f>
        <v/>
      </c>
      <c r="AE271" s="4" t="str">
        <f>HYPERLINK("http://141.218.60.56/~jnz1568/getInfo.php?workbook=08_01.xlsx&amp;sheet=A0&amp;row=271&amp;col=31&amp;number=&amp;sourceID=13","")</f>
        <v/>
      </c>
      <c r="AF271" s="4" t="str">
        <f>HYPERLINK("http://141.218.60.56/~jnz1568/getInfo.php?workbook=08_01.xlsx&amp;sheet=A0&amp;row=271&amp;col=32&amp;number=&amp;sourceID=20","")</f>
        <v/>
      </c>
    </row>
    <row r="272" spans="1:32">
      <c r="A272" s="3">
        <v>8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HYPERLINK("http://141.218.60.56/~jnz1568/getInfo.php?workbook=08_01.xlsx&amp;sheet=A0&amp;row=272&amp;col=6&amp;number=&amp;sourceID=18","")</f>
        <v/>
      </c>
      <c r="G272" s="4" t="str">
        <f>HYPERLINK("http://141.218.60.56/~jnz1568/getInfo.php?workbook=08_01.xlsx&amp;sheet=A0&amp;row=272&amp;col=7&amp;number==&amp;sourceID=11","=")</f>
        <v>=</v>
      </c>
      <c r="H272" s="4" t="str">
        <f>HYPERLINK("http://141.218.60.56/~jnz1568/getInfo.php?workbook=08_01.xlsx&amp;sheet=A0&amp;row=272&amp;col=8&amp;number=&amp;sourceID=11","")</f>
        <v/>
      </c>
      <c r="I272" s="4" t="str">
        <f>HYPERLINK("http://141.218.60.56/~jnz1568/getInfo.php?workbook=08_01.xlsx&amp;sheet=A0&amp;row=272&amp;col=9&amp;number=&amp;sourceID=11","")</f>
        <v/>
      </c>
      <c r="J272" s="4" t="str">
        <f>HYPERLINK("http://141.218.60.56/~jnz1568/getInfo.php?workbook=08_01.xlsx&amp;sheet=A0&amp;row=272&amp;col=10&amp;number=237.7&amp;sourceID=11","237.7")</f>
        <v>237.7</v>
      </c>
      <c r="K272" s="4" t="str">
        <f>HYPERLINK("http://141.218.60.56/~jnz1568/getInfo.php?workbook=08_01.xlsx&amp;sheet=A0&amp;row=272&amp;col=11&amp;number=&amp;sourceID=11","")</f>
        <v/>
      </c>
      <c r="L272" s="4" t="str">
        <f>HYPERLINK("http://141.218.60.56/~jnz1568/getInfo.php?workbook=08_01.xlsx&amp;sheet=A0&amp;row=272&amp;col=12&amp;number=&amp;sourceID=11","")</f>
        <v/>
      </c>
      <c r="M272" s="4" t="str">
        <f>HYPERLINK("http://141.218.60.56/~jnz1568/getInfo.php?workbook=08_01.xlsx&amp;sheet=A0&amp;row=272&amp;col=13&amp;number=&amp;sourceID=11","")</f>
        <v/>
      </c>
      <c r="N272" s="4" t="str">
        <f>HYPERLINK("http://141.218.60.56/~jnz1568/getInfo.php?workbook=08_01.xlsx&amp;sheet=A0&amp;row=272&amp;col=14&amp;number=237.7&amp;sourceID=12","237.7")</f>
        <v>237.7</v>
      </c>
      <c r="O272" s="4" t="str">
        <f>HYPERLINK("http://141.218.60.56/~jnz1568/getInfo.php?workbook=08_01.xlsx&amp;sheet=A0&amp;row=272&amp;col=15&amp;number=&amp;sourceID=12","")</f>
        <v/>
      </c>
      <c r="P272" s="4" t="str">
        <f>HYPERLINK("http://141.218.60.56/~jnz1568/getInfo.php?workbook=08_01.xlsx&amp;sheet=A0&amp;row=272&amp;col=16&amp;number=&amp;sourceID=12","")</f>
        <v/>
      </c>
      <c r="Q272" s="4" t="str">
        <f>HYPERLINK("http://141.218.60.56/~jnz1568/getInfo.php?workbook=08_01.xlsx&amp;sheet=A0&amp;row=272&amp;col=17&amp;number=237.7&amp;sourceID=12","237.7")</f>
        <v>237.7</v>
      </c>
      <c r="R272" s="4" t="str">
        <f>HYPERLINK("http://141.218.60.56/~jnz1568/getInfo.php?workbook=08_01.xlsx&amp;sheet=A0&amp;row=272&amp;col=18&amp;number=&amp;sourceID=12","")</f>
        <v/>
      </c>
      <c r="S272" s="4" t="str">
        <f>HYPERLINK("http://141.218.60.56/~jnz1568/getInfo.php?workbook=08_01.xlsx&amp;sheet=A0&amp;row=272&amp;col=19&amp;number=&amp;sourceID=12","")</f>
        <v/>
      </c>
      <c r="T272" s="4" t="str">
        <f>HYPERLINK("http://141.218.60.56/~jnz1568/getInfo.php?workbook=08_01.xlsx&amp;sheet=A0&amp;row=272&amp;col=20&amp;number=&amp;sourceID=12","")</f>
        <v/>
      </c>
      <c r="U272" s="4" t="str">
        <f>HYPERLINK("http://141.218.60.56/~jnz1568/getInfo.php?workbook=08_01.xlsx&amp;sheet=A0&amp;row=272&amp;col=21&amp;number=&amp;sourceID=30","")</f>
        <v/>
      </c>
      <c r="V272" s="4" t="str">
        <f>HYPERLINK("http://141.218.60.56/~jnz1568/getInfo.php?workbook=08_01.xlsx&amp;sheet=A0&amp;row=272&amp;col=22&amp;number=&amp;sourceID=30","")</f>
        <v/>
      </c>
      <c r="W272" s="4" t="str">
        <f>HYPERLINK("http://141.218.60.56/~jnz1568/getInfo.php?workbook=08_01.xlsx&amp;sheet=A0&amp;row=272&amp;col=23&amp;number=&amp;sourceID=30","")</f>
        <v/>
      </c>
      <c r="X272" s="4" t="str">
        <f>HYPERLINK("http://141.218.60.56/~jnz1568/getInfo.php?workbook=08_01.xlsx&amp;sheet=A0&amp;row=272&amp;col=24&amp;number=&amp;sourceID=30","")</f>
        <v/>
      </c>
      <c r="Y272" s="4" t="str">
        <f>HYPERLINK("http://141.218.60.56/~jnz1568/getInfo.php?workbook=08_01.xlsx&amp;sheet=A0&amp;row=272&amp;col=25&amp;number=&amp;sourceID=30","")</f>
        <v/>
      </c>
      <c r="Z272" s="4" t="str">
        <f>HYPERLINK("http://141.218.60.56/~jnz1568/getInfo.php?workbook=08_01.xlsx&amp;sheet=A0&amp;row=272&amp;col=26&amp;number=&amp;sourceID=13","")</f>
        <v/>
      </c>
      <c r="AA272" s="4" t="str">
        <f>HYPERLINK("http://141.218.60.56/~jnz1568/getInfo.php?workbook=08_01.xlsx&amp;sheet=A0&amp;row=272&amp;col=27&amp;number=&amp;sourceID=13","")</f>
        <v/>
      </c>
      <c r="AB272" s="4" t="str">
        <f>HYPERLINK("http://141.218.60.56/~jnz1568/getInfo.php?workbook=08_01.xlsx&amp;sheet=A0&amp;row=272&amp;col=28&amp;number=&amp;sourceID=13","")</f>
        <v/>
      </c>
      <c r="AC272" s="4" t="str">
        <f>HYPERLINK("http://141.218.60.56/~jnz1568/getInfo.php?workbook=08_01.xlsx&amp;sheet=A0&amp;row=272&amp;col=29&amp;number=&amp;sourceID=13","")</f>
        <v/>
      </c>
      <c r="AD272" s="4" t="str">
        <f>HYPERLINK("http://141.218.60.56/~jnz1568/getInfo.php?workbook=08_01.xlsx&amp;sheet=A0&amp;row=272&amp;col=30&amp;number=&amp;sourceID=13","")</f>
        <v/>
      </c>
      <c r="AE272" s="4" t="str">
        <f>HYPERLINK("http://141.218.60.56/~jnz1568/getInfo.php?workbook=08_01.xlsx&amp;sheet=A0&amp;row=272&amp;col=31&amp;number=&amp;sourceID=13","")</f>
        <v/>
      </c>
      <c r="AF272" s="4" t="str">
        <f>HYPERLINK("http://141.218.60.56/~jnz1568/getInfo.php?workbook=08_01.xlsx&amp;sheet=A0&amp;row=272&amp;col=32&amp;number=&amp;sourceID=20","")</f>
        <v/>
      </c>
    </row>
    <row r="273" spans="1:32">
      <c r="A273" s="3">
        <v>8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HYPERLINK("http://141.218.60.56/~jnz1568/getInfo.php?workbook=08_01.xlsx&amp;sheet=A0&amp;row=273&amp;col=6&amp;number=&amp;sourceID=18","")</f>
        <v/>
      </c>
      <c r="G273" s="4" t="str">
        <f>HYPERLINK("http://141.218.60.56/~jnz1568/getInfo.php?workbook=08_01.xlsx&amp;sheet=A0&amp;row=273&amp;col=7&amp;number==&amp;sourceID=11","=")</f>
        <v>=</v>
      </c>
      <c r="H273" s="4" t="str">
        <f>HYPERLINK("http://141.218.60.56/~jnz1568/getInfo.php?workbook=08_01.xlsx&amp;sheet=A0&amp;row=273&amp;col=8&amp;number=&amp;sourceID=11","")</f>
        <v/>
      </c>
      <c r="I273" s="4" t="str">
        <f>HYPERLINK("http://141.218.60.56/~jnz1568/getInfo.php?workbook=08_01.xlsx&amp;sheet=A0&amp;row=273&amp;col=9&amp;number=3044000&amp;sourceID=11","3044000")</f>
        <v>3044000</v>
      </c>
      <c r="J273" s="4" t="str">
        <f>HYPERLINK("http://141.218.60.56/~jnz1568/getInfo.php?workbook=08_01.xlsx&amp;sheet=A0&amp;row=273&amp;col=10&amp;number=&amp;sourceID=11","")</f>
        <v/>
      </c>
      <c r="K273" s="4" t="str">
        <f>HYPERLINK("http://141.218.60.56/~jnz1568/getInfo.php?workbook=08_01.xlsx&amp;sheet=A0&amp;row=273&amp;col=11&amp;number=&amp;sourceID=11","")</f>
        <v/>
      </c>
      <c r="L273" s="4" t="str">
        <f>HYPERLINK("http://141.218.60.56/~jnz1568/getInfo.php?workbook=08_01.xlsx&amp;sheet=A0&amp;row=273&amp;col=12&amp;number=&amp;sourceID=11","")</f>
        <v/>
      </c>
      <c r="M273" s="4" t="str">
        <f>HYPERLINK("http://141.218.60.56/~jnz1568/getInfo.php?workbook=08_01.xlsx&amp;sheet=A0&amp;row=273&amp;col=13&amp;number=0.01249&amp;sourceID=11","0.01249")</f>
        <v>0.01249</v>
      </c>
      <c r="N273" s="4" t="str">
        <f>HYPERLINK("http://141.218.60.56/~jnz1568/getInfo.php?workbook=08_01.xlsx&amp;sheet=A0&amp;row=273&amp;col=14&amp;number=3044100&amp;sourceID=12","3044100")</f>
        <v>3044100</v>
      </c>
      <c r="O273" s="4" t="str">
        <f>HYPERLINK("http://141.218.60.56/~jnz1568/getInfo.php?workbook=08_01.xlsx&amp;sheet=A0&amp;row=273&amp;col=15&amp;number=&amp;sourceID=12","")</f>
        <v/>
      </c>
      <c r="P273" s="4" t="str">
        <f>HYPERLINK("http://141.218.60.56/~jnz1568/getInfo.php?workbook=08_01.xlsx&amp;sheet=A0&amp;row=273&amp;col=16&amp;number=3044100&amp;sourceID=12","3044100")</f>
        <v>3044100</v>
      </c>
      <c r="Q273" s="4" t="str">
        <f>HYPERLINK("http://141.218.60.56/~jnz1568/getInfo.php?workbook=08_01.xlsx&amp;sheet=A0&amp;row=273&amp;col=17&amp;number=&amp;sourceID=12","")</f>
        <v/>
      </c>
      <c r="R273" s="4" t="str">
        <f>HYPERLINK("http://141.218.60.56/~jnz1568/getInfo.php?workbook=08_01.xlsx&amp;sheet=A0&amp;row=273&amp;col=18&amp;number=&amp;sourceID=12","")</f>
        <v/>
      </c>
      <c r="S273" s="4" t="str">
        <f>HYPERLINK("http://141.218.60.56/~jnz1568/getInfo.php?workbook=08_01.xlsx&amp;sheet=A0&amp;row=273&amp;col=19&amp;number=&amp;sourceID=12","")</f>
        <v/>
      </c>
      <c r="T273" s="4" t="str">
        <f>HYPERLINK("http://141.218.60.56/~jnz1568/getInfo.php?workbook=08_01.xlsx&amp;sheet=A0&amp;row=273&amp;col=20&amp;number=0.01249&amp;sourceID=12","0.01249")</f>
        <v>0.01249</v>
      </c>
      <c r="U273" s="4" t="str">
        <f>HYPERLINK("http://141.218.60.56/~jnz1568/getInfo.php?workbook=08_01.xlsx&amp;sheet=A0&amp;row=273&amp;col=21&amp;number=3044000&amp;sourceID=30","3044000")</f>
        <v>3044000</v>
      </c>
      <c r="V273" s="4" t="str">
        <f>HYPERLINK("http://141.218.60.56/~jnz1568/getInfo.php?workbook=08_01.xlsx&amp;sheet=A0&amp;row=273&amp;col=22&amp;number=&amp;sourceID=30","")</f>
        <v/>
      </c>
      <c r="W273" s="4" t="str">
        <f>HYPERLINK("http://141.218.60.56/~jnz1568/getInfo.php?workbook=08_01.xlsx&amp;sheet=A0&amp;row=273&amp;col=23&amp;number=3044000&amp;sourceID=30","3044000")</f>
        <v>3044000</v>
      </c>
      <c r="X273" s="4" t="str">
        <f>HYPERLINK("http://141.218.60.56/~jnz1568/getInfo.php?workbook=08_01.xlsx&amp;sheet=A0&amp;row=273&amp;col=24&amp;number=&amp;sourceID=30","")</f>
        <v/>
      </c>
      <c r="Y273" s="4" t="str">
        <f>HYPERLINK("http://141.218.60.56/~jnz1568/getInfo.php?workbook=08_01.xlsx&amp;sheet=A0&amp;row=273&amp;col=25&amp;number=&amp;sourceID=30","")</f>
        <v/>
      </c>
      <c r="Z273" s="4" t="str">
        <f>HYPERLINK("http://141.218.60.56/~jnz1568/getInfo.php?workbook=08_01.xlsx&amp;sheet=A0&amp;row=273&amp;col=26&amp;number=&amp;sourceID=13","")</f>
        <v/>
      </c>
      <c r="AA273" s="4" t="str">
        <f>HYPERLINK("http://141.218.60.56/~jnz1568/getInfo.php?workbook=08_01.xlsx&amp;sheet=A0&amp;row=273&amp;col=27&amp;number=&amp;sourceID=13","")</f>
        <v/>
      </c>
      <c r="AB273" s="4" t="str">
        <f>HYPERLINK("http://141.218.60.56/~jnz1568/getInfo.php?workbook=08_01.xlsx&amp;sheet=A0&amp;row=273&amp;col=28&amp;number=&amp;sourceID=13","")</f>
        <v/>
      </c>
      <c r="AC273" s="4" t="str">
        <f>HYPERLINK("http://141.218.60.56/~jnz1568/getInfo.php?workbook=08_01.xlsx&amp;sheet=A0&amp;row=273&amp;col=29&amp;number=&amp;sourceID=13","")</f>
        <v/>
      </c>
      <c r="AD273" s="4" t="str">
        <f>HYPERLINK("http://141.218.60.56/~jnz1568/getInfo.php?workbook=08_01.xlsx&amp;sheet=A0&amp;row=273&amp;col=30&amp;number=&amp;sourceID=13","")</f>
        <v/>
      </c>
      <c r="AE273" s="4" t="str">
        <f>HYPERLINK("http://141.218.60.56/~jnz1568/getInfo.php?workbook=08_01.xlsx&amp;sheet=A0&amp;row=273&amp;col=31&amp;number=&amp;sourceID=13","")</f>
        <v/>
      </c>
      <c r="AF273" s="4" t="str">
        <f>HYPERLINK("http://141.218.60.56/~jnz1568/getInfo.php?workbook=08_01.xlsx&amp;sheet=A0&amp;row=273&amp;col=32&amp;number=&amp;sourceID=20","")</f>
        <v/>
      </c>
    </row>
    <row r="274" spans="1:32">
      <c r="A274" s="3">
        <v>8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HYPERLINK("http://141.218.60.56/~jnz1568/getInfo.php?workbook=08_01.xlsx&amp;sheet=A0&amp;row=274&amp;col=6&amp;number=&amp;sourceID=18","")</f>
        <v/>
      </c>
      <c r="G274" s="4" t="str">
        <f>HYPERLINK("http://141.218.60.56/~jnz1568/getInfo.php?workbook=08_01.xlsx&amp;sheet=A0&amp;row=274&amp;col=7&amp;number==&amp;sourceID=11","=")</f>
        <v>=</v>
      </c>
      <c r="H274" s="4" t="str">
        <f>HYPERLINK("http://141.218.60.56/~jnz1568/getInfo.php?workbook=08_01.xlsx&amp;sheet=A0&amp;row=274&amp;col=8&amp;number=&amp;sourceID=11","")</f>
        <v/>
      </c>
      <c r="I274" s="4" t="str">
        <f>HYPERLINK("http://141.218.60.56/~jnz1568/getInfo.php?workbook=08_01.xlsx&amp;sheet=A0&amp;row=274&amp;col=9&amp;number=&amp;sourceID=11","")</f>
        <v/>
      </c>
      <c r="J274" s="4" t="str">
        <f>HYPERLINK("http://141.218.60.56/~jnz1568/getInfo.php?workbook=08_01.xlsx&amp;sheet=A0&amp;row=274&amp;col=10&amp;number=&amp;sourceID=11","")</f>
        <v/>
      </c>
      <c r="K274" s="4" t="str">
        <f>HYPERLINK("http://141.218.60.56/~jnz1568/getInfo.php?workbook=08_01.xlsx&amp;sheet=A0&amp;row=274&amp;col=11&amp;number=&amp;sourceID=11","")</f>
        <v/>
      </c>
      <c r="L274" s="4" t="str">
        <f>HYPERLINK("http://141.218.60.56/~jnz1568/getInfo.php?workbook=08_01.xlsx&amp;sheet=A0&amp;row=274&amp;col=12&amp;number=&amp;sourceID=11","")</f>
        <v/>
      </c>
      <c r="M274" s="4" t="str">
        <f>HYPERLINK("http://141.218.60.56/~jnz1568/getInfo.php?workbook=08_01.xlsx&amp;sheet=A0&amp;row=274&amp;col=13&amp;number=3.3133e-05&amp;sourceID=11","3.3133e-05")</f>
        <v>3.3133e-05</v>
      </c>
      <c r="N274" s="4" t="str">
        <f>HYPERLINK("http://141.218.60.56/~jnz1568/getInfo.php?workbook=08_01.xlsx&amp;sheet=A0&amp;row=274&amp;col=14&amp;number=3.3134e-05&amp;sourceID=12","3.3134e-05")</f>
        <v>3.3134e-05</v>
      </c>
      <c r="O274" s="4" t="str">
        <f>HYPERLINK("http://141.218.60.56/~jnz1568/getInfo.php?workbook=08_01.xlsx&amp;sheet=A0&amp;row=274&amp;col=15&amp;number=&amp;sourceID=12","")</f>
        <v/>
      </c>
      <c r="P274" s="4" t="str">
        <f>HYPERLINK("http://141.218.60.56/~jnz1568/getInfo.php?workbook=08_01.xlsx&amp;sheet=A0&amp;row=274&amp;col=16&amp;number=&amp;sourceID=12","")</f>
        <v/>
      </c>
      <c r="Q274" s="4" t="str">
        <f>HYPERLINK("http://141.218.60.56/~jnz1568/getInfo.php?workbook=08_01.xlsx&amp;sheet=A0&amp;row=274&amp;col=17&amp;number=&amp;sourceID=12","")</f>
        <v/>
      </c>
      <c r="R274" s="4" t="str">
        <f>HYPERLINK("http://141.218.60.56/~jnz1568/getInfo.php?workbook=08_01.xlsx&amp;sheet=A0&amp;row=274&amp;col=18&amp;number=&amp;sourceID=12","")</f>
        <v/>
      </c>
      <c r="S274" s="4" t="str">
        <f>HYPERLINK("http://141.218.60.56/~jnz1568/getInfo.php?workbook=08_01.xlsx&amp;sheet=A0&amp;row=274&amp;col=19&amp;number=&amp;sourceID=12","")</f>
        <v/>
      </c>
      <c r="T274" s="4" t="str">
        <f>HYPERLINK("http://141.218.60.56/~jnz1568/getInfo.php?workbook=08_01.xlsx&amp;sheet=A0&amp;row=274&amp;col=20&amp;number=3.3134e-05&amp;sourceID=12","3.3134e-05")</f>
        <v>3.3134e-05</v>
      </c>
      <c r="U274" s="4" t="str">
        <f>HYPERLINK("http://141.218.60.56/~jnz1568/getInfo.php?workbook=08_01.xlsx&amp;sheet=A0&amp;row=274&amp;col=21&amp;number=&amp;sourceID=30","")</f>
        <v/>
      </c>
      <c r="V274" s="4" t="str">
        <f>HYPERLINK("http://141.218.60.56/~jnz1568/getInfo.php?workbook=08_01.xlsx&amp;sheet=A0&amp;row=274&amp;col=22&amp;number=&amp;sourceID=30","")</f>
        <v/>
      </c>
      <c r="W274" s="4" t="str">
        <f>HYPERLINK("http://141.218.60.56/~jnz1568/getInfo.php?workbook=08_01.xlsx&amp;sheet=A0&amp;row=274&amp;col=23&amp;number=&amp;sourceID=30","")</f>
        <v/>
      </c>
      <c r="X274" s="4" t="str">
        <f>HYPERLINK("http://141.218.60.56/~jnz1568/getInfo.php?workbook=08_01.xlsx&amp;sheet=A0&amp;row=274&amp;col=24&amp;number=&amp;sourceID=30","")</f>
        <v/>
      </c>
      <c r="Y274" s="4" t="str">
        <f>HYPERLINK("http://141.218.60.56/~jnz1568/getInfo.php?workbook=08_01.xlsx&amp;sheet=A0&amp;row=274&amp;col=25&amp;number=&amp;sourceID=30","")</f>
        <v/>
      </c>
      <c r="Z274" s="4" t="str">
        <f>HYPERLINK("http://141.218.60.56/~jnz1568/getInfo.php?workbook=08_01.xlsx&amp;sheet=A0&amp;row=274&amp;col=26&amp;number=&amp;sourceID=13","")</f>
        <v/>
      </c>
      <c r="AA274" s="4" t="str">
        <f>HYPERLINK("http://141.218.60.56/~jnz1568/getInfo.php?workbook=08_01.xlsx&amp;sheet=A0&amp;row=274&amp;col=27&amp;number=&amp;sourceID=13","")</f>
        <v/>
      </c>
      <c r="AB274" s="4" t="str">
        <f>HYPERLINK("http://141.218.60.56/~jnz1568/getInfo.php?workbook=08_01.xlsx&amp;sheet=A0&amp;row=274&amp;col=28&amp;number=&amp;sourceID=13","")</f>
        <v/>
      </c>
      <c r="AC274" s="4" t="str">
        <f>HYPERLINK("http://141.218.60.56/~jnz1568/getInfo.php?workbook=08_01.xlsx&amp;sheet=A0&amp;row=274&amp;col=29&amp;number=&amp;sourceID=13","")</f>
        <v/>
      </c>
      <c r="AD274" s="4" t="str">
        <f>HYPERLINK("http://141.218.60.56/~jnz1568/getInfo.php?workbook=08_01.xlsx&amp;sheet=A0&amp;row=274&amp;col=30&amp;number=&amp;sourceID=13","")</f>
        <v/>
      </c>
      <c r="AE274" s="4" t="str">
        <f>HYPERLINK("http://141.218.60.56/~jnz1568/getInfo.php?workbook=08_01.xlsx&amp;sheet=A0&amp;row=274&amp;col=31&amp;number=&amp;sourceID=13","")</f>
        <v/>
      </c>
      <c r="AF274" s="4" t="str">
        <f>HYPERLINK("http://141.218.60.56/~jnz1568/getInfo.php?workbook=08_01.xlsx&amp;sheet=A0&amp;row=274&amp;col=32&amp;number=&amp;sourceID=20","")</f>
        <v/>
      </c>
    </row>
    <row r="275" spans="1:32">
      <c r="A275" s="3">
        <v>8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HYPERLINK("http://141.218.60.56/~jnz1568/getInfo.php?workbook=08_01.xlsx&amp;sheet=A0&amp;row=275&amp;col=6&amp;number=&amp;sourceID=18","")</f>
        <v/>
      </c>
      <c r="G275" s="4" t="str">
        <f>HYPERLINK("http://141.218.60.56/~jnz1568/getInfo.php?workbook=08_01.xlsx&amp;sheet=A0&amp;row=275&amp;col=7&amp;number==&amp;sourceID=11","=")</f>
        <v>=</v>
      </c>
      <c r="H275" s="4" t="str">
        <f>HYPERLINK("http://141.218.60.56/~jnz1568/getInfo.php?workbook=08_01.xlsx&amp;sheet=A0&amp;row=275&amp;col=8&amp;number=&amp;sourceID=11","")</f>
        <v/>
      </c>
      <c r="I275" s="4" t="str">
        <f>HYPERLINK("http://141.218.60.56/~jnz1568/getInfo.php?workbook=08_01.xlsx&amp;sheet=A0&amp;row=275&amp;col=9&amp;number=&amp;sourceID=11","")</f>
        <v/>
      </c>
      <c r="J275" s="4" t="str">
        <f>HYPERLINK("http://141.218.60.56/~jnz1568/getInfo.php?workbook=08_01.xlsx&amp;sheet=A0&amp;row=275&amp;col=10&amp;number=2.1957&amp;sourceID=11","2.1957")</f>
        <v>2.1957</v>
      </c>
      <c r="K275" s="4" t="str">
        <f>HYPERLINK("http://141.218.60.56/~jnz1568/getInfo.php?workbook=08_01.xlsx&amp;sheet=A0&amp;row=275&amp;col=11&amp;number=&amp;sourceID=11","")</f>
        <v/>
      </c>
      <c r="L275" s="4" t="str">
        <f>HYPERLINK("http://141.218.60.56/~jnz1568/getInfo.php?workbook=08_01.xlsx&amp;sheet=A0&amp;row=275&amp;col=12&amp;number=&amp;sourceID=11","")</f>
        <v/>
      </c>
      <c r="M275" s="4" t="str">
        <f>HYPERLINK("http://141.218.60.56/~jnz1568/getInfo.php?workbook=08_01.xlsx&amp;sheet=A0&amp;row=275&amp;col=13&amp;number=&amp;sourceID=11","")</f>
        <v/>
      </c>
      <c r="N275" s="4" t="str">
        <f>HYPERLINK("http://141.218.60.56/~jnz1568/getInfo.php?workbook=08_01.xlsx&amp;sheet=A0&amp;row=275&amp;col=14&amp;number=2.1957&amp;sourceID=12","2.1957")</f>
        <v>2.1957</v>
      </c>
      <c r="O275" s="4" t="str">
        <f>HYPERLINK("http://141.218.60.56/~jnz1568/getInfo.php?workbook=08_01.xlsx&amp;sheet=A0&amp;row=275&amp;col=15&amp;number=&amp;sourceID=12","")</f>
        <v/>
      </c>
      <c r="P275" s="4" t="str">
        <f>HYPERLINK("http://141.218.60.56/~jnz1568/getInfo.php?workbook=08_01.xlsx&amp;sheet=A0&amp;row=275&amp;col=16&amp;number=&amp;sourceID=12","")</f>
        <v/>
      </c>
      <c r="Q275" s="4" t="str">
        <f>HYPERLINK("http://141.218.60.56/~jnz1568/getInfo.php?workbook=08_01.xlsx&amp;sheet=A0&amp;row=275&amp;col=17&amp;number=2.1957&amp;sourceID=12","2.1957")</f>
        <v>2.1957</v>
      </c>
      <c r="R275" s="4" t="str">
        <f>HYPERLINK("http://141.218.60.56/~jnz1568/getInfo.php?workbook=08_01.xlsx&amp;sheet=A0&amp;row=275&amp;col=18&amp;number=&amp;sourceID=12","")</f>
        <v/>
      </c>
      <c r="S275" s="4" t="str">
        <f>HYPERLINK("http://141.218.60.56/~jnz1568/getInfo.php?workbook=08_01.xlsx&amp;sheet=A0&amp;row=275&amp;col=19&amp;number=&amp;sourceID=12","")</f>
        <v/>
      </c>
      <c r="T275" s="4" t="str">
        <f>HYPERLINK("http://141.218.60.56/~jnz1568/getInfo.php?workbook=08_01.xlsx&amp;sheet=A0&amp;row=275&amp;col=20&amp;number=&amp;sourceID=12","")</f>
        <v/>
      </c>
      <c r="U275" s="4" t="str">
        <f>HYPERLINK("http://141.218.60.56/~jnz1568/getInfo.php?workbook=08_01.xlsx&amp;sheet=A0&amp;row=275&amp;col=21&amp;number=&amp;sourceID=30","")</f>
        <v/>
      </c>
      <c r="V275" s="4" t="str">
        <f>HYPERLINK("http://141.218.60.56/~jnz1568/getInfo.php?workbook=08_01.xlsx&amp;sheet=A0&amp;row=275&amp;col=22&amp;number=&amp;sourceID=30","")</f>
        <v/>
      </c>
      <c r="W275" s="4" t="str">
        <f>HYPERLINK("http://141.218.60.56/~jnz1568/getInfo.php?workbook=08_01.xlsx&amp;sheet=A0&amp;row=275&amp;col=23&amp;number=&amp;sourceID=30","")</f>
        <v/>
      </c>
      <c r="X275" s="4" t="str">
        <f>HYPERLINK("http://141.218.60.56/~jnz1568/getInfo.php?workbook=08_01.xlsx&amp;sheet=A0&amp;row=275&amp;col=24&amp;number=&amp;sourceID=30","")</f>
        <v/>
      </c>
      <c r="Y275" s="4" t="str">
        <f>HYPERLINK("http://141.218.60.56/~jnz1568/getInfo.php?workbook=08_01.xlsx&amp;sheet=A0&amp;row=275&amp;col=25&amp;number=&amp;sourceID=30","")</f>
        <v/>
      </c>
      <c r="Z275" s="4" t="str">
        <f>HYPERLINK("http://141.218.60.56/~jnz1568/getInfo.php?workbook=08_01.xlsx&amp;sheet=A0&amp;row=275&amp;col=26&amp;number=&amp;sourceID=13","")</f>
        <v/>
      </c>
      <c r="AA275" s="4" t="str">
        <f>HYPERLINK("http://141.218.60.56/~jnz1568/getInfo.php?workbook=08_01.xlsx&amp;sheet=A0&amp;row=275&amp;col=27&amp;number=&amp;sourceID=13","")</f>
        <v/>
      </c>
      <c r="AB275" s="4" t="str">
        <f>HYPERLINK("http://141.218.60.56/~jnz1568/getInfo.php?workbook=08_01.xlsx&amp;sheet=A0&amp;row=275&amp;col=28&amp;number=&amp;sourceID=13","")</f>
        <v/>
      </c>
      <c r="AC275" s="4" t="str">
        <f>HYPERLINK("http://141.218.60.56/~jnz1568/getInfo.php?workbook=08_01.xlsx&amp;sheet=A0&amp;row=275&amp;col=29&amp;number=&amp;sourceID=13","")</f>
        <v/>
      </c>
      <c r="AD275" s="4" t="str">
        <f>HYPERLINK("http://141.218.60.56/~jnz1568/getInfo.php?workbook=08_01.xlsx&amp;sheet=A0&amp;row=275&amp;col=30&amp;number=&amp;sourceID=13","")</f>
        <v/>
      </c>
      <c r="AE275" s="4" t="str">
        <f>HYPERLINK("http://141.218.60.56/~jnz1568/getInfo.php?workbook=08_01.xlsx&amp;sheet=A0&amp;row=275&amp;col=31&amp;number=&amp;sourceID=13","")</f>
        <v/>
      </c>
      <c r="AF275" s="4" t="str">
        <f>HYPERLINK("http://141.218.60.56/~jnz1568/getInfo.php?workbook=08_01.xlsx&amp;sheet=A0&amp;row=275&amp;col=32&amp;number=&amp;sourceID=20","")</f>
        <v/>
      </c>
    </row>
    <row r="276" spans="1:32">
      <c r="A276" s="3">
        <v>8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HYPERLINK("http://141.218.60.56/~jnz1568/getInfo.php?workbook=08_01.xlsx&amp;sheet=A0&amp;row=276&amp;col=6&amp;number=&amp;sourceID=18","")</f>
        <v/>
      </c>
      <c r="G276" s="4" t="str">
        <f>HYPERLINK("http://141.218.60.56/~jnz1568/getInfo.php?workbook=08_01.xlsx&amp;sheet=A0&amp;row=276&amp;col=7&amp;number==&amp;sourceID=11","=")</f>
        <v>=</v>
      </c>
      <c r="H276" s="4" t="str">
        <f>HYPERLINK("http://141.218.60.56/~jnz1568/getInfo.php?workbook=08_01.xlsx&amp;sheet=A0&amp;row=276&amp;col=8&amp;number=&amp;sourceID=11","")</f>
        <v/>
      </c>
      <c r="I276" s="4" t="str">
        <f>HYPERLINK("http://141.218.60.56/~jnz1568/getInfo.php?workbook=08_01.xlsx&amp;sheet=A0&amp;row=276&amp;col=9&amp;number=&amp;sourceID=11","")</f>
        <v/>
      </c>
      <c r="J276" s="4" t="str">
        <f>HYPERLINK("http://141.218.60.56/~jnz1568/getInfo.php?workbook=08_01.xlsx&amp;sheet=A0&amp;row=276&amp;col=10&amp;number=0.10237&amp;sourceID=11","0.10237")</f>
        <v>0.10237</v>
      </c>
      <c r="K276" s="4" t="str">
        <f>HYPERLINK("http://141.218.60.56/~jnz1568/getInfo.php?workbook=08_01.xlsx&amp;sheet=A0&amp;row=276&amp;col=11&amp;number=&amp;sourceID=11","")</f>
        <v/>
      </c>
      <c r="L276" s="4" t="str">
        <f>HYPERLINK("http://141.218.60.56/~jnz1568/getInfo.php?workbook=08_01.xlsx&amp;sheet=A0&amp;row=276&amp;col=12&amp;number=1.4656&amp;sourceID=11","1.4656")</f>
        <v>1.4656</v>
      </c>
      <c r="M276" s="4" t="str">
        <f>HYPERLINK("http://141.218.60.56/~jnz1568/getInfo.php?workbook=08_01.xlsx&amp;sheet=A0&amp;row=276&amp;col=13&amp;number=&amp;sourceID=11","")</f>
        <v/>
      </c>
      <c r="N276" s="4" t="str">
        <f>HYPERLINK("http://141.218.60.56/~jnz1568/getInfo.php?workbook=08_01.xlsx&amp;sheet=A0&amp;row=276&amp;col=14&amp;number=1.568&amp;sourceID=12","1.568")</f>
        <v>1.568</v>
      </c>
      <c r="O276" s="4" t="str">
        <f>HYPERLINK("http://141.218.60.56/~jnz1568/getInfo.php?workbook=08_01.xlsx&amp;sheet=A0&amp;row=276&amp;col=15&amp;number=&amp;sourceID=12","")</f>
        <v/>
      </c>
      <c r="P276" s="4" t="str">
        <f>HYPERLINK("http://141.218.60.56/~jnz1568/getInfo.php?workbook=08_01.xlsx&amp;sheet=A0&amp;row=276&amp;col=16&amp;number=&amp;sourceID=12","")</f>
        <v/>
      </c>
      <c r="Q276" s="4" t="str">
        <f>HYPERLINK("http://141.218.60.56/~jnz1568/getInfo.php?workbook=08_01.xlsx&amp;sheet=A0&amp;row=276&amp;col=17&amp;number=0.10238&amp;sourceID=12","0.10238")</f>
        <v>0.10238</v>
      </c>
      <c r="R276" s="4" t="str">
        <f>HYPERLINK("http://141.218.60.56/~jnz1568/getInfo.php?workbook=08_01.xlsx&amp;sheet=A0&amp;row=276&amp;col=18&amp;number=&amp;sourceID=12","")</f>
        <v/>
      </c>
      <c r="S276" s="4" t="str">
        <f>HYPERLINK("http://141.218.60.56/~jnz1568/getInfo.php?workbook=08_01.xlsx&amp;sheet=A0&amp;row=276&amp;col=19&amp;number=1.4656&amp;sourceID=12","1.4656")</f>
        <v>1.4656</v>
      </c>
      <c r="T276" s="4" t="str">
        <f>HYPERLINK("http://141.218.60.56/~jnz1568/getInfo.php?workbook=08_01.xlsx&amp;sheet=A0&amp;row=276&amp;col=20&amp;number=&amp;sourceID=12","")</f>
        <v/>
      </c>
      <c r="U276" s="4" t="str">
        <f>HYPERLINK("http://141.218.60.56/~jnz1568/getInfo.php?workbook=08_01.xlsx&amp;sheet=A0&amp;row=276&amp;col=21&amp;number=1.466&amp;sourceID=30","1.466")</f>
        <v>1.466</v>
      </c>
      <c r="V276" s="4" t="str">
        <f>HYPERLINK("http://141.218.60.56/~jnz1568/getInfo.php?workbook=08_01.xlsx&amp;sheet=A0&amp;row=276&amp;col=22&amp;number=&amp;sourceID=30","")</f>
        <v/>
      </c>
      <c r="W276" s="4" t="str">
        <f>HYPERLINK("http://141.218.60.56/~jnz1568/getInfo.php?workbook=08_01.xlsx&amp;sheet=A0&amp;row=276&amp;col=23&amp;number=&amp;sourceID=30","")</f>
        <v/>
      </c>
      <c r="X276" s="4" t="str">
        <f>HYPERLINK("http://141.218.60.56/~jnz1568/getInfo.php?workbook=08_01.xlsx&amp;sheet=A0&amp;row=276&amp;col=24&amp;number=&amp;sourceID=30","")</f>
        <v/>
      </c>
      <c r="Y276" s="4" t="str">
        <f>HYPERLINK("http://141.218.60.56/~jnz1568/getInfo.php?workbook=08_01.xlsx&amp;sheet=A0&amp;row=276&amp;col=25&amp;number=1.466&amp;sourceID=30","1.466")</f>
        <v>1.466</v>
      </c>
      <c r="Z276" s="4" t="str">
        <f>HYPERLINK("http://141.218.60.56/~jnz1568/getInfo.php?workbook=08_01.xlsx&amp;sheet=A0&amp;row=276&amp;col=26&amp;number=&amp;sourceID=13","")</f>
        <v/>
      </c>
      <c r="AA276" s="4" t="str">
        <f>HYPERLINK("http://141.218.60.56/~jnz1568/getInfo.php?workbook=08_01.xlsx&amp;sheet=A0&amp;row=276&amp;col=27&amp;number=&amp;sourceID=13","")</f>
        <v/>
      </c>
      <c r="AB276" s="4" t="str">
        <f>HYPERLINK("http://141.218.60.56/~jnz1568/getInfo.php?workbook=08_01.xlsx&amp;sheet=A0&amp;row=276&amp;col=28&amp;number=&amp;sourceID=13","")</f>
        <v/>
      </c>
      <c r="AC276" s="4" t="str">
        <f>HYPERLINK("http://141.218.60.56/~jnz1568/getInfo.php?workbook=08_01.xlsx&amp;sheet=A0&amp;row=276&amp;col=29&amp;number=&amp;sourceID=13","")</f>
        <v/>
      </c>
      <c r="AD276" s="4" t="str">
        <f>HYPERLINK("http://141.218.60.56/~jnz1568/getInfo.php?workbook=08_01.xlsx&amp;sheet=A0&amp;row=276&amp;col=30&amp;number=&amp;sourceID=13","")</f>
        <v/>
      </c>
      <c r="AE276" s="4" t="str">
        <f>HYPERLINK("http://141.218.60.56/~jnz1568/getInfo.php?workbook=08_01.xlsx&amp;sheet=A0&amp;row=276&amp;col=31&amp;number=&amp;sourceID=13","")</f>
        <v/>
      </c>
      <c r="AF276" s="4" t="str">
        <f>HYPERLINK("http://141.218.60.56/~jnz1568/getInfo.php?workbook=08_01.xlsx&amp;sheet=A0&amp;row=276&amp;col=32&amp;number=&amp;sourceID=20","")</f>
        <v/>
      </c>
    </row>
    <row r="277" spans="1:32">
      <c r="A277" s="3">
        <v>8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HYPERLINK("http://141.218.60.56/~jnz1568/getInfo.php?workbook=08_01.xlsx&amp;sheet=A0&amp;row=277&amp;col=6&amp;number=&amp;sourceID=18","")</f>
        <v/>
      </c>
      <c r="G277" s="4" t="str">
        <f>HYPERLINK("http://141.218.60.56/~jnz1568/getInfo.php?workbook=08_01.xlsx&amp;sheet=A0&amp;row=277&amp;col=7&amp;number==&amp;sourceID=11","=")</f>
        <v>=</v>
      </c>
      <c r="H277" s="4" t="str">
        <f>HYPERLINK("http://141.218.60.56/~jnz1568/getInfo.php?workbook=08_01.xlsx&amp;sheet=A0&amp;row=277&amp;col=8&amp;number=&amp;sourceID=11","")</f>
        <v/>
      </c>
      <c r="I277" s="4" t="str">
        <f>HYPERLINK("http://141.218.60.56/~jnz1568/getInfo.php?workbook=08_01.xlsx&amp;sheet=A0&amp;row=277&amp;col=9&amp;number=262230&amp;sourceID=11","262230")</f>
        <v>262230</v>
      </c>
      <c r="J277" s="4" t="str">
        <f>HYPERLINK("http://141.218.60.56/~jnz1568/getInfo.php?workbook=08_01.xlsx&amp;sheet=A0&amp;row=277&amp;col=10&amp;number=&amp;sourceID=11","")</f>
        <v/>
      </c>
      <c r="K277" s="4" t="str">
        <f>HYPERLINK("http://141.218.60.56/~jnz1568/getInfo.php?workbook=08_01.xlsx&amp;sheet=A0&amp;row=277&amp;col=11&amp;number=&amp;sourceID=11","")</f>
        <v/>
      </c>
      <c r="L277" s="4" t="str">
        <f>HYPERLINK("http://141.218.60.56/~jnz1568/getInfo.php?workbook=08_01.xlsx&amp;sheet=A0&amp;row=277&amp;col=12&amp;number=&amp;sourceID=11","")</f>
        <v/>
      </c>
      <c r="M277" s="4" t="str">
        <f>HYPERLINK("http://141.218.60.56/~jnz1568/getInfo.php?workbook=08_01.xlsx&amp;sheet=A0&amp;row=277&amp;col=13&amp;number=0.00010775&amp;sourceID=11","0.00010775")</f>
        <v>0.00010775</v>
      </c>
      <c r="N277" s="4" t="str">
        <f>HYPERLINK("http://141.218.60.56/~jnz1568/getInfo.php?workbook=08_01.xlsx&amp;sheet=A0&amp;row=277&amp;col=14&amp;number=262240&amp;sourceID=12","262240")</f>
        <v>262240</v>
      </c>
      <c r="O277" s="4" t="str">
        <f>HYPERLINK("http://141.218.60.56/~jnz1568/getInfo.php?workbook=08_01.xlsx&amp;sheet=A0&amp;row=277&amp;col=15&amp;number=&amp;sourceID=12","")</f>
        <v/>
      </c>
      <c r="P277" s="4" t="str">
        <f>HYPERLINK("http://141.218.60.56/~jnz1568/getInfo.php?workbook=08_01.xlsx&amp;sheet=A0&amp;row=277&amp;col=16&amp;number=262240&amp;sourceID=12","262240")</f>
        <v>262240</v>
      </c>
      <c r="Q277" s="4" t="str">
        <f>HYPERLINK("http://141.218.60.56/~jnz1568/getInfo.php?workbook=08_01.xlsx&amp;sheet=A0&amp;row=277&amp;col=17&amp;number=&amp;sourceID=12","")</f>
        <v/>
      </c>
      <c r="R277" s="4" t="str">
        <f>HYPERLINK("http://141.218.60.56/~jnz1568/getInfo.php?workbook=08_01.xlsx&amp;sheet=A0&amp;row=277&amp;col=18&amp;number=&amp;sourceID=12","")</f>
        <v/>
      </c>
      <c r="S277" s="4" t="str">
        <f>HYPERLINK("http://141.218.60.56/~jnz1568/getInfo.php?workbook=08_01.xlsx&amp;sheet=A0&amp;row=277&amp;col=19&amp;number=&amp;sourceID=12","")</f>
        <v/>
      </c>
      <c r="T277" s="4" t="str">
        <f>HYPERLINK("http://141.218.60.56/~jnz1568/getInfo.php?workbook=08_01.xlsx&amp;sheet=A0&amp;row=277&amp;col=20&amp;number=0.00010775&amp;sourceID=12","0.00010775")</f>
        <v>0.00010775</v>
      </c>
      <c r="U277" s="4" t="str">
        <f>HYPERLINK("http://141.218.60.56/~jnz1568/getInfo.php?workbook=08_01.xlsx&amp;sheet=A0&amp;row=277&amp;col=21&amp;number=262200&amp;sourceID=30","262200")</f>
        <v>262200</v>
      </c>
      <c r="V277" s="4" t="str">
        <f>HYPERLINK("http://141.218.60.56/~jnz1568/getInfo.php?workbook=08_01.xlsx&amp;sheet=A0&amp;row=277&amp;col=22&amp;number=&amp;sourceID=30","")</f>
        <v/>
      </c>
      <c r="W277" s="4" t="str">
        <f>HYPERLINK("http://141.218.60.56/~jnz1568/getInfo.php?workbook=08_01.xlsx&amp;sheet=A0&amp;row=277&amp;col=23&amp;number=262200&amp;sourceID=30","262200")</f>
        <v>262200</v>
      </c>
      <c r="X277" s="4" t="str">
        <f>HYPERLINK("http://141.218.60.56/~jnz1568/getInfo.php?workbook=08_01.xlsx&amp;sheet=A0&amp;row=277&amp;col=24&amp;number=&amp;sourceID=30","")</f>
        <v/>
      </c>
      <c r="Y277" s="4" t="str">
        <f>HYPERLINK("http://141.218.60.56/~jnz1568/getInfo.php?workbook=08_01.xlsx&amp;sheet=A0&amp;row=277&amp;col=25&amp;number=&amp;sourceID=30","")</f>
        <v/>
      </c>
      <c r="Z277" s="4" t="str">
        <f>HYPERLINK("http://141.218.60.56/~jnz1568/getInfo.php?workbook=08_01.xlsx&amp;sheet=A0&amp;row=277&amp;col=26&amp;number=&amp;sourceID=13","")</f>
        <v/>
      </c>
      <c r="AA277" s="4" t="str">
        <f>HYPERLINK("http://141.218.60.56/~jnz1568/getInfo.php?workbook=08_01.xlsx&amp;sheet=A0&amp;row=277&amp;col=27&amp;number=&amp;sourceID=13","")</f>
        <v/>
      </c>
      <c r="AB277" s="4" t="str">
        <f>HYPERLINK("http://141.218.60.56/~jnz1568/getInfo.php?workbook=08_01.xlsx&amp;sheet=A0&amp;row=277&amp;col=28&amp;number=&amp;sourceID=13","")</f>
        <v/>
      </c>
      <c r="AC277" s="4" t="str">
        <f>HYPERLINK("http://141.218.60.56/~jnz1568/getInfo.php?workbook=08_01.xlsx&amp;sheet=A0&amp;row=277&amp;col=29&amp;number=&amp;sourceID=13","")</f>
        <v/>
      </c>
      <c r="AD277" s="4" t="str">
        <f>HYPERLINK("http://141.218.60.56/~jnz1568/getInfo.php?workbook=08_01.xlsx&amp;sheet=A0&amp;row=277&amp;col=30&amp;number=&amp;sourceID=13","")</f>
        <v/>
      </c>
      <c r="AE277" s="4" t="str">
        <f>HYPERLINK("http://141.218.60.56/~jnz1568/getInfo.php?workbook=08_01.xlsx&amp;sheet=A0&amp;row=277&amp;col=31&amp;number=&amp;sourceID=13","")</f>
        <v/>
      </c>
      <c r="AF277" s="4" t="str">
        <f>HYPERLINK("http://141.218.60.56/~jnz1568/getInfo.php?workbook=08_01.xlsx&amp;sheet=A0&amp;row=277&amp;col=32&amp;number=&amp;sourceID=20","")</f>
        <v/>
      </c>
    </row>
    <row r="278" spans="1:32">
      <c r="A278" s="3">
        <v>8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HYPERLINK("http://141.218.60.56/~jnz1568/getInfo.php?workbook=08_01.xlsx&amp;sheet=A0&amp;row=278&amp;col=6&amp;number=&amp;sourceID=18","")</f>
        <v/>
      </c>
      <c r="G278" s="4" t="str">
        <f>HYPERLINK("http://141.218.60.56/~jnz1568/getInfo.php?workbook=08_01.xlsx&amp;sheet=A0&amp;row=278&amp;col=7&amp;number==&amp;sourceID=11","=")</f>
        <v>=</v>
      </c>
      <c r="H278" s="4" t="str">
        <f>HYPERLINK("http://141.218.60.56/~jnz1568/getInfo.php?workbook=08_01.xlsx&amp;sheet=A0&amp;row=278&amp;col=8&amp;number=17434000000&amp;sourceID=11","17434000000")</f>
        <v>17434000000</v>
      </c>
      <c r="I278" s="4" t="str">
        <f>HYPERLINK("http://141.218.60.56/~jnz1568/getInfo.php?workbook=08_01.xlsx&amp;sheet=A0&amp;row=278&amp;col=9&amp;number=&amp;sourceID=11","")</f>
        <v/>
      </c>
      <c r="J278" s="4" t="str">
        <f>HYPERLINK("http://141.218.60.56/~jnz1568/getInfo.php?workbook=08_01.xlsx&amp;sheet=A0&amp;row=278&amp;col=10&amp;number=0.61375&amp;sourceID=11","0.61375")</f>
        <v>0.61375</v>
      </c>
      <c r="K278" s="4" t="str">
        <f>HYPERLINK("http://141.218.60.56/~jnz1568/getInfo.php?workbook=08_01.xlsx&amp;sheet=A0&amp;row=278&amp;col=11&amp;number=&amp;sourceID=11","")</f>
        <v/>
      </c>
      <c r="L278" s="4" t="str">
        <f>HYPERLINK("http://141.218.60.56/~jnz1568/getInfo.php?workbook=08_01.xlsx&amp;sheet=A0&amp;row=278&amp;col=12&amp;number=13.593&amp;sourceID=11","13.593")</f>
        <v>13.593</v>
      </c>
      <c r="M278" s="4" t="str">
        <f>HYPERLINK("http://141.218.60.56/~jnz1568/getInfo.php?workbook=08_01.xlsx&amp;sheet=A0&amp;row=278&amp;col=13&amp;number=&amp;sourceID=11","")</f>
        <v/>
      </c>
      <c r="N278" s="4" t="str">
        <f>HYPERLINK("http://141.218.60.56/~jnz1568/getInfo.php?workbook=08_01.xlsx&amp;sheet=A0&amp;row=278&amp;col=14&amp;number=17434000000&amp;sourceID=12","17434000000")</f>
        <v>17434000000</v>
      </c>
      <c r="O278" s="4" t="str">
        <f>HYPERLINK("http://141.218.60.56/~jnz1568/getInfo.php?workbook=08_01.xlsx&amp;sheet=A0&amp;row=278&amp;col=15&amp;number=17434000000&amp;sourceID=12","17434000000")</f>
        <v>17434000000</v>
      </c>
      <c r="P278" s="4" t="str">
        <f>HYPERLINK("http://141.218.60.56/~jnz1568/getInfo.php?workbook=08_01.xlsx&amp;sheet=A0&amp;row=278&amp;col=16&amp;number=&amp;sourceID=12","")</f>
        <v/>
      </c>
      <c r="Q278" s="4" t="str">
        <f>HYPERLINK("http://141.218.60.56/~jnz1568/getInfo.php?workbook=08_01.xlsx&amp;sheet=A0&amp;row=278&amp;col=17&amp;number=0.61377&amp;sourceID=12","0.61377")</f>
        <v>0.61377</v>
      </c>
      <c r="R278" s="4" t="str">
        <f>HYPERLINK("http://141.218.60.56/~jnz1568/getInfo.php?workbook=08_01.xlsx&amp;sheet=A0&amp;row=278&amp;col=18&amp;number=&amp;sourceID=12","")</f>
        <v/>
      </c>
      <c r="S278" s="4" t="str">
        <f>HYPERLINK("http://141.218.60.56/~jnz1568/getInfo.php?workbook=08_01.xlsx&amp;sheet=A0&amp;row=278&amp;col=19&amp;number=13.594&amp;sourceID=12","13.594")</f>
        <v>13.594</v>
      </c>
      <c r="T278" s="4" t="str">
        <f>HYPERLINK("http://141.218.60.56/~jnz1568/getInfo.php?workbook=08_01.xlsx&amp;sheet=A0&amp;row=278&amp;col=20&amp;number=&amp;sourceID=12","")</f>
        <v/>
      </c>
      <c r="U278" s="4" t="str">
        <f>HYPERLINK("http://141.218.60.56/~jnz1568/getInfo.php?workbook=08_01.xlsx&amp;sheet=A0&amp;row=278&amp;col=21&amp;number=17430000013.6&amp;sourceID=30","17430000013.6")</f>
        <v>17430000013.6</v>
      </c>
      <c r="V278" s="4" t="str">
        <f>HYPERLINK("http://141.218.60.56/~jnz1568/getInfo.php?workbook=08_01.xlsx&amp;sheet=A0&amp;row=278&amp;col=22&amp;number=17430000000&amp;sourceID=30","17430000000")</f>
        <v>17430000000</v>
      </c>
      <c r="W278" s="4" t="str">
        <f>HYPERLINK("http://141.218.60.56/~jnz1568/getInfo.php?workbook=08_01.xlsx&amp;sheet=A0&amp;row=278&amp;col=23&amp;number=&amp;sourceID=30","")</f>
        <v/>
      </c>
      <c r="X278" s="4" t="str">
        <f>HYPERLINK("http://141.218.60.56/~jnz1568/getInfo.php?workbook=08_01.xlsx&amp;sheet=A0&amp;row=278&amp;col=24&amp;number=&amp;sourceID=30","")</f>
        <v/>
      </c>
      <c r="Y278" s="4" t="str">
        <f>HYPERLINK("http://141.218.60.56/~jnz1568/getInfo.php?workbook=08_01.xlsx&amp;sheet=A0&amp;row=278&amp;col=25&amp;number=13.59&amp;sourceID=30","13.59")</f>
        <v>13.59</v>
      </c>
      <c r="Z278" s="4" t="str">
        <f>HYPERLINK("http://141.218.60.56/~jnz1568/getInfo.php?workbook=08_01.xlsx&amp;sheet=A0&amp;row=278&amp;col=26&amp;number=&amp;sourceID=13","")</f>
        <v/>
      </c>
      <c r="AA278" s="4" t="str">
        <f>HYPERLINK("http://141.218.60.56/~jnz1568/getInfo.php?workbook=08_01.xlsx&amp;sheet=A0&amp;row=278&amp;col=27&amp;number=&amp;sourceID=13","")</f>
        <v/>
      </c>
      <c r="AB278" s="4" t="str">
        <f>HYPERLINK("http://141.218.60.56/~jnz1568/getInfo.php?workbook=08_01.xlsx&amp;sheet=A0&amp;row=278&amp;col=28&amp;number=&amp;sourceID=13","")</f>
        <v/>
      </c>
      <c r="AC278" s="4" t="str">
        <f>HYPERLINK("http://141.218.60.56/~jnz1568/getInfo.php?workbook=08_01.xlsx&amp;sheet=A0&amp;row=278&amp;col=29&amp;number=&amp;sourceID=13","")</f>
        <v/>
      </c>
      <c r="AD278" s="4" t="str">
        <f>HYPERLINK("http://141.218.60.56/~jnz1568/getInfo.php?workbook=08_01.xlsx&amp;sheet=A0&amp;row=278&amp;col=30&amp;number=&amp;sourceID=13","")</f>
        <v/>
      </c>
      <c r="AE278" s="4" t="str">
        <f>HYPERLINK("http://141.218.60.56/~jnz1568/getInfo.php?workbook=08_01.xlsx&amp;sheet=A0&amp;row=278&amp;col=31&amp;number=&amp;sourceID=13","")</f>
        <v/>
      </c>
      <c r="AF278" s="4" t="str">
        <f>HYPERLINK("http://141.218.60.56/~jnz1568/getInfo.php?workbook=08_01.xlsx&amp;sheet=A0&amp;row=278&amp;col=32&amp;number=&amp;sourceID=20","")</f>
        <v/>
      </c>
    </row>
    <row r="279" spans="1:32">
      <c r="A279" s="3">
        <v>8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HYPERLINK("http://141.218.60.56/~jnz1568/getInfo.php?workbook=08_01.xlsx&amp;sheet=A0&amp;row=279&amp;col=6&amp;number=&amp;sourceID=18","")</f>
        <v/>
      </c>
      <c r="G279" s="4" t="str">
        <f>HYPERLINK("http://141.218.60.56/~jnz1568/getInfo.php?workbook=08_01.xlsx&amp;sheet=A0&amp;row=279&amp;col=7&amp;number==&amp;sourceID=11","=")</f>
        <v>=</v>
      </c>
      <c r="H279" s="4" t="str">
        <f>HYPERLINK("http://141.218.60.56/~jnz1568/getInfo.php?workbook=08_01.xlsx&amp;sheet=A0&amp;row=279&amp;col=8&amp;number=&amp;sourceID=11","")</f>
        <v/>
      </c>
      <c r="I279" s="4" t="str">
        <f>HYPERLINK("http://141.218.60.56/~jnz1568/getInfo.php?workbook=08_01.xlsx&amp;sheet=A0&amp;row=279&amp;col=9&amp;number=&amp;sourceID=11","")</f>
        <v/>
      </c>
      <c r="J279" s="4" t="str">
        <f>HYPERLINK("http://141.218.60.56/~jnz1568/getInfo.php?workbook=08_01.xlsx&amp;sheet=A0&amp;row=279&amp;col=10&amp;number=&amp;sourceID=11","")</f>
        <v/>
      </c>
      <c r="K279" s="4" t="str">
        <f>HYPERLINK("http://141.218.60.56/~jnz1568/getInfo.php?workbook=08_01.xlsx&amp;sheet=A0&amp;row=279&amp;col=11&amp;number=&amp;sourceID=11","")</f>
        <v/>
      </c>
      <c r="L279" s="4" t="str">
        <f>HYPERLINK("http://141.218.60.56/~jnz1568/getInfo.php?workbook=08_01.xlsx&amp;sheet=A0&amp;row=279&amp;col=12&amp;number=&amp;sourceID=11","")</f>
        <v/>
      </c>
      <c r="M279" s="4" t="str">
        <f>HYPERLINK("http://141.218.60.56/~jnz1568/getInfo.php?workbook=08_01.xlsx&amp;sheet=A0&amp;row=279&amp;col=13&amp;number=0&amp;sourceID=11","0")</f>
        <v>0</v>
      </c>
      <c r="N279" s="4" t="str">
        <f>HYPERLINK("http://141.218.60.56/~jnz1568/getInfo.php?workbook=08_01.xlsx&amp;sheet=A0&amp;row=279&amp;col=14&amp;number=0&amp;sourceID=12","0")</f>
        <v>0</v>
      </c>
      <c r="O279" s="4" t="str">
        <f>HYPERLINK("http://141.218.60.56/~jnz1568/getInfo.php?workbook=08_01.xlsx&amp;sheet=A0&amp;row=279&amp;col=15&amp;number=&amp;sourceID=12","")</f>
        <v/>
      </c>
      <c r="P279" s="4" t="str">
        <f>HYPERLINK("http://141.218.60.56/~jnz1568/getInfo.php?workbook=08_01.xlsx&amp;sheet=A0&amp;row=279&amp;col=16&amp;number=&amp;sourceID=12","")</f>
        <v/>
      </c>
      <c r="Q279" s="4" t="str">
        <f>HYPERLINK("http://141.218.60.56/~jnz1568/getInfo.php?workbook=08_01.xlsx&amp;sheet=A0&amp;row=279&amp;col=17&amp;number=&amp;sourceID=12","")</f>
        <v/>
      </c>
      <c r="R279" s="4" t="str">
        <f>HYPERLINK("http://141.218.60.56/~jnz1568/getInfo.php?workbook=08_01.xlsx&amp;sheet=A0&amp;row=279&amp;col=18&amp;number=&amp;sourceID=12","")</f>
        <v/>
      </c>
      <c r="S279" s="4" t="str">
        <f>HYPERLINK("http://141.218.60.56/~jnz1568/getInfo.php?workbook=08_01.xlsx&amp;sheet=A0&amp;row=279&amp;col=19&amp;number=&amp;sourceID=12","")</f>
        <v/>
      </c>
      <c r="T279" s="4" t="str">
        <f>HYPERLINK("http://141.218.60.56/~jnz1568/getInfo.php?workbook=08_01.xlsx&amp;sheet=A0&amp;row=279&amp;col=20&amp;number=0&amp;sourceID=12","0")</f>
        <v>0</v>
      </c>
      <c r="U279" s="4" t="str">
        <f>HYPERLINK("http://141.218.60.56/~jnz1568/getInfo.php?workbook=08_01.xlsx&amp;sheet=A0&amp;row=279&amp;col=21&amp;number=&amp;sourceID=30","")</f>
        <v/>
      </c>
      <c r="V279" s="4" t="str">
        <f>HYPERLINK("http://141.218.60.56/~jnz1568/getInfo.php?workbook=08_01.xlsx&amp;sheet=A0&amp;row=279&amp;col=22&amp;number=&amp;sourceID=30","")</f>
        <v/>
      </c>
      <c r="W279" s="4" t="str">
        <f>HYPERLINK("http://141.218.60.56/~jnz1568/getInfo.php?workbook=08_01.xlsx&amp;sheet=A0&amp;row=279&amp;col=23&amp;number=&amp;sourceID=30","")</f>
        <v/>
      </c>
      <c r="X279" s="4" t="str">
        <f>HYPERLINK("http://141.218.60.56/~jnz1568/getInfo.php?workbook=08_01.xlsx&amp;sheet=A0&amp;row=279&amp;col=24&amp;number=&amp;sourceID=30","")</f>
        <v/>
      </c>
      <c r="Y279" s="4" t="str">
        <f>HYPERLINK("http://141.218.60.56/~jnz1568/getInfo.php?workbook=08_01.xlsx&amp;sheet=A0&amp;row=279&amp;col=25&amp;number=&amp;sourceID=30","")</f>
        <v/>
      </c>
      <c r="Z279" s="4" t="str">
        <f>HYPERLINK("http://141.218.60.56/~jnz1568/getInfo.php?workbook=08_01.xlsx&amp;sheet=A0&amp;row=279&amp;col=26&amp;number=&amp;sourceID=13","")</f>
        <v/>
      </c>
      <c r="AA279" s="4" t="str">
        <f>HYPERLINK("http://141.218.60.56/~jnz1568/getInfo.php?workbook=08_01.xlsx&amp;sheet=A0&amp;row=279&amp;col=27&amp;number=&amp;sourceID=13","")</f>
        <v/>
      </c>
      <c r="AB279" s="4" t="str">
        <f>HYPERLINK("http://141.218.60.56/~jnz1568/getInfo.php?workbook=08_01.xlsx&amp;sheet=A0&amp;row=279&amp;col=28&amp;number=&amp;sourceID=13","")</f>
        <v/>
      </c>
      <c r="AC279" s="4" t="str">
        <f>HYPERLINK("http://141.218.60.56/~jnz1568/getInfo.php?workbook=08_01.xlsx&amp;sheet=A0&amp;row=279&amp;col=29&amp;number=&amp;sourceID=13","")</f>
        <v/>
      </c>
      <c r="AD279" s="4" t="str">
        <f>HYPERLINK("http://141.218.60.56/~jnz1568/getInfo.php?workbook=08_01.xlsx&amp;sheet=A0&amp;row=279&amp;col=30&amp;number=&amp;sourceID=13","")</f>
        <v/>
      </c>
      <c r="AE279" s="4" t="str">
        <f>HYPERLINK("http://141.218.60.56/~jnz1568/getInfo.php?workbook=08_01.xlsx&amp;sheet=A0&amp;row=279&amp;col=31&amp;number=&amp;sourceID=13","")</f>
        <v/>
      </c>
      <c r="AF279" s="4" t="str">
        <f>HYPERLINK("http://141.218.60.56/~jnz1568/getInfo.php?workbook=08_01.xlsx&amp;sheet=A0&amp;row=279&amp;col=32&amp;number=&amp;sourceID=20","")</f>
        <v/>
      </c>
    </row>
    <row r="280" spans="1:32">
      <c r="A280" s="3">
        <v>8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HYPERLINK("http://141.218.60.56/~jnz1568/getInfo.php?workbook=08_01.xlsx&amp;sheet=A0&amp;row=280&amp;col=6&amp;number=&amp;sourceID=18","")</f>
        <v/>
      </c>
      <c r="G280" s="4" t="str">
        <f>HYPERLINK("http://141.218.60.56/~jnz1568/getInfo.php?workbook=08_01.xlsx&amp;sheet=A0&amp;row=280&amp;col=7&amp;number==&amp;sourceID=11","=")</f>
        <v>=</v>
      </c>
      <c r="H280" s="4" t="str">
        <f>HYPERLINK("http://141.218.60.56/~jnz1568/getInfo.php?workbook=08_01.xlsx&amp;sheet=A0&amp;row=280&amp;col=8&amp;number=&amp;sourceID=11","")</f>
        <v/>
      </c>
      <c r="I280" s="4" t="str">
        <f>HYPERLINK("http://141.218.60.56/~jnz1568/getInfo.php?workbook=08_01.xlsx&amp;sheet=A0&amp;row=280&amp;col=9&amp;number=&amp;sourceID=11","")</f>
        <v/>
      </c>
      <c r="J280" s="4" t="str">
        <f>HYPERLINK("http://141.218.60.56/~jnz1568/getInfo.php?workbook=08_01.xlsx&amp;sheet=A0&amp;row=280&amp;col=10&amp;number=0&amp;sourceID=11","0")</f>
        <v>0</v>
      </c>
      <c r="K280" s="4" t="str">
        <f>HYPERLINK("http://141.218.60.56/~jnz1568/getInfo.php?workbook=08_01.xlsx&amp;sheet=A0&amp;row=280&amp;col=11&amp;number=&amp;sourceID=11","")</f>
        <v/>
      </c>
      <c r="L280" s="4" t="str">
        <f>HYPERLINK("http://141.218.60.56/~jnz1568/getInfo.php?workbook=08_01.xlsx&amp;sheet=A0&amp;row=280&amp;col=12&amp;number=&amp;sourceID=11","")</f>
        <v/>
      </c>
      <c r="M280" s="4" t="str">
        <f>HYPERLINK("http://141.218.60.56/~jnz1568/getInfo.php?workbook=08_01.xlsx&amp;sheet=A0&amp;row=280&amp;col=13&amp;number=&amp;sourceID=11","")</f>
        <v/>
      </c>
      <c r="N280" s="4" t="str">
        <f>HYPERLINK("http://141.218.60.56/~jnz1568/getInfo.php?workbook=08_01.xlsx&amp;sheet=A0&amp;row=280&amp;col=14&amp;number=0&amp;sourceID=12","0")</f>
        <v>0</v>
      </c>
      <c r="O280" s="4" t="str">
        <f>HYPERLINK("http://141.218.60.56/~jnz1568/getInfo.php?workbook=08_01.xlsx&amp;sheet=A0&amp;row=280&amp;col=15&amp;number=&amp;sourceID=12","")</f>
        <v/>
      </c>
      <c r="P280" s="4" t="str">
        <f>HYPERLINK("http://141.218.60.56/~jnz1568/getInfo.php?workbook=08_01.xlsx&amp;sheet=A0&amp;row=280&amp;col=16&amp;number=&amp;sourceID=12","")</f>
        <v/>
      </c>
      <c r="Q280" s="4" t="str">
        <f>HYPERLINK("http://141.218.60.56/~jnz1568/getInfo.php?workbook=08_01.xlsx&amp;sheet=A0&amp;row=280&amp;col=17&amp;number=0&amp;sourceID=12","0")</f>
        <v>0</v>
      </c>
      <c r="R280" s="4" t="str">
        <f>HYPERLINK("http://141.218.60.56/~jnz1568/getInfo.php?workbook=08_01.xlsx&amp;sheet=A0&amp;row=280&amp;col=18&amp;number=&amp;sourceID=12","")</f>
        <v/>
      </c>
      <c r="S280" s="4" t="str">
        <f>HYPERLINK("http://141.218.60.56/~jnz1568/getInfo.php?workbook=08_01.xlsx&amp;sheet=A0&amp;row=280&amp;col=19&amp;number=&amp;sourceID=12","")</f>
        <v/>
      </c>
      <c r="T280" s="4" t="str">
        <f>HYPERLINK("http://141.218.60.56/~jnz1568/getInfo.php?workbook=08_01.xlsx&amp;sheet=A0&amp;row=280&amp;col=20&amp;number=&amp;sourceID=12","")</f>
        <v/>
      </c>
      <c r="U280" s="4" t="str">
        <f>HYPERLINK("http://141.218.60.56/~jnz1568/getInfo.php?workbook=08_01.xlsx&amp;sheet=A0&amp;row=280&amp;col=21&amp;number=&amp;sourceID=30","")</f>
        <v/>
      </c>
      <c r="V280" s="4" t="str">
        <f>HYPERLINK("http://141.218.60.56/~jnz1568/getInfo.php?workbook=08_01.xlsx&amp;sheet=A0&amp;row=280&amp;col=22&amp;number=&amp;sourceID=30","")</f>
        <v/>
      </c>
      <c r="W280" s="4" t="str">
        <f>HYPERLINK("http://141.218.60.56/~jnz1568/getInfo.php?workbook=08_01.xlsx&amp;sheet=A0&amp;row=280&amp;col=23&amp;number=&amp;sourceID=30","")</f>
        <v/>
      </c>
      <c r="X280" s="4" t="str">
        <f>HYPERLINK("http://141.218.60.56/~jnz1568/getInfo.php?workbook=08_01.xlsx&amp;sheet=A0&amp;row=280&amp;col=24&amp;number=&amp;sourceID=30","")</f>
        <v/>
      </c>
      <c r="Y280" s="4" t="str">
        <f>HYPERLINK("http://141.218.60.56/~jnz1568/getInfo.php?workbook=08_01.xlsx&amp;sheet=A0&amp;row=280&amp;col=25&amp;number=&amp;sourceID=30","")</f>
        <v/>
      </c>
      <c r="Z280" s="4" t="str">
        <f>HYPERLINK("http://141.218.60.56/~jnz1568/getInfo.php?workbook=08_01.xlsx&amp;sheet=A0&amp;row=280&amp;col=26&amp;number=&amp;sourceID=13","")</f>
        <v/>
      </c>
      <c r="AA280" s="4" t="str">
        <f>HYPERLINK("http://141.218.60.56/~jnz1568/getInfo.php?workbook=08_01.xlsx&amp;sheet=A0&amp;row=280&amp;col=27&amp;number=&amp;sourceID=13","")</f>
        <v/>
      </c>
      <c r="AB280" s="4" t="str">
        <f>HYPERLINK("http://141.218.60.56/~jnz1568/getInfo.php?workbook=08_01.xlsx&amp;sheet=A0&amp;row=280&amp;col=28&amp;number=&amp;sourceID=13","")</f>
        <v/>
      </c>
      <c r="AC280" s="4" t="str">
        <f>HYPERLINK("http://141.218.60.56/~jnz1568/getInfo.php?workbook=08_01.xlsx&amp;sheet=A0&amp;row=280&amp;col=29&amp;number=&amp;sourceID=13","")</f>
        <v/>
      </c>
      <c r="AD280" s="4" t="str">
        <f>HYPERLINK("http://141.218.60.56/~jnz1568/getInfo.php?workbook=08_01.xlsx&amp;sheet=A0&amp;row=280&amp;col=30&amp;number=&amp;sourceID=13","")</f>
        <v/>
      </c>
      <c r="AE280" s="4" t="str">
        <f>HYPERLINK("http://141.218.60.56/~jnz1568/getInfo.php?workbook=08_01.xlsx&amp;sheet=A0&amp;row=280&amp;col=31&amp;number=&amp;sourceID=13","")</f>
        <v/>
      </c>
      <c r="AF280" s="4" t="str">
        <f>HYPERLINK("http://141.218.60.56/~jnz1568/getInfo.php?workbook=08_01.xlsx&amp;sheet=A0&amp;row=280&amp;col=32&amp;number=&amp;sourceID=20","")</f>
        <v/>
      </c>
    </row>
    <row r="281" spans="1:32">
      <c r="A281" s="3">
        <v>8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HYPERLINK("http://141.218.60.56/~jnz1568/getInfo.php?workbook=08_01.xlsx&amp;sheet=A0&amp;row=281&amp;col=6&amp;number=&amp;sourceID=18","")</f>
        <v/>
      </c>
      <c r="G281" s="4" t="str">
        <f>HYPERLINK("http://141.218.60.56/~jnz1568/getInfo.php?workbook=08_01.xlsx&amp;sheet=A0&amp;row=281&amp;col=7&amp;number==&amp;sourceID=11","=")</f>
        <v>=</v>
      </c>
      <c r="H281" s="4" t="str">
        <f>HYPERLINK("http://141.218.60.56/~jnz1568/getInfo.php?workbook=08_01.xlsx&amp;sheet=A0&amp;row=281&amp;col=8&amp;number=&amp;sourceID=11","")</f>
        <v/>
      </c>
      <c r="I281" s="4" t="str">
        <f>HYPERLINK("http://141.218.60.56/~jnz1568/getInfo.php?workbook=08_01.xlsx&amp;sheet=A0&amp;row=281&amp;col=9&amp;number=&amp;sourceID=11","")</f>
        <v/>
      </c>
      <c r="J281" s="4" t="str">
        <f>HYPERLINK("http://141.218.60.56/~jnz1568/getInfo.php?workbook=08_01.xlsx&amp;sheet=A0&amp;row=281&amp;col=10&amp;number=0&amp;sourceID=11","0")</f>
        <v>0</v>
      </c>
      <c r="K281" s="4" t="str">
        <f>HYPERLINK("http://141.218.60.56/~jnz1568/getInfo.php?workbook=08_01.xlsx&amp;sheet=A0&amp;row=281&amp;col=11&amp;number=&amp;sourceID=11","")</f>
        <v/>
      </c>
      <c r="L281" s="4" t="str">
        <f>HYPERLINK("http://141.218.60.56/~jnz1568/getInfo.php?workbook=08_01.xlsx&amp;sheet=A0&amp;row=281&amp;col=12&amp;number=0&amp;sourceID=11","0")</f>
        <v>0</v>
      </c>
      <c r="M281" s="4" t="str">
        <f>HYPERLINK("http://141.218.60.56/~jnz1568/getInfo.php?workbook=08_01.xlsx&amp;sheet=A0&amp;row=281&amp;col=13&amp;number=&amp;sourceID=11","")</f>
        <v/>
      </c>
      <c r="N281" s="4" t="str">
        <f>HYPERLINK("http://141.218.60.56/~jnz1568/getInfo.php?workbook=08_01.xlsx&amp;sheet=A0&amp;row=281&amp;col=14&amp;number=0&amp;sourceID=12","0")</f>
        <v>0</v>
      </c>
      <c r="O281" s="4" t="str">
        <f>HYPERLINK("http://141.218.60.56/~jnz1568/getInfo.php?workbook=08_01.xlsx&amp;sheet=A0&amp;row=281&amp;col=15&amp;number=&amp;sourceID=12","")</f>
        <v/>
      </c>
      <c r="P281" s="4" t="str">
        <f>HYPERLINK("http://141.218.60.56/~jnz1568/getInfo.php?workbook=08_01.xlsx&amp;sheet=A0&amp;row=281&amp;col=16&amp;number=&amp;sourceID=12","")</f>
        <v/>
      </c>
      <c r="Q281" s="4" t="str">
        <f>HYPERLINK("http://141.218.60.56/~jnz1568/getInfo.php?workbook=08_01.xlsx&amp;sheet=A0&amp;row=281&amp;col=17&amp;number=0&amp;sourceID=12","0")</f>
        <v>0</v>
      </c>
      <c r="R281" s="4" t="str">
        <f>HYPERLINK("http://141.218.60.56/~jnz1568/getInfo.php?workbook=08_01.xlsx&amp;sheet=A0&amp;row=281&amp;col=18&amp;number=&amp;sourceID=12","")</f>
        <v/>
      </c>
      <c r="S281" s="4" t="str">
        <f>HYPERLINK("http://141.218.60.56/~jnz1568/getInfo.php?workbook=08_01.xlsx&amp;sheet=A0&amp;row=281&amp;col=19&amp;number=0&amp;sourceID=12","0")</f>
        <v>0</v>
      </c>
      <c r="T281" s="4" t="str">
        <f>HYPERLINK("http://141.218.60.56/~jnz1568/getInfo.php?workbook=08_01.xlsx&amp;sheet=A0&amp;row=281&amp;col=20&amp;number=&amp;sourceID=12","")</f>
        <v/>
      </c>
      <c r="U281" s="4" t="str">
        <f>HYPERLINK("http://141.218.60.56/~jnz1568/getInfo.php?workbook=08_01.xlsx&amp;sheet=A0&amp;row=281&amp;col=21&amp;number=0&amp;sourceID=30","0")</f>
        <v>0</v>
      </c>
      <c r="V281" s="4" t="str">
        <f>HYPERLINK("http://141.218.60.56/~jnz1568/getInfo.php?workbook=08_01.xlsx&amp;sheet=A0&amp;row=281&amp;col=22&amp;number=&amp;sourceID=30","")</f>
        <v/>
      </c>
      <c r="W281" s="4" t="str">
        <f>HYPERLINK("http://141.218.60.56/~jnz1568/getInfo.php?workbook=08_01.xlsx&amp;sheet=A0&amp;row=281&amp;col=23&amp;number=&amp;sourceID=30","")</f>
        <v/>
      </c>
      <c r="X281" s="4" t="str">
        <f>HYPERLINK("http://141.218.60.56/~jnz1568/getInfo.php?workbook=08_01.xlsx&amp;sheet=A0&amp;row=281&amp;col=24&amp;number=&amp;sourceID=30","")</f>
        <v/>
      </c>
      <c r="Y281" s="4" t="str">
        <f>HYPERLINK("http://141.218.60.56/~jnz1568/getInfo.php?workbook=08_01.xlsx&amp;sheet=A0&amp;row=281&amp;col=25&amp;number=0&amp;sourceID=30","0")</f>
        <v>0</v>
      </c>
      <c r="Z281" s="4" t="str">
        <f>HYPERLINK("http://141.218.60.56/~jnz1568/getInfo.php?workbook=08_01.xlsx&amp;sheet=A0&amp;row=281&amp;col=26&amp;number=&amp;sourceID=13","")</f>
        <v/>
      </c>
      <c r="AA281" s="4" t="str">
        <f>HYPERLINK("http://141.218.60.56/~jnz1568/getInfo.php?workbook=08_01.xlsx&amp;sheet=A0&amp;row=281&amp;col=27&amp;number=&amp;sourceID=13","")</f>
        <v/>
      </c>
      <c r="AB281" s="4" t="str">
        <f>HYPERLINK("http://141.218.60.56/~jnz1568/getInfo.php?workbook=08_01.xlsx&amp;sheet=A0&amp;row=281&amp;col=28&amp;number=&amp;sourceID=13","")</f>
        <v/>
      </c>
      <c r="AC281" s="4" t="str">
        <f>HYPERLINK("http://141.218.60.56/~jnz1568/getInfo.php?workbook=08_01.xlsx&amp;sheet=A0&amp;row=281&amp;col=29&amp;number=&amp;sourceID=13","")</f>
        <v/>
      </c>
      <c r="AD281" s="4" t="str">
        <f>HYPERLINK("http://141.218.60.56/~jnz1568/getInfo.php?workbook=08_01.xlsx&amp;sheet=A0&amp;row=281&amp;col=30&amp;number=&amp;sourceID=13","")</f>
        <v/>
      </c>
      <c r="AE281" s="4" t="str">
        <f>HYPERLINK("http://141.218.60.56/~jnz1568/getInfo.php?workbook=08_01.xlsx&amp;sheet=A0&amp;row=281&amp;col=31&amp;number=&amp;sourceID=13","")</f>
        <v/>
      </c>
      <c r="AF281" s="4" t="str">
        <f>HYPERLINK("http://141.218.60.56/~jnz1568/getInfo.php?workbook=08_01.xlsx&amp;sheet=A0&amp;row=281&amp;col=32&amp;number=&amp;sourceID=20","")</f>
        <v/>
      </c>
    </row>
    <row r="282" spans="1:32">
      <c r="A282" s="3">
        <v>8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HYPERLINK("http://141.218.60.56/~jnz1568/getInfo.php?workbook=08_01.xlsx&amp;sheet=A0&amp;row=282&amp;col=6&amp;number=&amp;sourceID=18","")</f>
        <v/>
      </c>
      <c r="G282" s="4" t="str">
        <f>HYPERLINK("http://141.218.60.56/~jnz1568/getInfo.php?workbook=08_01.xlsx&amp;sheet=A0&amp;row=282&amp;col=7&amp;number==&amp;sourceID=11","=")</f>
        <v>=</v>
      </c>
      <c r="H282" s="4" t="str">
        <f>HYPERLINK("http://141.218.60.56/~jnz1568/getInfo.php?workbook=08_01.xlsx&amp;sheet=A0&amp;row=282&amp;col=8&amp;number=&amp;sourceID=11","")</f>
        <v/>
      </c>
      <c r="I282" s="4" t="str">
        <f>HYPERLINK("http://141.218.60.56/~jnz1568/getInfo.php?workbook=08_01.xlsx&amp;sheet=A0&amp;row=282&amp;col=9&amp;number=4.8e-14&amp;sourceID=11","4.8e-14")</f>
        <v>4.8e-14</v>
      </c>
      <c r="J282" s="4" t="str">
        <f>HYPERLINK("http://141.218.60.56/~jnz1568/getInfo.php?workbook=08_01.xlsx&amp;sheet=A0&amp;row=282&amp;col=10&amp;number=&amp;sourceID=11","")</f>
        <v/>
      </c>
      <c r="K282" s="4" t="str">
        <f>HYPERLINK("http://141.218.60.56/~jnz1568/getInfo.php?workbook=08_01.xlsx&amp;sheet=A0&amp;row=282&amp;col=11&amp;number=&amp;sourceID=11","")</f>
        <v/>
      </c>
      <c r="L282" s="4" t="str">
        <f>HYPERLINK("http://141.218.60.56/~jnz1568/getInfo.php?workbook=08_01.xlsx&amp;sheet=A0&amp;row=282&amp;col=12&amp;number=&amp;sourceID=11","")</f>
        <v/>
      </c>
      <c r="M282" s="4" t="str">
        <f>HYPERLINK("http://141.218.60.56/~jnz1568/getInfo.php?workbook=08_01.xlsx&amp;sheet=A0&amp;row=282&amp;col=13&amp;number=0&amp;sourceID=11","0")</f>
        <v>0</v>
      </c>
      <c r="N282" s="4" t="str">
        <f>HYPERLINK("http://141.218.60.56/~jnz1568/getInfo.php?workbook=08_01.xlsx&amp;sheet=A0&amp;row=282&amp;col=14&amp;number=4.8e-14&amp;sourceID=12","4.8e-14")</f>
        <v>4.8e-14</v>
      </c>
      <c r="O282" s="4" t="str">
        <f>HYPERLINK("http://141.218.60.56/~jnz1568/getInfo.php?workbook=08_01.xlsx&amp;sheet=A0&amp;row=282&amp;col=15&amp;number=&amp;sourceID=12","")</f>
        <v/>
      </c>
      <c r="P282" s="4" t="str">
        <f>HYPERLINK("http://141.218.60.56/~jnz1568/getInfo.php?workbook=08_01.xlsx&amp;sheet=A0&amp;row=282&amp;col=16&amp;number=4.8e-14&amp;sourceID=12","4.8e-14")</f>
        <v>4.8e-14</v>
      </c>
      <c r="Q282" s="4" t="str">
        <f>HYPERLINK("http://141.218.60.56/~jnz1568/getInfo.php?workbook=08_01.xlsx&amp;sheet=A0&amp;row=282&amp;col=17&amp;number=&amp;sourceID=12","")</f>
        <v/>
      </c>
      <c r="R282" s="4" t="str">
        <f>HYPERLINK("http://141.218.60.56/~jnz1568/getInfo.php?workbook=08_01.xlsx&amp;sheet=A0&amp;row=282&amp;col=18&amp;number=&amp;sourceID=12","")</f>
        <v/>
      </c>
      <c r="S282" s="4" t="str">
        <f>HYPERLINK("http://141.218.60.56/~jnz1568/getInfo.php?workbook=08_01.xlsx&amp;sheet=A0&amp;row=282&amp;col=19&amp;number=&amp;sourceID=12","")</f>
        <v/>
      </c>
      <c r="T282" s="4" t="str">
        <f>HYPERLINK("http://141.218.60.56/~jnz1568/getInfo.php?workbook=08_01.xlsx&amp;sheet=A0&amp;row=282&amp;col=20&amp;number=0&amp;sourceID=12","0")</f>
        <v>0</v>
      </c>
      <c r="U282" s="4" t="str">
        <f>HYPERLINK("http://141.218.60.56/~jnz1568/getInfo.php?workbook=08_01.xlsx&amp;sheet=A0&amp;row=282&amp;col=21&amp;number=4.8e-14&amp;sourceID=30","4.8e-14")</f>
        <v>4.8e-14</v>
      </c>
      <c r="V282" s="4" t="str">
        <f>HYPERLINK("http://141.218.60.56/~jnz1568/getInfo.php?workbook=08_01.xlsx&amp;sheet=A0&amp;row=282&amp;col=22&amp;number=&amp;sourceID=30","")</f>
        <v/>
      </c>
      <c r="W282" s="4" t="str">
        <f>HYPERLINK("http://141.218.60.56/~jnz1568/getInfo.php?workbook=08_01.xlsx&amp;sheet=A0&amp;row=282&amp;col=23&amp;number=4.8e-14&amp;sourceID=30","4.8e-14")</f>
        <v>4.8e-14</v>
      </c>
      <c r="X282" s="4" t="str">
        <f>HYPERLINK("http://141.218.60.56/~jnz1568/getInfo.php?workbook=08_01.xlsx&amp;sheet=A0&amp;row=282&amp;col=24&amp;number=&amp;sourceID=30","")</f>
        <v/>
      </c>
      <c r="Y282" s="4" t="str">
        <f>HYPERLINK("http://141.218.60.56/~jnz1568/getInfo.php?workbook=08_01.xlsx&amp;sheet=A0&amp;row=282&amp;col=25&amp;number=&amp;sourceID=30","")</f>
        <v/>
      </c>
      <c r="Z282" s="4" t="str">
        <f>HYPERLINK("http://141.218.60.56/~jnz1568/getInfo.php?workbook=08_01.xlsx&amp;sheet=A0&amp;row=282&amp;col=26&amp;number=&amp;sourceID=13","")</f>
        <v/>
      </c>
      <c r="AA282" s="4" t="str">
        <f>HYPERLINK("http://141.218.60.56/~jnz1568/getInfo.php?workbook=08_01.xlsx&amp;sheet=A0&amp;row=282&amp;col=27&amp;number=&amp;sourceID=13","")</f>
        <v/>
      </c>
      <c r="AB282" s="4" t="str">
        <f>HYPERLINK("http://141.218.60.56/~jnz1568/getInfo.php?workbook=08_01.xlsx&amp;sheet=A0&amp;row=282&amp;col=28&amp;number=&amp;sourceID=13","")</f>
        <v/>
      </c>
      <c r="AC282" s="4" t="str">
        <f>HYPERLINK("http://141.218.60.56/~jnz1568/getInfo.php?workbook=08_01.xlsx&amp;sheet=A0&amp;row=282&amp;col=29&amp;number=&amp;sourceID=13","")</f>
        <v/>
      </c>
      <c r="AD282" s="4" t="str">
        <f>HYPERLINK("http://141.218.60.56/~jnz1568/getInfo.php?workbook=08_01.xlsx&amp;sheet=A0&amp;row=282&amp;col=30&amp;number=&amp;sourceID=13","")</f>
        <v/>
      </c>
      <c r="AE282" s="4" t="str">
        <f>HYPERLINK("http://141.218.60.56/~jnz1568/getInfo.php?workbook=08_01.xlsx&amp;sheet=A0&amp;row=282&amp;col=31&amp;number=&amp;sourceID=13","")</f>
        <v/>
      </c>
      <c r="AF282" s="4" t="str">
        <f>HYPERLINK("http://141.218.60.56/~jnz1568/getInfo.php?workbook=08_01.xlsx&amp;sheet=A0&amp;row=282&amp;col=32&amp;number=&amp;sourceID=20","")</f>
        <v/>
      </c>
    </row>
    <row r="283" spans="1:32">
      <c r="A283" s="3">
        <v>8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HYPERLINK("http://141.218.60.56/~jnz1568/getInfo.php?workbook=08_01.xlsx&amp;sheet=A0&amp;row=283&amp;col=6&amp;number=&amp;sourceID=18","")</f>
        <v/>
      </c>
      <c r="G283" s="4" t="str">
        <f>HYPERLINK("http://141.218.60.56/~jnz1568/getInfo.php?workbook=08_01.xlsx&amp;sheet=A0&amp;row=283&amp;col=7&amp;number==&amp;sourceID=11","=")</f>
        <v>=</v>
      </c>
      <c r="H283" s="4" t="str">
        <f>HYPERLINK("http://141.218.60.56/~jnz1568/getInfo.php?workbook=08_01.xlsx&amp;sheet=A0&amp;row=283&amp;col=8&amp;number=&amp;sourceID=11","")</f>
        <v/>
      </c>
      <c r="I283" s="4" t="str">
        <f>HYPERLINK("http://141.218.60.56/~jnz1568/getInfo.php?workbook=08_01.xlsx&amp;sheet=A0&amp;row=283&amp;col=9&amp;number=0&amp;sourceID=11","0")</f>
        <v>0</v>
      </c>
      <c r="J283" s="4" t="str">
        <f>HYPERLINK("http://141.218.60.56/~jnz1568/getInfo.php?workbook=08_01.xlsx&amp;sheet=A0&amp;row=283&amp;col=10&amp;number=&amp;sourceID=11","")</f>
        <v/>
      </c>
      <c r="K283" s="4" t="str">
        <f>HYPERLINK("http://141.218.60.56/~jnz1568/getInfo.php?workbook=08_01.xlsx&amp;sheet=A0&amp;row=283&amp;col=11&amp;number=1.0525e-08&amp;sourceID=11","1.0525e-08")</f>
        <v>1.0525e-08</v>
      </c>
      <c r="L283" s="4" t="str">
        <f>HYPERLINK("http://141.218.60.56/~jnz1568/getInfo.php?workbook=08_01.xlsx&amp;sheet=A0&amp;row=283&amp;col=12&amp;number=&amp;sourceID=11","")</f>
        <v/>
      </c>
      <c r="M283" s="4" t="str">
        <f>HYPERLINK("http://141.218.60.56/~jnz1568/getInfo.php?workbook=08_01.xlsx&amp;sheet=A0&amp;row=283&amp;col=13&amp;number=0&amp;sourceID=11","0")</f>
        <v>0</v>
      </c>
      <c r="N283" s="4" t="str">
        <f>HYPERLINK("http://141.218.60.56/~jnz1568/getInfo.php?workbook=08_01.xlsx&amp;sheet=A0&amp;row=283&amp;col=14&amp;number=1.0526e-08&amp;sourceID=12","1.0526e-08")</f>
        <v>1.0526e-08</v>
      </c>
      <c r="O283" s="4" t="str">
        <f>HYPERLINK("http://141.218.60.56/~jnz1568/getInfo.php?workbook=08_01.xlsx&amp;sheet=A0&amp;row=283&amp;col=15&amp;number=&amp;sourceID=12","")</f>
        <v/>
      </c>
      <c r="P283" s="4" t="str">
        <f>HYPERLINK("http://141.218.60.56/~jnz1568/getInfo.php?workbook=08_01.xlsx&amp;sheet=A0&amp;row=283&amp;col=16&amp;number=0&amp;sourceID=12","0")</f>
        <v>0</v>
      </c>
      <c r="Q283" s="4" t="str">
        <f>HYPERLINK("http://141.218.60.56/~jnz1568/getInfo.php?workbook=08_01.xlsx&amp;sheet=A0&amp;row=283&amp;col=17&amp;number=&amp;sourceID=12","")</f>
        <v/>
      </c>
      <c r="R283" s="4" t="str">
        <f>HYPERLINK("http://141.218.60.56/~jnz1568/getInfo.php?workbook=08_01.xlsx&amp;sheet=A0&amp;row=283&amp;col=18&amp;number=1.0526e-08&amp;sourceID=12","1.0526e-08")</f>
        <v>1.0526e-08</v>
      </c>
      <c r="S283" s="4" t="str">
        <f>HYPERLINK("http://141.218.60.56/~jnz1568/getInfo.php?workbook=08_01.xlsx&amp;sheet=A0&amp;row=283&amp;col=19&amp;number=&amp;sourceID=12","")</f>
        <v/>
      </c>
      <c r="T283" s="4" t="str">
        <f>HYPERLINK("http://141.218.60.56/~jnz1568/getInfo.php?workbook=08_01.xlsx&amp;sheet=A0&amp;row=283&amp;col=20&amp;number=0&amp;sourceID=12","0")</f>
        <v>0</v>
      </c>
      <c r="U283" s="4" t="str">
        <f>HYPERLINK("http://141.218.60.56/~jnz1568/getInfo.php?workbook=08_01.xlsx&amp;sheet=A0&amp;row=283&amp;col=21&amp;number=1.053e-08&amp;sourceID=30","1.053e-08")</f>
        <v>1.053e-08</v>
      </c>
      <c r="V283" s="4" t="str">
        <f>HYPERLINK("http://141.218.60.56/~jnz1568/getInfo.php?workbook=08_01.xlsx&amp;sheet=A0&amp;row=283&amp;col=22&amp;number=&amp;sourceID=30","")</f>
        <v/>
      </c>
      <c r="W283" s="4" t="str">
        <f>HYPERLINK("http://141.218.60.56/~jnz1568/getInfo.php?workbook=08_01.xlsx&amp;sheet=A0&amp;row=283&amp;col=23&amp;number=0&amp;sourceID=30","0")</f>
        <v>0</v>
      </c>
      <c r="X283" s="4" t="str">
        <f>HYPERLINK("http://141.218.60.56/~jnz1568/getInfo.php?workbook=08_01.xlsx&amp;sheet=A0&amp;row=283&amp;col=24&amp;number=1.053e-08&amp;sourceID=30","1.053e-08")</f>
        <v>1.053e-08</v>
      </c>
      <c r="Y283" s="4" t="str">
        <f>HYPERLINK("http://141.218.60.56/~jnz1568/getInfo.php?workbook=08_01.xlsx&amp;sheet=A0&amp;row=283&amp;col=25&amp;number=&amp;sourceID=30","")</f>
        <v/>
      </c>
      <c r="Z283" s="4" t="str">
        <f>HYPERLINK("http://141.218.60.56/~jnz1568/getInfo.php?workbook=08_01.xlsx&amp;sheet=A0&amp;row=283&amp;col=26&amp;number=&amp;sourceID=13","")</f>
        <v/>
      </c>
      <c r="AA283" s="4" t="str">
        <f>HYPERLINK("http://141.218.60.56/~jnz1568/getInfo.php?workbook=08_01.xlsx&amp;sheet=A0&amp;row=283&amp;col=27&amp;number=&amp;sourceID=13","")</f>
        <v/>
      </c>
      <c r="AB283" s="4" t="str">
        <f>HYPERLINK("http://141.218.60.56/~jnz1568/getInfo.php?workbook=08_01.xlsx&amp;sheet=A0&amp;row=283&amp;col=28&amp;number=&amp;sourceID=13","")</f>
        <v/>
      </c>
      <c r="AC283" s="4" t="str">
        <f>HYPERLINK("http://141.218.60.56/~jnz1568/getInfo.php?workbook=08_01.xlsx&amp;sheet=A0&amp;row=283&amp;col=29&amp;number=&amp;sourceID=13","")</f>
        <v/>
      </c>
      <c r="AD283" s="4" t="str">
        <f>HYPERLINK("http://141.218.60.56/~jnz1568/getInfo.php?workbook=08_01.xlsx&amp;sheet=A0&amp;row=283&amp;col=30&amp;number=&amp;sourceID=13","")</f>
        <v/>
      </c>
      <c r="AE283" s="4" t="str">
        <f>HYPERLINK("http://141.218.60.56/~jnz1568/getInfo.php?workbook=08_01.xlsx&amp;sheet=A0&amp;row=283&amp;col=31&amp;number=&amp;sourceID=13","")</f>
        <v/>
      </c>
      <c r="AF283" s="4" t="str">
        <f>HYPERLINK("http://141.218.60.56/~jnz1568/getInfo.php?workbook=08_01.xlsx&amp;sheet=A0&amp;row=283&amp;col=32&amp;number=&amp;sourceID=20","")</f>
        <v/>
      </c>
    </row>
    <row r="284" spans="1:32">
      <c r="A284" s="3">
        <v>8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HYPERLINK("http://141.218.60.56/~jnz1568/getInfo.php?workbook=08_01.xlsx&amp;sheet=A0&amp;row=284&amp;col=6&amp;number=&amp;sourceID=18","")</f>
        <v/>
      </c>
      <c r="G284" s="4" t="str">
        <f>HYPERLINK("http://141.218.60.56/~jnz1568/getInfo.php?workbook=08_01.xlsx&amp;sheet=A0&amp;row=284&amp;col=7&amp;number==&amp;sourceID=11","=")</f>
        <v>=</v>
      </c>
      <c r="H284" s="4" t="str">
        <f>HYPERLINK("http://141.218.60.56/~jnz1568/getInfo.php?workbook=08_01.xlsx&amp;sheet=A0&amp;row=284&amp;col=8&amp;number=0.0062536&amp;sourceID=11","0.0062536")</f>
        <v>0.0062536</v>
      </c>
      <c r="I284" s="4" t="str">
        <f>HYPERLINK("http://141.218.60.56/~jnz1568/getInfo.php?workbook=08_01.xlsx&amp;sheet=A0&amp;row=284&amp;col=9&amp;number=&amp;sourceID=11","")</f>
        <v/>
      </c>
      <c r="J284" s="4" t="str">
        <f>HYPERLINK("http://141.218.60.56/~jnz1568/getInfo.php?workbook=08_01.xlsx&amp;sheet=A0&amp;row=284&amp;col=10&amp;number=0&amp;sourceID=11","0")</f>
        <v>0</v>
      </c>
      <c r="K284" s="4" t="str">
        <f>HYPERLINK("http://141.218.60.56/~jnz1568/getInfo.php?workbook=08_01.xlsx&amp;sheet=A0&amp;row=284&amp;col=11&amp;number=&amp;sourceID=11","")</f>
        <v/>
      </c>
      <c r="L284" s="4" t="str">
        <f>HYPERLINK("http://141.218.60.56/~jnz1568/getInfo.php?workbook=08_01.xlsx&amp;sheet=A0&amp;row=284&amp;col=12&amp;number=0&amp;sourceID=11","0")</f>
        <v>0</v>
      </c>
      <c r="M284" s="4" t="str">
        <f>HYPERLINK("http://141.218.60.56/~jnz1568/getInfo.php?workbook=08_01.xlsx&amp;sheet=A0&amp;row=284&amp;col=13&amp;number=&amp;sourceID=11","")</f>
        <v/>
      </c>
      <c r="N284" s="4" t="str">
        <f>HYPERLINK("http://141.218.60.56/~jnz1568/getInfo.php?workbook=08_01.xlsx&amp;sheet=A0&amp;row=284&amp;col=14&amp;number=0.0062543&amp;sourceID=12","0.0062543")</f>
        <v>0.0062543</v>
      </c>
      <c r="O284" s="4" t="str">
        <f>HYPERLINK("http://141.218.60.56/~jnz1568/getInfo.php?workbook=08_01.xlsx&amp;sheet=A0&amp;row=284&amp;col=15&amp;number=0.0062543&amp;sourceID=12","0.0062543")</f>
        <v>0.0062543</v>
      </c>
      <c r="P284" s="4" t="str">
        <f>HYPERLINK("http://141.218.60.56/~jnz1568/getInfo.php?workbook=08_01.xlsx&amp;sheet=A0&amp;row=284&amp;col=16&amp;number=&amp;sourceID=12","")</f>
        <v/>
      </c>
      <c r="Q284" s="4" t="str">
        <f>HYPERLINK("http://141.218.60.56/~jnz1568/getInfo.php?workbook=08_01.xlsx&amp;sheet=A0&amp;row=284&amp;col=17&amp;number=0&amp;sourceID=12","0")</f>
        <v>0</v>
      </c>
      <c r="R284" s="4" t="str">
        <f>HYPERLINK("http://141.218.60.56/~jnz1568/getInfo.php?workbook=08_01.xlsx&amp;sheet=A0&amp;row=284&amp;col=18&amp;number=&amp;sourceID=12","")</f>
        <v/>
      </c>
      <c r="S284" s="4" t="str">
        <f>HYPERLINK("http://141.218.60.56/~jnz1568/getInfo.php?workbook=08_01.xlsx&amp;sheet=A0&amp;row=284&amp;col=19&amp;number=0&amp;sourceID=12","0")</f>
        <v>0</v>
      </c>
      <c r="T284" s="4" t="str">
        <f>HYPERLINK("http://141.218.60.56/~jnz1568/getInfo.php?workbook=08_01.xlsx&amp;sheet=A0&amp;row=284&amp;col=20&amp;number=&amp;sourceID=12","")</f>
        <v/>
      </c>
      <c r="U284" s="4" t="str">
        <f>HYPERLINK("http://141.218.60.56/~jnz1568/getInfo.php?workbook=08_01.xlsx&amp;sheet=A0&amp;row=284&amp;col=21&amp;number=0.006254&amp;sourceID=30","0.006254")</f>
        <v>0.006254</v>
      </c>
      <c r="V284" s="4" t="str">
        <f>HYPERLINK("http://141.218.60.56/~jnz1568/getInfo.php?workbook=08_01.xlsx&amp;sheet=A0&amp;row=284&amp;col=22&amp;number=0.006254&amp;sourceID=30","0.006254")</f>
        <v>0.006254</v>
      </c>
      <c r="W284" s="4" t="str">
        <f>HYPERLINK("http://141.218.60.56/~jnz1568/getInfo.php?workbook=08_01.xlsx&amp;sheet=A0&amp;row=284&amp;col=23&amp;number=&amp;sourceID=30","")</f>
        <v/>
      </c>
      <c r="X284" s="4" t="str">
        <f>HYPERLINK("http://141.218.60.56/~jnz1568/getInfo.php?workbook=08_01.xlsx&amp;sheet=A0&amp;row=284&amp;col=24&amp;number=&amp;sourceID=30","")</f>
        <v/>
      </c>
      <c r="Y284" s="4" t="str">
        <f>HYPERLINK("http://141.218.60.56/~jnz1568/getInfo.php?workbook=08_01.xlsx&amp;sheet=A0&amp;row=284&amp;col=25&amp;number=0&amp;sourceID=30","0")</f>
        <v>0</v>
      </c>
      <c r="Z284" s="4" t="str">
        <f>HYPERLINK("http://141.218.60.56/~jnz1568/getInfo.php?workbook=08_01.xlsx&amp;sheet=A0&amp;row=284&amp;col=26&amp;number=&amp;sourceID=13","")</f>
        <v/>
      </c>
      <c r="AA284" s="4" t="str">
        <f>HYPERLINK("http://141.218.60.56/~jnz1568/getInfo.php?workbook=08_01.xlsx&amp;sheet=A0&amp;row=284&amp;col=27&amp;number=&amp;sourceID=13","")</f>
        <v/>
      </c>
      <c r="AB284" s="4" t="str">
        <f>HYPERLINK("http://141.218.60.56/~jnz1568/getInfo.php?workbook=08_01.xlsx&amp;sheet=A0&amp;row=284&amp;col=28&amp;number=&amp;sourceID=13","")</f>
        <v/>
      </c>
      <c r="AC284" s="4" t="str">
        <f>HYPERLINK("http://141.218.60.56/~jnz1568/getInfo.php?workbook=08_01.xlsx&amp;sheet=A0&amp;row=284&amp;col=29&amp;number=&amp;sourceID=13","")</f>
        <v/>
      </c>
      <c r="AD284" s="4" t="str">
        <f>HYPERLINK("http://141.218.60.56/~jnz1568/getInfo.php?workbook=08_01.xlsx&amp;sheet=A0&amp;row=284&amp;col=30&amp;number=&amp;sourceID=13","")</f>
        <v/>
      </c>
      <c r="AE284" s="4" t="str">
        <f>HYPERLINK("http://141.218.60.56/~jnz1568/getInfo.php?workbook=08_01.xlsx&amp;sheet=A0&amp;row=284&amp;col=31&amp;number=&amp;sourceID=13","")</f>
        <v/>
      </c>
      <c r="AF284" s="4" t="str">
        <f>HYPERLINK("http://141.218.60.56/~jnz1568/getInfo.php?workbook=08_01.xlsx&amp;sheet=A0&amp;row=284&amp;col=32&amp;number=&amp;sourceID=20","")</f>
        <v/>
      </c>
    </row>
  </sheetData>
  <mergeCells count="1">
    <mergeCell ref="A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2015-04-13T07:10:39Z</dcterms:created>
  <dcterms:modified xsi:type="dcterms:W3CDTF">2015-04-13T07:10:39Z</dcterms:modified>
</cp:coreProperties>
</file>