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E1" sheetId="2" r:id="rId2"/>
    <sheet name="A0" sheetId="3" r:id="rId3"/>
    <sheet name="A1" sheetId="4" r:id="rId4"/>
  </sheets>
  <calcPr calcId="124519" fullCalcOnLoad="1"/>
</workbook>
</file>

<file path=xl/sharedStrings.xml><?xml version="1.0" encoding="utf-8"?>
<sst xmlns="http://schemas.openxmlformats.org/spreadsheetml/2006/main" count="233" uniqueCount="55">
  <si>
    <t>Fine Structure Energy Levels for  O VII</t>
  </si>
  <si>
    <t>S2</t>
  </si>
  <si>
    <t>S30</t>
  </si>
  <si>
    <t>S32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</si>
  <si>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</si>
  <si>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</si>
  <si>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</si>
  <si>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</si>
  <si>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</si>
  <si>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</si>
  <si>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</si>
  <si>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</si>
  <si>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</si>
  <si>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</si>
  <si>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1s2</t>
  </si>
  <si>
    <t>1S</t>
  </si>
  <si>
    <t>1s.2s</t>
  </si>
  <si>
    <t>3S</t>
  </si>
  <si>
    <t>1s.2p</t>
  </si>
  <si>
    <t>3P*</t>
  </si>
  <si>
    <t>1P*</t>
  </si>
  <si>
    <t>1s.3s</t>
  </si>
  <si>
    <t>1s.3p</t>
  </si>
  <si>
    <t>1s.3d</t>
  </si>
  <si>
    <t>3D</t>
  </si>
  <si>
    <t>1D</t>
  </si>
  <si>
    <t>1s.4s</t>
  </si>
  <si>
    <t>1s.4p</t>
  </si>
  <si>
    <t>1s.4d</t>
  </si>
  <si>
    <t>1s.4f</t>
  </si>
  <si>
    <t>3F*</t>
  </si>
  <si>
    <t>1F*</t>
  </si>
  <si>
    <t>1s.5s</t>
  </si>
  <si>
    <t>1s.5p</t>
  </si>
  <si>
    <t>1s.5f</t>
  </si>
  <si>
    <t>1s.5d</t>
  </si>
  <si>
    <t>1s.5g</t>
  </si>
  <si>
    <t>3G</t>
  </si>
  <si>
    <t>1G</t>
  </si>
  <si>
    <t>LS Energy Terms for  O VII</t>
  </si>
  <si>
    <t>S33</t>
  </si>
  <si>
    <t>S25</t>
  </si>
  <si>
    <t>A-values for  fine-structure transitions in O VII</t>
  </si>
  <si>
    <t>S27</t>
  </si>
  <si>
    <t>S34</t>
  </si>
  <si>
    <t>k</t>
  </si>
  <si>
    <t>WLVac (A)</t>
  </si>
  <si>
    <t>A2E1 (s-1)</t>
  </si>
  <si>
    <t>AE1 (s-1)</t>
  </si>
  <si>
    <t>AE2 (s-1)</t>
  </si>
  <si>
    <t>AM1 (s-1)</t>
  </si>
  <si>
    <t>AM2 (s-1)</t>
  </si>
  <si>
    <t>A-values for LS E1 Transitions in O VII</t>
  </si>
  <si>
    <t>S24</t>
  </si>
  <si>
    <t>WL Vac (nm)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</si>
</sst>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2"/>
  <sheetViews>
    <sheetView tabSelected="1" workbookViewId="0"/>
  </sheetViews>
  <sheetFormatPr defaultRowHeight="15"/>
  <cols>
    <col min="1" max="1" width="2.7109375" customWidth="1"/>
    <col min="2" max="2" width="2.7109375" customWidth="1"/>
    <col min="3" max="3" width="15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8.7109375" customWidth="1"/>
    <col min="11" max="11" width="14.7109375" customWidth="1"/>
    <col min="12" max="12" width="14.7109375" customWidth="1"/>
    <col min="13" max="13" width="8.7109375" customWidth="1"/>
  </cols>
  <sheetData>
    <row r="1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  <c r="K2" s="2" t="s">
        <v>2</v>
      </c>
      <c r="L2" s="2" t="s">
        <v>2</v>
      </c>
      <c r="M2" s="2" t="s">
        <v>3</v>
      </c>
    </row>
    <row r="3" spans="1:13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13</v>
      </c>
      <c r="L3" s="2" t="s">
        <v>13</v>
      </c>
      <c r="M3" s="2" t="s">
        <v>13</v>
      </c>
    </row>
    <row r="4" spans="1:13">
      <c r="A4" s="3">
        <v>8</v>
      </c>
      <c r="B4" s="3">
        <v>2</v>
      </c>
      <c r="C4" s="3">
        <v>1</v>
      </c>
      <c r="D4" s="3" t="s">
        <v>14</v>
      </c>
      <c r="E4" s="3" t="s">
        <v>15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HYPERLINK("http://141.218.60.56/~jnz1568/getInfo.php?workbook=08_02.xlsx&amp;sheet=E0&amp;row=4&amp;col=10&amp;number=0&amp;sourceID=2","0")</f>
        <v>0</v>
      </c>
      <c r="K4" s="4" t="str">
        <f>HYPERLINK("http://141.218.60.56/~jnz1568/getInfo.php?workbook=08_02.xlsx&amp;sheet=E0&amp;row=4&amp;col=11&amp;number=0&amp;sourceID=30","0")</f>
        <v>0</v>
      </c>
      <c r="L4" s="4" t="str">
        <f>HYPERLINK("http://141.218.60.56/~jnz1568/getInfo.php?workbook=08_02.xlsx&amp;sheet=E0&amp;row=4&amp;col=12&amp;number=0&amp;sourceID=30","0")</f>
        <v>0</v>
      </c>
      <c r="M4" s="4" t="str">
        <f>HYPERLINK("http://141.218.60.56/~jnz1568/getInfo.php?workbook=08_02.xlsx&amp;sheet=E0&amp;row=4&amp;col=13&amp;number=0&amp;sourceID=32","0")</f>
        <v>0</v>
      </c>
    </row>
    <row r="5" spans="1:13">
      <c r="A5" s="3">
        <v>8</v>
      </c>
      <c r="B5" s="3">
        <v>2</v>
      </c>
      <c r="C5" s="3">
        <f>C4+1</f>
        <v>0</v>
      </c>
      <c r="D5" s="3" t="s">
        <v>16</v>
      </c>
      <c r="E5" s="3" t="s">
        <v>17</v>
      </c>
      <c r="F5" s="3">
        <v>3</v>
      </c>
      <c r="G5" s="3">
        <v>0</v>
      </c>
      <c r="H5" s="3">
        <v>0</v>
      </c>
      <c r="I5" s="3">
        <v>1</v>
      </c>
      <c r="J5" s="4" t="str">
        <f>HYPERLINK("http://141.218.60.56/~jnz1568/getInfo.php?workbook=08_02.xlsx&amp;sheet=E0&amp;row=5&amp;col=10&amp;number=4524640&amp;sourceID=2","4524640")</f>
        <v>4524640</v>
      </c>
      <c r="K5" s="4" t="str">
        <f>HYPERLINK("http://141.218.60.56/~jnz1568/getInfo.php?workbook=08_02.xlsx&amp;sheet=E0&amp;row=5&amp;col=11&amp;number=4504986.76268&amp;sourceID=30","4504986.76268")</f>
        <v>4504986.76268</v>
      </c>
      <c r="L5" s="4" t="str">
        <f>HYPERLINK("http://141.218.60.56/~jnz1568/getInfo.php?workbook=08_02.xlsx&amp;sheet=E0&amp;row=5&amp;col=12&amp;number=4503079.52814&amp;sourceID=30","4503079.52814")</f>
        <v>4503079.52814</v>
      </c>
      <c r="M5" s="4" t="str">
        <f>HYPERLINK("http://141.218.60.56/~jnz1568/getInfo.php?workbook=08_02.xlsx&amp;sheet=E0&amp;row=5&amp;col=13&amp;number=4525510&amp;sourceID=32","4525510")</f>
        <v>4525510</v>
      </c>
    </row>
    <row r="6" spans="1:13">
      <c r="A6" s="3">
        <v>8</v>
      </c>
      <c r="B6" s="3">
        <v>2</v>
      </c>
      <c r="C6" s="3">
        <f/>
        <v>0</v>
      </c>
      <c r="D6" s="3" t="s">
        <v>18</v>
      </c>
      <c r="E6" s="3" t="s">
        <v>19</v>
      </c>
      <c r="F6" s="3">
        <v>3</v>
      </c>
      <c r="G6" s="3">
        <v>1</v>
      </c>
      <c r="H6" s="3">
        <v>1</v>
      </c>
      <c r="I6" s="3">
        <v>0</v>
      </c>
      <c r="J6" s="4" t="str">
        <f>HYPERLINK("http://141.218.60.56/~jnz1568/getInfo.php?workbook=08_02.xlsx&amp;sheet=E0&amp;row=6&amp;col=10&amp;number=4585620&amp;sourceID=2","4585620")</f>
        <v>4585620</v>
      </c>
      <c r="K6" s="4" t="str">
        <f>HYPERLINK("http://141.218.60.56/~jnz1568/getInfo.php?workbook=08_02.xlsx&amp;sheet=E0&amp;row=6&amp;col=11&amp;number=4566317.85105&amp;sourceID=30","4566317.85105")</f>
        <v>4566317.85105</v>
      </c>
      <c r="L6" s="4" t="str">
        <f>HYPERLINK("http://141.218.60.56/~jnz1568/getInfo.php?workbook=08_02.xlsx&amp;sheet=E0&amp;row=6&amp;col=12&amp;number=4564770.55489&amp;sourceID=30","4564770.55489")</f>
        <v>4564770.55489</v>
      </c>
      <c r="M6" s="4" t="str">
        <f>HYPERLINK("http://141.218.60.56/~jnz1568/getInfo.php?workbook=08_02.xlsx&amp;sheet=E0&amp;row=6&amp;col=13&amp;number=4586588&amp;sourceID=32","4586588")</f>
        <v>4586588</v>
      </c>
    </row>
    <row r="7" spans="1:13">
      <c r="A7" s="3">
        <v>8</v>
      </c>
      <c r="B7" s="3">
        <v>2</v>
      </c>
      <c r="C7" s="3">
        <f/>
        <v>0</v>
      </c>
      <c r="D7" s="3" t="s">
        <v>18</v>
      </c>
      <c r="E7" s="3" t="s">
        <v>19</v>
      </c>
      <c r="F7" s="3">
        <v>3</v>
      </c>
      <c r="G7" s="3">
        <v>1</v>
      </c>
      <c r="H7" s="3">
        <v>1</v>
      </c>
      <c r="I7" s="3">
        <v>1</v>
      </c>
      <c r="J7" s="4" t="str">
        <f>HYPERLINK("http://141.218.60.56/~jnz1568/getInfo.php?workbook=08_02.xlsx&amp;sheet=E0&amp;row=7&amp;col=10&amp;number=4585680&amp;sourceID=2","4585680")</f>
        <v>4585680</v>
      </c>
      <c r="K7" s="4" t="str">
        <f>HYPERLINK("http://141.218.60.56/~jnz1568/getInfo.php?workbook=08_02.xlsx&amp;sheet=E0&amp;row=7&amp;col=11&amp;number=4566645.96562&amp;sourceID=30","4566645.96562")</f>
        <v>4566645.96562</v>
      </c>
      <c r="L7" s="4" t="str">
        <f>HYPERLINK("http://141.218.60.56/~jnz1568/getInfo.php?workbook=08_02.xlsx&amp;sheet=E0&amp;row=7&amp;col=12&amp;number=4564825.42355&amp;sourceID=30","4564825.42355")</f>
        <v>4564825.42355</v>
      </c>
      <c r="M7" s="4" t="str">
        <f>HYPERLINK("http://141.218.60.56/~jnz1568/getInfo.php?workbook=08_02.xlsx&amp;sheet=E0&amp;row=7&amp;col=13&amp;number=4586646&amp;sourceID=32","4586646")</f>
        <v>4586646</v>
      </c>
    </row>
    <row r="8" spans="1:13">
      <c r="A8" s="3">
        <v>8</v>
      </c>
      <c r="B8" s="3">
        <v>2</v>
      </c>
      <c r="C8" s="3">
        <f/>
        <v>0</v>
      </c>
      <c r="D8" s="3" t="s">
        <v>18</v>
      </c>
      <c r="E8" s="3" t="s">
        <v>19</v>
      </c>
      <c r="F8" s="3">
        <v>3</v>
      </c>
      <c r="G8" s="3">
        <v>1</v>
      </c>
      <c r="H8" s="3">
        <v>1</v>
      </c>
      <c r="I8" s="3">
        <v>2</v>
      </c>
      <c r="J8" s="4" t="str">
        <f>HYPERLINK("http://141.218.60.56/~jnz1568/getInfo.php?workbook=08_02.xlsx&amp;sheet=E0&amp;row=8&amp;col=10&amp;number=4586230&amp;sourceID=2","4586230")</f>
        <v>4586230</v>
      </c>
      <c r="K8" s="4" t="str">
        <f>HYPERLINK("http://141.218.60.56/~jnz1568/getInfo.php?workbook=08_02.xlsx&amp;sheet=E0&amp;row=8&amp;col=11&amp;number=4567315.36324&amp;sourceID=30","4567315.36324")</f>
        <v>4567315.36324</v>
      </c>
      <c r="L8" s="4" t="str">
        <f>HYPERLINK("http://141.218.60.56/~jnz1568/getInfo.php?workbook=08_02.xlsx&amp;sheet=E0&amp;row=8&amp;col=12&amp;number=4565371.91538&amp;sourceID=30","4565371.91538")</f>
        <v>4565371.91538</v>
      </c>
      <c r="M8" s="4" t="str">
        <f>HYPERLINK("http://141.218.60.56/~jnz1568/getInfo.php?workbook=08_02.xlsx&amp;sheet=E0&amp;row=8&amp;col=13&amp;number=4587196&amp;sourceID=32","4587196")</f>
        <v>4587196</v>
      </c>
    </row>
    <row r="9" spans="1:13">
      <c r="A9" s="3">
        <v>8</v>
      </c>
      <c r="B9" s="3">
        <v>2</v>
      </c>
      <c r="C9" s="3">
        <f/>
        <v>0</v>
      </c>
      <c r="D9" s="3" t="s">
        <v>16</v>
      </c>
      <c r="E9" s="3" t="s">
        <v>15</v>
      </c>
      <c r="F9" s="3">
        <v>1</v>
      </c>
      <c r="G9" s="3">
        <v>0</v>
      </c>
      <c r="H9" s="3">
        <v>0</v>
      </c>
      <c r="I9" s="3">
        <v>0</v>
      </c>
      <c r="J9" s="4" t="str">
        <f>HYPERLINK("http://141.218.60.56/~jnz1568/getInfo.php?workbook=08_02.xlsx&amp;sheet=E0&amp;row=9&amp;col=10&amp;number=4588380&amp;sourceID=2","4588380")</f>
        <v>4588380</v>
      </c>
      <c r="K9" s="4" t="str">
        <f>HYPERLINK("http://141.218.60.56/~jnz1568/getInfo.php?workbook=08_02.xlsx&amp;sheet=E0&amp;row=9&amp;col=11&amp;number=4571981.39391&amp;sourceID=30","4571981.39391")</f>
        <v>4571981.39391</v>
      </c>
      <c r="L9" s="4" t="str">
        <f>HYPERLINK("http://141.218.60.56/~jnz1568/getInfo.php?workbook=08_02.xlsx&amp;sheet=E0&amp;row=9&amp;col=12&amp;number=4570329.84731&amp;sourceID=30","4570329.84731")</f>
        <v>4570329.84731</v>
      </c>
      <c r="M9" s="4" t="str">
        <f>HYPERLINK("http://141.218.60.56/~jnz1568/getInfo.php?workbook=08_02.xlsx&amp;sheet=E0&amp;row=9&amp;col=13&amp;number=4588715&amp;sourceID=32","4588715")</f>
        <v>4588715</v>
      </c>
    </row>
    <row r="10" spans="1:13">
      <c r="A10" s="3">
        <v>8</v>
      </c>
      <c r="B10" s="3">
        <v>2</v>
      </c>
      <c r="C10" s="3">
        <f/>
        <v>0</v>
      </c>
      <c r="D10" s="3" t="s">
        <v>18</v>
      </c>
      <c r="E10" s="3" t="s">
        <v>20</v>
      </c>
      <c r="F10" s="3">
        <v>1</v>
      </c>
      <c r="G10" s="3">
        <v>1</v>
      </c>
      <c r="H10" s="3">
        <v>1</v>
      </c>
      <c r="I10" s="3">
        <v>1</v>
      </c>
      <c r="J10" s="4" t="str">
        <f>HYPERLINK("http://141.218.60.56/~jnz1568/getInfo.php?workbook=08_02.xlsx&amp;sheet=E0&amp;row=10&amp;col=10&amp;number=4629201&amp;sourceID=2","4629201")</f>
        <v>4629201</v>
      </c>
      <c r="K10" s="4" t="str">
        <f>HYPERLINK("http://141.218.60.56/~jnz1568/getInfo.php?workbook=08_02.xlsx&amp;sheet=E0&amp;row=10&amp;col=11&amp;number=4611126.88916&amp;sourceID=30","4611126.88916")</f>
        <v>4611126.88916</v>
      </c>
      <c r="L10" s="4" t="str">
        <f>HYPERLINK("http://141.218.60.56/~jnz1568/getInfo.php?workbook=08_02.xlsx&amp;sheet=E0&amp;row=10&amp;col=12&amp;number=4609123.08577&amp;sourceID=30","4609123.08577")</f>
        <v>4609123.08577</v>
      </c>
      <c r="M10" s="4" t="str">
        <f>HYPERLINK("http://141.218.60.56/~jnz1568/getInfo.php?workbook=08_02.xlsx&amp;sheet=E0&amp;row=10&amp;col=13&amp;number=4629586&amp;sourceID=32","4629586")</f>
        <v>4629586</v>
      </c>
    </row>
    <row r="11" spans="1:13">
      <c r="A11" s="3">
        <v>8</v>
      </c>
      <c r="B11" s="3">
        <v>2</v>
      </c>
      <c r="C11" s="3">
        <f/>
        <v>0</v>
      </c>
      <c r="D11" s="3" t="s">
        <v>21</v>
      </c>
      <c r="E11" s="3" t="s">
        <v>17</v>
      </c>
      <c r="F11" s="3">
        <v>3</v>
      </c>
      <c r="G11" s="3">
        <v>0</v>
      </c>
      <c r="H11" s="3">
        <v>0</v>
      </c>
      <c r="I11" s="3">
        <v>1</v>
      </c>
      <c r="J11" s="4" t="str">
        <f>HYPERLINK("http://141.218.60.56/~jnz1568/getInfo.php?workbook=08_02.xlsx&amp;sheet=E0&amp;row=11&amp;col=10&amp;number=5338820&amp;sourceID=2","5338820")</f>
        <v>5338820</v>
      </c>
      <c r="K11" s="4" t="str">
        <f>HYPERLINK("http://141.218.60.56/~jnz1568/getInfo.php?workbook=08_02.xlsx&amp;sheet=E0&amp;row=11&amp;col=11&amp;number=5318896.36202&amp;sourceID=30","5318896.36202")</f>
        <v>5318896.36202</v>
      </c>
      <c r="L11" s="4" t="str">
        <f>HYPERLINK("http://141.218.60.56/~jnz1568/getInfo.php?workbook=08_02.xlsx&amp;sheet=E0&amp;row=11&amp;col=12&amp;number=5316941.94042&amp;sourceID=30","5316941.94042")</f>
        <v>5316941.94042</v>
      </c>
      <c r="M11" s="4" t="str">
        <f>HYPERLINK("http://141.218.60.56/~jnz1568/getInfo.php?workbook=08_02.xlsx&amp;sheet=E0&amp;row=11&amp;col=13&amp;number=5339891&amp;sourceID=32","5339891")</f>
        <v>5339891</v>
      </c>
    </row>
    <row r="12" spans="1:13">
      <c r="A12" s="3">
        <v>8</v>
      </c>
      <c r="B12" s="3">
        <v>2</v>
      </c>
      <c r="C12" s="3">
        <f/>
        <v>0</v>
      </c>
      <c r="D12" s="3" t="s">
        <v>22</v>
      </c>
      <c r="E12" s="3" t="s">
        <v>19</v>
      </c>
      <c r="F12" s="3">
        <v>3</v>
      </c>
      <c r="G12" s="3">
        <v>1</v>
      </c>
      <c r="H12" s="3">
        <v>1</v>
      </c>
      <c r="I12" s="3">
        <v>0</v>
      </c>
      <c r="J12" s="4" t="str">
        <f>HYPERLINK("http://141.218.60.56/~jnz1568/getInfo.php?workbook=08_02.xlsx&amp;sheet=E0&amp;row=12&amp;col=10&amp;number=5355670&amp;sourceID=2","5355670")</f>
        <v>5355670</v>
      </c>
      <c r="K12" s="4" t="str">
        <f>HYPERLINK("http://141.218.60.56/~jnz1568/getInfo.php?workbook=08_02.xlsx&amp;sheet=E0&amp;row=12&amp;col=11&amp;number=5335544.61018&amp;sourceID=30","5335544.61018")</f>
        <v>5335544.61018</v>
      </c>
      <c r="L12" s="4" t="str">
        <f>HYPERLINK("http://141.218.60.56/~jnz1568/getInfo.php?workbook=08_02.xlsx&amp;sheet=E0&amp;row=12&amp;col=12&amp;number=5333688.95217&amp;sourceID=30","5333688.95217")</f>
        <v>5333688.95217</v>
      </c>
      <c r="M12" s="4" t="str">
        <f>HYPERLINK("http://141.218.60.56/~jnz1568/getInfo.php?workbook=08_02.xlsx&amp;sheet=E0&amp;row=12&amp;col=13&amp;number=5356504&amp;sourceID=32","5356504")</f>
        <v>5356504</v>
      </c>
    </row>
    <row r="13" spans="1:13">
      <c r="A13" s="3">
        <v>8</v>
      </c>
      <c r="B13" s="3">
        <v>2</v>
      </c>
      <c r="C13" s="3">
        <f/>
        <v>0</v>
      </c>
      <c r="D13" s="3" t="s">
        <v>22</v>
      </c>
      <c r="E13" s="3" t="s">
        <v>19</v>
      </c>
      <c r="F13" s="3">
        <v>3</v>
      </c>
      <c r="G13" s="3">
        <v>1</v>
      </c>
      <c r="H13" s="3">
        <v>1</v>
      </c>
      <c r="I13" s="3">
        <v>1</v>
      </c>
      <c r="J13" s="4" t="str">
        <f>HYPERLINK("http://141.218.60.56/~jnz1568/getInfo.php?workbook=08_02.xlsx&amp;sheet=E0&amp;row=13&amp;col=10&amp;number=5355670&amp;sourceID=2","5355670")</f>
        <v>5355670</v>
      </c>
      <c r="K13" s="4" t="str">
        <f>HYPERLINK("http://141.218.60.56/~jnz1568/getInfo.php?workbook=08_02.xlsx&amp;sheet=E0&amp;row=13&amp;col=11&amp;number=5335640.08164&amp;sourceID=30","5335640.08164")</f>
        <v>5335640.08164</v>
      </c>
      <c r="L13" s="4" t="str">
        <f>HYPERLINK("http://141.218.60.56/~jnz1568/getInfo.php?workbook=08_02.xlsx&amp;sheet=E0&amp;row=13&amp;col=12&amp;number=5333710.89963&amp;sourceID=30","5333710.89963")</f>
        <v>5333710.89963</v>
      </c>
      <c r="M13" s="4" t="str">
        <f>HYPERLINK("http://141.218.60.56/~jnz1568/getInfo.php?workbook=08_02.xlsx&amp;sheet=E0&amp;row=13&amp;col=13&amp;number=5356527&amp;sourceID=32","5356527")</f>
        <v>5356527</v>
      </c>
    </row>
    <row r="14" spans="1:13">
      <c r="A14" s="3">
        <v>8</v>
      </c>
      <c r="B14" s="3">
        <v>2</v>
      </c>
      <c r="C14" s="3">
        <f/>
        <v>0</v>
      </c>
      <c r="D14" s="3" t="s">
        <v>22</v>
      </c>
      <c r="E14" s="3" t="s">
        <v>19</v>
      </c>
      <c r="F14" s="3">
        <v>3</v>
      </c>
      <c r="G14" s="3">
        <v>1</v>
      </c>
      <c r="H14" s="3">
        <v>1</v>
      </c>
      <c r="I14" s="3">
        <v>2</v>
      </c>
      <c r="J14" s="4" t="str">
        <f>HYPERLINK("http://141.218.60.56/~jnz1568/getInfo.php?workbook=08_02.xlsx&amp;sheet=E0&amp;row=14&amp;col=10&amp;number=5355670&amp;sourceID=2","5355670")</f>
        <v>5355670</v>
      </c>
      <c r="K14" s="4" t="str">
        <f>HYPERLINK("http://141.218.60.56/~jnz1568/getInfo.php?workbook=08_02.xlsx&amp;sheet=E0&amp;row=14&amp;col=11&amp;number=5335835.41406&amp;sourceID=30","5335835.41406")</f>
        <v>5335835.41406</v>
      </c>
      <c r="L14" s="4" t="str">
        <f>HYPERLINK("http://141.218.60.56/~jnz1568/getInfo.php?workbook=08_02.xlsx&amp;sheet=E0&amp;row=14&amp;col=12&amp;number=5333873.31086&amp;sourceID=30","5333873.31086")</f>
        <v>5333873.31086</v>
      </c>
      <c r="M14" s="4" t="str">
        <f>HYPERLINK("http://141.218.60.56/~jnz1568/getInfo.php?workbook=08_02.xlsx&amp;sheet=E0&amp;row=14&amp;col=13&amp;number=5356690&amp;sourceID=32","5356690")</f>
        <v>5356690</v>
      </c>
    </row>
    <row r="15" spans="1:13">
      <c r="A15" s="3">
        <v>8</v>
      </c>
      <c r="B15" s="3">
        <v>2</v>
      </c>
      <c r="C15" s="3">
        <f/>
        <v>0</v>
      </c>
      <c r="D15" s="3" t="s">
        <v>21</v>
      </c>
      <c r="E15" s="3" t="s">
        <v>15</v>
      </c>
      <c r="F15" s="3">
        <v>1</v>
      </c>
      <c r="G15" s="3">
        <v>0</v>
      </c>
      <c r="H15" s="3">
        <v>0</v>
      </c>
      <c r="I15" s="3">
        <v>0</v>
      </c>
      <c r="J15" s="4" t="str">
        <f>HYPERLINK("http://141.218.60.56/~jnz1568/getInfo.php?workbook=08_02.xlsx&amp;sheet=E0&amp;row=15&amp;col=10&amp;number=5356420&amp;sourceID=2","5356420")</f>
        <v>5356420</v>
      </c>
      <c r="K15" s="4" t="str">
        <f>HYPERLINK("http://141.218.60.56/~jnz1568/getInfo.php?workbook=08_02.xlsx&amp;sheet=E0&amp;row=15&amp;col=11&amp;number=5337072.15361&amp;sourceID=30","5337072.15361")</f>
        <v>5337072.15361</v>
      </c>
      <c r="L15" s="4" t="str">
        <f>HYPERLINK("http://141.218.60.56/~jnz1568/getInfo.php?workbook=08_02.xlsx&amp;sheet=E0&amp;row=15&amp;col=12&amp;number=5335197.84026&amp;sourceID=30","5335197.84026")</f>
        <v>5335197.84026</v>
      </c>
      <c r="M15" s="4" t="str">
        <f>HYPERLINK("http://141.218.60.56/~jnz1568/getInfo.php?workbook=08_02.xlsx&amp;sheet=E0&amp;row=15&amp;col=13&amp;number=5356613&amp;sourceID=32","5356613")</f>
        <v>5356613</v>
      </c>
    </row>
    <row r="16" spans="1:13">
      <c r="A16" s="3">
        <v>8</v>
      </c>
      <c r="B16" s="3">
        <v>2</v>
      </c>
      <c r="C16" s="3">
        <f/>
        <v>0</v>
      </c>
      <c r="D16" s="3" t="s">
        <v>23</v>
      </c>
      <c r="E16" s="3" t="s">
        <v>24</v>
      </c>
      <c r="F16" s="3">
        <v>3</v>
      </c>
      <c r="G16" s="3">
        <v>2</v>
      </c>
      <c r="H16" s="3">
        <v>0</v>
      </c>
      <c r="I16" s="3">
        <v>1</v>
      </c>
      <c r="J16" s="4" t="str">
        <f>HYPERLINK("http://141.218.60.56/~jnz1568/getInfo.php?workbook=08_02.xlsx&amp;sheet=E0&amp;row=16&amp;col=10&amp;number=5364370&amp;sourceID=2","5364370")</f>
        <v>5364370</v>
      </c>
      <c r="K16" s="4" t="str">
        <f>HYPERLINK("http://141.218.60.56/~jnz1568/getInfo.php?workbook=08_02.xlsx&amp;sheet=E0&amp;row=16&amp;col=11&amp;number=5344247.87669&amp;sourceID=30","5344247.87669")</f>
        <v>5344247.87669</v>
      </c>
      <c r="L16" s="4" t="str">
        <f>HYPERLINK("http://141.218.60.56/~jnz1568/getInfo.php?workbook=08_02.xlsx&amp;sheet=E0&amp;row=16&amp;col=12&amp;number=5342300.03933&amp;sourceID=30","5342300.03933")</f>
        <v>5342300.03933</v>
      </c>
      <c r="M16" s="4" t="str">
        <f>HYPERLINK("http://141.218.60.56/~jnz1568/getInfo.php?workbook=08_02.xlsx&amp;sheet=E0&amp;row=16&amp;col=13&amp;number=5365366&amp;sourceID=32","5365366")</f>
        <v>5365366</v>
      </c>
    </row>
    <row r="17" spans="1:13">
      <c r="A17" s="3">
        <v>8</v>
      </c>
      <c r="B17" s="3">
        <v>2</v>
      </c>
      <c r="C17" s="3">
        <f/>
        <v>0</v>
      </c>
      <c r="D17" s="3" t="s">
        <v>23</v>
      </c>
      <c r="E17" s="3" t="s">
        <v>24</v>
      </c>
      <c r="F17" s="3">
        <v>3</v>
      </c>
      <c r="G17" s="3">
        <v>2</v>
      </c>
      <c r="H17" s="3">
        <v>0</v>
      </c>
      <c r="I17" s="3">
        <v>2</v>
      </c>
      <c r="J17" s="4" t="str">
        <f>HYPERLINK("http://141.218.60.56/~jnz1568/getInfo.php?workbook=08_02.xlsx&amp;sheet=E0&amp;row=17&amp;col=10&amp;number=5364430&amp;sourceID=2","5364430")</f>
        <v>5364430</v>
      </c>
      <c r="K17" s="4" t="str">
        <f>HYPERLINK("http://141.218.60.56/~jnz1568/getInfo.php?workbook=08_02.xlsx&amp;sheet=E0&amp;row=17&amp;col=11&amp;number=5344278.60313&amp;sourceID=30","5344278.60313")</f>
        <v>5344278.60313</v>
      </c>
      <c r="L17" s="4" t="str">
        <f>HYPERLINK("http://141.218.60.56/~jnz1568/getInfo.php?workbook=08_02.xlsx&amp;sheet=E0&amp;row=17&amp;col=12&amp;number=5342308.81832&amp;sourceID=30","5342308.81832")</f>
        <v>5342308.81832</v>
      </c>
      <c r="M17" s="4" t="str">
        <f>HYPERLINK("http://141.218.60.56/~jnz1568/getInfo.php?workbook=08_02.xlsx&amp;sheet=E0&amp;row=17&amp;col=13&amp;number=5365374&amp;sourceID=32","5365374")</f>
        <v>5365374</v>
      </c>
    </row>
    <row r="18" spans="1:13">
      <c r="A18" s="3">
        <v>8</v>
      </c>
      <c r="B18" s="3">
        <v>2</v>
      </c>
      <c r="C18" s="3">
        <f/>
        <v>0</v>
      </c>
      <c r="D18" s="3" t="s">
        <v>23</v>
      </c>
      <c r="E18" s="3" t="s">
        <v>24</v>
      </c>
      <c r="F18" s="3">
        <v>3</v>
      </c>
      <c r="G18" s="3">
        <v>2</v>
      </c>
      <c r="H18" s="3">
        <v>0</v>
      </c>
      <c r="I18" s="3">
        <v>3</v>
      </c>
      <c r="J18" s="4" t="str">
        <f>HYPERLINK("http://141.218.60.56/~jnz1568/getInfo.php?workbook=08_02.xlsx&amp;sheet=E0&amp;row=18&amp;col=10&amp;number=5364440&amp;sourceID=2","5364440")</f>
        <v>5364440</v>
      </c>
      <c r="K18" s="4" t="str">
        <f>HYPERLINK("http://141.218.60.56/~jnz1568/getInfo.php?workbook=08_02.xlsx&amp;sheet=E0&amp;row=18&amp;col=11&amp;number=5344334.56916&amp;sourceID=30","5344334.56916")</f>
        <v>5344334.56916</v>
      </c>
      <c r="L18" s="4" t="str">
        <f>HYPERLINK("http://141.218.60.56/~jnz1568/getInfo.php?workbook=08_02.xlsx&amp;sheet=E0&amp;row=18&amp;col=12&amp;number=5342358.20011&amp;sourceID=30","5342358.20011")</f>
        <v>5342358.20011</v>
      </c>
      <c r="M18" s="4" t="str">
        <f>HYPERLINK("http://141.218.60.56/~jnz1568/getInfo.php?workbook=08_02.xlsx&amp;sheet=E0&amp;row=18&amp;col=13&amp;number=5365424&amp;sourceID=32","5365424")</f>
        <v>5365424</v>
      </c>
    </row>
    <row r="19" spans="1:13">
      <c r="A19" s="3">
        <v>8</v>
      </c>
      <c r="B19" s="3">
        <v>2</v>
      </c>
      <c r="C19" s="3">
        <f/>
        <v>0</v>
      </c>
      <c r="D19" s="3" t="s">
        <v>23</v>
      </c>
      <c r="E19" s="3" t="s">
        <v>25</v>
      </c>
      <c r="F19" s="3">
        <v>1</v>
      </c>
      <c r="G19" s="3">
        <v>2</v>
      </c>
      <c r="H19" s="3">
        <v>0</v>
      </c>
      <c r="I19" s="3">
        <v>2</v>
      </c>
      <c r="J19" s="4" t="str">
        <f>HYPERLINK("http://141.218.60.56/~jnz1568/getInfo.php?workbook=08_02.xlsx&amp;sheet=E0&amp;row=19&amp;col=10&amp;number=5365470&amp;sourceID=2","5365470")</f>
        <v>5365470</v>
      </c>
      <c r="K19" s="4" t="str">
        <f>HYPERLINK("http://141.218.60.56/~jnz1568/getInfo.php?workbook=08_02.xlsx&amp;sheet=E0&amp;row=19&amp;col=11&amp;number=5344762.5447&amp;sourceID=30","5344762.5447")</f>
        <v>5344762.5447</v>
      </c>
      <c r="L19" s="4" t="str">
        <f>HYPERLINK("http://141.218.60.56/~jnz1568/getInfo.php?workbook=08_02.xlsx&amp;sheet=E0&amp;row=19&amp;col=12&amp;number=5342796.052&amp;sourceID=30","5342796.052")</f>
        <v>5342796.052</v>
      </c>
      <c r="M19" s="4" t="str">
        <f>HYPERLINK("http://141.218.60.56/~jnz1568/getInfo.php?workbook=08_02.xlsx&amp;sheet=E0&amp;row=19&amp;col=13&amp;number=5365805&amp;sourceID=32","5365805")</f>
        <v>5365805</v>
      </c>
    </row>
    <row r="20" spans="1:13">
      <c r="A20" s="3">
        <v>8</v>
      </c>
      <c r="B20" s="3">
        <v>2</v>
      </c>
      <c r="C20" s="3">
        <f/>
        <v>0</v>
      </c>
      <c r="D20" s="3" t="s">
        <v>22</v>
      </c>
      <c r="E20" s="3" t="s">
        <v>20</v>
      </c>
      <c r="F20" s="3">
        <v>1</v>
      </c>
      <c r="G20" s="3">
        <v>1</v>
      </c>
      <c r="H20" s="3">
        <v>1</v>
      </c>
      <c r="I20" s="3">
        <v>1</v>
      </c>
      <c r="J20" s="4" t="str">
        <f>HYPERLINK("http://141.218.60.56/~jnz1568/getInfo.php?workbook=08_02.xlsx&amp;sheet=E0&amp;row=20&amp;col=10&amp;number=5368550&amp;sourceID=2","5368550")</f>
        <v>5368550</v>
      </c>
      <c r="K20" s="4" t="str">
        <f>HYPERLINK("http://141.218.60.56/~jnz1568/getInfo.php?workbook=08_02.xlsx&amp;sheet=E0&amp;row=20&amp;col=11&amp;number=5348239.02286&amp;sourceID=30","5348239.02286")</f>
        <v>5348239.02286</v>
      </c>
      <c r="L20" s="4" t="str">
        <f>HYPERLINK("http://141.218.60.56/~jnz1568/getInfo.php?workbook=08_02.xlsx&amp;sheet=E0&amp;row=20&amp;col=12&amp;number=5346262.6538&amp;sourceID=30","5346262.6538")</f>
        <v>5346262.6538</v>
      </c>
      <c r="M20" s="4" t="str">
        <f>HYPERLINK("http://141.218.60.56/~jnz1568/getInfo.php?workbook=08_02.xlsx&amp;sheet=E0&amp;row=20&amp;col=13&amp;number=5368479&amp;sourceID=32","5368479")</f>
        <v>5368479</v>
      </c>
    </row>
    <row r="21" spans="1:13">
      <c r="A21" s="3">
        <v>8</v>
      </c>
      <c r="B21" s="3">
        <v>2</v>
      </c>
      <c r="C21" s="3">
        <f/>
        <v>0</v>
      </c>
      <c r="D21" s="3" t="s">
        <v>26</v>
      </c>
      <c r="E21" s="3" t="s">
        <v>17</v>
      </c>
      <c r="F21" s="3">
        <v>3</v>
      </c>
      <c r="G21" s="3">
        <v>0</v>
      </c>
      <c r="H21" s="3">
        <v>0</v>
      </c>
      <c r="I21" s="3">
        <v>1</v>
      </c>
      <c r="J21" s="4" t="str">
        <f>HYPERLINK("http://141.218.60.56/~jnz1568/getInfo.php?workbook=08_02.xlsx&amp;sheet=E0&amp;row=21&amp;col=10&amp;number=5616340&amp;sourceID=2","5616340")</f>
        <v>5616340</v>
      </c>
      <c r="K21" s="4" t="str">
        <f>HYPERLINK("http://141.218.60.56/~jnz1568/getInfo.php?workbook=08_02.xlsx&amp;sheet=E0&amp;row=21&amp;col=11&amp;number=5595444.2739&amp;sourceID=30","5595444.2739")</f>
        <v>5595444.2739</v>
      </c>
      <c r="L21" s="4" t="str">
        <f>HYPERLINK("http://141.218.60.56/~jnz1568/getInfo.php?workbook=08_02.xlsx&amp;sheet=E0&amp;row=21&amp;col=12&amp;number=5593482.1707&amp;sourceID=30","5593482.1707")</f>
        <v>5593482.1707</v>
      </c>
      <c r="M21" s="4" t="str">
        <f>HYPERLINK("http://141.218.60.56/~jnz1568/getInfo.php?workbook=08_02.xlsx&amp;sheet=E0&amp;row=21&amp;col=13&amp;number=5616543&amp;sourceID=32","5616543")</f>
        <v>5616543</v>
      </c>
    </row>
    <row r="22" spans="1:13">
      <c r="A22" s="3">
        <v>8</v>
      </c>
      <c r="B22" s="3">
        <v>2</v>
      </c>
      <c r="C22" s="3">
        <f/>
        <v>0</v>
      </c>
      <c r="D22" s="3" t="s">
        <v>27</v>
      </c>
      <c r="E22" s="3" t="s">
        <v>19</v>
      </c>
      <c r="F22" s="3">
        <v>3</v>
      </c>
      <c r="G22" s="3">
        <v>1</v>
      </c>
      <c r="H22" s="3">
        <v>1</v>
      </c>
      <c r="I22" s="3">
        <v>0</v>
      </c>
      <c r="J22" s="4" t="str">
        <f>HYPERLINK("http://141.218.60.56/~jnz1568/getInfo.php?workbook=08_02.xlsx&amp;sheet=E0&amp;row=22&amp;col=10&amp;number=5622600&amp;sourceID=2","5622600")</f>
        <v>5622600</v>
      </c>
      <c r="K22" s="4" t="str">
        <f>HYPERLINK("http://141.218.60.56/~jnz1568/getInfo.php?workbook=08_02.xlsx&amp;sheet=E0&amp;row=22&amp;col=11&amp;number=5602250.18222&amp;sourceID=30","5602250.18222")</f>
        <v>5602250.18222</v>
      </c>
      <c r="L22" s="4" t="str">
        <f>HYPERLINK("http://141.218.60.56/~jnz1568/getInfo.php?workbook=08_02.xlsx&amp;sheet=E0&amp;row=22&amp;col=12&amp;number=5600327.58445&amp;sourceID=30","5600327.58445")</f>
        <v>5600327.58445</v>
      </c>
      <c r="M22" s="4" t="str">
        <f>HYPERLINK("http://141.218.60.56/~jnz1568/getInfo.php?workbook=08_02.xlsx&amp;sheet=E0&amp;row=22&amp;col=13&amp;number=5623342&amp;sourceID=32","5623342")</f>
        <v>5623342</v>
      </c>
    </row>
    <row r="23" spans="1:13">
      <c r="A23" s="3">
        <v>8</v>
      </c>
      <c r="B23" s="3">
        <v>2</v>
      </c>
      <c r="C23" s="3">
        <f/>
        <v>0</v>
      </c>
      <c r="D23" s="3" t="s">
        <v>27</v>
      </c>
      <c r="E23" s="3" t="s">
        <v>19</v>
      </c>
      <c r="F23" s="3">
        <v>3</v>
      </c>
      <c r="G23" s="3">
        <v>1</v>
      </c>
      <c r="H23" s="3">
        <v>1</v>
      </c>
      <c r="I23" s="3">
        <v>1</v>
      </c>
      <c r="J23" s="4" t="str">
        <f>HYPERLINK("http://141.218.60.56/~jnz1568/getInfo.php?workbook=08_02.xlsx&amp;sheet=E0&amp;row=23&amp;col=10&amp;number=5622600&amp;sourceID=2","5622600")</f>
        <v>5622600</v>
      </c>
      <c r="K23" s="4" t="str">
        <f>HYPERLINK("http://141.218.60.56/~jnz1568/getInfo.php?workbook=08_02.xlsx&amp;sheet=E0&amp;row=23&amp;col=11&amp;number=5602290.78503&amp;sourceID=30","5602290.78503")</f>
        <v>5602290.78503</v>
      </c>
      <c r="L23" s="4" t="str">
        <f>HYPERLINK("http://141.218.60.56/~jnz1568/getInfo.php?workbook=08_02.xlsx&amp;sheet=E0&amp;row=23&amp;col=12&amp;number=5600338.55818&amp;sourceID=30","5600338.55818")</f>
        <v>5600338.55818</v>
      </c>
      <c r="M23" s="4" t="str">
        <f>HYPERLINK("http://141.218.60.56/~jnz1568/getInfo.php?workbook=08_02.xlsx&amp;sheet=E0&amp;row=23&amp;col=13&amp;number=5623353&amp;sourceID=32","5623353")</f>
        <v>5623353</v>
      </c>
    </row>
    <row r="24" spans="1:13">
      <c r="A24" s="3">
        <v>8</v>
      </c>
      <c r="B24" s="3">
        <v>2</v>
      </c>
      <c r="C24" s="3">
        <f/>
        <v>0</v>
      </c>
      <c r="D24" s="3" t="s">
        <v>27</v>
      </c>
      <c r="E24" s="3" t="s">
        <v>19</v>
      </c>
      <c r="F24" s="3">
        <v>3</v>
      </c>
      <c r="G24" s="3">
        <v>1</v>
      </c>
      <c r="H24" s="3">
        <v>1</v>
      </c>
      <c r="I24" s="3">
        <v>2</v>
      </c>
      <c r="J24" s="4" t="str">
        <f>HYPERLINK("http://141.218.60.56/~jnz1568/getInfo.php?workbook=08_02.xlsx&amp;sheet=E0&amp;row=24&amp;col=10&amp;number=5622600&amp;sourceID=2","5622600")</f>
        <v>5622600</v>
      </c>
      <c r="K24" s="4" t="str">
        <f>HYPERLINK("http://141.218.60.56/~jnz1568/getInfo.php?workbook=08_02.xlsx&amp;sheet=E0&amp;row=24&amp;col=11&amp;number=5602373.08801&amp;sourceID=30","5602373.08801")</f>
        <v>5602373.08801</v>
      </c>
      <c r="L24" s="4" t="str">
        <f>HYPERLINK("http://141.218.60.56/~jnz1568/getInfo.php?workbook=08_02.xlsx&amp;sheet=E0&amp;row=24&amp;col=12&amp;number=5600406.59532&amp;sourceID=30","5600406.59532")</f>
        <v>5600406.59532</v>
      </c>
      <c r="M24" s="4" t="str">
        <f>HYPERLINK("http://141.218.60.56/~jnz1568/getInfo.php?workbook=08_02.xlsx&amp;sheet=E0&amp;row=24&amp;col=13&amp;number=5623422&amp;sourceID=32","5623422")</f>
        <v>5623422</v>
      </c>
    </row>
    <row r="25" spans="1:13">
      <c r="A25" s="3">
        <v>8</v>
      </c>
      <c r="B25" s="3">
        <v>2</v>
      </c>
      <c r="C25" s="3">
        <f/>
        <v>0</v>
      </c>
      <c r="D25" s="3" t="s">
        <v>26</v>
      </c>
      <c r="E25" s="3" t="s">
        <v>15</v>
      </c>
      <c r="F25" s="3">
        <v>1</v>
      </c>
      <c r="G25" s="3">
        <v>0</v>
      </c>
      <c r="H25" s="3">
        <v>0</v>
      </c>
      <c r="I25" s="3">
        <v>0</v>
      </c>
      <c r="J25" s="4" t="str">
        <f>HYPERLINK("http://141.218.60.56/~jnz1568/getInfo.php?workbook=08_02.xlsx&amp;sheet=E0&amp;row=25&amp;col=10&amp;number=5623100&amp;sourceID=2","5623100")</f>
        <v>5623100</v>
      </c>
      <c r="K25" s="4" t="str">
        <f>HYPERLINK("http://141.218.60.56/~jnz1568/getInfo.php?workbook=08_02.xlsx&amp;sheet=E0&amp;row=25&amp;col=11&amp;number=5602979.93537&amp;sourceID=30","5602979.93537")</f>
        <v>5602979.93537</v>
      </c>
      <c r="L25" s="4" t="str">
        <f>HYPERLINK("http://141.218.60.56/~jnz1568/getInfo.php?workbook=08_02.xlsx&amp;sheet=E0&amp;row=25&amp;col=12&amp;number=5601052.94811&amp;sourceID=30","5601052.94811")</f>
        <v>5601052.94811</v>
      </c>
      <c r="M25" s="4" t="str">
        <f>HYPERLINK("http://141.218.60.56/~jnz1568/getInfo.php?workbook=08_02.xlsx&amp;sheet=E0&amp;row=25&amp;col=13&amp;number=5623313&amp;sourceID=32","5623313")</f>
        <v>5623313</v>
      </c>
    </row>
    <row r="26" spans="1:13">
      <c r="A26" s="3">
        <v>8</v>
      </c>
      <c r="B26" s="3">
        <v>2</v>
      </c>
      <c r="C26" s="3">
        <f/>
        <v>0</v>
      </c>
      <c r="D26" s="3" t="s">
        <v>28</v>
      </c>
      <c r="E26" s="3" t="s">
        <v>24</v>
      </c>
      <c r="F26" s="3">
        <v>3</v>
      </c>
      <c r="G26" s="3">
        <v>2</v>
      </c>
      <c r="H26" s="3">
        <v>0</v>
      </c>
      <c r="I26" s="3">
        <v>1</v>
      </c>
      <c r="J26" s="4" t="str">
        <f>HYPERLINK("http://141.218.60.56/~jnz1568/getInfo.php?workbook=08_02.xlsx&amp;sheet=E0&amp;row=26&amp;col=10&amp;number=5625960&amp;sourceID=2","5625960")</f>
        <v>5625960</v>
      </c>
      <c r="K26" s="4" t="str">
        <f>HYPERLINK("http://141.218.60.56/~jnz1568/getInfo.php?workbook=08_02.xlsx&amp;sheet=E0&amp;row=26&amp;col=11&amp;number=5605833.10558&amp;sourceID=30","5605833.10558")</f>
        <v>5605833.10558</v>
      </c>
      <c r="L26" s="4" t="str">
        <f>HYPERLINK("http://141.218.60.56/~jnz1568/getInfo.php?workbook=08_02.xlsx&amp;sheet=E0&amp;row=26&amp;col=12&amp;number=5603874.29449&amp;sourceID=30","5603874.29449")</f>
        <v>5603874.29449</v>
      </c>
      <c r="M26" s="4" t="str">
        <f>HYPERLINK("http://141.218.60.56/~jnz1568/getInfo.php?workbook=08_02.xlsx&amp;sheet=E0&amp;row=26&amp;col=13&amp;number=5626996&amp;sourceID=32","5626996")</f>
        <v>5626996</v>
      </c>
    </row>
    <row r="27" spans="1:13">
      <c r="A27" s="3">
        <v>8</v>
      </c>
      <c r="B27" s="3">
        <v>2</v>
      </c>
      <c r="C27" s="3">
        <f/>
        <v>0</v>
      </c>
      <c r="D27" s="3" t="s">
        <v>28</v>
      </c>
      <c r="E27" s="3" t="s">
        <v>24</v>
      </c>
      <c r="F27" s="3">
        <v>3</v>
      </c>
      <c r="G27" s="3">
        <v>2</v>
      </c>
      <c r="H27" s="3">
        <v>0</v>
      </c>
      <c r="I27" s="3">
        <v>2</v>
      </c>
      <c r="J27" s="4" t="str">
        <f>HYPERLINK("http://141.218.60.56/~jnz1568/getInfo.php?workbook=08_02.xlsx&amp;sheet=E0&amp;row=27&amp;col=10&amp;number=5626000&amp;sourceID=2","5626000")</f>
        <v>5626000</v>
      </c>
      <c r="K27" s="4" t="str">
        <f>HYPERLINK("http://141.218.60.56/~jnz1568/getInfo.php?workbook=08_02.xlsx&amp;sheet=E0&amp;row=27&amp;col=11&amp;number=5605847.37143&amp;sourceID=30","5605847.37143")</f>
        <v>5605847.37143</v>
      </c>
      <c r="L27" s="4" t="str">
        <f>HYPERLINK("http://141.218.60.56/~jnz1568/getInfo.php?workbook=08_02.xlsx&amp;sheet=E0&amp;row=27&amp;col=12&amp;number=5603878.68398&amp;sourceID=30","5603878.68398")</f>
        <v>5603878.68398</v>
      </c>
      <c r="M27" s="4" t="str">
        <f>HYPERLINK("http://141.218.60.56/~jnz1568/getInfo.php?workbook=08_02.xlsx&amp;sheet=E0&amp;row=27&amp;col=13&amp;number=5626999&amp;sourceID=32","5626999")</f>
        <v>5626999</v>
      </c>
    </row>
    <row r="28" spans="1:13">
      <c r="A28" s="3">
        <v>8</v>
      </c>
      <c r="B28" s="3">
        <v>2</v>
      </c>
      <c r="C28" s="3">
        <f/>
        <v>0</v>
      </c>
      <c r="D28" s="3" t="s">
        <v>29</v>
      </c>
      <c r="E28" s="3" t="s">
        <v>30</v>
      </c>
      <c r="F28" s="3">
        <v>3</v>
      </c>
      <c r="G28" s="3">
        <v>3</v>
      </c>
      <c r="H28" s="3">
        <v>1</v>
      </c>
      <c r="I28" s="3">
        <v>4</v>
      </c>
      <c r="J28" s="4" t="str">
        <f>HYPERLINK("http://141.218.60.56/~jnz1568/getInfo.php?workbook=08_02.xlsx&amp;sheet=E0&amp;row=28&amp;col=10&amp;number=5626210&amp;sourceID=2","5626210")</f>
        <v>5626210</v>
      </c>
      <c r="K28" s="4" t="str">
        <f>HYPERLINK("http://141.218.60.56/~jnz1568/getInfo.php?workbook=08_02.xlsx&amp;sheet=E0&amp;row=28&amp;col=11&amp;number=5606055.87233&amp;sourceID=30","5606055.87233")</f>
        <v>5606055.87233</v>
      </c>
      <c r="L28" s="4" t="str">
        <f>HYPERLINK("http://141.218.60.56/~jnz1568/getInfo.php?workbook=08_02.xlsx&amp;sheet=E0&amp;row=28&amp;col=12&amp;number=5604084.99014&amp;sourceID=30","5604084.99014")</f>
        <v>5604084.99014</v>
      </c>
      <c r="M28" s="4" t="str">
        <f>HYPERLINK("http://141.218.60.56/~jnz1568/getInfo.php?workbook=08_02.xlsx&amp;sheet=E0&amp;row=28&amp;col=13&amp;number=&amp;sourceID=32","")</f>
        <v/>
      </c>
    </row>
    <row r="29" spans="1:13">
      <c r="A29" s="3">
        <v>8</v>
      </c>
      <c r="B29" s="3">
        <v>2</v>
      </c>
      <c r="C29" s="3">
        <f/>
        <v>0</v>
      </c>
      <c r="D29" s="3" t="s">
        <v>28</v>
      </c>
      <c r="E29" s="3" t="s">
        <v>24</v>
      </c>
      <c r="F29" s="3">
        <v>3</v>
      </c>
      <c r="G29" s="3">
        <v>2</v>
      </c>
      <c r="H29" s="3">
        <v>0</v>
      </c>
      <c r="I29" s="3">
        <v>3</v>
      </c>
      <c r="J29" s="4" t="str">
        <f>HYPERLINK("http://141.218.60.56/~jnz1568/getInfo.php?workbook=08_02.xlsx&amp;sheet=E0&amp;row=29&amp;col=10&amp;number=5626500&amp;sourceID=2","5626500")</f>
        <v>5626500</v>
      </c>
      <c r="K29" s="4" t="str">
        <f>HYPERLINK("http://141.218.60.56/~jnz1568/getInfo.php?workbook=08_02.xlsx&amp;sheet=E0&amp;row=29&amp;col=11&amp;number=5605870.41626&amp;sourceID=30","5605870.41626")</f>
        <v>5605870.41626</v>
      </c>
      <c r="L29" s="4" t="str">
        <f>HYPERLINK("http://141.218.60.56/~jnz1568/getInfo.php?workbook=08_02.xlsx&amp;sheet=E0&amp;row=29&amp;col=12&amp;number=5603898.4367&amp;sourceID=30","5603898.4367")</f>
        <v>5603898.4367</v>
      </c>
      <c r="M29" s="4" t="str">
        <f>HYPERLINK("http://141.218.60.56/~jnz1568/getInfo.php?workbook=08_02.xlsx&amp;sheet=E0&amp;row=29&amp;col=13&amp;number=5627020&amp;sourceID=32","5627020")</f>
        <v>5627020</v>
      </c>
    </row>
    <row r="30" spans="1:13">
      <c r="A30" s="3">
        <v>8</v>
      </c>
      <c r="B30" s="3">
        <v>2</v>
      </c>
      <c r="C30" s="3">
        <f/>
        <v>0</v>
      </c>
      <c r="D30" s="3" t="s">
        <v>29</v>
      </c>
      <c r="E30" s="3" t="s">
        <v>30</v>
      </c>
      <c r="F30" s="3">
        <v>3</v>
      </c>
      <c r="G30" s="3">
        <v>3</v>
      </c>
      <c r="H30" s="3">
        <v>1</v>
      </c>
      <c r="I30" s="3">
        <v>3</v>
      </c>
      <c r="J30" s="4" t="str">
        <f>HYPERLINK("http://141.218.60.56/~jnz1568/getInfo.php?workbook=08_02.xlsx&amp;sheet=E0&amp;row=30&amp;col=10&amp;number=&amp;sourceID=2","")</f>
        <v/>
      </c>
      <c r="K30" s="4" t="str">
        <f>HYPERLINK("http://141.218.60.56/~jnz1568/getInfo.php?workbook=08_02.xlsx&amp;sheet=E0&amp;row=30&amp;col=11&amp;number=5604067.43217&amp;sourceID=30","5604067.43217")</f>
        <v>5604067.43217</v>
      </c>
      <c r="L30" s="4" t="str">
        <f>HYPERLINK("http://141.218.60.56/~jnz1568/getInfo.php?workbook=08_02.xlsx&amp;sheet=E0&amp;row=30&amp;col=12&amp;number=5617149.21757&amp;sourceID=30","5617149.21757")</f>
        <v>5617149.21757</v>
      </c>
      <c r="M30" s="4" t="str">
        <f>HYPERLINK("http://141.218.60.56/~jnz1568/getInfo.php?workbook=08_02.xlsx&amp;sheet=E0&amp;row=30&amp;col=13&amp;number=5627219&amp;sourceID=32","5627219")</f>
        <v>5627219</v>
      </c>
    </row>
    <row r="31" spans="1:13">
      <c r="A31" s="3">
        <v>8</v>
      </c>
      <c r="B31" s="3">
        <v>2</v>
      </c>
      <c r="C31" s="3">
        <f/>
        <v>0</v>
      </c>
      <c r="D31" s="3" t="s">
        <v>29</v>
      </c>
      <c r="E31" s="3" t="s">
        <v>30</v>
      </c>
      <c r="F31" s="3">
        <v>3</v>
      </c>
      <c r="G31" s="3">
        <v>3</v>
      </c>
      <c r="H31" s="3">
        <v>1</v>
      </c>
      <c r="I31" s="3">
        <v>2</v>
      </c>
      <c r="J31" s="4" t="str">
        <f>HYPERLINK("http://141.218.60.56/~jnz1568/getInfo.php?workbook=08_02.xlsx&amp;sheet=E0&amp;row=31&amp;col=10&amp;number=&amp;sourceID=2","")</f>
        <v/>
      </c>
      <c r="K31" s="4" t="str">
        <f>HYPERLINK("http://141.218.60.56/~jnz1568/getInfo.php?workbook=08_02.xlsx&amp;sheet=E0&amp;row=31&amp;col=11&amp;number=5604072.91903&amp;sourceID=30","5604072.91903")</f>
        <v>5604072.91903</v>
      </c>
      <c r="L31" s="4" t="str">
        <f>HYPERLINK("http://141.218.60.56/~jnz1568/getInfo.php?workbook=08_02.xlsx&amp;sheet=E0&amp;row=31&amp;col=12&amp;number=5617153.60706&amp;sourceID=30","5617153.60706")</f>
        <v>5617153.60706</v>
      </c>
      <c r="M31" s="4" t="str">
        <f>HYPERLINK("http://141.218.60.56/~jnz1568/getInfo.php?workbook=08_02.xlsx&amp;sheet=E0&amp;row=31&amp;col=13&amp;number=5627224&amp;sourceID=32","5627224")</f>
        <v>5627224</v>
      </c>
    </row>
    <row r="32" spans="1:13">
      <c r="A32" s="3">
        <v>8</v>
      </c>
      <c r="B32" s="3">
        <v>2</v>
      </c>
      <c r="C32" s="3">
        <f/>
        <v>0</v>
      </c>
      <c r="D32" s="3" t="s">
        <v>28</v>
      </c>
      <c r="E32" s="3" t="s">
        <v>25</v>
      </c>
      <c r="F32" s="3">
        <v>1</v>
      </c>
      <c r="G32" s="3">
        <v>2</v>
      </c>
      <c r="H32" s="3">
        <v>0</v>
      </c>
      <c r="I32" s="3">
        <v>2</v>
      </c>
      <c r="J32" s="4" t="str">
        <f>HYPERLINK("http://141.218.60.56/~jnz1568/getInfo.php?workbook=08_02.xlsx&amp;sheet=E0&amp;row=32&amp;col=10&amp;number=5626670&amp;sourceID=2","5626670")</f>
        <v>5626670</v>
      </c>
      <c r="K32" s="4" t="str">
        <f>HYPERLINK("http://141.218.60.56/~jnz1568/getInfo.php?workbook=08_02.xlsx&amp;sheet=E0&amp;row=32&amp;col=11&amp;number=5606108.54624&amp;sourceID=30","5606108.54624")</f>
        <v>5606108.54624</v>
      </c>
      <c r="L32" s="4" t="str">
        <f>HYPERLINK("http://141.218.60.56/~jnz1568/getInfo.php?workbook=08_02.xlsx&amp;sheet=E0&amp;row=32&amp;col=12&amp;number=5604140.95617&amp;sourceID=30","5604140.95617")</f>
        <v>5604140.95617</v>
      </c>
      <c r="M32" s="4" t="str">
        <f>HYPERLINK("http://141.218.60.56/~jnz1568/getInfo.php?workbook=08_02.xlsx&amp;sheet=E0&amp;row=32&amp;col=13&amp;number=5627229&amp;sourceID=32","5627229")</f>
        <v>5627229</v>
      </c>
    </row>
    <row r="33" spans="1:13">
      <c r="A33" s="3">
        <v>8</v>
      </c>
      <c r="B33" s="3">
        <v>2</v>
      </c>
      <c r="C33" s="3">
        <f/>
        <v>0</v>
      </c>
      <c r="D33" s="3" t="s">
        <v>29</v>
      </c>
      <c r="E33" s="3" t="s">
        <v>31</v>
      </c>
      <c r="F33" s="3">
        <v>1</v>
      </c>
      <c r="G33" s="3">
        <v>3</v>
      </c>
      <c r="H33" s="3">
        <v>1</v>
      </c>
      <c r="I33" s="3">
        <v>3</v>
      </c>
      <c r="J33" s="4" t="str">
        <f>HYPERLINK("http://141.218.60.56/~jnz1568/getInfo.php?workbook=08_02.xlsx&amp;sheet=E0&amp;row=33&amp;col=10&amp;number=5626840&amp;sourceID=2","5626840")</f>
        <v>5626840</v>
      </c>
      <c r="K33" s="4" t="str">
        <f>HYPERLINK("http://141.218.60.56/~jnz1568/getInfo.php?workbook=08_02.xlsx&amp;sheet=E0&amp;row=33&amp;col=11&amp;number=5606056.9697&amp;sourceID=30","5606056.9697")</f>
        <v>5606056.9697</v>
      </c>
      <c r="L33" s="4" t="str">
        <f>HYPERLINK("http://141.218.60.56/~jnz1568/getInfo.php?workbook=08_02.xlsx&amp;sheet=E0&amp;row=33&amp;col=12&amp;number=5604091.57438&amp;sourceID=30","5604091.57438")</f>
        <v>5604091.57438</v>
      </c>
      <c r="M33" s="4" t="str">
        <f>HYPERLINK("http://141.218.60.56/~jnz1568/getInfo.php?workbook=08_02.xlsx&amp;sheet=E0&amp;row=33&amp;col=13&amp;number=5627243&amp;sourceID=32","5627243")</f>
        <v>5627243</v>
      </c>
    </row>
    <row r="34" spans="1:13">
      <c r="A34" s="3">
        <v>8</v>
      </c>
      <c r="B34" s="3">
        <v>2</v>
      </c>
      <c r="C34" s="3">
        <f/>
        <v>0</v>
      </c>
      <c r="D34" s="3" t="s">
        <v>27</v>
      </c>
      <c r="E34" s="3" t="s">
        <v>20</v>
      </c>
      <c r="F34" s="3">
        <v>1</v>
      </c>
      <c r="G34" s="3">
        <v>1</v>
      </c>
      <c r="H34" s="3">
        <v>1</v>
      </c>
      <c r="I34" s="3">
        <v>1</v>
      </c>
      <c r="J34" s="4" t="str">
        <f>HYPERLINK("http://141.218.60.56/~jnz1568/getInfo.php?workbook=08_02.xlsx&amp;sheet=E0&amp;row=34&amp;col=10&amp;number=5628100&amp;sourceID=2","5628100")</f>
        <v>5628100</v>
      </c>
      <c r="K34" s="4" t="str">
        <f>HYPERLINK("http://141.218.60.56/~jnz1568/getInfo.php?workbook=08_02.xlsx&amp;sheet=E0&amp;row=34&amp;col=11&amp;number=5607565.85779&amp;sourceID=30","5607565.85779")</f>
        <v>5607565.85779</v>
      </c>
      <c r="L34" s="4" t="str">
        <f>HYPERLINK("http://141.218.60.56/~jnz1568/getInfo.php?workbook=08_02.xlsx&amp;sheet=E0&amp;row=34&amp;col=12&amp;number=5605594.9756&amp;sourceID=30","5605594.9756")</f>
        <v>5605594.9756</v>
      </c>
      <c r="M34" s="4" t="str">
        <f>HYPERLINK("http://141.218.60.56/~jnz1568/getInfo.php?workbook=08_02.xlsx&amp;sheet=E0&amp;row=34&amp;col=13&amp;number=5628279&amp;sourceID=32","5628279")</f>
        <v>5628279</v>
      </c>
    </row>
    <row r="35" spans="1:13">
      <c r="A35" s="3">
        <v>8</v>
      </c>
      <c r="B35" s="3">
        <v>2</v>
      </c>
      <c r="C35" s="3">
        <f/>
        <v>0</v>
      </c>
      <c r="D35" s="3" t="s">
        <v>32</v>
      </c>
      <c r="E35" s="3" t="s">
        <v>17</v>
      </c>
      <c r="F35" s="3">
        <v>3</v>
      </c>
      <c r="G35" s="3">
        <v>0</v>
      </c>
      <c r="H35" s="3">
        <v>0</v>
      </c>
      <c r="I35" s="3">
        <v>1</v>
      </c>
      <c r="J35" s="4" t="str">
        <f>HYPERLINK("http://141.218.60.56/~jnz1568/getInfo.php?workbook=08_02.xlsx&amp;sheet=E0&amp;row=35&amp;col=10&amp;number=5742610&amp;sourceID=2","5742610")</f>
        <v>5742610</v>
      </c>
      <c r="K35" s="4" t="str">
        <f>HYPERLINK("http://141.218.60.56/~jnz1568/getInfo.php?workbook=08_02.xlsx&amp;sheet=E0&amp;row=35&amp;col=11&amp;number=5721682.78975&amp;sourceID=30","5721682.78975")</f>
        <v>5721682.78975</v>
      </c>
      <c r="L35" s="4" t="str">
        <f>HYPERLINK("http://141.218.60.56/~jnz1568/getInfo.php?workbook=08_02.xlsx&amp;sheet=E0&amp;row=35&amp;col=12&amp;number=5719717.39442&amp;sourceID=30","5719717.39442")</f>
        <v>5719717.39442</v>
      </c>
      <c r="M35" s="4" t="str">
        <f>HYPERLINK("http://141.218.60.56/~jnz1568/getInfo.php?workbook=08_02.xlsx&amp;sheet=E0&amp;row=35&amp;col=13&amp;number=5742804&amp;sourceID=32","5742804")</f>
        <v>5742804</v>
      </c>
    </row>
    <row r="36" spans="1:13">
      <c r="A36" s="3">
        <v>8</v>
      </c>
      <c r="B36" s="3">
        <v>2</v>
      </c>
      <c r="C36" s="3">
        <f/>
        <v>0</v>
      </c>
      <c r="D36" s="3" t="s">
        <v>32</v>
      </c>
      <c r="E36" s="3" t="s">
        <v>15</v>
      </c>
      <c r="F36" s="3">
        <v>1</v>
      </c>
      <c r="G36" s="3">
        <v>0</v>
      </c>
      <c r="H36" s="3">
        <v>0</v>
      </c>
      <c r="I36" s="3">
        <v>0</v>
      </c>
      <c r="J36" s="4" t="str">
        <f>HYPERLINK("http://141.218.60.56/~jnz1568/getInfo.php?workbook=08_02.xlsx&amp;sheet=E0&amp;row=36&amp;col=10&amp;number=&amp;sourceID=2","")</f>
        <v/>
      </c>
      <c r="K36" s="4" t="str">
        <f>HYPERLINK("http://141.218.60.56/~jnz1568/getInfo.php?workbook=08_02.xlsx&amp;sheet=E0&amp;row=36&amp;col=11&amp;number=5723654.76931&amp;sourceID=30","5723654.76931")</f>
        <v>5723654.76931</v>
      </c>
      <c r="L36" s="4" t="str">
        <f>HYPERLINK("http://141.218.60.56/~jnz1568/getInfo.php?workbook=08_02.xlsx&amp;sheet=E0&amp;row=36&amp;col=12&amp;number=5736344.79249&amp;sourceID=30","5736344.79249")</f>
        <v>5736344.79249</v>
      </c>
      <c r="M36" s="4" t="str">
        <f>HYPERLINK("http://141.218.60.56/~jnz1568/getInfo.php?workbook=08_02.xlsx&amp;sheet=E0&amp;row=36&amp;col=13&amp;number=5746201&amp;sourceID=32","5746201")</f>
        <v>5746201</v>
      </c>
    </row>
    <row r="37" spans="1:13">
      <c r="A37" s="3">
        <v>8</v>
      </c>
      <c r="B37" s="3">
        <v>2</v>
      </c>
      <c r="C37" s="3">
        <f/>
        <v>0</v>
      </c>
      <c r="D37" s="3" t="s">
        <v>33</v>
      </c>
      <c r="E37" s="3" t="s">
        <v>19</v>
      </c>
      <c r="F37" s="3">
        <v>3</v>
      </c>
      <c r="G37" s="3">
        <v>1</v>
      </c>
      <c r="H37" s="3">
        <v>1</v>
      </c>
      <c r="I37" s="3">
        <v>0</v>
      </c>
      <c r="J37" s="4" t="str">
        <f>HYPERLINK("http://141.218.60.56/~jnz1568/getInfo.php?workbook=08_02.xlsx&amp;sheet=E0&amp;row=37&amp;col=10&amp;number=5745440&amp;sourceID=2","5745440")</f>
        <v>5745440</v>
      </c>
      <c r="K37" s="4" t="str">
        <f>HYPERLINK("http://141.218.60.56/~jnz1568/getInfo.php?workbook=08_02.xlsx&amp;sheet=E0&amp;row=37&amp;col=11&amp;number=5725112.08086&amp;sourceID=30","5725112.08086")</f>
        <v>5725112.08086</v>
      </c>
      <c r="L37" s="4" t="str">
        <f>HYPERLINK("http://141.218.60.56/~jnz1568/getInfo.php?workbook=08_02.xlsx&amp;sheet=E0&amp;row=37&amp;col=12&amp;number=5723166.43825&amp;sourceID=30","5723166.43825")</f>
        <v>5723166.43825</v>
      </c>
      <c r="M37" s="4" t="str">
        <f>HYPERLINK("http://141.218.60.56/~jnz1568/getInfo.php?workbook=08_02.xlsx&amp;sheet=E0&amp;row=37&amp;col=13&amp;number=5746229&amp;sourceID=32","5746229")</f>
        <v>5746229</v>
      </c>
    </row>
    <row r="38" spans="1:13">
      <c r="A38" s="3">
        <v>8</v>
      </c>
      <c r="B38" s="3">
        <v>2</v>
      </c>
      <c r="C38" s="3">
        <f/>
        <v>0</v>
      </c>
      <c r="D38" s="3" t="s">
        <v>33</v>
      </c>
      <c r="E38" s="3" t="s">
        <v>19</v>
      </c>
      <c r="F38" s="3">
        <v>3</v>
      </c>
      <c r="G38" s="3">
        <v>1</v>
      </c>
      <c r="H38" s="3">
        <v>1</v>
      </c>
      <c r="I38" s="3">
        <v>1</v>
      </c>
      <c r="J38" s="4" t="str">
        <f>HYPERLINK("http://141.218.60.56/~jnz1568/getInfo.php?workbook=08_02.xlsx&amp;sheet=E0&amp;row=38&amp;col=10&amp;number=5745440&amp;sourceID=2","5745440")</f>
        <v>5745440</v>
      </c>
      <c r="K38" s="4" t="str">
        <f>HYPERLINK("http://141.218.60.56/~jnz1568/getInfo.php?workbook=08_02.xlsx&amp;sheet=E0&amp;row=38&amp;col=11&amp;number=5725132.93095&amp;sourceID=30","5725132.93095")</f>
        <v>5725132.93095</v>
      </c>
      <c r="L38" s="4" t="str">
        <f>HYPERLINK("http://141.218.60.56/~jnz1568/getInfo.php?workbook=08_02.xlsx&amp;sheet=E0&amp;row=38&amp;col=12&amp;number=5723173.02249&amp;sourceID=30","5723173.02249")</f>
        <v>5723173.02249</v>
      </c>
      <c r="M38" s="4" t="str">
        <f>HYPERLINK("http://141.218.60.56/~jnz1568/getInfo.php?workbook=08_02.xlsx&amp;sheet=E0&amp;row=38&amp;col=13&amp;number=5746239&amp;sourceID=32","5746239")</f>
        <v>5746239</v>
      </c>
    </row>
    <row r="39" spans="1:13">
      <c r="A39" s="3">
        <v>8</v>
      </c>
      <c r="B39" s="3">
        <v>2</v>
      </c>
      <c r="C39" s="3">
        <f/>
        <v>0</v>
      </c>
      <c r="D39" s="3" t="s">
        <v>33</v>
      </c>
      <c r="E39" s="3" t="s">
        <v>19</v>
      </c>
      <c r="F39" s="3">
        <v>3</v>
      </c>
      <c r="G39" s="3">
        <v>1</v>
      </c>
      <c r="H39" s="3">
        <v>1</v>
      </c>
      <c r="I39" s="3">
        <v>2</v>
      </c>
      <c r="J39" s="4" t="str">
        <f>HYPERLINK("http://141.218.60.56/~jnz1568/getInfo.php?workbook=08_02.xlsx&amp;sheet=E0&amp;row=39&amp;col=10&amp;number=5745440&amp;sourceID=2","5745440")</f>
        <v>5745440</v>
      </c>
      <c r="K39" s="4" t="str">
        <f>HYPERLINK("http://141.218.60.56/~jnz1568/getInfo.php?workbook=08_02.xlsx&amp;sheet=E0&amp;row=39&amp;col=11&amp;number=5725174.63113&amp;sourceID=30","5725174.63113")</f>
        <v>5725174.63113</v>
      </c>
      <c r="L39" s="4" t="str">
        <f>HYPERLINK("http://141.218.60.56/~jnz1568/getInfo.php?workbook=08_02.xlsx&amp;sheet=E0&amp;row=39&amp;col=12&amp;number=5723208.13843&amp;sourceID=30","5723208.13843")</f>
        <v>5723208.13843</v>
      </c>
      <c r="M39" s="4" t="str">
        <f>HYPERLINK("http://141.218.60.56/~jnz1568/getInfo.php?workbook=08_02.xlsx&amp;sheet=E0&amp;row=39&amp;col=13&amp;number=5746282&amp;sourceID=32","5746282")</f>
        <v>5746282</v>
      </c>
    </row>
    <row r="40" spans="1:13">
      <c r="A40" s="3">
        <v>8</v>
      </c>
      <c r="B40" s="3">
        <v>2</v>
      </c>
      <c r="C40" s="3">
        <f/>
        <v>0</v>
      </c>
      <c r="D40" s="3" t="s">
        <v>34</v>
      </c>
      <c r="E40" s="3" t="s">
        <v>30</v>
      </c>
      <c r="F40" s="3">
        <v>3</v>
      </c>
      <c r="G40" s="3">
        <v>3</v>
      </c>
      <c r="H40" s="3">
        <v>1</v>
      </c>
      <c r="I40" s="3">
        <v>4</v>
      </c>
      <c r="J40" s="4" t="str">
        <f>HYPERLINK("http://141.218.60.56/~jnz1568/getInfo.php?workbook=08_02.xlsx&amp;sheet=E0&amp;row=40&amp;col=10&amp;number=5747200&amp;sourceID=2","5747200")</f>
        <v>5747200</v>
      </c>
      <c r="K40" s="4" t="str">
        <f>HYPERLINK("http://141.218.60.56/~jnz1568/getInfo.php?workbook=08_02.xlsx&amp;sheet=E0&amp;row=40&amp;col=11&amp;number=5727043.45762&amp;sourceID=30","5727043.45762")</f>
        <v>5727043.45762</v>
      </c>
      <c r="L40" s="4" t="str">
        <f>HYPERLINK("http://141.218.60.56/~jnz1568/getInfo.php?workbook=08_02.xlsx&amp;sheet=E0&amp;row=40&amp;col=12&amp;number=5725074.77017&amp;sourceID=30","5725074.77017")</f>
        <v>5725074.77017</v>
      </c>
      <c r="M40" s="4" t="str">
        <f>HYPERLINK("http://141.218.60.56/~jnz1568/getInfo.php?workbook=08_02.xlsx&amp;sheet=E0&amp;row=40&amp;col=13&amp;number=&amp;sourceID=32","")</f>
        <v/>
      </c>
    </row>
    <row r="41" spans="1:13">
      <c r="A41" s="3">
        <v>8</v>
      </c>
      <c r="B41" s="3">
        <v>2</v>
      </c>
      <c r="C41" s="3">
        <f/>
        <v>0</v>
      </c>
      <c r="D41" s="3" t="s">
        <v>35</v>
      </c>
      <c r="E41" s="3" t="s">
        <v>24</v>
      </c>
      <c r="F41" s="3">
        <v>3</v>
      </c>
      <c r="G41" s="3">
        <v>2</v>
      </c>
      <c r="H41" s="3">
        <v>0</v>
      </c>
      <c r="I41" s="3">
        <v>1</v>
      </c>
      <c r="J41" s="4" t="str">
        <f>HYPERLINK("http://141.218.60.56/~jnz1568/getInfo.php?workbook=08_02.xlsx&amp;sheet=E0&amp;row=41&amp;col=10&amp;number=5747400&amp;sourceID=2","5747400")</f>
        <v>5747400</v>
      </c>
      <c r="K41" s="4" t="str">
        <f>HYPERLINK("http://141.218.60.56/~jnz1568/getInfo.php?workbook=08_02.xlsx&amp;sheet=E0&amp;row=41&amp;col=11&amp;number=5726921.6492&amp;sourceID=30","5726921.6492")</f>
        <v>5726921.6492</v>
      </c>
      <c r="L41" s="4" t="str">
        <f>HYPERLINK("http://141.218.60.56/~jnz1568/getInfo.php?workbook=08_02.xlsx&amp;sheet=E0&amp;row=41&amp;col=12&amp;number=5724957.35125&amp;sourceID=30","5724957.35125")</f>
        <v>5724957.35125</v>
      </c>
      <c r="M41" s="4" t="str">
        <f>HYPERLINK("http://141.218.60.56/~jnz1568/getInfo.php?workbook=08_02.xlsx&amp;sheet=E0&amp;row=41&amp;col=13&amp;number=5748099&amp;sourceID=32","5748099")</f>
        <v>5748099</v>
      </c>
    </row>
    <row r="42" spans="1:13">
      <c r="A42" s="3">
        <v>8</v>
      </c>
      <c r="B42" s="3">
        <v>2</v>
      </c>
      <c r="C42" s="3">
        <f/>
        <v>0</v>
      </c>
      <c r="D42" s="3" t="s">
        <v>35</v>
      </c>
      <c r="E42" s="3" t="s">
        <v>24</v>
      </c>
      <c r="F42" s="3">
        <v>3</v>
      </c>
      <c r="G42" s="3">
        <v>2</v>
      </c>
      <c r="H42" s="3">
        <v>0</v>
      </c>
      <c r="I42" s="3">
        <v>2</v>
      </c>
      <c r="J42" s="4" t="str">
        <f>HYPERLINK("http://141.218.60.56/~jnz1568/getInfo.php?workbook=08_02.xlsx&amp;sheet=E0&amp;row=42&amp;col=10&amp;number=5747420&amp;sourceID=2","5747420")</f>
        <v>5747420</v>
      </c>
      <c r="K42" s="4" t="str">
        <f>HYPERLINK("http://141.218.60.56/~jnz1568/getInfo.php?workbook=08_02.xlsx&amp;sheet=E0&amp;row=42&amp;col=11&amp;number=5726928.23344&amp;sourceID=30","5726928.23344")</f>
        <v>5726928.23344</v>
      </c>
      <c r="L42" s="4" t="str">
        <f>HYPERLINK("http://141.218.60.56/~jnz1568/getInfo.php?workbook=08_02.xlsx&amp;sheet=E0&amp;row=42&amp;col=12&amp;number=5724960.64337&amp;sourceID=30","5724960.64337")</f>
        <v>5724960.64337</v>
      </c>
      <c r="M42" s="4" t="str">
        <f>HYPERLINK("http://141.218.60.56/~jnz1568/getInfo.php?workbook=08_02.xlsx&amp;sheet=E0&amp;row=42&amp;col=13&amp;number=5748101&amp;sourceID=32","5748101")</f>
        <v>5748101</v>
      </c>
    </row>
    <row r="43" spans="1:13">
      <c r="A43" s="3">
        <v>8</v>
      </c>
      <c r="B43" s="3">
        <v>2</v>
      </c>
      <c r="C43" s="3">
        <f/>
        <v>0</v>
      </c>
      <c r="D43" s="3" t="s">
        <v>35</v>
      </c>
      <c r="E43" s="3" t="s">
        <v>24</v>
      </c>
      <c r="F43" s="3">
        <v>3</v>
      </c>
      <c r="G43" s="3">
        <v>2</v>
      </c>
      <c r="H43" s="3">
        <v>0</v>
      </c>
      <c r="I43" s="3">
        <v>3</v>
      </c>
      <c r="J43" s="4" t="str">
        <f>HYPERLINK("http://141.218.60.56/~jnz1568/getInfo.php?workbook=08_02.xlsx&amp;sheet=E0&amp;row=43&amp;col=10&amp;number=5747620&amp;sourceID=2","5747620")</f>
        <v>5747620</v>
      </c>
      <c r="K43" s="4" t="str">
        <f>HYPERLINK("http://141.218.60.56/~jnz1568/getInfo.php?workbook=08_02.xlsx&amp;sheet=E0&amp;row=43&amp;col=11&amp;number=5726940.30454&amp;sourceID=30","5726940.30454")</f>
        <v>5726940.30454</v>
      </c>
      <c r="L43" s="4" t="str">
        <f>HYPERLINK("http://141.218.60.56/~jnz1568/getInfo.php?workbook=08_02.xlsx&amp;sheet=E0&amp;row=43&amp;col=12&amp;number=5724970.51972&amp;sourceID=30","5724970.51972")</f>
        <v>5724970.51972</v>
      </c>
      <c r="M43" s="4" t="str">
        <f>HYPERLINK("http://141.218.60.56/~jnz1568/getInfo.php?workbook=08_02.xlsx&amp;sheet=E0&amp;row=43&amp;col=13&amp;number=5748111&amp;sourceID=32","5748111")</f>
        <v>5748111</v>
      </c>
    </row>
    <row r="44" spans="1:13">
      <c r="A44" s="3">
        <v>8</v>
      </c>
      <c r="B44" s="3">
        <v>2</v>
      </c>
      <c r="C44" s="3">
        <f/>
        <v>0</v>
      </c>
      <c r="D44" s="3" t="s">
        <v>34</v>
      </c>
      <c r="E44" s="3" t="s">
        <v>30</v>
      </c>
      <c r="F44" s="3">
        <v>3</v>
      </c>
      <c r="G44" s="3">
        <v>3</v>
      </c>
      <c r="H44" s="3">
        <v>1</v>
      </c>
      <c r="I44" s="3">
        <v>3</v>
      </c>
      <c r="J44" s="4" t="str">
        <f>HYPERLINK("http://141.218.60.56/~jnz1568/getInfo.php?workbook=08_02.xlsx&amp;sheet=E0&amp;row=44&amp;col=10&amp;number=&amp;sourceID=2","")</f>
        <v/>
      </c>
      <c r="K44" s="4" t="str">
        <f>HYPERLINK("http://141.218.60.56/~jnz1568/getInfo.php?workbook=08_02.xlsx&amp;sheet=E0&amp;row=44&amp;col=11&amp;number=5725065.99119&amp;sourceID=30","5725065.99119")</f>
        <v>5725065.99119</v>
      </c>
      <c r="L44" s="4" t="str">
        <f>HYPERLINK("http://141.218.60.56/~jnz1568/getInfo.php?workbook=08_02.xlsx&amp;sheet=E0&amp;row=44&amp;col=12&amp;number=5738118.14752&amp;sourceID=30","5738118.14752")</f>
        <v>5738118.14752</v>
      </c>
      <c r="M44" s="4" t="str">
        <f>HYPERLINK("http://141.218.60.56/~jnz1568/getInfo.php?workbook=08_02.xlsx&amp;sheet=E0&amp;row=44&amp;col=13&amp;number=5748222&amp;sourceID=32","5748222")</f>
        <v>5748222</v>
      </c>
    </row>
    <row r="45" spans="1:13">
      <c r="A45" s="3">
        <v>8</v>
      </c>
      <c r="B45" s="3">
        <v>2</v>
      </c>
      <c r="C45" s="3">
        <f/>
        <v>0</v>
      </c>
      <c r="D45" s="3" t="s">
        <v>34</v>
      </c>
      <c r="E45" s="3" t="s">
        <v>30</v>
      </c>
      <c r="F45" s="3">
        <v>3</v>
      </c>
      <c r="G45" s="3">
        <v>3</v>
      </c>
      <c r="H45" s="3">
        <v>1</v>
      </c>
      <c r="I45" s="3">
        <v>2</v>
      </c>
      <c r="J45" s="4" t="str">
        <f>HYPERLINK("http://141.218.60.56/~jnz1568/getInfo.php?workbook=08_02.xlsx&amp;sheet=E0&amp;row=45&amp;col=10&amp;number=&amp;sourceID=2","")</f>
        <v/>
      </c>
      <c r="K45" s="4" t="str">
        <f>HYPERLINK("http://141.218.60.56/~jnz1568/getInfo.php?workbook=08_02.xlsx&amp;sheet=E0&amp;row=45&amp;col=11&amp;number=5725068.18594&amp;sourceID=30","5725068.18594")</f>
        <v>5725068.18594</v>
      </c>
      <c r="L45" s="4" t="str">
        <f>HYPERLINK("http://141.218.60.56/~jnz1568/getInfo.php?workbook=08_02.xlsx&amp;sheet=E0&amp;row=45&amp;col=12&amp;number=5738119.24489&amp;sourceID=30","5738119.24489")</f>
        <v>5738119.24489</v>
      </c>
      <c r="M45" s="4" t="str">
        <f>HYPERLINK("http://141.218.60.56/~jnz1568/getInfo.php?workbook=08_02.xlsx&amp;sheet=E0&amp;row=45&amp;col=13&amp;number=5748224&amp;sourceID=32","5748224")</f>
        <v>5748224</v>
      </c>
    </row>
    <row r="46" spans="1:13">
      <c r="A46" s="3">
        <v>8</v>
      </c>
      <c r="B46" s="3">
        <v>2</v>
      </c>
      <c r="C46" s="3">
        <f/>
        <v>0</v>
      </c>
      <c r="D46" s="3" t="s">
        <v>34</v>
      </c>
      <c r="E46" s="3" t="s">
        <v>31</v>
      </c>
      <c r="F46" s="3">
        <v>1</v>
      </c>
      <c r="G46" s="3">
        <v>3</v>
      </c>
      <c r="H46" s="3">
        <v>1</v>
      </c>
      <c r="I46" s="3">
        <v>3</v>
      </c>
      <c r="J46" s="4" t="str">
        <f>HYPERLINK("http://141.218.60.56/~jnz1568/getInfo.php?workbook=08_02.xlsx&amp;sheet=E0&amp;row=46&amp;col=10&amp;number=5747820&amp;sourceID=2","5747820")</f>
        <v>5747820</v>
      </c>
      <c r="K46" s="4" t="str">
        <f>HYPERLINK("http://141.218.60.56/~jnz1568/getInfo.php?workbook=08_02.xlsx&amp;sheet=E0&amp;row=46&amp;col=11&amp;number=5727044.55499&amp;sourceID=30","5727044.55499")</f>
        <v>5727044.55499</v>
      </c>
      <c r="L46" s="4" t="str">
        <f>HYPERLINK("http://141.218.60.56/~jnz1568/getInfo.php?workbook=08_02.xlsx&amp;sheet=E0&amp;row=46&amp;col=12&amp;number=5725078.06229&amp;sourceID=30","5725078.06229")</f>
        <v>5725078.06229</v>
      </c>
      <c r="M46" s="4" t="str">
        <f>HYPERLINK("http://141.218.60.56/~jnz1568/getInfo.php?workbook=08_02.xlsx&amp;sheet=E0&amp;row=46&amp;col=13&amp;number=5748234&amp;sourceID=32","5748234")</f>
        <v>5748234</v>
      </c>
    </row>
    <row r="47" spans="1:13">
      <c r="A47" s="3">
        <v>8</v>
      </c>
      <c r="B47" s="3">
        <v>2</v>
      </c>
      <c r="C47" s="3">
        <f/>
        <v>0</v>
      </c>
      <c r="D47" s="3" t="s">
        <v>35</v>
      </c>
      <c r="E47" s="3" t="s">
        <v>25</v>
      </c>
      <c r="F47" s="3">
        <v>1</v>
      </c>
      <c r="G47" s="3">
        <v>2</v>
      </c>
      <c r="H47" s="3">
        <v>0</v>
      </c>
      <c r="I47" s="3">
        <v>2</v>
      </c>
      <c r="J47" s="4" t="str">
        <f>HYPERLINK("http://141.218.60.56/~jnz1568/getInfo.php?workbook=08_02.xlsx&amp;sheet=E0&amp;row=47&amp;col=10&amp;number=5748230&amp;sourceID=2","5748230")</f>
        <v>5748230</v>
      </c>
      <c r="K47" s="4" t="str">
        <f>HYPERLINK("http://141.218.60.56/~jnz1568/getInfo.php?workbook=08_02.xlsx&amp;sheet=E0&amp;row=47&amp;col=11&amp;number=5727075.28144&amp;sourceID=30","5727075.28144")</f>
        <v>5727075.28144</v>
      </c>
      <c r="L47" s="4" t="str">
        <f>HYPERLINK("http://141.218.60.56/~jnz1568/getInfo.php?workbook=08_02.xlsx&amp;sheet=E0&amp;row=47&amp;col=12&amp;number=5725107.69137&amp;sourceID=30","5725107.69137")</f>
        <v>5725107.69137</v>
      </c>
      <c r="M47" s="4" t="str">
        <f>HYPERLINK("http://141.218.60.56/~jnz1568/getInfo.php?workbook=08_02.xlsx&amp;sheet=E0&amp;row=47&amp;col=13&amp;number=5748229&amp;sourceID=32","5748229")</f>
        <v>5748229</v>
      </c>
    </row>
    <row r="48" spans="1:13">
      <c r="A48" s="3">
        <v>8</v>
      </c>
      <c r="B48" s="3">
        <v>2</v>
      </c>
      <c r="C48" s="3">
        <f/>
        <v>0</v>
      </c>
      <c r="D48" s="3" t="s">
        <v>36</v>
      </c>
      <c r="E48" s="3" t="s">
        <v>37</v>
      </c>
      <c r="F48" s="3">
        <v>3</v>
      </c>
      <c r="G48" s="3">
        <v>4</v>
      </c>
      <c r="H48" s="3">
        <v>0</v>
      </c>
      <c r="I48" s="3">
        <v>4</v>
      </c>
      <c r="J48" s="4" t="str">
        <f>HYPERLINK("http://141.218.60.56/~jnz1568/getInfo.php?workbook=08_02.xlsx&amp;sheet=E0&amp;row=48&amp;col=10&amp;number=&amp;sourceID=2","")</f>
        <v/>
      </c>
      <c r="K48" s="4" t="str">
        <f>HYPERLINK("http://141.218.60.56/~jnz1568/getInfo.php?workbook=08_02.xlsx&amp;sheet=E0&amp;row=48&amp;col=11&amp;number=5725075.86755&amp;sourceID=30","5725075.86755")</f>
        <v>5725075.86755</v>
      </c>
      <c r="L48" s="4" t="str">
        <f>HYPERLINK("http://141.218.60.56/~jnz1568/getInfo.php?workbook=08_02.xlsx&amp;sheet=E0&amp;row=48&amp;col=12&amp;number=5738114.8554&amp;sourceID=30","5738114.8554")</f>
        <v>5738114.8554</v>
      </c>
      <c r="M48" s="4" t="str">
        <f>HYPERLINK("http://141.218.60.56/~jnz1568/getInfo.php?workbook=08_02.xlsx&amp;sheet=E0&amp;row=48&amp;col=13&amp;number=&amp;sourceID=32","")</f>
        <v/>
      </c>
    </row>
    <row r="49" spans="1:13">
      <c r="A49" s="3">
        <v>8</v>
      </c>
      <c r="B49" s="3">
        <v>2</v>
      </c>
      <c r="C49" s="3">
        <f/>
        <v>0</v>
      </c>
      <c r="D49" s="3" t="s">
        <v>36</v>
      </c>
      <c r="E49" s="3" t="s">
        <v>37</v>
      </c>
      <c r="F49" s="3">
        <v>3</v>
      </c>
      <c r="G49" s="3">
        <v>4</v>
      </c>
      <c r="H49" s="3">
        <v>0</v>
      </c>
      <c r="I49" s="3">
        <v>3</v>
      </c>
      <c r="J49" s="4" t="str">
        <f>HYPERLINK("http://141.218.60.56/~jnz1568/getInfo.php?workbook=08_02.xlsx&amp;sheet=E0&amp;row=49&amp;col=10&amp;number=&amp;sourceID=2","")</f>
        <v/>
      </c>
      <c r="K49" s="4" t="str">
        <f>HYPERLINK("http://141.218.60.56/~jnz1568/getInfo.php?workbook=08_02.xlsx&amp;sheet=E0&amp;row=49&amp;col=11&amp;number=5725078.06229&amp;sourceID=30","5725078.06229")</f>
        <v>5725078.06229</v>
      </c>
      <c r="L49" s="4" t="str">
        <f>HYPERLINK("http://141.218.60.56/~jnz1568/getInfo.php?workbook=08_02.xlsx&amp;sheet=E0&amp;row=49&amp;col=12&amp;number=5738115.95277&amp;sourceID=30","5738115.95277")</f>
        <v>5738115.95277</v>
      </c>
      <c r="M49" s="4" t="str">
        <f>HYPERLINK("http://141.218.60.56/~jnz1568/getInfo.php?workbook=08_02.xlsx&amp;sheet=E0&amp;row=49&amp;col=13&amp;number=5748239&amp;sourceID=32","5748239")</f>
        <v>5748239</v>
      </c>
    </row>
    <row r="50" spans="1:13">
      <c r="A50" s="3">
        <v>8</v>
      </c>
      <c r="B50" s="3">
        <v>2</v>
      </c>
      <c r="C50" s="3">
        <f/>
        <v>0</v>
      </c>
      <c r="D50" s="3" t="s">
        <v>36</v>
      </c>
      <c r="E50" s="3" t="s">
        <v>37</v>
      </c>
      <c r="F50" s="3">
        <v>3</v>
      </c>
      <c r="G50" s="3">
        <v>4</v>
      </c>
      <c r="H50" s="3">
        <v>0</v>
      </c>
      <c r="I50" s="3">
        <v>5</v>
      </c>
      <c r="J50" s="4" t="str">
        <f>HYPERLINK("http://141.218.60.56/~jnz1568/getInfo.php?workbook=08_02.xlsx&amp;sheet=E0&amp;row=50&amp;col=10&amp;number=&amp;sourceID=2","")</f>
        <v/>
      </c>
      <c r="K50" s="4" t="str">
        <f>HYPERLINK("http://141.218.60.56/~jnz1568/getInfo.php?workbook=08_02.xlsx&amp;sheet=E0&amp;row=50&amp;col=11&amp;number=5725081.35441&amp;sourceID=30","5725081.35441")</f>
        <v>5725081.35441</v>
      </c>
      <c r="L50" s="4" t="str">
        <f>HYPERLINK("http://141.218.60.56/~jnz1568/getInfo.php?workbook=08_02.xlsx&amp;sheet=E0&amp;row=50&amp;col=12&amp;number=5738120.34226&amp;sourceID=30","5738120.34226")</f>
        <v>5738120.34226</v>
      </c>
      <c r="M50" s="4" t="str">
        <f>HYPERLINK("http://141.218.60.56/~jnz1568/getInfo.php?workbook=08_02.xlsx&amp;sheet=E0&amp;row=50&amp;col=13&amp;number=&amp;sourceID=32","")</f>
        <v/>
      </c>
    </row>
    <row r="51" spans="1:13">
      <c r="A51" s="3">
        <v>8</v>
      </c>
      <c r="B51" s="3">
        <v>2</v>
      </c>
      <c r="C51" s="3">
        <f/>
        <v>0</v>
      </c>
      <c r="D51" s="3" t="s">
        <v>36</v>
      </c>
      <c r="E51" s="3" t="s">
        <v>38</v>
      </c>
      <c r="F51" s="3">
        <v>1</v>
      </c>
      <c r="G51" s="3">
        <v>4</v>
      </c>
      <c r="H51" s="3">
        <v>0</v>
      </c>
      <c r="I51" s="3">
        <v>4</v>
      </c>
      <c r="J51" s="4" t="str">
        <f>HYPERLINK("http://141.218.60.56/~jnz1568/getInfo.php?workbook=08_02.xlsx&amp;sheet=E0&amp;row=51&amp;col=10&amp;number=&amp;sourceID=2","")</f>
        <v/>
      </c>
      <c r="K51" s="4" t="str">
        <f>HYPERLINK("http://141.218.60.56/~jnz1568/getInfo.php?workbook=08_02.xlsx&amp;sheet=E0&amp;row=51&amp;col=11&amp;number=5725083.54916&amp;sourceID=30","5725083.54916")</f>
        <v>5725083.54916</v>
      </c>
      <c r="L51" s="4" t="str">
        <f>HYPERLINK("http://141.218.60.56/~jnz1568/getInfo.php?workbook=08_02.xlsx&amp;sheet=E0&amp;row=51&amp;col=12&amp;number=5738122.53701&amp;sourceID=30","5738122.53701")</f>
        <v>5738122.53701</v>
      </c>
      <c r="M51" s="4" t="str">
        <f>HYPERLINK("http://141.218.60.56/~jnz1568/getInfo.php?workbook=08_02.xlsx&amp;sheet=E0&amp;row=51&amp;col=13&amp;number=&amp;sourceID=32","")</f>
        <v/>
      </c>
    </row>
    <row r="52" spans="1:13">
      <c r="A52" s="3">
        <v>8</v>
      </c>
      <c r="B52" s="3">
        <v>2</v>
      </c>
      <c r="C52" s="3">
        <f/>
        <v>0</v>
      </c>
      <c r="D52" s="3" t="s">
        <v>33</v>
      </c>
      <c r="E52" s="3" t="s">
        <v>20</v>
      </c>
      <c r="F52" s="3">
        <v>1</v>
      </c>
      <c r="G52" s="3">
        <v>1</v>
      </c>
      <c r="H52" s="3">
        <v>1</v>
      </c>
      <c r="I52" s="3">
        <v>1</v>
      </c>
      <c r="J52" s="4" t="str">
        <f>HYPERLINK("http://141.218.60.56/~jnz1568/getInfo.php?workbook=08_02.xlsx&amp;sheet=E0&amp;row=52&amp;col=10&amp;number=5748450&amp;sourceID=2","5748450")</f>
        <v>5748450</v>
      </c>
      <c r="K52" s="4" t="str">
        <f>HYPERLINK("http://141.218.60.56/~jnz1568/getInfo.php?workbook=08_02.xlsx&amp;sheet=E0&amp;row=52&amp;col=11&amp;number=5727864.29274&amp;sourceID=30","5727864.29274")</f>
        <v>5727864.29274</v>
      </c>
      <c r="L52" s="4" t="str">
        <f>HYPERLINK("http://141.218.60.56/~jnz1568/getInfo.php?workbook=08_02.xlsx&amp;sheet=E0&amp;row=52&amp;col=12&amp;number=5725894.50792&amp;sourceID=30","5725894.50792")</f>
        <v>5725894.50792</v>
      </c>
      <c r="M52" s="4" t="str">
        <f>HYPERLINK("http://141.218.60.56/~jnz1568/getInfo.php?workbook=08_02.xlsx&amp;sheet=E0&amp;row=52&amp;col=13&amp;number=5748736&amp;sourceID=32","5748736")</f>
        <v>5748736</v>
      </c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2"/>
  <sheetViews>
    <sheetView workbookViewId="0"/>
  </sheetViews>
  <sheetFormatPr defaultRowHeight="15"/>
  <cols>
    <col min="1" max="1" width="2.7109375" customWidth="1"/>
    <col min="2" max="2" width="2.7109375" customWidth="1"/>
    <col min="3" max="3" width="15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10.7109375" customWidth="1"/>
    <col min="10" max="10" width="14.7109375" customWidth="1"/>
    <col min="11" max="11" width="14.7109375" customWidth="1"/>
  </cols>
  <sheetData>
    <row r="1" spans="1:11">
      <c r="A1" s="1" t="s">
        <v>39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/>
      <c r="B2" s="2"/>
      <c r="C2" s="2"/>
      <c r="D2" s="2"/>
      <c r="E2" s="2"/>
      <c r="F2" s="2"/>
      <c r="G2" s="2"/>
      <c r="H2" s="2"/>
      <c r="I2" s="2" t="s">
        <v>1</v>
      </c>
      <c r="J2" s="2" t="s">
        <v>40</v>
      </c>
      <c r="K2" s="2" t="s">
        <v>41</v>
      </c>
    </row>
    <row r="3" spans="1:11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13</v>
      </c>
      <c r="J3" s="2" t="s">
        <v>13</v>
      </c>
      <c r="K3" s="2" t="s">
        <v>13</v>
      </c>
    </row>
    <row r="4" spans="1:11">
      <c r="A4" s="3">
        <v>8</v>
      </c>
      <c r="B4" s="3">
        <v>2</v>
      </c>
      <c r="C4" s="3">
        <v>1</v>
      </c>
      <c r="D4" s="3" t="s">
        <v>14</v>
      </c>
      <c r="E4" s="3" t="s">
        <v>15</v>
      </c>
      <c r="F4" s="3">
        <v>1</v>
      </c>
      <c r="G4" s="3">
        <v>0</v>
      </c>
      <c r="H4" s="3">
        <v>0</v>
      </c>
      <c r="I4" s="4" t="str">
        <f>HYPERLINK("http://141.218.60.56/~jnz1568/getInfo.php?workbook=08_02.xlsx&amp;sheet=E1&amp;row=4&amp;col=9&amp;number=0&amp;sourceID=2","0")</f>
        <v>0</v>
      </c>
      <c r="J4" s="4" t="str">
        <f>HYPERLINK("http://141.218.60.56/~jnz1568/getInfo.php?workbook=08_02.xlsx&amp;sheet=E1&amp;row=4&amp;col=10&amp;number=0&amp;sourceID=33","0")</f>
        <v>0</v>
      </c>
      <c r="K4" s="4" t="str">
        <f>HYPERLINK("http://141.218.60.56/~jnz1568/getInfo.php?workbook=08_02.xlsx&amp;sheet=E1&amp;row=4&amp;col=11&amp;number=0&amp;sourceID=25","0")</f>
        <v>0</v>
      </c>
    </row>
    <row r="5" spans="1:11">
      <c r="A5" s="3">
        <v>8</v>
      </c>
      <c r="B5" s="3">
        <v>2</v>
      </c>
      <c r="C5" s="3">
        <f>C4+1</f>
        <v>0</v>
      </c>
      <c r="D5" s="3" t="s">
        <v>16</v>
      </c>
      <c r="E5" s="3" t="s">
        <v>17</v>
      </c>
      <c r="F5" s="3">
        <v>3</v>
      </c>
      <c r="G5" s="3">
        <v>0</v>
      </c>
      <c r="H5" s="3">
        <v>0</v>
      </c>
      <c r="I5" s="4" t="str">
        <f>HYPERLINK("http://141.218.60.56/~jnz1568/getInfo.php?workbook=08_02.xlsx&amp;sheet=E1&amp;row=5&amp;col=9&amp;number=4524640&amp;sourceID=2","4524640")</f>
        <v>4524640</v>
      </c>
      <c r="J5" s="4" t="str">
        <f>HYPERLINK("http://141.218.60.56/~jnz1568/getInfo.php?workbook=08_02.xlsx&amp;sheet=E1&amp;row=5&amp;col=10&amp;number=4517435.36377&amp;sourceID=33","4517435.36377")</f>
        <v>4517435.36377</v>
      </c>
      <c r="K5" s="4" t="str">
        <f>HYPERLINK("http://141.218.60.56/~jnz1568/getInfo.php?workbook=08_02.xlsx&amp;sheet=E1&amp;row=5&amp;col=11&amp;number=4519564.2677&amp;sourceID=25","4519564.2677")</f>
        <v>4519564.2677</v>
      </c>
    </row>
    <row r="6" spans="1:11">
      <c r="A6" s="3">
        <v>8</v>
      </c>
      <c r="B6" s="3">
        <v>2</v>
      </c>
      <c r="C6" s="3">
        <f/>
        <v>0</v>
      </c>
      <c r="D6" s="3" t="s">
        <v>18</v>
      </c>
      <c r="E6" s="3" t="s">
        <v>19</v>
      </c>
      <c r="F6" s="3">
        <v>3</v>
      </c>
      <c r="G6" s="3">
        <v>1</v>
      </c>
      <c r="H6" s="3">
        <v>1</v>
      </c>
      <c r="I6" s="4" t="str">
        <f>HYPERLINK("http://141.218.60.56/~jnz1568/getInfo.php?workbook=08_02.xlsx&amp;sheet=E1&amp;row=6&amp;col=9&amp;number=4585978.9&amp;sourceID=2","4585978.9")</f>
        <v>4585978.9</v>
      </c>
      <c r="J6" s="4" t="str">
        <f>HYPERLINK("http://141.218.60.56/~jnz1568/getInfo.php?workbook=08_02.xlsx&amp;sheet=E1&amp;row=6&amp;col=10&amp;number=4578163.99427&amp;sourceID=33","4578163.99427")</f>
        <v>4578163.99427</v>
      </c>
      <c r="K6" s="4" t="str">
        <f>HYPERLINK("http://141.218.60.56/~jnz1568/getInfo.php?workbook=08_02.xlsx&amp;sheet=E1&amp;row=6&amp;col=11&amp;number=4579930.76506&amp;sourceID=25","4579930.76506")</f>
        <v>4579930.76506</v>
      </c>
    </row>
    <row r="7" spans="1:11">
      <c r="A7" s="3">
        <v>8</v>
      </c>
      <c r="B7" s="3">
        <v>2</v>
      </c>
      <c r="C7" s="3">
        <f/>
        <v>0</v>
      </c>
      <c r="D7" s="3" t="s">
        <v>16</v>
      </c>
      <c r="E7" s="3" t="s">
        <v>15</v>
      </c>
      <c r="F7" s="3">
        <v>1</v>
      </c>
      <c r="G7" s="3">
        <v>0</v>
      </c>
      <c r="H7" s="3">
        <v>0</v>
      </c>
      <c r="I7" s="4" t="str">
        <f>HYPERLINK("http://141.218.60.56/~jnz1568/getInfo.php?workbook=08_02.xlsx&amp;sheet=E1&amp;row=7&amp;col=9&amp;number=4588380&amp;sourceID=2","4588380")</f>
        <v>4588380</v>
      </c>
      <c r="J7" s="4" t="str">
        <f>HYPERLINK("http://141.218.60.56/~jnz1568/getInfo.php?workbook=08_02.xlsx&amp;sheet=E1&amp;row=7&amp;col=10&amp;number=4581280.53404&amp;sourceID=33","4581280.53404")</f>
        <v>4581280.53404</v>
      </c>
      <c r="K7" s="4" t="str">
        <f>HYPERLINK("http://141.218.60.56/~jnz1568/getInfo.php?workbook=08_02.xlsx&amp;sheet=E1&amp;row=7&amp;col=11&amp;number=4583189.96333&amp;sourceID=25","4583189.96333")</f>
        <v>4583189.96333</v>
      </c>
    </row>
    <row r="8" spans="1:11">
      <c r="A8" s="3">
        <v>8</v>
      </c>
      <c r="B8" s="3">
        <v>2</v>
      </c>
      <c r="C8" s="3">
        <f/>
        <v>0</v>
      </c>
      <c r="D8" s="3" t="s">
        <v>18</v>
      </c>
      <c r="E8" s="3" t="s">
        <v>20</v>
      </c>
      <c r="F8" s="3">
        <v>1</v>
      </c>
      <c r="G8" s="3">
        <v>1</v>
      </c>
      <c r="H8" s="3">
        <v>1</v>
      </c>
      <c r="I8" s="4" t="str">
        <f>HYPERLINK("http://141.218.60.56/~jnz1568/getInfo.php?workbook=08_02.xlsx&amp;sheet=E1&amp;row=8&amp;col=9&amp;number=4629201&amp;sourceID=2","4629201")</f>
        <v>4629201</v>
      </c>
      <c r="J8" s="4" t="str">
        <f>HYPERLINK("http://141.218.60.56/~jnz1568/getInfo.php?workbook=08_02.xlsx&amp;sheet=E1&amp;row=8&amp;col=10&amp;number=4621268.81187&amp;sourceID=33","4621268.81187")</f>
        <v>4621268.81187</v>
      </c>
      <c r="K8" s="4" t="str">
        <f>HYPERLINK("http://141.218.60.56/~jnz1568/getInfo.php?workbook=08_02.xlsx&amp;sheet=E1&amp;row=8&amp;col=11&amp;number=4622827.08176&amp;sourceID=25","4622827.08176")</f>
        <v>4622827.08176</v>
      </c>
    </row>
    <row r="9" spans="1:11">
      <c r="A9" s="3">
        <v>8</v>
      </c>
      <c r="B9" s="3">
        <v>2</v>
      </c>
      <c r="C9" s="3">
        <f/>
        <v>0</v>
      </c>
      <c r="D9" s="3" t="s">
        <v>21</v>
      </c>
      <c r="E9" s="3" t="s">
        <v>17</v>
      </c>
      <c r="F9" s="3">
        <v>3</v>
      </c>
      <c r="G9" s="3">
        <v>0</v>
      </c>
      <c r="H9" s="3">
        <v>0</v>
      </c>
      <c r="I9" s="4" t="str">
        <f>HYPERLINK("http://141.218.60.56/~jnz1568/getInfo.php?workbook=08_02.xlsx&amp;sheet=E1&amp;row=9&amp;col=9&amp;number=5338820&amp;sourceID=2","5338820")</f>
        <v>5338820</v>
      </c>
      <c r="J9" s="4" t="str">
        <f>HYPERLINK("http://141.218.60.56/~jnz1568/getInfo.php?workbook=08_02.xlsx&amp;sheet=E1&amp;row=9&amp;col=10&amp;number=5330817.12662&amp;sourceID=33","5330817.12662")</f>
        <v>5330817.12662</v>
      </c>
      <c r="K9" s="4" t="str">
        <f>HYPERLINK("http://141.218.60.56/~jnz1568/getInfo.php?workbook=08_02.xlsx&amp;sheet=E1&amp;row=9&amp;col=11&amp;number=5332948.22529&amp;sourceID=25","5332948.22529")</f>
        <v>5332948.22529</v>
      </c>
    </row>
    <row r="10" spans="1:11">
      <c r="A10" s="3">
        <v>8</v>
      </c>
      <c r="B10" s="3">
        <v>2</v>
      </c>
      <c r="C10" s="3">
        <f/>
        <v>0</v>
      </c>
      <c r="D10" s="3" t="s">
        <v>22</v>
      </c>
      <c r="E10" s="3" t="s">
        <v>19</v>
      </c>
      <c r="F10" s="3">
        <v>3</v>
      </c>
      <c r="G10" s="3">
        <v>1</v>
      </c>
      <c r="H10" s="3">
        <v>1</v>
      </c>
      <c r="I10" s="4" t="str">
        <f>HYPERLINK("http://141.218.60.56/~jnz1568/getInfo.php?workbook=08_02.xlsx&amp;sheet=E1&amp;row=10&amp;col=9&amp;number=5355670&amp;sourceID=2","5355670")</f>
        <v>5355670</v>
      </c>
      <c r="J10" s="4" t="str">
        <f>HYPERLINK("http://141.218.60.56/~jnz1568/getInfo.php?workbook=08_02.xlsx&amp;sheet=E1&amp;row=10&amp;col=10&amp;number=5347341.37161&amp;sourceID=33","5347341.37161")</f>
        <v>5347341.37161</v>
      </c>
      <c r="K10" s="4" t="str">
        <f>HYPERLINK("http://141.218.60.56/~jnz1568/getInfo.php?workbook=08_02.xlsx&amp;sheet=E1&amp;row=10&amp;col=11&amp;number=5349430.77011&amp;sourceID=25","5349430.77011")</f>
        <v>5349430.77011</v>
      </c>
    </row>
    <row r="11" spans="1:11">
      <c r="A11" s="3">
        <v>8</v>
      </c>
      <c r="B11" s="3">
        <v>2</v>
      </c>
      <c r="C11" s="3">
        <f/>
        <v>0</v>
      </c>
      <c r="D11" s="3" t="s">
        <v>21</v>
      </c>
      <c r="E11" s="3" t="s">
        <v>15</v>
      </c>
      <c r="F11" s="3">
        <v>1</v>
      </c>
      <c r="G11" s="3">
        <v>0</v>
      </c>
      <c r="H11" s="3">
        <v>0</v>
      </c>
      <c r="I11" s="4" t="str">
        <f>HYPERLINK("http://141.218.60.56/~jnz1568/getInfo.php?workbook=08_02.xlsx&amp;sheet=E1&amp;row=11&amp;col=9&amp;number=5356420&amp;sourceID=2","5356420")</f>
        <v>5356420</v>
      </c>
      <c r="J11" s="4" t="str">
        <f>HYPERLINK("http://141.218.60.56/~jnz1568/getInfo.php?workbook=08_02.xlsx&amp;sheet=E1&amp;row=11&amp;col=10&amp;number=5347734.2312&amp;sourceID=33","5347734.2312")</f>
        <v>5347734.2312</v>
      </c>
      <c r="K11" s="4" t="str">
        <f>HYPERLINK("http://141.218.60.56/~jnz1568/getInfo.php?workbook=08_02.xlsx&amp;sheet=E1&amp;row=11&amp;col=11&amp;number=5349781.92952&amp;sourceID=25","5349781.92952")</f>
        <v>5349781.92952</v>
      </c>
    </row>
    <row r="12" spans="1:11">
      <c r="A12" s="3">
        <v>8</v>
      </c>
      <c r="B12" s="3">
        <v>2</v>
      </c>
      <c r="C12" s="3">
        <f/>
        <v>0</v>
      </c>
      <c r="D12" s="3" t="s">
        <v>23</v>
      </c>
      <c r="E12" s="3" t="s">
        <v>24</v>
      </c>
      <c r="F12" s="3">
        <v>3</v>
      </c>
      <c r="G12" s="3">
        <v>2</v>
      </c>
      <c r="H12" s="3">
        <v>0</v>
      </c>
      <c r="I12" s="4" t="str">
        <f>HYPERLINK("http://141.218.60.56/~jnz1568/getInfo.php?workbook=08_02.xlsx&amp;sheet=E1&amp;row=12&amp;col=9&amp;number=5364422.7&amp;sourceID=2","5364422.7")</f>
        <v>5364422.7</v>
      </c>
      <c r="J12" s="4" t="str">
        <f>HYPERLINK("http://141.218.60.56/~jnz1568/getInfo.php?workbook=08_02.xlsx&amp;sheet=E1&amp;row=12&amp;col=10&amp;number=5355912.95334&amp;sourceID=33","5355912.95334")</f>
        <v>5355912.95334</v>
      </c>
      <c r="K12" s="4" t="str">
        <f>HYPERLINK("http://141.218.60.56/~jnz1568/getInfo.php?workbook=08_02.xlsx&amp;sheet=E1&amp;row=12&amp;col=11&amp;number=5358045.14939&amp;sourceID=25","5358045.14939")</f>
        <v>5358045.14939</v>
      </c>
    </row>
    <row r="13" spans="1:11">
      <c r="A13" s="3">
        <v>8</v>
      </c>
      <c r="B13" s="3">
        <v>2</v>
      </c>
      <c r="C13" s="3">
        <f/>
        <v>0</v>
      </c>
      <c r="D13" s="3" t="s">
        <v>23</v>
      </c>
      <c r="E13" s="3" t="s">
        <v>25</v>
      </c>
      <c r="F13" s="3">
        <v>1</v>
      </c>
      <c r="G13" s="3">
        <v>2</v>
      </c>
      <c r="H13" s="3">
        <v>0</v>
      </c>
      <c r="I13" s="4" t="str">
        <f>HYPERLINK("http://141.218.60.56/~jnz1568/getInfo.php?workbook=08_02.xlsx&amp;sheet=E1&amp;row=13&amp;col=9&amp;number=5365470&amp;sourceID=2","5365470")</f>
        <v>5365470</v>
      </c>
      <c r="J13" s="4" t="str">
        <f>HYPERLINK("http://141.218.60.56/~jnz1568/getInfo.php?workbook=08_02.xlsx&amp;sheet=E1&amp;row=13&amp;col=10&amp;number=5356315.68929&amp;sourceID=33","5356315.68929")</f>
        <v>5356315.68929</v>
      </c>
      <c r="K13" s="4" t="str">
        <f>HYPERLINK("http://141.218.60.56/~jnz1568/getInfo.php?workbook=08_02.xlsx&amp;sheet=E1&amp;row=13&amp;col=11&amp;number=5358451.17745&amp;sourceID=25","5358451.17745")</f>
        <v>5358451.17745</v>
      </c>
    </row>
    <row r="14" spans="1:11">
      <c r="A14" s="3">
        <v>8</v>
      </c>
      <c r="B14" s="3">
        <v>2</v>
      </c>
      <c r="C14" s="3">
        <f/>
        <v>0</v>
      </c>
      <c r="D14" s="3" t="s">
        <v>22</v>
      </c>
      <c r="E14" s="3" t="s">
        <v>20</v>
      </c>
      <c r="F14" s="3">
        <v>1</v>
      </c>
      <c r="G14" s="3">
        <v>1</v>
      </c>
      <c r="H14" s="3">
        <v>1</v>
      </c>
      <c r="I14" s="4" t="str">
        <f>HYPERLINK("http://141.218.60.56/~jnz1568/getInfo.php?workbook=08_02.xlsx&amp;sheet=E1&amp;row=14&amp;col=9&amp;number=5368550&amp;sourceID=2","5368550")</f>
        <v>5368550</v>
      </c>
      <c r="J14" s="4" t="str">
        <f>HYPERLINK("http://141.218.60.56/~jnz1568/getInfo.php?workbook=08_02.xlsx&amp;sheet=E1&amp;row=14&amp;col=10&amp;number=5359352.12082&amp;sourceID=33","5359352.12082")</f>
        <v>5359352.12082</v>
      </c>
      <c r="K14" s="4" t="str">
        <f>HYPERLINK("http://141.218.60.56/~jnz1568/getInfo.php?workbook=08_02.xlsx&amp;sheet=E1&amp;row=14&amp;col=11&amp;number=5361370.19005&amp;sourceID=25","5361370.19005")</f>
        <v>5361370.19005</v>
      </c>
    </row>
    <row r="15" spans="1:11">
      <c r="A15" s="3">
        <v>8</v>
      </c>
      <c r="B15" s="3">
        <v>2</v>
      </c>
      <c r="C15" s="3">
        <f/>
        <v>0</v>
      </c>
      <c r="D15" s="3" t="s">
        <v>26</v>
      </c>
      <c r="E15" s="3" t="s">
        <v>17</v>
      </c>
      <c r="F15" s="3">
        <v>3</v>
      </c>
      <c r="G15" s="3">
        <v>0</v>
      </c>
      <c r="H15" s="3">
        <v>0</v>
      </c>
      <c r="I15" s="4" t="str">
        <f>HYPERLINK("http://141.218.60.56/~jnz1568/getInfo.php?workbook=08_02.xlsx&amp;sheet=E1&amp;row=15&amp;col=9&amp;number=5616340&amp;sourceID=2","5616340")</f>
        <v>5616340</v>
      </c>
      <c r="J15" s="4" t="str">
        <f>HYPERLINK("http://141.218.60.56/~jnz1568/getInfo.php?workbook=08_02.xlsx&amp;sheet=E1&amp;row=15&amp;col=10&amp;number=5607191.65355&amp;sourceID=33","5607191.65355")</f>
        <v>5607191.65355</v>
      </c>
      <c r="K15" s="4" t="str">
        <f>HYPERLINK("http://141.218.60.56/~jnz1568/getInfo.php?workbook=08_02.xlsx&amp;sheet=E1&amp;row=15&amp;col=11&amp;number=5609343.60231&amp;sourceID=25","5609343.60231")</f>
        <v>5609343.60231</v>
      </c>
    </row>
    <row r="16" spans="1:11">
      <c r="A16" s="3">
        <v>8</v>
      </c>
      <c r="B16" s="3">
        <v>2</v>
      </c>
      <c r="C16" s="3">
        <f/>
        <v>0</v>
      </c>
      <c r="D16" s="3" t="s">
        <v>27</v>
      </c>
      <c r="E16" s="3" t="s">
        <v>19</v>
      </c>
      <c r="F16" s="3">
        <v>3</v>
      </c>
      <c r="G16" s="3">
        <v>1</v>
      </c>
      <c r="H16" s="3">
        <v>1</v>
      </c>
      <c r="I16" s="4" t="str">
        <f>HYPERLINK("http://141.218.60.56/~jnz1568/getInfo.php?workbook=08_02.xlsx&amp;sheet=E1&amp;row=16&amp;col=9&amp;number=5622600&amp;sourceID=2","5622600")</f>
        <v>5622600</v>
      </c>
      <c r="J16" s="4" t="str">
        <f>HYPERLINK("http://141.218.60.56/~jnz1568/getInfo.php?workbook=08_02.xlsx&amp;sheet=E1&amp;row=16&amp;col=10&amp;number=5613954.76431&amp;sourceID=33","5613954.76431")</f>
        <v>5613954.76431</v>
      </c>
      <c r="K16" s="4" t="str">
        <f>HYPERLINK("http://141.218.60.56/~jnz1568/getInfo.php?workbook=08_02.xlsx&amp;sheet=E1&amp;row=16&amp;col=11&amp;number=5616081.47349&amp;sourceID=25","5616081.47349")</f>
        <v>5616081.47349</v>
      </c>
    </row>
    <row r="17" spans="1:11">
      <c r="A17" s="3">
        <v>8</v>
      </c>
      <c r="B17" s="3">
        <v>2</v>
      </c>
      <c r="C17" s="3">
        <f/>
        <v>0</v>
      </c>
      <c r="D17" s="3" t="s">
        <v>26</v>
      </c>
      <c r="E17" s="3" t="s">
        <v>15</v>
      </c>
      <c r="F17" s="3">
        <v>1</v>
      </c>
      <c r="G17" s="3">
        <v>0</v>
      </c>
      <c r="H17" s="3">
        <v>0</v>
      </c>
      <c r="I17" s="4" t="str">
        <f>HYPERLINK("http://141.218.60.56/~jnz1568/getInfo.php?workbook=08_02.xlsx&amp;sheet=E1&amp;row=17&amp;col=9&amp;number=5623100&amp;sourceID=2","5623100")</f>
        <v>5623100</v>
      </c>
      <c r="J17" s="4" t="str">
        <f>HYPERLINK("http://141.218.60.56/~jnz1568/getInfo.php?workbook=08_02.xlsx&amp;sheet=E1&amp;row=17&amp;col=10&amp;number=5614044.74891&amp;sourceID=33","5614044.74891")</f>
        <v>5614044.74891</v>
      </c>
      <c r="K17" s="4" t="str">
        <f>HYPERLINK("http://141.218.60.56/~jnz1568/getInfo.php?workbook=08_02.xlsx&amp;sheet=E1&amp;row=17&amp;col=11&amp;number=5616158.28961&amp;sourceID=25","5616158.28961")</f>
        <v>5616158.28961</v>
      </c>
    </row>
    <row r="18" spans="1:11">
      <c r="A18" s="3">
        <v>8</v>
      </c>
      <c r="B18" s="3">
        <v>2</v>
      </c>
      <c r="C18" s="3">
        <f/>
        <v>0</v>
      </c>
      <c r="D18" s="3" t="s">
        <v>29</v>
      </c>
      <c r="E18" s="3" t="s">
        <v>30</v>
      </c>
      <c r="F18" s="3">
        <v>3</v>
      </c>
      <c r="G18" s="3">
        <v>3</v>
      </c>
      <c r="H18" s="3">
        <v>1</v>
      </c>
      <c r="I18" s="4" t="str">
        <f>HYPERLINK("http://141.218.60.56/~jnz1568/getInfo.php?workbook=08_02.xlsx&amp;sheet=E1&amp;row=18&amp;col=9&amp;number=5626210&amp;sourceID=2","5626210")</f>
        <v>5626210</v>
      </c>
      <c r="J18" s="4" t="str">
        <f>HYPERLINK("http://141.218.60.56/~jnz1568/getInfo.php?workbook=08_02.xlsx&amp;sheet=E1&amp;row=18&amp;col=10&amp;number=5617672.66457&amp;sourceID=33","5617672.66457")</f>
        <v>5617672.66457</v>
      </c>
      <c r="K18" s="4" t="str">
        <f>HYPERLINK("http://141.218.60.56/~jnz1568/getInfo.php?workbook=08_02.xlsx&amp;sheet=E1&amp;row=18&amp;col=11&amp;number=&amp;sourceID=25","")</f>
        <v/>
      </c>
    </row>
    <row r="19" spans="1:11">
      <c r="A19" s="3">
        <v>8</v>
      </c>
      <c r="B19" s="3">
        <v>2</v>
      </c>
      <c r="C19" s="3">
        <f/>
        <v>0</v>
      </c>
      <c r="D19" s="3" t="s">
        <v>28</v>
      </c>
      <c r="E19" s="3" t="s">
        <v>24</v>
      </c>
      <c r="F19" s="3">
        <v>3</v>
      </c>
      <c r="G19" s="3">
        <v>2</v>
      </c>
      <c r="H19" s="3">
        <v>0</v>
      </c>
      <c r="I19" s="4" t="str">
        <f>HYPERLINK("http://141.218.60.56/~jnz1568/getInfo.php?workbook=08_02.xlsx&amp;sheet=E1&amp;row=19&amp;col=9&amp;number=5626225.3&amp;sourceID=2","5626225.3")</f>
        <v>5626225.3</v>
      </c>
      <c r="J19" s="4" t="str">
        <f>HYPERLINK("http://141.218.60.56/~jnz1568/getInfo.php?workbook=08_02.xlsx&amp;sheet=E1&amp;row=19&amp;col=10&amp;number=5617483.91638&amp;sourceID=33","5617483.91638")</f>
        <v>5617483.91638</v>
      </c>
      <c r="K19" s="4" t="str">
        <f>HYPERLINK("http://141.218.60.56/~jnz1568/getInfo.php?workbook=08_02.xlsx&amp;sheet=E1&amp;row=19&amp;col=11&amp;number=5619625.98879&amp;sourceID=25","5619625.98879")</f>
        <v>5619625.98879</v>
      </c>
    </row>
    <row r="20" spans="1:11">
      <c r="A20" s="3">
        <v>8</v>
      </c>
      <c r="B20" s="3">
        <v>2</v>
      </c>
      <c r="C20" s="3">
        <f/>
        <v>0</v>
      </c>
      <c r="D20" s="3" t="s">
        <v>28</v>
      </c>
      <c r="E20" s="3" t="s">
        <v>25</v>
      </c>
      <c r="F20" s="3">
        <v>1</v>
      </c>
      <c r="G20" s="3">
        <v>2</v>
      </c>
      <c r="H20" s="3">
        <v>0</v>
      </c>
      <c r="I20" s="4" t="str">
        <f>HYPERLINK("http://141.218.60.56/~jnz1568/getInfo.php?workbook=08_02.xlsx&amp;sheet=E1&amp;row=20&amp;col=9&amp;number=5626670&amp;sourceID=2","5626670")</f>
        <v>5626670</v>
      </c>
      <c r="J20" s="4" t="str">
        <f>HYPERLINK("http://141.218.60.56/~jnz1568/getInfo.php?workbook=08_02.xlsx&amp;sheet=E1&amp;row=20&amp;col=10&amp;number=5617703.39101&amp;sourceID=33","5617703.39101")</f>
        <v>5617703.39101</v>
      </c>
      <c r="K20" s="4" t="str">
        <f>HYPERLINK("http://141.218.60.56/~jnz1568/getInfo.php?workbook=08_02.xlsx&amp;sheet=E1&amp;row=20&amp;col=11&amp;number=5619845.46342&amp;sourceID=25","5619845.46342")</f>
        <v>5619845.46342</v>
      </c>
    </row>
    <row r="21" spans="1:11">
      <c r="A21" s="3">
        <v>8</v>
      </c>
      <c r="B21" s="3">
        <v>2</v>
      </c>
      <c r="C21" s="3">
        <f/>
        <v>0</v>
      </c>
      <c r="D21" s="3" t="s">
        <v>29</v>
      </c>
      <c r="E21" s="3" t="s">
        <v>31</v>
      </c>
      <c r="F21" s="3">
        <v>1</v>
      </c>
      <c r="G21" s="3">
        <v>3</v>
      </c>
      <c r="H21" s="3">
        <v>1</v>
      </c>
      <c r="I21" s="4" t="str">
        <f>HYPERLINK("http://141.218.60.56/~jnz1568/getInfo.php?workbook=08_02.xlsx&amp;sheet=E1&amp;row=21&amp;col=9&amp;number=5626840&amp;sourceID=2","5626840")</f>
        <v>5626840</v>
      </c>
      <c r="J21" s="4" t="str">
        <f>HYPERLINK("http://141.218.60.56/~jnz1568/getInfo.php?workbook=08_02.xlsx&amp;sheet=E1&amp;row=21&amp;col=10&amp;number=5617674.85931&amp;sourceID=33","5617674.85931")</f>
        <v>5617674.85931</v>
      </c>
      <c r="K21" s="4" t="str">
        <f>HYPERLINK("http://141.218.60.56/~jnz1568/getInfo.php?workbook=08_02.xlsx&amp;sheet=E1&amp;row=21&amp;col=11&amp;number=&amp;sourceID=25","")</f>
        <v/>
      </c>
    </row>
    <row r="22" spans="1:11">
      <c r="A22" s="3">
        <v>8</v>
      </c>
      <c r="B22" s="3">
        <v>2</v>
      </c>
      <c r="C22" s="3">
        <f/>
        <v>0</v>
      </c>
      <c r="D22" s="3" t="s">
        <v>27</v>
      </c>
      <c r="E22" s="3" t="s">
        <v>20</v>
      </c>
      <c r="F22" s="3">
        <v>1</v>
      </c>
      <c r="G22" s="3">
        <v>1</v>
      </c>
      <c r="H22" s="3">
        <v>1</v>
      </c>
      <c r="I22" s="4" t="str">
        <f>HYPERLINK("http://141.218.60.56/~jnz1568/getInfo.php?workbook=08_02.xlsx&amp;sheet=E1&amp;row=22&amp;col=9&amp;number=5628100&amp;sourceID=2","5628100")</f>
        <v>5628100</v>
      </c>
      <c r="J22" s="4" t="str">
        <f>HYPERLINK("http://141.218.60.56/~jnz1568/getInfo.php?workbook=08_02.xlsx&amp;sheet=E1&amp;row=22&amp;col=10&amp;number=5618907.20937&amp;sourceID=33","5618907.20937")</f>
        <v>5618907.20937</v>
      </c>
      <c r="K22" s="4" t="str">
        <f>HYPERLINK("http://141.218.60.56/~jnz1568/getInfo.php?workbook=08_02.xlsx&amp;sheet=E1&amp;row=22&amp;col=11&amp;number=5620997.70523&amp;sourceID=25","5620997.70523")</f>
        <v>5620997.70523</v>
      </c>
    </row>
    <row r="23" spans="1:11">
      <c r="A23" s="3">
        <v>8</v>
      </c>
      <c r="B23" s="3">
        <v>2</v>
      </c>
      <c r="C23" s="3">
        <f/>
        <v>0</v>
      </c>
      <c r="D23" s="3" t="s">
        <v>32</v>
      </c>
      <c r="E23" s="3" t="s">
        <v>17</v>
      </c>
      <c r="F23" s="3">
        <v>3</v>
      </c>
      <c r="G23" s="3">
        <v>0</v>
      </c>
      <c r="H23" s="3">
        <v>0</v>
      </c>
      <c r="I23" s="4" t="str">
        <f>HYPERLINK("http://141.218.60.56/~jnz1568/getInfo.php?workbook=08_02.xlsx&amp;sheet=E1&amp;row=23&amp;col=9&amp;number=5742610&amp;sourceID=2","5742610")</f>
        <v>5742610</v>
      </c>
      <c r="J23" s="4" t="str">
        <f>HYPERLINK("http://141.218.60.56/~jnz1568/getInfo.php?workbook=08_02.xlsx&amp;sheet=E1&amp;row=23&amp;col=10&amp;number=5733356.64539&amp;sourceID=33","5733356.64539")</f>
        <v>5733356.64539</v>
      </c>
      <c r="K23" s="4" t="str">
        <f>HYPERLINK("http://141.218.60.56/~jnz1568/getInfo.php?workbook=08_02.xlsx&amp;sheet=E1&amp;row=23&amp;col=11&amp;number=5735508.59415&amp;sourceID=25","5735508.59415")</f>
        <v>5735508.59415</v>
      </c>
    </row>
    <row r="24" spans="1:11">
      <c r="A24" s="3">
        <v>8</v>
      </c>
      <c r="B24" s="3">
        <v>2</v>
      </c>
      <c r="C24" s="3">
        <f/>
        <v>0</v>
      </c>
      <c r="D24" s="3" t="s">
        <v>32</v>
      </c>
      <c r="E24" s="3" t="s">
        <v>15</v>
      </c>
      <c r="F24" s="3">
        <v>1</v>
      </c>
      <c r="G24" s="3">
        <v>0</v>
      </c>
      <c r="H24" s="3">
        <v>0</v>
      </c>
      <c r="I24" s="4" t="str">
        <f>HYPERLINK("http://141.218.60.56/~jnz1568/getInfo.php?workbook=08_02.xlsx&amp;sheet=E1&amp;row=24&amp;col=9&amp;number=&amp;sourceID=2","")</f>
        <v/>
      </c>
      <c r="J24" s="4" t="str">
        <f>HYPERLINK("http://141.218.60.56/~jnz1568/getInfo.php?workbook=08_02.xlsx&amp;sheet=E1&amp;row=24&amp;col=10&amp;number=5736795.81286&amp;sourceID=33","5736795.81286")</f>
        <v>5736795.81286</v>
      </c>
      <c r="K24" s="4" t="str">
        <f>HYPERLINK("http://141.218.60.56/~jnz1568/getInfo.php?workbook=08_02.xlsx&amp;sheet=E1&amp;row=24&amp;col=11&amp;number=5738932.3984&amp;sourceID=25","5738932.3984")</f>
        <v>5738932.3984</v>
      </c>
    </row>
    <row r="25" spans="1:11">
      <c r="A25" s="3">
        <v>8</v>
      </c>
      <c r="B25" s="3">
        <v>2</v>
      </c>
      <c r="C25" s="3">
        <f/>
        <v>0</v>
      </c>
      <c r="D25" s="3" t="s">
        <v>33</v>
      </c>
      <c r="E25" s="3" t="s">
        <v>19</v>
      </c>
      <c r="F25" s="3">
        <v>3</v>
      </c>
      <c r="G25" s="3">
        <v>1</v>
      </c>
      <c r="H25" s="3">
        <v>1</v>
      </c>
      <c r="I25" s="4" t="str">
        <f>HYPERLINK("http://141.218.60.56/~jnz1568/getInfo.php?workbook=08_02.xlsx&amp;sheet=E1&amp;row=25&amp;col=9&amp;number=5745440&amp;sourceID=2","5745440")</f>
        <v>5745440</v>
      </c>
      <c r="J25" s="4" t="str">
        <f>HYPERLINK("http://141.218.60.56/~jnz1568/getInfo.php?workbook=08_02.xlsx&amp;sheet=E1&amp;row=25&amp;col=10&amp;number=5736768.37853&amp;sourceID=33","5736768.37853")</f>
        <v>5736768.37853</v>
      </c>
      <c r="K25" s="4" t="str">
        <f>HYPERLINK("http://141.218.60.56/~jnz1568/getInfo.php?workbook=08_02.xlsx&amp;sheet=E1&amp;row=25&amp;col=11&amp;number=5738899.4772&amp;sourceID=25","5738899.4772")</f>
        <v>5738899.4772</v>
      </c>
    </row>
    <row r="26" spans="1:11">
      <c r="A26" s="3">
        <v>8</v>
      </c>
      <c r="B26" s="3">
        <v>2</v>
      </c>
      <c r="C26" s="3">
        <f/>
        <v>0</v>
      </c>
      <c r="D26" s="3" t="s">
        <v>34</v>
      </c>
      <c r="E26" s="3" t="s">
        <v>30</v>
      </c>
      <c r="F26" s="3">
        <v>3</v>
      </c>
      <c r="G26" s="3">
        <v>3</v>
      </c>
      <c r="H26" s="3">
        <v>1</v>
      </c>
      <c r="I26" s="4" t="str">
        <f>HYPERLINK("http://141.218.60.56/~jnz1568/getInfo.php?workbook=08_02.xlsx&amp;sheet=E1&amp;row=26&amp;col=9&amp;number=5747200&amp;sourceID=2","5747200")</f>
        <v>5747200</v>
      </c>
      <c r="J26" s="4" t="str">
        <f>HYPERLINK("http://141.218.60.56/~jnz1568/getInfo.php?workbook=08_02.xlsx&amp;sheet=E1&amp;row=26&amp;col=10&amp;number=5738662.4446&amp;sourceID=33","5738662.4446")</f>
        <v>5738662.4446</v>
      </c>
      <c r="K26" s="4" t="str">
        <f>HYPERLINK("http://141.218.60.56/~jnz1568/getInfo.php?workbook=08_02.xlsx&amp;sheet=E1&amp;row=26&amp;col=11&amp;number=&amp;sourceID=25","")</f>
        <v/>
      </c>
    </row>
    <row r="27" spans="1:11">
      <c r="A27" s="3">
        <v>8</v>
      </c>
      <c r="B27" s="3">
        <v>2</v>
      </c>
      <c r="C27" s="3">
        <f/>
        <v>0</v>
      </c>
      <c r="D27" s="3" t="s">
        <v>35</v>
      </c>
      <c r="E27" s="3" t="s">
        <v>24</v>
      </c>
      <c r="F27" s="3">
        <v>3</v>
      </c>
      <c r="G27" s="3">
        <v>2</v>
      </c>
      <c r="H27" s="3">
        <v>0</v>
      </c>
      <c r="I27" s="4" t="str">
        <f>HYPERLINK("http://141.218.60.56/~jnz1568/getInfo.php?workbook=08_02.xlsx&amp;sheet=E1&amp;row=27&amp;col=9&amp;number=5747509.3&amp;sourceID=2","5747509.3")</f>
        <v>5747509.3</v>
      </c>
      <c r="J27" s="4" t="str">
        <f>HYPERLINK("http://141.218.60.56/~jnz1568/getInfo.php?workbook=08_02.xlsx&amp;sheet=E1&amp;row=27&amp;col=10&amp;number=5738555.99941&amp;sourceID=33","5738555.99941")</f>
        <v>5738555.99941</v>
      </c>
      <c r="K27" s="4" t="str">
        <f>HYPERLINK("http://141.218.60.56/~jnz1568/getInfo.php?workbook=08_02.xlsx&amp;sheet=E1&amp;row=27&amp;col=11&amp;number=5740699.16918&amp;sourceID=25","5740699.16918")</f>
        <v>5740699.16918</v>
      </c>
    </row>
    <row r="28" spans="1:11">
      <c r="A28" s="3">
        <v>8</v>
      </c>
      <c r="B28" s="3">
        <v>2</v>
      </c>
      <c r="C28" s="3">
        <f/>
        <v>0</v>
      </c>
      <c r="D28" s="3" t="s">
        <v>34</v>
      </c>
      <c r="E28" s="3" t="s">
        <v>31</v>
      </c>
      <c r="F28" s="3">
        <v>1</v>
      </c>
      <c r="G28" s="3">
        <v>3</v>
      </c>
      <c r="H28" s="3">
        <v>1</v>
      </c>
      <c r="I28" s="4" t="str">
        <f>HYPERLINK("http://141.218.60.56/~jnz1568/getInfo.php?workbook=08_02.xlsx&amp;sheet=E1&amp;row=28&amp;col=9&amp;number=5747820&amp;sourceID=2","5747820")</f>
        <v>5747820</v>
      </c>
      <c r="J28" s="4" t="str">
        <f>HYPERLINK("http://141.218.60.56/~jnz1568/getInfo.php?workbook=08_02.xlsx&amp;sheet=E1&amp;row=28&amp;col=10&amp;number=5738664.63935&amp;sourceID=33","5738664.63935")</f>
        <v>5738664.63935</v>
      </c>
      <c r="K28" s="4" t="str">
        <f>HYPERLINK("http://141.218.60.56/~jnz1568/getInfo.php?workbook=08_02.xlsx&amp;sheet=E1&amp;row=28&amp;col=11&amp;number=&amp;sourceID=25","")</f>
        <v/>
      </c>
    </row>
    <row r="29" spans="1:11">
      <c r="A29" s="3">
        <v>8</v>
      </c>
      <c r="B29" s="3">
        <v>2</v>
      </c>
      <c r="C29" s="3">
        <f/>
        <v>0</v>
      </c>
      <c r="D29" s="3" t="s">
        <v>36</v>
      </c>
      <c r="E29" s="3" t="s">
        <v>37</v>
      </c>
      <c r="F29" s="3">
        <v>3</v>
      </c>
      <c r="G29" s="3">
        <v>4</v>
      </c>
      <c r="H29" s="3">
        <v>0</v>
      </c>
      <c r="I29" s="4" t="str">
        <f>HYPERLINK("http://141.218.60.56/~jnz1568/getInfo.php?workbook=08_02.xlsx&amp;sheet=E1&amp;row=29&amp;col=9&amp;number=&amp;sourceID=2","")</f>
        <v/>
      </c>
      <c r="J29" s="4" t="str">
        <f>HYPERLINK("http://141.218.60.56/~jnz1568/getInfo.php?workbook=08_02.xlsx&amp;sheet=E1&amp;row=29&amp;col=10&amp;number=5738667.93147&amp;sourceID=33","5738667.93147")</f>
        <v>5738667.93147</v>
      </c>
      <c r="K29" s="4" t="str">
        <f>HYPERLINK("http://141.218.60.56/~jnz1568/getInfo.php?workbook=08_02.xlsx&amp;sheet=E1&amp;row=29&amp;col=11&amp;number=&amp;sourceID=25","")</f>
        <v/>
      </c>
    </row>
    <row r="30" spans="1:11">
      <c r="A30" s="3">
        <v>8</v>
      </c>
      <c r="B30" s="3">
        <v>2</v>
      </c>
      <c r="C30" s="3">
        <f/>
        <v>0</v>
      </c>
      <c r="D30" s="3" t="s">
        <v>36</v>
      </c>
      <c r="E30" s="3" t="s">
        <v>38</v>
      </c>
      <c r="F30" s="3">
        <v>1</v>
      </c>
      <c r="G30" s="3">
        <v>4</v>
      </c>
      <c r="H30" s="3">
        <v>0</v>
      </c>
      <c r="I30" s="4" t="str">
        <f>HYPERLINK("http://141.218.60.56/~jnz1568/getInfo.php?workbook=08_02.xlsx&amp;sheet=E1&amp;row=30&amp;col=9&amp;number=&amp;sourceID=2","")</f>
        <v/>
      </c>
      <c r="J30" s="4" t="str">
        <f>HYPERLINK("http://141.218.60.56/~jnz1568/getInfo.php?workbook=08_02.xlsx&amp;sheet=E1&amp;row=30&amp;col=10&amp;number=5738667.93147&amp;sourceID=33","5738667.93147")</f>
        <v>5738667.93147</v>
      </c>
      <c r="K30" s="4" t="str">
        <f>HYPERLINK("http://141.218.60.56/~jnz1568/getInfo.php?workbook=08_02.xlsx&amp;sheet=E1&amp;row=30&amp;col=11&amp;number=&amp;sourceID=25","")</f>
        <v/>
      </c>
    </row>
    <row r="31" spans="1:11">
      <c r="A31" s="3">
        <v>8</v>
      </c>
      <c r="B31" s="3">
        <v>2</v>
      </c>
      <c r="C31" s="3">
        <f/>
        <v>0</v>
      </c>
      <c r="D31" s="3" t="s">
        <v>35</v>
      </c>
      <c r="E31" s="3" t="s">
        <v>25</v>
      </c>
      <c r="F31" s="3">
        <v>1</v>
      </c>
      <c r="G31" s="3">
        <v>2</v>
      </c>
      <c r="H31" s="3">
        <v>0</v>
      </c>
      <c r="I31" s="4" t="str">
        <f>HYPERLINK("http://141.218.60.56/~jnz1568/getInfo.php?workbook=08_02.xlsx&amp;sheet=E1&amp;row=31&amp;col=9&amp;number=5748230&amp;sourceID=2","5748230")</f>
        <v>5748230</v>
      </c>
      <c r="J31" s="4" t="str">
        <f>HYPERLINK("http://141.218.60.56/~jnz1568/getInfo.php?workbook=08_02.xlsx&amp;sheet=E1&amp;row=31&amp;col=10&amp;number=5738680.00257&amp;sourceID=33","5738680.00257")</f>
        <v>5738680.00257</v>
      </c>
      <c r="K31" s="4" t="str">
        <f>HYPERLINK("http://141.218.60.56/~jnz1568/getInfo.php?workbook=08_02.xlsx&amp;sheet=E1&amp;row=31&amp;col=11&amp;number=5740819.88023&amp;sourceID=25","5740819.88023")</f>
        <v>5740819.88023</v>
      </c>
    </row>
    <row r="32" spans="1:11">
      <c r="A32" s="3">
        <v>8</v>
      </c>
      <c r="B32" s="3">
        <v>2</v>
      </c>
      <c r="C32" s="3">
        <f/>
        <v>0</v>
      </c>
      <c r="D32" s="3" t="s">
        <v>33</v>
      </c>
      <c r="E32" s="3" t="s">
        <v>20</v>
      </c>
      <c r="F32" s="3">
        <v>1</v>
      </c>
      <c r="G32" s="3">
        <v>1</v>
      </c>
      <c r="H32" s="3">
        <v>1</v>
      </c>
      <c r="I32" s="4" t="str">
        <f>HYPERLINK("http://141.218.60.56/~jnz1568/getInfo.php?workbook=08_02.xlsx&amp;sheet=E1&amp;row=32&amp;col=9&amp;number=5748450&amp;sourceID=2","5748450")</f>
        <v>5748450</v>
      </c>
      <c r="J32" s="4" t="str">
        <f>HYPERLINK("http://141.218.60.56/~jnz1568/getInfo.php?workbook=08_02.xlsx&amp;sheet=E1&amp;row=32&amp;col=10&amp;number=5739275.8762&amp;sourceID=33","5739275.8762")</f>
        <v>5739275.8762</v>
      </c>
      <c r="K32" s="4" t="str">
        <f>HYPERLINK("http://141.218.60.56/~jnz1568/getInfo.php?workbook=08_02.xlsx&amp;sheet=E1&amp;row=32&amp;col=11&amp;number=5741390.51427&amp;sourceID=25","5741390.51427")</f>
        <v>5741390.51427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40"/>
  <sheetViews>
    <sheetView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3.7109375" customWidth="1"/>
    <col min="5" max="5" width="15.7109375" customWidth="1"/>
    <col min="6" max="6" width="11.7109375" customWidth="1"/>
    <col min="7" max="7" width="14.7109375" customWidth="1"/>
    <col min="8" max="8" width="10.7109375" customWidth="1"/>
    <col min="9" max="9" width="10.7109375" customWidth="1"/>
    <col min="10" max="10" width="10.7109375" customWidth="1"/>
    <col min="11" max="11" width="14.7109375" customWidth="1"/>
    <col min="12" max="12" width="10.7109375" customWidth="1"/>
    <col min="13" max="13" width="10.7109375" customWidth="1"/>
    <col min="14" max="14" width="10.7109375" customWidth="1"/>
    <col min="15" max="15" width="14.7109375" customWidth="1"/>
    <col min="16" max="16" width="10.7109375" customWidth="1"/>
    <col min="17" max="17" width="10.7109375" customWidth="1"/>
    <col min="18" max="18" width="10.7109375" customWidth="1"/>
    <col min="19" max="19" width="15.7109375" customWidth="1"/>
    <col min="20" max="20" width="15.7109375" customWidth="1"/>
  </cols>
  <sheetData>
    <row r="1" spans="1:20">
      <c r="A1" s="1" t="s">
        <v>42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2"/>
      <c r="B2" s="2"/>
      <c r="C2" s="2"/>
      <c r="D2" s="2"/>
      <c r="E2" s="2"/>
      <c r="F2" s="2" t="s">
        <v>43</v>
      </c>
      <c r="G2" s="2" t="s">
        <v>44</v>
      </c>
      <c r="H2" s="2" t="s">
        <v>44</v>
      </c>
      <c r="I2" s="2" t="s">
        <v>44</v>
      </c>
      <c r="J2" s="2" t="s">
        <v>44</v>
      </c>
      <c r="K2" s="2" t="s">
        <v>2</v>
      </c>
      <c r="L2" s="2" t="s">
        <v>2</v>
      </c>
      <c r="M2" s="2" t="s">
        <v>2</v>
      </c>
      <c r="N2" s="2" t="s">
        <v>2</v>
      </c>
      <c r="O2" s="2" t="s">
        <v>3</v>
      </c>
      <c r="P2" s="2" t="s">
        <v>3</v>
      </c>
      <c r="Q2" s="2" t="s">
        <v>3</v>
      </c>
      <c r="R2" s="2" t="s">
        <v>3</v>
      </c>
      <c r="S2" s="2"/>
      <c r="T2" s="2"/>
    </row>
    <row r="3" spans="1:20">
      <c r="A3" s="2" t="s">
        <v>4</v>
      </c>
      <c r="B3" s="2" t="s">
        <v>5</v>
      </c>
      <c r="C3" s="2" t="s">
        <v>45</v>
      </c>
      <c r="D3" s="2" t="s">
        <v>6</v>
      </c>
      <c r="E3" s="2" t="s">
        <v>46</v>
      </c>
      <c r="F3" s="2" t="s">
        <v>47</v>
      </c>
      <c r="G3" s="2" t="s">
        <v>48</v>
      </c>
      <c r="H3" s="2" t="s">
        <v>49</v>
      </c>
      <c r="I3" s="2" t="s">
        <v>50</v>
      </c>
      <c r="J3" s="2" t="s">
        <v>51</v>
      </c>
      <c r="K3" s="2" t="s">
        <v>48</v>
      </c>
      <c r="L3" s="2" t="s">
        <v>49</v>
      </c>
      <c r="M3" s="2" t="s">
        <v>50</v>
      </c>
      <c r="N3" s="2" t="s">
        <v>51</v>
      </c>
      <c r="O3" s="2" t="s">
        <v>48</v>
      </c>
      <c r="P3" s="2" t="s">
        <v>49</v>
      </c>
      <c r="Q3" s="2" t="s">
        <v>50</v>
      </c>
      <c r="R3" s="2" t="s">
        <v>51</v>
      </c>
      <c r="S3" s="2"/>
      <c r="T3" s="2"/>
    </row>
    <row r="4" spans="1:20">
      <c r="A4" s="3">
        <v>8</v>
      </c>
      <c r="B4" s="3">
        <v>2</v>
      </c>
      <c r="C4" s="3">
        <v>2</v>
      </c>
      <c r="D4" s="3">
        <v>1</v>
      </c>
      <c r="E4" s="3">
        <f>((1/(INDEX(E0!J$4:J$52,C4,1)-INDEX(E0!J$4:J$52,D4,1))))*100000000</f>
        <v>0</v>
      </c>
      <c r="F4" s="4" t="str">
        <f>HYPERLINK("http://141.218.60.56/~jnz1568/getInfo.php?workbook=08_02.xlsx&amp;sheet=A0&amp;row=4&amp;col=6&amp;number=&amp;sourceID=27","")</f>
        <v/>
      </c>
      <c r="G4" s="4" t="str">
        <f>HYPERLINK("http://141.218.60.56/~jnz1568/getInfo.php?workbook=08_02.xlsx&amp;sheet=A0&amp;row=4&amp;col=7&amp;number=&amp;sourceID=34","")</f>
        <v/>
      </c>
      <c r="H4" s="4" t="str">
        <f>HYPERLINK("http://141.218.60.56/~jnz1568/getInfo.php?workbook=08_02.xlsx&amp;sheet=A0&amp;row=4&amp;col=8&amp;number=&amp;sourceID=34","")</f>
        <v/>
      </c>
      <c r="I4" s="4" t="str">
        <f>HYPERLINK("http://141.218.60.56/~jnz1568/getInfo.php?workbook=08_02.xlsx&amp;sheet=A0&amp;row=4&amp;col=9&amp;number=1040&amp;sourceID=34","1040")</f>
        <v>1040</v>
      </c>
      <c r="J4" s="4" t="str">
        <f>HYPERLINK("http://141.218.60.56/~jnz1568/getInfo.php?workbook=08_02.xlsx&amp;sheet=A0&amp;row=4&amp;col=10&amp;number=&amp;sourceID=34","")</f>
        <v/>
      </c>
      <c r="K4" s="4" t="str">
        <f>HYPERLINK("http://141.218.60.56/~jnz1568/getInfo.php?workbook=08_02.xlsx&amp;sheet=A0&amp;row=4&amp;col=11&amp;number=&amp;sourceID=30","")</f>
        <v/>
      </c>
      <c r="L4" s="4" t="str">
        <f>HYPERLINK("http://141.218.60.56/~jnz1568/getInfo.php?workbook=08_02.xlsx&amp;sheet=A0&amp;row=4&amp;col=12&amp;number=&amp;sourceID=30","")</f>
        <v/>
      </c>
      <c r="M4" s="4" t="str">
        <f>HYPERLINK("http://141.218.60.56/~jnz1568/getInfo.php?workbook=08_02.xlsx&amp;sheet=A0&amp;row=4&amp;col=13&amp;number=942.6&amp;sourceID=30","942.6")</f>
        <v>942.6</v>
      </c>
      <c r="N4" s="4" t="str">
        <f>HYPERLINK("http://141.218.60.56/~jnz1568/getInfo.php?workbook=08_02.xlsx&amp;sheet=A0&amp;row=4&amp;col=14&amp;number=&amp;sourceID=30","")</f>
        <v/>
      </c>
      <c r="O4" s="4" t="str">
        <f>HYPERLINK("http://141.218.60.56/~jnz1568/getInfo.php?workbook=08_02.xlsx&amp;sheet=A0&amp;row=4&amp;col=15&amp;number=&amp;sourceID=32","")</f>
        <v/>
      </c>
      <c r="P4" s="4" t="str">
        <f>HYPERLINK("http://141.218.60.56/~jnz1568/getInfo.php?workbook=08_02.xlsx&amp;sheet=A0&amp;row=4&amp;col=16&amp;number=&amp;sourceID=32","")</f>
        <v/>
      </c>
      <c r="Q4" s="4" t="str">
        <f>HYPERLINK("http://141.218.60.56/~jnz1568/getInfo.php?workbook=08_02.xlsx&amp;sheet=A0&amp;row=4&amp;col=17&amp;number=1047&amp;sourceID=32","1047")</f>
        <v>1047</v>
      </c>
      <c r="R4" s="4" t="str">
        <f>HYPERLINK("http://141.218.60.56/~jnz1568/getInfo.php?workbook=08_02.xlsx&amp;sheet=A0&amp;row=4&amp;col=18&amp;number=&amp;sourceID=32","")</f>
        <v/>
      </c>
      <c r="S4" s="4" t="str">
        <f>HYPERLINK("http://141.218.60.56/~jnz1568/getInfo.php?workbook=08_02.xlsx&amp;sheet=A0&amp;row=4&amp;col=19&amp;number=&amp;sourceID=1","")</f>
        <v/>
      </c>
      <c r="T4" s="4" t="str">
        <f>HYPERLINK("http://141.218.60.56/~jnz1568/getInfo.php?workbook=08_02.xlsx&amp;sheet=A0&amp;row=4&amp;col=20&amp;number==N4&amp;sourceID=1","=N4")</f>
        <v>=N4</v>
      </c>
    </row>
    <row r="5" spans="1:20">
      <c r="A5" s="3">
        <v>8</v>
      </c>
      <c r="B5" s="3">
        <v>2</v>
      </c>
      <c r="C5" s="3">
        <v>3</v>
      </c>
      <c r="D5" s="3">
        <v>2</v>
      </c>
      <c r="E5" s="3">
        <f>((1/(INDEX(E0!J$4:J$52,C5,1)-INDEX(E0!J$4:J$52,D5,1))))*100000000</f>
        <v>0</v>
      </c>
      <c r="F5" s="4" t="str">
        <f>HYPERLINK("http://141.218.60.56/~jnz1568/getInfo.php?workbook=08_02.xlsx&amp;sheet=A0&amp;row=5&amp;col=6&amp;number=&amp;sourceID=27","")</f>
        <v/>
      </c>
      <c r="G5" s="4" t="str">
        <f>HYPERLINK("http://141.218.60.56/~jnz1568/getInfo.php?workbook=08_02.xlsx&amp;sheet=A0&amp;row=5&amp;col=7&amp;number=77970000&amp;sourceID=34","77970000")</f>
        <v>77970000</v>
      </c>
      <c r="H5" s="4" t="str">
        <f>HYPERLINK("http://141.218.60.56/~jnz1568/getInfo.php?workbook=08_02.xlsx&amp;sheet=A0&amp;row=5&amp;col=8&amp;number=&amp;sourceID=34","")</f>
        <v/>
      </c>
      <c r="I5" s="4" t="str">
        <f>HYPERLINK("http://141.218.60.56/~jnz1568/getInfo.php?workbook=08_02.xlsx&amp;sheet=A0&amp;row=5&amp;col=9&amp;number=&amp;sourceID=34","")</f>
        <v/>
      </c>
      <c r="J5" s="4" t="str">
        <f>HYPERLINK("http://141.218.60.56/~jnz1568/getInfo.php?workbook=08_02.xlsx&amp;sheet=A0&amp;row=5&amp;col=10&amp;number=&amp;sourceID=34","")</f>
        <v/>
      </c>
      <c r="K5" s="4" t="str">
        <f>HYPERLINK("http://141.218.60.56/~jnz1568/getInfo.php?workbook=08_02.xlsx&amp;sheet=A0&amp;row=5&amp;col=11&amp;number=83040000&amp;sourceID=30","83040000")</f>
        <v>83040000</v>
      </c>
      <c r="L5" s="4" t="str">
        <f>HYPERLINK("http://141.218.60.56/~jnz1568/getInfo.php?workbook=08_02.xlsx&amp;sheet=A0&amp;row=5&amp;col=12&amp;number=&amp;sourceID=30","")</f>
        <v/>
      </c>
      <c r="M5" s="4" t="str">
        <f>HYPERLINK("http://141.218.60.56/~jnz1568/getInfo.php?workbook=08_02.xlsx&amp;sheet=A0&amp;row=5&amp;col=13&amp;number=&amp;sourceID=30","")</f>
        <v/>
      </c>
      <c r="N5" s="4" t="str">
        <f>HYPERLINK("http://141.218.60.56/~jnz1568/getInfo.php?workbook=08_02.xlsx&amp;sheet=A0&amp;row=5&amp;col=14&amp;number=&amp;sourceID=30","")</f>
        <v/>
      </c>
      <c r="O5" s="4" t="str">
        <f>HYPERLINK("http://141.218.60.56/~jnz1568/getInfo.php?workbook=08_02.xlsx&amp;sheet=A0&amp;row=5&amp;col=15&amp;number=79400000&amp;sourceID=32","79400000")</f>
        <v>79400000</v>
      </c>
      <c r="P5" s="4" t="str">
        <f>HYPERLINK("http://141.218.60.56/~jnz1568/getInfo.php?workbook=08_02.xlsx&amp;sheet=A0&amp;row=5&amp;col=16&amp;number=&amp;sourceID=32","")</f>
        <v/>
      </c>
      <c r="Q5" s="4" t="str">
        <f>HYPERLINK("http://141.218.60.56/~jnz1568/getInfo.php?workbook=08_02.xlsx&amp;sheet=A0&amp;row=5&amp;col=17&amp;number=&amp;sourceID=32","")</f>
        <v/>
      </c>
      <c r="R5" s="4" t="str">
        <f>HYPERLINK("http://141.218.60.56/~jnz1568/getInfo.php?workbook=08_02.xlsx&amp;sheet=A0&amp;row=5&amp;col=18&amp;number=&amp;sourceID=32","")</f>
        <v/>
      </c>
      <c r="S5" s="4" t="str">
        <f>HYPERLINK("http://141.218.60.56/~jnz1568/getInfo.php?workbook=08_02.xlsx&amp;sheet=A0&amp;row=5&amp;col=19&amp;number==N4&amp;sourceID=1","=N4")</f>
        <v>=N4</v>
      </c>
      <c r="T5" s="4" t="str">
        <f>HYPERLINK("http://141.218.60.56/~jnz1568/getInfo.php?workbook=08_02.xlsx&amp;sheet=A0&amp;row=5&amp;col=20&amp;number=&amp;sourceID=1","")</f>
        <v/>
      </c>
    </row>
    <row r="6" spans="1:20">
      <c r="A6" s="3">
        <v>8</v>
      </c>
      <c r="B6" s="3">
        <v>2</v>
      </c>
      <c r="C6" s="3">
        <v>4</v>
      </c>
      <c r="D6" s="3">
        <v>1</v>
      </c>
      <c r="E6" s="3">
        <f>((1/(INDEX(E0!J$4:J$52,C6,1)-INDEX(E0!J$4:J$52,D6,1))))*100000000</f>
        <v>0</v>
      </c>
      <c r="F6" s="4" t="str">
        <f>HYPERLINK("http://141.218.60.56/~jnz1568/getInfo.php?workbook=08_02.xlsx&amp;sheet=A0&amp;row=6&amp;col=6&amp;number=&amp;sourceID=27","")</f>
        <v/>
      </c>
      <c r="G6" s="4" t="str">
        <f>HYPERLINK("http://141.218.60.56/~jnz1568/getInfo.php?workbook=08_02.xlsx&amp;sheet=A0&amp;row=6&amp;col=7&amp;number=&amp;sourceID=34","")</f>
        <v/>
      </c>
      <c r="H6" s="4" t="str">
        <f>HYPERLINK("http://141.218.60.56/~jnz1568/getInfo.php?workbook=08_02.xlsx&amp;sheet=A0&amp;row=6&amp;col=8&amp;number=&amp;sourceID=34","")</f>
        <v/>
      </c>
      <c r="I6" s="4" t="str">
        <f>HYPERLINK("http://141.218.60.56/~jnz1568/getInfo.php?workbook=08_02.xlsx&amp;sheet=A0&amp;row=6&amp;col=9&amp;number=&amp;sourceID=34","")</f>
        <v/>
      </c>
      <c r="J6" s="4" t="str">
        <f>HYPERLINK("http://141.218.60.56/~jnz1568/getInfo.php?workbook=08_02.xlsx&amp;sheet=A0&amp;row=6&amp;col=10&amp;number=&amp;sourceID=34","")</f>
        <v/>
      </c>
      <c r="K6" s="4" t="str">
        <f>HYPERLINK("http://141.218.60.56/~jnz1568/getInfo.php?workbook=08_02.xlsx&amp;sheet=A0&amp;row=6&amp;col=11&amp;number=542400000&amp;sourceID=30","542400000")</f>
        <v>542400000</v>
      </c>
      <c r="L6" s="4" t="str">
        <f>HYPERLINK("http://141.218.60.56/~jnz1568/getInfo.php?workbook=08_02.xlsx&amp;sheet=A0&amp;row=6&amp;col=12&amp;number=&amp;sourceID=30","")</f>
        <v/>
      </c>
      <c r="M6" s="4" t="str">
        <f>HYPERLINK("http://141.218.60.56/~jnz1568/getInfo.php?workbook=08_02.xlsx&amp;sheet=A0&amp;row=6&amp;col=13&amp;number=&amp;sourceID=30","")</f>
        <v/>
      </c>
      <c r="N6" s="4" t="str">
        <f>HYPERLINK("http://141.218.60.56/~jnz1568/getInfo.php?workbook=08_02.xlsx&amp;sheet=A0&amp;row=6&amp;col=14&amp;number=&amp;sourceID=30","")</f>
        <v/>
      </c>
      <c r="O6" s="4" t="str">
        <f>HYPERLINK("http://141.218.60.56/~jnz1568/getInfo.php?workbook=08_02.xlsx&amp;sheet=A0&amp;row=6&amp;col=15&amp;number=535700000&amp;sourceID=32","535700000")</f>
        <v>535700000</v>
      </c>
      <c r="P6" s="4" t="str">
        <f>HYPERLINK("http://141.218.60.56/~jnz1568/getInfo.php?workbook=08_02.xlsx&amp;sheet=A0&amp;row=6&amp;col=16&amp;number=&amp;sourceID=32","")</f>
        <v/>
      </c>
      <c r="Q6" s="4" t="str">
        <f>HYPERLINK("http://141.218.60.56/~jnz1568/getInfo.php?workbook=08_02.xlsx&amp;sheet=A0&amp;row=6&amp;col=17&amp;number=&amp;sourceID=32","")</f>
        <v/>
      </c>
      <c r="R6" s="4" t="str">
        <f>HYPERLINK("http://141.218.60.56/~jnz1568/getInfo.php?workbook=08_02.xlsx&amp;sheet=A0&amp;row=6&amp;col=18&amp;number=&amp;sourceID=32","")</f>
        <v/>
      </c>
      <c r="S6" s="4" t="str">
        <f>HYPERLINK("http://141.218.60.56/~jnz1568/getInfo.php?workbook=08_02.xlsx&amp;sheet=A0&amp;row=6&amp;col=19&amp;number==N5&amp;sourceID=1","=N5")</f>
        <v>=N5</v>
      </c>
      <c r="T6" s="4" t="str">
        <f>HYPERLINK("http://141.218.60.56/~jnz1568/getInfo.php?workbook=08_02.xlsx&amp;sheet=A0&amp;row=6&amp;col=20&amp;number=&amp;sourceID=1","")</f>
        <v/>
      </c>
    </row>
    <row r="7" spans="1:20">
      <c r="A7" s="3">
        <v>8</v>
      </c>
      <c r="B7" s="3">
        <v>2</v>
      </c>
      <c r="C7" s="3">
        <v>4</v>
      </c>
      <c r="D7" s="3">
        <v>2</v>
      </c>
      <c r="E7" s="3">
        <f>((1/(INDEX(E0!J$4:J$52,C7,1)-INDEX(E0!J$4:J$52,D7,1))))*100000000</f>
        <v>0</v>
      </c>
      <c r="F7" s="4" t="str">
        <f>HYPERLINK("http://141.218.60.56/~jnz1568/getInfo.php?workbook=08_02.xlsx&amp;sheet=A0&amp;row=7&amp;col=6&amp;number=&amp;sourceID=27","")</f>
        <v/>
      </c>
      <c r="G7" s="4" t="str">
        <f>HYPERLINK("http://141.218.60.56/~jnz1568/getInfo.php?workbook=08_02.xlsx&amp;sheet=A0&amp;row=7&amp;col=7&amp;number=78200000&amp;sourceID=34","78200000")</f>
        <v>78200000</v>
      </c>
      <c r="H7" s="4" t="str">
        <f>HYPERLINK("http://141.218.60.56/~jnz1568/getInfo.php?workbook=08_02.xlsx&amp;sheet=A0&amp;row=7&amp;col=8&amp;number=&amp;sourceID=34","")</f>
        <v/>
      </c>
      <c r="I7" s="4" t="str">
        <f>HYPERLINK("http://141.218.60.56/~jnz1568/getInfo.php?workbook=08_02.xlsx&amp;sheet=A0&amp;row=7&amp;col=9&amp;number=&amp;sourceID=34","")</f>
        <v/>
      </c>
      <c r="J7" s="4" t="str">
        <f>HYPERLINK("http://141.218.60.56/~jnz1568/getInfo.php?workbook=08_02.xlsx&amp;sheet=A0&amp;row=7&amp;col=10&amp;number=&amp;sourceID=34","")</f>
        <v/>
      </c>
      <c r="K7" s="4" t="str">
        <f>HYPERLINK("http://141.218.60.56/~jnz1568/getInfo.php?workbook=08_02.xlsx&amp;sheet=A0&amp;row=7&amp;col=11&amp;number=83280000&amp;sourceID=30","83280000")</f>
        <v>83280000</v>
      </c>
      <c r="L7" s="4" t="str">
        <f>HYPERLINK("http://141.218.60.56/~jnz1568/getInfo.php?workbook=08_02.xlsx&amp;sheet=A0&amp;row=7&amp;col=12&amp;number=&amp;sourceID=30","")</f>
        <v/>
      </c>
      <c r="M7" s="4" t="str">
        <f>HYPERLINK("http://141.218.60.56/~jnz1568/getInfo.php?workbook=08_02.xlsx&amp;sheet=A0&amp;row=7&amp;col=13&amp;number=&amp;sourceID=30","")</f>
        <v/>
      </c>
      <c r="N7" s="4" t="str">
        <f>HYPERLINK("http://141.218.60.56/~jnz1568/getInfo.php?workbook=08_02.xlsx&amp;sheet=A0&amp;row=7&amp;col=14&amp;number=0.001128&amp;sourceID=30","0.001128")</f>
        <v>0.001128</v>
      </c>
      <c r="O7" s="4" t="str">
        <f>HYPERLINK("http://141.218.60.56/~jnz1568/getInfo.php?workbook=08_02.xlsx&amp;sheet=A0&amp;row=7&amp;col=15&amp;number=79640000&amp;sourceID=32","79640000")</f>
        <v>79640000</v>
      </c>
      <c r="P7" s="4" t="str">
        <f>HYPERLINK("http://141.218.60.56/~jnz1568/getInfo.php?workbook=08_02.xlsx&amp;sheet=A0&amp;row=7&amp;col=16&amp;number=&amp;sourceID=32","")</f>
        <v/>
      </c>
      <c r="Q7" s="4" t="str">
        <f>HYPERLINK("http://141.218.60.56/~jnz1568/getInfo.php?workbook=08_02.xlsx&amp;sheet=A0&amp;row=7&amp;col=17&amp;number=&amp;sourceID=32","")</f>
        <v/>
      </c>
      <c r="R7" s="4" t="str">
        <f>HYPERLINK("http://141.218.60.56/~jnz1568/getInfo.php?workbook=08_02.xlsx&amp;sheet=A0&amp;row=7&amp;col=18&amp;number=0.001057&amp;sourceID=32","0.001057")</f>
        <v>0.001057</v>
      </c>
      <c r="S7" s="4" t="str">
        <f>HYPERLINK("http://141.218.60.56/~jnz1568/getInfo.php?workbook=08_02.xlsx&amp;sheet=A0&amp;row=7&amp;col=19&amp;number==N6&amp;sourceID=1","=N6")</f>
        <v>=N6</v>
      </c>
      <c r="T7" s="4" t="str">
        <f>HYPERLINK("http://141.218.60.56/~jnz1568/getInfo.php?workbook=08_02.xlsx&amp;sheet=A0&amp;row=7&amp;col=20&amp;number=&amp;sourceID=1","")</f>
        <v/>
      </c>
    </row>
    <row r="8" spans="1:20">
      <c r="A8" s="3">
        <v>8</v>
      </c>
      <c r="B8" s="3">
        <v>2</v>
      </c>
      <c r="C8" s="3">
        <v>4</v>
      </c>
      <c r="D8" s="3">
        <v>3</v>
      </c>
      <c r="E8" s="3">
        <f>((1/(INDEX(E0!J$4:J$52,C8,1)-INDEX(E0!J$4:J$52,D8,1))))*100000000</f>
        <v>0</v>
      </c>
      <c r="F8" s="4" t="str">
        <f>HYPERLINK("http://141.218.60.56/~jnz1568/getInfo.php?workbook=08_02.xlsx&amp;sheet=A0&amp;row=8&amp;col=6&amp;number=&amp;sourceID=27","")</f>
        <v/>
      </c>
      <c r="G8" s="4" t="str">
        <f>HYPERLINK("http://141.218.60.56/~jnz1568/getInfo.php?workbook=08_02.xlsx&amp;sheet=A0&amp;row=8&amp;col=7&amp;number=&amp;sourceID=34","")</f>
        <v/>
      </c>
      <c r="H8" s="4" t="str">
        <f>HYPERLINK("http://141.218.60.56/~jnz1568/getInfo.php?workbook=08_02.xlsx&amp;sheet=A0&amp;row=8&amp;col=8&amp;number=&amp;sourceID=34","")</f>
        <v/>
      </c>
      <c r="I8" s="4" t="str">
        <f>HYPERLINK("http://141.218.60.56/~jnz1568/getInfo.php?workbook=08_02.xlsx&amp;sheet=A0&amp;row=8&amp;col=9&amp;number=&amp;sourceID=34","")</f>
        <v/>
      </c>
      <c r="J8" s="4" t="str">
        <f>HYPERLINK("http://141.218.60.56/~jnz1568/getInfo.php?workbook=08_02.xlsx&amp;sheet=A0&amp;row=8&amp;col=10&amp;number=&amp;sourceID=34","")</f>
        <v/>
      </c>
      <c r="K8" s="4" t="str">
        <f>HYPERLINK("http://141.218.60.56/~jnz1568/getInfo.php?workbook=08_02.xlsx&amp;sheet=A0&amp;row=8&amp;col=11&amp;number=&amp;sourceID=30","")</f>
        <v/>
      </c>
      <c r="L8" s="4" t="str">
        <f>HYPERLINK("http://141.218.60.56/~jnz1568/getInfo.php?workbook=08_02.xlsx&amp;sheet=A0&amp;row=8&amp;col=12&amp;number=&amp;sourceID=30","")</f>
        <v/>
      </c>
      <c r="M8" s="4" t="str">
        <f>HYPERLINK("http://141.218.60.56/~jnz1568/getInfo.php?workbook=08_02.xlsx&amp;sheet=A0&amp;row=8&amp;col=13&amp;number=2.927e-06&amp;sourceID=30","2.927e-06")</f>
        <v>2.927e-06</v>
      </c>
      <c r="N8" s="4" t="str">
        <f>HYPERLINK("http://141.218.60.56/~jnz1568/getInfo.php?workbook=08_02.xlsx&amp;sheet=A0&amp;row=8&amp;col=14&amp;number=&amp;sourceID=30","")</f>
        <v/>
      </c>
      <c r="O8" s="4" t="str">
        <f>HYPERLINK("http://141.218.60.56/~jnz1568/getInfo.php?workbook=08_02.xlsx&amp;sheet=A0&amp;row=8&amp;col=15&amp;number=&amp;sourceID=32","")</f>
        <v/>
      </c>
      <c r="P8" s="4" t="str">
        <f>HYPERLINK("http://141.218.60.56/~jnz1568/getInfo.php?workbook=08_02.xlsx&amp;sheet=A0&amp;row=8&amp;col=16&amp;number=&amp;sourceID=32","")</f>
        <v/>
      </c>
      <c r="Q8" s="4" t="str">
        <f>HYPERLINK("http://141.218.60.56/~jnz1568/getInfo.php?workbook=08_02.xlsx&amp;sheet=A0&amp;row=8&amp;col=17&amp;number=&amp;sourceID=32","")</f>
        <v/>
      </c>
      <c r="R8" s="4" t="str">
        <f>HYPERLINK("http://141.218.60.56/~jnz1568/getInfo.php?workbook=08_02.xlsx&amp;sheet=A0&amp;row=8&amp;col=18&amp;number=&amp;sourceID=32","")</f>
        <v/>
      </c>
      <c r="S8" s="4" t="str">
        <f>HYPERLINK("http://141.218.60.56/~jnz1568/getInfo.php?workbook=08_02.xlsx&amp;sheet=A0&amp;row=8&amp;col=19&amp;number=&amp;sourceID=1","")</f>
        <v/>
      </c>
      <c r="T8" s="4" t="str">
        <f>HYPERLINK("http://141.218.60.56/~jnz1568/getInfo.php?workbook=08_02.xlsx&amp;sheet=A0&amp;row=8&amp;col=20&amp;number=&amp;sourceID=1","")</f>
        <v/>
      </c>
    </row>
    <row r="9" spans="1:20">
      <c r="A9" s="3">
        <v>8</v>
      </c>
      <c r="B9" s="3">
        <v>2</v>
      </c>
      <c r="C9" s="3">
        <v>5</v>
      </c>
      <c r="D9" s="3">
        <v>1</v>
      </c>
      <c r="E9" s="3">
        <f>((1/(INDEX(E0!J$4:J$52,C9,1)-INDEX(E0!J$4:J$52,D9,1))))*100000000</f>
        <v>0</v>
      </c>
      <c r="F9" s="4" t="str">
        <f>HYPERLINK("http://141.218.60.56/~jnz1568/getInfo.php?workbook=08_02.xlsx&amp;sheet=A0&amp;row=9&amp;col=6&amp;number=&amp;sourceID=27","")</f>
        <v/>
      </c>
      <c r="G9" s="4" t="str">
        <f>HYPERLINK("http://141.218.60.56/~jnz1568/getInfo.php?workbook=08_02.xlsx&amp;sheet=A0&amp;row=9&amp;col=7&amp;number=&amp;sourceID=34","")</f>
        <v/>
      </c>
      <c r="H9" s="4" t="str">
        <f>HYPERLINK("http://141.218.60.56/~jnz1568/getInfo.php?workbook=08_02.xlsx&amp;sheet=A0&amp;row=9&amp;col=8&amp;number=&amp;sourceID=34","")</f>
        <v/>
      </c>
      <c r="I9" s="4" t="str">
        <f>HYPERLINK("http://141.218.60.56/~jnz1568/getInfo.php?workbook=08_02.xlsx&amp;sheet=A0&amp;row=9&amp;col=9&amp;number=&amp;sourceID=34","")</f>
        <v/>
      </c>
      <c r="J9" s="4" t="str">
        <f>HYPERLINK("http://141.218.60.56/~jnz1568/getInfo.php?workbook=08_02.xlsx&amp;sheet=A0&amp;row=9&amp;col=10&amp;number=331000&amp;sourceID=34","331000")</f>
        <v>331000</v>
      </c>
      <c r="K9" s="4" t="str">
        <f>HYPERLINK("http://141.218.60.56/~jnz1568/getInfo.php?workbook=08_02.xlsx&amp;sheet=A0&amp;row=9&amp;col=11&amp;number=&amp;sourceID=30","")</f>
        <v/>
      </c>
      <c r="L9" s="4" t="str">
        <f>HYPERLINK("http://141.218.60.56/~jnz1568/getInfo.php?workbook=08_02.xlsx&amp;sheet=A0&amp;row=9&amp;col=12&amp;number=&amp;sourceID=30","")</f>
        <v/>
      </c>
      <c r="M9" s="4" t="str">
        <f>HYPERLINK("http://141.218.60.56/~jnz1568/getInfo.php?workbook=08_02.xlsx&amp;sheet=A0&amp;row=9&amp;col=13&amp;number=&amp;sourceID=30","")</f>
        <v/>
      </c>
      <c r="N9" s="4" t="str">
        <f>HYPERLINK("http://141.218.60.56/~jnz1568/getInfo.php?workbook=08_02.xlsx&amp;sheet=A0&amp;row=9&amp;col=14&amp;number=325100&amp;sourceID=30","325100")</f>
        <v>325100</v>
      </c>
      <c r="O9" s="4" t="str">
        <f>HYPERLINK("http://141.218.60.56/~jnz1568/getInfo.php?workbook=08_02.xlsx&amp;sheet=A0&amp;row=9&amp;col=15&amp;number=&amp;sourceID=32","")</f>
        <v/>
      </c>
      <c r="P9" s="4" t="str">
        <f>HYPERLINK("http://141.218.60.56/~jnz1568/getInfo.php?workbook=08_02.xlsx&amp;sheet=A0&amp;row=9&amp;col=16&amp;number=&amp;sourceID=32","")</f>
        <v/>
      </c>
      <c r="Q9" s="4" t="str">
        <f>HYPERLINK("http://141.218.60.56/~jnz1568/getInfo.php?workbook=08_02.xlsx&amp;sheet=A0&amp;row=9&amp;col=17&amp;number=&amp;sourceID=32","")</f>
        <v/>
      </c>
      <c r="R9" s="4" t="str">
        <f>HYPERLINK("http://141.218.60.56/~jnz1568/getInfo.php?workbook=08_02.xlsx&amp;sheet=A0&amp;row=9&amp;col=18&amp;number=331100&amp;sourceID=32","331100")</f>
        <v>331100</v>
      </c>
      <c r="S9" s="4" t="str">
        <f>HYPERLINK("http://141.218.60.56/~jnz1568/getInfo.php?workbook=08_02.xlsx&amp;sheet=A0&amp;row=9&amp;col=19&amp;number=&amp;sourceID=1","")</f>
        <v/>
      </c>
      <c r="T9" s="4" t="str">
        <f>HYPERLINK("http://141.218.60.56/~jnz1568/getInfo.php?workbook=08_02.xlsx&amp;sheet=A0&amp;row=9&amp;col=20&amp;number=&amp;sourceID=1","")</f>
        <v/>
      </c>
    </row>
    <row r="10" spans="1:20">
      <c r="A10" s="3">
        <v>8</v>
      </c>
      <c r="B10" s="3">
        <v>2</v>
      </c>
      <c r="C10" s="3">
        <v>5</v>
      </c>
      <c r="D10" s="3">
        <v>2</v>
      </c>
      <c r="E10" s="3">
        <f>((1/(INDEX(E0!J$4:J$52,C10,1)-INDEX(E0!J$4:J$52,D10,1))))*100000000</f>
        <v>0</v>
      </c>
      <c r="F10" s="4" t="str">
        <f>HYPERLINK("http://141.218.60.56/~jnz1568/getInfo.php?workbook=08_02.xlsx&amp;sheet=A0&amp;row=10&amp;col=6&amp;number=&amp;sourceID=27","")</f>
        <v/>
      </c>
      <c r="G10" s="4" t="str">
        <f>HYPERLINK("http://141.218.60.56/~jnz1568/getInfo.php?workbook=08_02.xlsx&amp;sheet=A0&amp;row=10&amp;col=7&amp;number=80320000&amp;sourceID=34","80320000")</f>
        <v>80320000</v>
      </c>
      <c r="H10" s="4" t="str">
        <f>HYPERLINK("http://141.218.60.56/~jnz1568/getInfo.php?workbook=08_02.xlsx&amp;sheet=A0&amp;row=10&amp;col=8&amp;number=&amp;sourceID=34","")</f>
        <v/>
      </c>
      <c r="I10" s="4" t="str">
        <f>HYPERLINK("http://141.218.60.56/~jnz1568/getInfo.php?workbook=08_02.xlsx&amp;sheet=A0&amp;row=10&amp;col=9&amp;number=&amp;sourceID=34","")</f>
        <v/>
      </c>
      <c r="J10" s="4" t="str">
        <f>HYPERLINK("http://141.218.60.56/~jnz1568/getInfo.php?workbook=08_02.xlsx&amp;sheet=A0&amp;row=10&amp;col=10&amp;number=&amp;sourceID=34","")</f>
        <v/>
      </c>
      <c r="K10" s="4" t="str">
        <f>HYPERLINK("http://141.218.60.56/~jnz1568/getInfo.php?workbook=08_02.xlsx&amp;sheet=A0&amp;row=10&amp;col=11&amp;number=85580000&amp;sourceID=30","85580000")</f>
        <v>85580000</v>
      </c>
      <c r="L10" s="4" t="str">
        <f>HYPERLINK("http://141.218.60.56/~jnz1568/getInfo.php?workbook=08_02.xlsx&amp;sheet=A0&amp;row=10&amp;col=12&amp;number=&amp;sourceID=30","")</f>
        <v/>
      </c>
      <c r="M10" s="4" t="str">
        <f>HYPERLINK("http://141.218.60.56/~jnz1568/getInfo.php?workbook=08_02.xlsx&amp;sheet=A0&amp;row=10&amp;col=13&amp;number=&amp;sourceID=30","")</f>
        <v/>
      </c>
      <c r="N10" s="4" t="str">
        <f>HYPERLINK("http://141.218.60.56/~jnz1568/getInfo.php?workbook=08_02.xlsx&amp;sheet=A0&amp;row=10&amp;col=14&amp;number=0.002199&amp;sourceID=30","0.002199")</f>
        <v>0.002199</v>
      </c>
      <c r="O10" s="4" t="str">
        <f>HYPERLINK("http://141.218.60.56/~jnz1568/getInfo.php?workbook=08_02.xlsx&amp;sheet=A0&amp;row=10&amp;col=15&amp;number=81880000&amp;sourceID=32","81880000")</f>
        <v>81880000</v>
      </c>
      <c r="P10" s="4" t="str">
        <f>HYPERLINK("http://141.218.60.56/~jnz1568/getInfo.php?workbook=08_02.xlsx&amp;sheet=A0&amp;row=10&amp;col=16&amp;number=&amp;sourceID=32","")</f>
        <v/>
      </c>
      <c r="Q10" s="4" t="str">
        <f>HYPERLINK("http://141.218.60.56/~jnz1568/getInfo.php?workbook=08_02.xlsx&amp;sheet=A0&amp;row=10&amp;col=17&amp;number=&amp;sourceID=32","")</f>
        <v/>
      </c>
      <c r="R10" s="4" t="str">
        <f>HYPERLINK("http://141.218.60.56/~jnz1568/getInfo.php?workbook=08_02.xlsx&amp;sheet=A0&amp;row=10&amp;col=18&amp;number=0.00263&amp;sourceID=32","0.00263")</f>
        <v>0.00263</v>
      </c>
      <c r="S10" s="4" t="str">
        <f>HYPERLINK("http://141.218.60.56/~jnz1568/getInfo.php?workbook=08_02.xlsx&amp;sheet=A0&amp;row=10&amp;col=19&amp;number=&amp;sourceID=1","")</f>
        <v/>
      </c>
      <c r="T10" s="4" t="str">
        <f>HYPERLINK("http://141.218.60.56/~jnz1568/getInfo.php?workbook=08_02.xlsx&amp;sheet=A0&amp;row=10&amp;col=20&amp;number=&amp;sourceID=1","")</f>
        <v/>
      </c>
    </row>
    <row r="11" spans="1:20">
      <c r="A11" s="3">
        <v>8</v>
      </c>
      <c r="B11" s="3">
        <v>2</v>
      </c>
      <c r="C11" s="3">
        <v>5</v>
      </c>
      <c r="D11" s="3">
        <v>3</v>
      </c>
      <c r="E11" s="3">
        <f>((1/(INDEX(E0!J$4:J$52,C11,1)-INDEX(E0!J$4:J$52,D11,1))))*100000000</f>
        <v>0</v>
      </c>
      <c r="F11" s="4" t="str">
        <f>HYPERLINK("http://141.218.60.56/~jnz1568/getInfo.php?workbook=08_02.xlsx&amp;sheet=A0&amp;row=11&amp;col=6&amp;number=&amp;sourceID=27","")</f>
        <v/>
      </c>
      <c r="G11" s="4" t="str">
        <f>HYPERLINK("http://141.218.60.56/~jnz1568/getInfo.php?workbook=08_02.xlsx&amp;sheet=A0&amp;row=11&amp;col=7&amp;number=&amp;sourceID=34","")</f>
        <v/>
      </c>
      <c r="H11" s="4" t="str">
        <f>HYPERLINK("http://141.218.60.56/~jnz1568/getInfo.php?workbook=08_02.xlsx&amp;sheet=A0&amp;row=11&amp;col=8&amp;number=&amp;sourceID=34","")</f>
        <v/>
      </c>
      <c r="I11" s="4" t="str">
        <f>HYPERLINK("http://141.218.60.56/~jnz1568/getInfo.php?workbook=08_02.xlsx&amp;sheet=A0&amp;row=11&amp;col=9&amp;number=&amp;sourceID=34","")</f>
        <v/>
      </c>
      <c r="J11" s="4" t="str">
        <f>HYPERLINK("http://141.218.60.56/~jnz1568/getInfo.php?workbook=08_02.xlsx&amp;sheet=A0&amp;row=11&amp;col=10&amp;number=&amp;sourceID=34","")</f>
        <v/>
      </c>
      <c r="K11" s="4" t="str">
        <f>HYPERLINK("http://141.218.60.56/~jnz1568/getInfo.php?workbook=08_02.xlsx&amp;sheet=A0&amp;row=11&amp;col=11&amp;number=&amp;sourceID=30","")</f>
        <v/>
      </c>
      <c r="L11" s="4" t="str">
        <f>HYPERLINK("http://141.218.60.56/~jnz1568/getInfo.php?workbook=08_02.xlsx&amp;sheet=A0&amp;row=11&amp;col=12&amp;number=2.387e-10&amp;sourceID=30","2.387e-10")</f>
        <v>2.387e-10</v>
      </c>
      <c r="M11" s="4" t="str">
        <f>HYPERLINK("http://141.218.60.56/~jnz1568/getInfo.php?workbook=08_02.xlsx&amp;sheet=A0&amp;row=11&amp;col=13&amp;number=&amp;sourceID=30","")</f>
        <v/>
      </c>
      <c r="N11" s="4" t="str">
        <f>HYPERLINK("http://141.218.60.56/~jnz1568/getInfo.php?workbook=08_02.xlsx&amp;sheet=A0&amp;row=11&amp;col=14&amp;number=&amp;sourceID=30","")</f>
        <v/>
      </c>
      <c r="O11" s="4" t="str">
        <f>HYPERLINK("http://141.218.60.56/~jnz1568/getInfo.php?workbook=08_02.xlsx&amp;sheet=A0&amp;row=11&amp;col=15&amp;number=&amp;sourceID=32","")</f>
        <v/>
      </c>
      <c r="P11" s="4" t="str">
        <f>HYPERLINK("http://141.218.60.56/~jnz1568/getInfo.php?workbook=08_02.xlsx&amp;sheet=A0&amp;row=11&amp;col=16&amp;number=2.499e-10&amp;sourceID=32","2.499e-10")</f>
        <v>2.499e-10</v>
      </c>
      <c r="Q11" s="4" t="str">
        <f>HYPERLINK("http://141.218.60.56/~jnz1568/getInfo.php?workbook=08_02.xlsx&amp;sheet=A0&amp;row=11&amp;col=17&amp;number=&amp;sourceID=32","")</f>
        <v/>
      </c>
      <c r="R11" s="4" t="str">
        <f>HYPERLINK("http://141.218.60.56/~jnz1568/getInfo.php?workbook=08_02.xlsx&amp;sheet=A0&amp;row=11&amp;col=18&amp;number=&amp;sourceID=32","")</f>
        <v/>
      </c>
      <c r="S11" s="4" t="str">
        <f>HYPERLINK("http://141.218.60.56/~jnz1568/getInfo.php?workbook=08_02.xlsx&amp;sheet=A0&amp;row=11&amp;col=19&amp;number=&amp;sourceID=1","")</f>
        <v/>
      </c>
      <c r="T11" s="4" t="str">
        <f>HYPERLINK("http://141.218.60.56/~jnz1568/getInfo.php?workbook=08_02.xlsx&amp;sheet=A0&amp;row=11&amp;col=20&amp;number=&amp;sourceID=1","")</f>
        <v/>
      </c>
    </row>
    <row r="12" spans="1:20">
      <c r="A12" s="3">
        <v>8</v>
      </c>
      <c r="B12" s="3">
        <v>2</v>
      </c>
      <c r="C12" s="3">
        <v>5</v>
      </c>
      <c r="D12" s="3">
        <v>4</v>
      </c>
      <c r="E12" s="3">
        <f>((1/(INDEX(E0!J$4:J$52,C12,1)-INDEX(E0!J$4:J$52,D12,1))))*100000000</f>
        <v>0</v>
      </c>
      <c r="F12" s="4" t="str">
        <f>HYPERLINK("http://141.218.60.56/~jnz1568/getInfo.php?workbook=08_02.xlsx&amp;sheet=A0&amp;row=12&amp;col=6&amp;number=&amp;sourceID=27","")</f>
        <v/>
      </c>
      <c r="G12" s="4" t="str">
        <f>HYPERLINK("http://141.218.60.56/~jnz1568/getInfo.php?workbook=08_02.xlsx&amp;sheet=A0&amp;row=12&amp;col=7&amp;number=&amp;sourceID=34","")</f>
        <v/>
      </c>
      <c r="H12" s="4" t="str">
        <f>HYPERLINK("http://141.218.60.56/~jnz1568/getInfo.php?workbook=08_02.xlsx&amp;sheet=A0&amp;row=12&amp;col=8&amp;number=&amp;sourceID=34","")</f>
        <v/>
      </c>
      <c r="I12" s="4" t="str">
        <f>HYPERLINK("http://141.218.60.56/~jnz1568/getInfo.php?workbook=08_02.xlsx&amp;sheet=A0&amp;row=12&amp;col=9&amp;number=&amp;sourceID=34","")</f>
        <v/>
      </c>
      <c r="J12" s="4" t="str">
        <f>HYPERLINK("http://141.218.60.56/~jnz1568/getInfo.php?workbook=08_02.xlsx&amp;sheet=A0&amp;row=12&amp;col=10&amp;number=&amp;sourceID=34","")</f>
        <v/>
      </c>
      <c r="K12" s="4" t="str">
        <f>HYPERLINK("http://141.218.60.56/~jnz1568/getInfo.php?workbook=08_02.xlsx&amp;sheet=A0&amp;row=12&amp;col=11&amp;number=&amp;sourceID=30","")</f>
        <v/>
      </c>
      <c r="L12" s="4" t="str">
        <f>HYPERLINK("http://141.218.60.56/~jnz1568/getInfo.php?workbook=08_02.xlsx&amp;sheet=A0&amp;row=12&amp;col=12&amp;number=3.336e-10&amp;sourceID=30","3.336e-10")</f>
        <v>3.336e-10</v>
      </c>
      <c r="M12" s="4" t="str">
        <f>HYPERLINK("http://141.218.60.56/~jnz1568/getInfo.php?workbook=08_02.xlsx&amp;sheet=A0&amp;row=12&amp;col=13&amp;number=0.002198&amp;sourceID=30","0.002198")</f>
        <v>0.002198</v>
      </c>
      <c r="N12" s="4" t="str">
        <f>HYPERLINK("http://141.218.60.56/~jnz1568/getInfo.php?workbook=08_02.xlsx&amp;sheet=A0&amp;row=12&amp;col=14&amp;number=&amp;sourceID=30","")</f>
        <v/>
      </c>
      <c r="O12" s="4" t="str">
        <f>HYPERLINK("http://141.218.60.56/~jnz1568/getInfo.php?workbook=08_02.xlsx&amp;sheet=A0&amp;row=12&amp;col=15&amp;number=&amp;sourceID=32","")</f>
        <v/>
      </c>
      <c r="P12" s="4" t="str">
        <f>HYPERLINK("http://141.218.60.56/~jnz1568/getInfo.php?workbook=08_02.xlsx&amp;sheet=A0&amp;row=12&amp;col=16&amp;number=3.401e-10&amp;sourceID=32","3.401e-10")</f>
        <v>3.401e-10</v>
      </c>
      <c r="Q12" s="4" t="str">
        <f>HYPERLINK("http://141.218.60.56/~jnz1568/getInfo.php?workbook=08_02.xlsx&amp;sheet=A0&amp;row=12&amp;col=17&amp;number=0.002236&amp;sourceID=32","0.002236")</f>
        <v>0.002236</v>
      </c>
      <c r="R12" s="4" t="str">
        <f>HYPERLINK("http://141.218.60.56/~jnz1568/getInfo.php?workbook=08_02.xlsx&amp;sheet=A0&amp;row=12&amp;col=18&amp;number=&amp;sourceID=32","")</f>
        <v/>
      </c>
      <c r="S12" s="4" t="str">
        <f>HYPERLINK("http://141.218.60.56/~jnz1568/getInfo.php?workbook=08_02.xlsx&amp;sheet=A0&amp;row=12&amp;col=19&amp;number=&amp;sourceID=1","")</f>
        <v/>
      </c>
      <c r="T12" s="4" t="str">
        <f>HYPERLINK("http://141.218.60.56/~jnz1568/getInfo.php?workbook=08_02.xlsx&amp;sheet=A0&amp;row=12&amp;col=20&amp;number=&amp;sourceID=1","")</f>
        <v/>
      </c>
    </row>
    <row r="13" spans="1:20">
      <c r="A13" s="3">
        <v>8</v>
      </c>
      <c r="B13" s="3">
        <v>2</v>
      </c>
      <c r="C13" s="3">
        <v>6</v>
      </c>
      <c r="D13" s="3">
        <v>1</v>
      </c>
      <c r="E13" s="3"/>
      <c r="F13" s="4" t="str">
        <f>HYPERLINK("http://141.218.60.56/~jnz1568/getInfo.php?workbook=08_02.xlsx&amp;sheet=A0&amp;row=13&amp;col=6&amp;number=2306300&amp;sourceID=27","2306300")</f>
        <v>2306300</v>
      </c>
      <c r="G13" s="4" t="str">
        <f>HYPERLINK("http://141.218.60.56/~jnz1568/getInfo.php?workbook=08_02.xlsx&amp;sheet=A0&amp;row=13&amp;col=7&amp;number=&amp;sourceID=34","")</f>
        <v/>
      </c>
      <c r="H13" s="4" t="str">
        <f>HYPERLINK("http://141.218.60.56/~jnz1568/getInfo.php?workbook=08_02.xlsx&amp;sheet=A0&amp;row=13&amp;col=8&amp;number=&amp;sourceID=34","")</f>
        <v/>
      </c>
      <c r="I13" s="4" t="str">
        <f>HYPERLINK("http://141.218.60.56/~jnz1568/getInfo.php?workbook=08_02.xlsx&amp;sheet=A0&amp;row=13&amp;col=9&amp;number=&amp;sourceID=34","")</f>
        <v/>
      </c>
      <c r="J13" s="4" t="str">
        <f>HYPERLINK("http://141.218.60.56/~jnz1568/getInfo.php?workbook=08_02.xlsx&amp;sheet=A0&amp;row=13&amp;col=10&amp;number=&amp;sourceID=34","")</f>
        <v/>
      </c>
      <c r="K13" s="4" t="str">
        <f>HYPERLINK("http://141.218.60.56/~jnz1568/getInfo.php?workbook=08_02.xlsx&amp;sheet=A0&amp;row=13&amp;col=11&amp;number=&amp;sourceID=30","")</f>
        <v/>
      </c>
      <c r="L13" s="4" t="str">
        <f>HYPERLINK("http://141.218.60.56/~jnz1568/getInfo.php?workbook=08_02.xlsx&amp;sheet=A0&amp;row=13&amp;col=12&amp;number=&amp;sourceID=30","")</f>
        <v/>
      </c>
      <c r="M13" s="4" t="str">
        <f>HYPERLINK("http://141.218.60.56/~jnz1568/getInfo.php?workbook=08_02.xlsx&amp;sheet=A0&amp;row=13&amp;col=13&amp;number=&amp;sourceID=30","")</f>
        <v/>
      </c>
      <c r="N13" s="4" t="str">
        <f>HYPERLINK("http://141.218.60.56/~jnz1568/getInfo.php?workbook=08_02.xlsx&amp;sheet=A0&amp;row=13&amp;col=14&amp;number=&amp;sourceID=30","")</f>
        <v/>
      </c>
      <c r="O13" s="4" t="str">
        <f>HYPERLINK("http://141.218.60.56/~jnz1568/getInfo.php?workbook=08_02.xlsx&amp;sheet=A0&amp;row=13&amp;col=15&amp;number=&amp;sourceID=32","")</f>
        <v/>
      </c>
      <c r="P13" s="4" t="str">
        <f>HYPERLINK("http://141.218.60.56/~jnz1568/getInfo.php?workbook=08_02.xlsx&amp;sheet=A0&amp;row=13&amp;col=16&amp;number=&amp;sourceID=32","")</f>
        <v/>
      </c>
      <c r="Q13" s="4" t="str">
        <f>HYPERLINK("http://141.218.60.56/~jnz1568/getInfo.php?workbook=08_02.xlsx&amp;sheet=A0&amp;row=13&amp;col=17&amp;number=&amp;sourceID=32","")</f>
        <v/>
      </c>
      <c r="R13" s="4" t="str">
        <f>HYPERLINK("http://141.218.60.56/~jnz1568/getInfo.php?workbook=08_02.xlsx&amp;sheet=A0&amp;row=13&amp;col=18&amp;number=&amp;sourceID=32","")</f>
        <v/>
      </c>
      <c r="S13" s="4" t="str">
        <f>HYPERLINK("http://141.218.60.56/~jnz1568/getInfo.php?workbook=08_02.xlsx&amp;sheet=A0&amp;row=13&amp;col=19&amp;number=&amp;sourceID=1","")</f>
        <v/>
      </c>
      <c r="T13" s="4" t="str">
        <f>HYPERLINK("http://141.218.60.56/~jnz1568/getInfo.php?workbook=08_02.xlsx&amp;sheet=A0&amp;row=13&amp;col=20&amp;number=&amp;sourceID=1","")</f>
        <v/>
      </c>
    </row>
    <row r="14" spans="1:20">
      <c r="A14" s="3">
        <v>8</v>
      </c>
      <c r="B14" s="3">
        <v>2</v>
      </c>
      <c r="C14" s="3">
        <v>6</v>
      </c>
      <c r="D14" s="3">
        <v>2</v>
      </c>
      <c r="E14" s="3">
        <f>((1/(INDEX(E0!J$4:J$52,C14,1)-INDEX(E0!J$4:J$52,D14,1))))*100000000</f>
        <v>0</v>
      </c>
      <c r="F14" s="4" t="str">
        <f>HYPERLINK("http://141.218.60.56/~jnz1568/getInfo.php?workbook=08_02.xlsx&amp;sheet=A0&amp;row=14&amp;col=6&amp;number=&amp;sourceID=27","")</f>
        <v/>
      </c>
      <c r="G14" s="4" t="str">
        <f>HYPERLINK("http://141.218.60.56/~jnz1568/getInfo.php?workbook=08_02.xlsx&amp;sheet=A0&amp;row=14&amp;col=7&amp;number=&amp;sourceID=34","")</f>
        <v/>
      </c>
      <c r="H14" s="4" t="str">
        <f>HYPERLINK("http://141.218.60.56/~jnz1568/getInfo.php?workbook=08_02.xlsx&amp;sheet=A0&amp;row=14&amp;col=8&amp;number=&amp;sourceID=34","")</f>
        <v/>
      </c>
      <c r="I14" s="4" t="str">
        <f>HYPERLINK("http://141.218.60.56/~jnz1568/getInfo.php?workbook=08_02.xlsx&amp;sheet=A0&amp;row=14&amp;col=9&amp;number=&amp;sourceID=34","")</f>
        <v/>
      </c>
      <c r="J14" s="4" t="str">
        <f>HYPERLINK("http://141.218.60.56/~jnz1568/getInfo.php?workbook=08_02.xlsx&amp;sheet=A0&amp;row=14&amp;col=10&amp;number=&amp;sourceID=34","")</f>
        <v/>
      </c>
      <c r="K14" s="4" t="str">
        <f>HYPERLINK("http://141.218.60.56/~jnz1568/getInfo.php?workbook=08_02.xlsx&amp;sheet=A0&amp;row=14&amp;col=11&amp;number=&amp;sourceID=30","")</f>
        <v/>
      </c>
      <c r="L14" s="4" t="str">
        <f>HYPERLINK("http://141.218.60.56/~jnz1568/getInfo.php?workbook=08_02.xlsx&amp;sheet=A0&amp;row=14&amp;col=12&amp;number=&amp;sourceID=30","")</f>
        <v/>
      </c>
      <c r="M14" s="4" t="str">
        <f>HYPERLINK("http://141.218.60.56/~jnz1568/getInfo.php?workbook=08_02.xlsx&amp;sheet=A0&amp;row=14&amp;col=13&amp;number=0.01945&amp;sourceID=30","0.01945")</f>
        <v>0.01945</v>
      </c>
      <c r="N14" s="4" t="str">
        <f>HYPERLINK("http://141.218.60.56/~jnz1568/getInfo.php?workbook=08_02.xlsx&amp;sheet=A0&amp;row=14&amp;col=14&amp;number=&amp;sourceID=30","")</f>
        <v/>
      </c>
      <c r="O14" s="4" t="str">
        <f>HYPERLINK("http://141.218.60.56/~jnz1568/getInfo.php?workbook=08_02.xlsx&amp;sheet=A0&amp;row=14&amp;col=15&amp;number=&amp;sourceID=32","")</f>
        <v/>
      </c>
      <c r="P14" s="4" t="str">
        <f>HYPERLINK("http://141.218.60.56/~jnz1568/getInfo.php?workbook=08_02.xlsx&amp;sheet=A0&amp;row=14&amp;col=16&amp;number=&amp;sourceID=32","")</f>
        <v/>
      </c>
      <c r="Q14" s="4" t="str">
        <f>HYPERLINK("http://141.218.60.56/~jnz1568/getInfo.php?workbook=08_02.xlsx&amp;sheet=A0&amp;row=14&amp;col=17&amp;number=0.01707&amp;sourceID=32","0.01707")</f>
        <v>0.01707</v>
      </c>
      <c r="R14" s="4" t="str">
        <f>HYPERLINK("http://141.218.60.56/~jnz1568/getInfo.php?workbook=08_02.xlsx&amp;sheet=A0&amp;row=14&amp;col=18&amp;number=&amp;sourceID=32","")</f>
        <v/>
      </c>
      <c r="S14" s="4" t="str">
        <f>HYPERLINK("http://141.218.60.56/~jnz1568/getInfo.php?workbook=08_02.xlsx&amp;sheet=A0&amp;row=14&amp;col=19&amp;number=&amp;sourceID=1","")</f>
        <v/>
      </c>
      <c r="T14" s="4" t="str">
        <f>HYPERLINK("http://141.218.60.56/~jnz1568/getInfo.php?workbook=08_02.xlsx&amp;sheet=A0&amp;row=14&amp;col=20&amp;number=&amp;sourceID=1","")</f>
        <v/>
      </c>
    </row>
    <row r="15" spans="1:20">
      <c r="A15" s="3">
        <v>8</v>
      </c>
      <c r="B15" s="3">
        <v>2</v>
      </c>
      <c r="C15" s="3">
        <v>6</v>
      </c>
      <c r="D15" s="3">
        <v>4</v>
      </c>
      <c r="E15" s="3">
        <f>((1/(INDEX(E0!J$4:J$52,C15,1)-INDEX(E0!J$4:J$52,D15,1))))*100000000</f>
        <v>0</v>
      </c>
      <c r="F15" s="4" t="str">
        <f>HYPERLINK("http://141.218.60.56/~jnz1568/getInfo.php?workbook=08_02.xlsx&amp;sheet=A0&amp;row=15&amp;col=6&amp;number=&amp;sourceID=27","")</f>
        <v/>
      </c>
      <c r="G15" s="4" t="str">
        <f>HYPERLINK("http://141.218.60.56/~jnz1568/getInfo.php?workbook=08_02.xlsx&amp;sheet=A0&amp;row=15&amp;col=7&amp;number=&amp;sourceID=34","")</f>
        <v/>
      </c>
      <c r="H15" s="4" t="str">
        <f>HYPERLINK("http://141.218.60.56/~jnz1568/getInfo.php?workbook=08_02.xlsx&amp;sheet=A0&amp;row=15&amp;col=8&amp;number=&amp;sourceID=34","")</f>
        <v/>
      </c>
      <c r="I15" s="4" t="str">
        <f>HYPERLINK("http://141.218.60.56/~jnz1568/getInfo.php?workbook=08_02.xlsx&amp;sheet=A0&amp;row=15&amp;col=9&amp;number=&amp;sourceID=34","")</f>
        <v/>
      </c>
      <c r="J15" s="4" t="str">
        <f>HYPERLINK("http://141.218.60.56/~jnz1568/getInfo.php?workbook=08_02.xlsx&amp;sheet=A0&amp;row=15&amp;col=10&amp;number=&amp;sourceID=34","")</f>
        <v/>
      </c>
      <c r="K15" s="4" t="str">
        <f>HYPERLINK("http://141.218.60.56/~jnz1568/getInfo.php?workbook=08_02.xlsx&amp;sheet=A0&amp;row=15&amp;col=11&amp;number=25.69&amp;sourceID=30","25.69")</f>
        <v>25.69</v>
      </c>
      <c r="L15" s="4" t="str">
        <f>HYPERLINK("http://141.218.60.56/~jnz1568/getInfo.php?workbook=08_02.xlsx&amp;sheet=A0&amp;row=15&amp;col=12&amp;number=&amp;sourceID=30","")</f>
        <v/>
      </c>
      <c r="M15" s="4" t="str">
        <f>HYPERLINK("http://141.218.60.56/~jnz1568/getInfo.php?workbook=08_02.xlsx&amp;sheet=A0&amp;row=15&amp;col=13&amp;number=&amp;sourceID=30","")</f>
        <v/>
      </c>
      <c r="N15" s="4" t="str">
        <f>HYPERLINK("http://141.218.60.56/~jnz1568/getInfo.php?workbook=08_02.xlsx&amp;sheet=A0&amp;row=15&amp;col=14&amp;number=&amp;sourceID=30","")</f>
        <v/>
      </c>
      <c r="O15" s="4" t="str">
        <f>HYPERLINK("http://141.218.60.56/~jnz1568/getInfo.php?workbook=08_02.xlsx&amp;sheet=A0&amp;row=15&amp;col=15&amp;number=1.435&amp;sourceID=32","1.435")</f>
        <v>1.435</v>
      </c>
      <c r="P15" s="4" t="str">
        <f>HYPERLINK("http://141.218.60.56/~jnz1568/getInfo.php?workbook=08_02.xlsx&amp;sheet=A0&amp;row=15&amp;col=16&amp;number=&amp;sourceID=32","")</f>
        <v/>
      </c>
      <c r="Q15" s="4" t="str">
        <f>HYPERLINK("http://141.218.60.56/~jnz1568/getInfo.php?workbook=08_02.xlsx&amp;sheet=A0&amp;row=15&amp;col=17&amp;number=&amp;sourceID=32","")</f>
        <v/>
      </c>
      <c r="R15" s="4" t="str">
        <f>HYPERLINK("http://141.218.60.56/~jnz1568/getInfo.php?workbook=08_02.xlsx&amp;sheet=A0&amp;row=15&amp;col=18&amp;number=&amp;sourceID=32","")</f>
        <v/>
      </c>
      <c r="S15" s="4" t="str">
        <f>HYPERLINK("http://141.218.60.56/~jnz1568/getInfo.php?workbook=08_02.xlsx&amp;sheet=A0&amp;row=15&amp;col=19&amp;number=&amp;sourceID=1","")</f>
        <v/>
      </c>
      <c r="T15" s="4" t="str">
        <f>HYPERLINK("http://141.218.60.56/~jnz1568/getInfo.php?workbook=08_02.xlsx&amp;sheet=A0&amp;row=15&amp;col=20&amp;number=&amp;sourceID=1","")</f>
        <v/>
      </c>
    </row>
    <row r="16" spans="1:20">
      <c r="A16" s="3">
        <v>8</v>
      </c>
      <c r="B16" s="3">
        <v>2</v>
      </c>
      <c r="C16" s="3">
        <v>6</v>
      </c>
      <c r="D16" s="3">
        <v>5</v>
      </c>
      <c r="E16" s="3">
        <f>((1/(INDEX(E0!J$4:J$52,C16,1)-INDEX(E0!J$4:J$52,D16,1))))*100000000</f>
        <v>0</v>
      </c>
      <c r="F16" s="4" t="str">
        <f>HYPERLINK("http://141.218.60.56/~jnz1568/getInfo.php?workbook=08_02.xlsx&amp;sheet=A0&amp;row=16&amp;col=6&amp;number=&amp;sourceID=27","")</f>
        <v/>
      </c>
      <c r="G16" s="4" t="str">
        <f>HYPERLINK("http://141.218.60.56/~jnz1568/getInfo.php?workbook=08_02.xlsx&amp;sheet=A0&amp;row=16&amp;col=7&amp;number=&amp;sourceID=34","")</f>
        <v/>
      </c>
      <c r="H16" s="4" t="str">
        <f>HYPERLINK("http://141.218.60.56/~jnz1568/getInfo.php?workbook=08_02.xlsx&amp;sheet=A0&amp;row=16&amp;col=8&amp;number=&amp;sourceID=34","")</f>
        <v/>
      </c>
      <c r="I16" s="4" t="str">
        <f>HYPERLINK("http://141.218.60.56/~jnz1568/getInfo.php?workbook=08_02.xlsx&amp;sheet=A0&amp;row=16&amp;col=9&amp;number=&amp;sourceID=34","")</f>
        <v/>
      </c>
      <c r="J16" s="4" t="str">
        <f>HYPERLINK("http://141.218.60.56/~jnz1568/getInfo.php?workbook=08_02.xlsx&amp;sheet=A0&amp;row=16&amp;col=10&amp;number=&amp;sourceID=34","")</f>
        <v/>
      </c>
      <c r="K16" s="4" t="str">
        <f>HYPERLINK("http://141.218.60.56/~jnz1568/getInfo.php?workbook=08_02.xlsx&amp;sheet=A0&amp;row=16&amp;col=11&amp;number=&amp;sourceID=30","")</f>
        <v/>
      </c>
      <c r="L16" s="4" t="str">
        <f>HYPERLINK("http://141.218.60.56/~jnz1568/getInfo.php?workbook=08_02.xlsx&amp;sheet=A0&amp;row=16&amp;col=12&amp;number=&amp;sourceID=30","")</f>
        <v/>
      </c>
      <c r="M16" s="4" t="str">
        <f>HYPERLINK("http://141.218.60.56/~jnz1568/getInfo.php?workbook=08_02.xlsx&amp;sheet=A0&amp;row=16&amp;col=13&amp;number=&amp;sourceID=30","")</f>
        <v/>
      </c>
      <c r="N16" s="4" t="str">
        <f>HYPERLINK("http://141.218.60.56/~jnz1568/getInfo.php?workbook=08_02.xlsx&amp;sheet=A0&amp;row=16&amp;col=14&amp;number=2.331e-08&amp;sourceID=30","2.331e-08")</f>
        <v>2.331e-08</v>
      </c>
      <c r="O16" s="4" t="str">
        <f>HYPERLINK("http://141.218.60.56/~jnz1568/getInfo.php?workbook=08_02.xlsx&amp;sheet=A0&amp;row=16&amp;col=15&amp;number=&amp;sourceID=32","")</f>
        <v/>
      </c>
      <c r="P16" s="4" t="str">
        <f>HYPERLINK("http://141.218.60.56/~jnz1568/getInfo.php?workbook=08_02.xlsx&amp;sheet=A0&amp;row=16&amp;col=16&amp;number=&amp;sourceID=32","")</f>
        <v/>
      </c>
      <c r="Q16" s="4" t="str">
        <f>HYPERLINK("http://141.218.60.56/~jnz1568/getInfo.php?workbook=08_02.xlsx&amp;sheet=A0&amp;row=16&amp;col=17&amp;number=&amp;sourceID=32","")</f>
        <v/>
      </c>
      <c r="R16" s="4" t="str">
        <f>HYPERLINK("http://141.218.60.56/~jnz1568/getInfo.php?workbook=08_02.xlsx&amp;sheet=A0&amp;row=16&amp;col=18&amp;number=6.36e-11&amp;sourceID=32","6.36e-11")</f>
        <v>6.36e-11</v>
      </c>
      <c r="S16" s="4" t="str">
        <f>HYPERLINK("http://141.218.60.56/~jnz1568/getInfo.php?workbook=08_02.xlsx&amp;sheet=A0&amp;row=16&amp;col=19&amp;number=&amp;sourceID=1","")</f>
        <v/>
      </c>
      <c r="T16" s="4" t="str">
        <f>HYPERLINK("http://141.218.60.56/~jnz1568/getInfo.php?workbook=08_02.xlsx&amp;sheet=A0&amp;row=16&amp;col=20&amp;number=&amp;sourceID=1","")</f>
        <v/>
      </c>
    </row>
    <row r="17" spans="1:20">
      <c r="A17" s="3">
        <v>8</v>
      </c>
      <c r="B17" s="3">
        <v>2</v>
      </c>
      <c r="C17" s="3">
        <v>7</v>
      </c>
      <c r="D17" s="3">
        <v>1</v>
      </c>
      <c r="E17" s="3">
        <f>((1/(INDEX(E0!J$4:J$52,C17,1)-INDEX(E0!J$4:J$52,D17,1))))*100000000</f>
        <v>0</v>
      </c>
      <c r="F17" s="4" t="str">
        <f>HYPERLINK("http://141.218.60.56/~jnz1568/getInfo.php?workbook=08_02.xlsx&amp;sheet=A0&amp;row=17&amp;col=6&amp;number=&amp;sourceID=27","")</f>
        <v/>
      </c>
      <c r="G17" s="4" t="str">
        <f>HYPERLINK("http://141.218.60.56/~jnz1568/getInfo.php?workbook=08_02.xlsx&amp;sheet=A0&amp;row=17&amp;col=7&amp;number=3309000000000&amp;sourceID=34","3309000000000")</f>
        <v>3309000000000</v>
      </c>
      <c r="H17" s="4" t="str">
        <f>HYPERLINK("http://141.218.60.56/~jnz1568/getInfo.php?workbook=08_02.xlsx&amp;sheet=A0&amp;row=17&amp;col=8&amp;number=&amp;sourceID=34","")</f>
        <v/>
      </c>
      <c r="I17" s="4" t="str">
        <f>HYPERLINK("http://141.218.60.56/~jnz1568/getInfo.php?workbook=08_02.xlsx&amp;sheet=A0&amp;row=17&amp;col=9&amp;number=&amp;sourceID=34","")</f>
        <v/>
      </c>
      <c r="J17" s="4" t="str">
        <f>HYPERLINK("http://141.218.60.56/~jnz1568/getInfo.php?workbook=08_02.xlsx&amp;sheet=A0&amp;row=17&amp;col=10&amp;number=&amp;sourceID=34","")</f>
        <v/>
      </c>
      <c r="K17" s="4" t="str">
        <f>HYPERLINK("http://141.218.60.56/~jnz1568/getInfo.php?workbook=08_02.xlsx&amp;sheet=A0&amp;row=17&amp;col=11&amp;number=3495000000000&amp;sourceID=30","3495000000000")</f>
        <v>3495000000000</v>
      </c>
      <c r="L17" s="4" t="str">
        <f>HYPERLINK("http://141.218.60.56/~jnz1568/getInfo.php?workbook=08_02.xlsx&amp;sheet=A0&amp;row=17&amp;col=12&amp;number=&amp;sourceID=30","")</f>
        <v/>
      </c>
      <c r="M17" s="4" t="str">
        <f>HYPERLINK("http://141.218.60.56/~jnz1568/getInfo.php?workbook=08_02.xlsx&amp;sheet=A0&amp;row=17&amp;col=13&amp;number=&amp;sourceID=30","")</f>
        <v/>
      </c>
      <c r="N17" s="4" t="str">
        <f>HYPERLINK("http://141.218.60.56/~jnz1568/getInfo.php?workbook=08_02.xlsx&amp;sheet=A0&amp;row=17&amp;col=14&amp;number=&amp;sourceID=30","")</f>
        <v/>
      </c>
      <c r="O17" s="4" t="str">
        <f>HYPERLINK("http://141.218.60.56/~jnz1568/getInfo.php?workbook=08_02.xlsx&amp;sheet=A0&amp;row=17&amp;col=15&amp;number=3302000000000&amp;sourceID=32","3302000000000")</f>
        <v>3302000000000</v>
      </c>
      <c r="P17" s="4" t="str">
        <f>HYPERLINK("http://141.218.60.56/~jnz1568/getInfo.php?workbook=08_02.xlsx&amp;sheet=A0&amp;row=17&amp;col=16&amp;number=&amp;sourceID=32","")</f>
        <v/>
      </c>
      <c r="Q17" s="4" t="str">
        <f>HYPERLINK("http://141.218.60.56/~jnz1568/getInfo.php?workbook=08_02.xlsx&amp;sheet=A0&amp;row=17&amp;col=17&amp;number=&amp;sourceID=32","")</f>
        <v/>
      </c>
      <c r="R17" s="4" t="str">
        <f>HYPERLINK("http://141.218.60.56/~jnz1568/getInfo.php?workbook=08_02.xlsx&amp;sheet=A0&amp;row=17&amp;col=18&amp;number=&amp;sourceID=32","")</f>
        <v/>
      </c>
      <c r="S17" s="4" t="str">
        <f>HYPERLINK("http://141.218.60.56/~jnz1568/getInfo.php?workbook=08_02.xlsx&amp;sheet=A0&amp;row=17&amp;col=19&amp;number=&amp;sourceID=1","")</f>
        <v/>
      </c>
      <c r="T17" s="4" t="str">
        <f>HYPERLINK("http://141.218.60.56/~jnz1568/getInfo.php?workbook=08_02.xlsx&amp;sheet=A0&amp;row=17&amp;col=20&amp;number=&amp;sourceID=1","")</f>
        <v/>
      </c>
    </row>
    <row r="18" spans="1:20">
      <c r="A18" s="3">
        <v>8</v>
      </c>
      <c r="B18" s="3">
        <v>2</v>
      </c>
      <c r="C18" s="3">
        <v>7</v>
      </c>
      <c r="D18" s="3">
        <v>2</v>
      </c>
      <c r="E18" s="3">
        <f>((1/(INDEX(E0!J$4:J$52,C18,1)-INDEX(E0!J$4:J$52,D18,1))))*100000000</f>
        <v>0</v>
      </c>
      <c r="F18" s="4" t="str">
        <f>HYPERLINK("http://141.218.60.56/~jnz1568/getInfo.php?workbook=08_02.xlsx&amp;sheet=A0&amp;row=18&amp;col=6&amp;number=&amp;sourceID=27","")</f>
        <v/>
      </c>
      <c r="G18" s="4" t="str">
        <f>HYPERLINK("http://141.218.60.56/~jnz1568/getInfo.php?workbook=08_02.xlsx&amp;sheet=A0&amp;row=18&amp;col=7&amp;number=&amp;sourceID=34","")</f>
        <v/>
      </c>
      <c r="H18" s="4" t="str">
        <f>HYPERLINK("http://141.218.60.56/~jnz1568/getInfo.php?workbook=08_02.xlsx&amp;sheet=A0&amp;row=18&amp;col=8&amp;number=&amp;sourceID=34","")</f>
        <v/>
      </c>
      <c r="I18" s="4" t="str">
        <f>HYPERLINK("http://141.218.60.56/~jnz1568/getInfo.php?workbook=08_02.xlsx&amp;sheet=A0&amp;row=18&amp;col=9&amp;number=&amp;sourceID=34","")</f>
        <v/>
      </c>
      <c r="J18" s="4" t="str">
        <f>HYPERLINK("http://141.218.60.56/~jnz1568/getInfo.php?workbook=08_02.xlsx&amp;sheet=A0&amp;row=18&amp;col=10&amp;number=&amp;sourceID=34","")</f>
        <v/>
      </c>
      <c r="K18" s="4" t="str">
        <f>HYPERLINK("http://141.218.60.56/~jnz1568/getInfo.php?workbook=08_02.xlsx&amp;sheet=A0&amp;row=18&amp;col=11&amp;number=65820&amp;sourceID=30","65820")</f>
        <v>65820</v>
      </c>
      <c r="L18" s="4" t="str">
        <f>HYPERLINK("http://141.218.60.56/~jnz1568/getInfo.php?workbook=08_02.xlsx&amp;sheet=A0&amp;row=18&amp;col=12&amp;number=&amp;sourceID=30","")</f>
        <v/>
      </c>
      <c r="M18" s="4" t="str">
        <f>HYPERLINK("http://141.218.60.56/~jnz1568/getInfo.php?workbook=08_02.xlsx&amp;sheet=A0&amp;row=18&amp;col=13&amp;number=&amp;sourceID=30","")</f>
        <v/>
      </c>
      <c r="N18" s="4" t="str">
        <f>HYPERLINK("http://141.218.60.56/~jnz1568/getInfo.php?workbook=08_02.xlsx&amp;sheet=A0&amp;row=18&amp;col=14&amp;number=0.03692&amp;sourceID=30","0.03692")</f>
        <v>0.03692</v>
      </c>
      <c r="O18" s="4" t="str">
        <f>HYPERLINK("http://141.218.60.56/~jnz1568/getInfo.php?workbook=08_02.xlsx&amp;sheet=A0&amp;row=18&amp;col=15&amp;number=63860&amp;sourceID=32","63860")</f>
        <v>63860</v>
      </c>
      <c r="P18" s="4" t="str">
        <f>HYPERLINK("http://141.218.60.56/~jnz1568/getInfo.php?workbook=08_02.xlsx&amp;sheet=A0&amp;row=18&amp;col=16&amp;number=&amp;sourceID=32","")</f>
        <v/>
      </c>
      <c r="Q18" s="4" t="str">
        <f>HYPERLINK("http://141.218.60.56/~jnz1568/getInfo.php?workbook=08_02.xlsx&amp;sheet=A0&amp;row=18&amp;col=17&amp;number=&amp;sourceID=32","")</f>
        <v/>
      </c>
      <c r="R18" s="4" t="str">
        <f>HYPERLINK("http://141.218.60.56/~jnz1568/getInfo.php?workbook=08_02.xlsx&amp;sheet=A0&amp;row=18&amp;col=18&amp;number=0.03401&amp;sourceID=32","0.03401")</f>
        <v>0.03401</v>
      </c>
      <c r="S18" s="4" t="str">
        <f>HYPERLINK("http://141.218.60.56/~jnz1568/getInfo.php?workbook=08_02.xlsx&amp;sheet=A0&amp;row=18&amp;col=19&amp;number=&amp;sourceID=1","")</f>
        <v/>
      </c>
      <c r="T18" s="4" t="str">
        <f>HYPERLINK("http://141.218.60.56/~jnz1568/getInfo.php?workbook=08_02.xlsx&amp;sheet=A0&amp;row=18&amp;col=20&amp;number=&amp;sourceID=1","")</f>
        <v/>
      </c>
    </row>
    <row r="19" spans="1:20">
      <c r="A19" s="3">
        <v>8</v>
      </c>
      <c r="B19" s="3">
        <v>2</v>
      </c>
      <c r="C19" s="3">
        <v>7</v>
      </c>
      <c r="D19" s="3">
        <v>3</v>
      </c>
      <c r="E19" s="3">
        <f>((1/(INDEX(E0!J$4:J$52,C19,1)-INDEX(E0!J$4:J$52,D19,1))))*100000000</f>
        <v>0</v>
      </c>
      <c r="F19" s="4" t="str">
        <f>HYPERLINK("http://141.218.60.56/~jnz1568/getInfo.php?workbook=08_02.xlsx&amp;sheet=A0&amp;row=19&amp;col=6&amp;number=&amp;sourceID=27","")</f>
        <v/>
      </c>
      <c r="G19" s="4" t="str">
        <f>HYPERLINK("http://141.218.60.56/~jnz1568/getInfo.php?workbook=08_02.xlsx&amp;sheet=A0&amp;row=19&amp;col=7&amp;number=&amp;sourceID=34","")</f>
        <v/>
      </c>
      <c r="H19" s="4" t="str">
        <f>HYPERLINK("http://141.218.60.56/~jnz1568/getInfo.php?workbook=08_02.xlsx&amp;sheet=A0&amp;row=19&amp;col=8&amp;number=&amp;sourceID=34","")</f>
        <v/>
      </c>
      <c r="I19" s="4" t="str">
        <f>HYPERLINK("http://141.218.60.56/~jnz1568/getInfo.php?workbook=08_02.xlsx&amp;sheet=A0&amp;row=19&amp;col=9&amp;number=&amp;sourceID=34","")</f>
        <v/>
      </c>
      <c r="J19" s="4" t="str">
        <f>HYPERLINK("http://141.218.60.56/~jnz1568/getInfo.php?workbook=08_02.xlsx&amp;sheet=A0&amp;row=19&amp;col=10&amp;number=&amp;sourceID=34","")</f>
        <v/>
      </c>
      <c r="K19" s="4" t="str">
        <f>HYPERLINK("http://141.218.60.56/~jnz1568/getInfo.php?workbook=08_02.xlsx&amp;sheet=A0&amp;row=19&amp;col=11&amp;number=&amp;sourceID=30","")</f>
        <v/>
      </c>
      <c r="L19" s="4" t="str">
        <f>HYPERLINK("http://141.218.60.56/~jnz1568/getInfo.php?workbook=08_02.xlsx&amp;sheet=A0&amp;row=19&amp;col=12&amp;number=&amp;sourceID=30","")</f>
        <v/>
      </c>
      <c r="M19" s="4" t="str">
        <f>HYPERLINK("http://141.218.60.56/~jnz1568/getInfo.php?workbook=08_02.xlsx&amp;sheet=A0&amp;row=19&amp;col=13&amp;number=0.2534&amp;sourceID=30","0.2534")</f>
        <v>0.2534</v>
      </c>
      <c r="N19" s="4" t="str">
        <f>HYPERLINK("http://141.218.60.56/~jnz1568/getInfo.php?workbook=08_02.xlsx&amp;sheet=A0&amp;row=19&amp;col=14&amp;number=&amp;sourceID=30","")</f>
        <v/>
      </c>
      <c r="O19" s="4" t="str">
        <f>HYPERLINK("http://141.218.60.56/~jnz1568/getInfo.php?workbook=08_02.xlsx&amp;sheet=A0&amp;row=19&amp;col=15&amp;number=&amp;sourceID=32","")</f>
        <v/>
      </c>
      <c r="P19" s="4" t="str">
        <f>HYPERLINK("http://141.218.60.56/~jnz1568/getInfo.php?workbook=08_02.xlsx&amp;sheet=A0&amp;row=19&amp;col=16&amp;number=&amp;sourceID=32","")</f>
        <v/>
      </c>
      <c r="Q19" s="4" t="str">
        <f>HYPERLINK("http://141.218.60.56/~jnz1568/getInfo.php?workbook=08_02.xlsx&amp;sheet=A0&amp;row=19&amp;col=17&amp;number=0.2393&amp;sourceID=32","0.2393")</f>
        <v>0.2393</v>
      </c>
      <c r="R19" s="4" t="str">
        <f>HYPERLINK("http://141.218.60.56/~jnz1568/getInfo.php?workbook=08_02.xlsx&amp;sheet=A0&amp;row=19&amp;col=18&amp;number=&amp;sourceID=32","")</f>
        <v/>
      </c>
      <c r="S19" s="4" t="str">
        <f>HYPERLINK("http://141.218.60.56/~jnz1568/getInfo.php?workbook=08_02.xlsx&amp;sheet=A0&amp;row=19&amp;col=19&amp;number=&amp;sourceID=1","")</f>
        <v/>
      </c>
      <c r="T19" s="4" t="str">
        <f>HYPERLINK("http://141.218.60.56/~jnz1568/getInfo.php?workbook=08_02.xlsx&amp;sheet=A0&amp;row=19&amp;col=20&amp;number=&amp;sourceID=1","")</f>
        <v/>
      </c>
    </row>
    <row r="20" spans="1:20">
      <c r="A20" s="3">
        <v>8</v>
      </c>
      <c r="B20" s="3">
        <v>2</v>
      </c>
      <c r="C20" s="3">
        <v>7</v>
      </c>
      <c r="D20" s="3">
        <v>4</v>
      </c>
      <c r="E20" s="3">
        <f>((1/(INDEX(E0!J$4:J$52,C20,1)-INDEX(E0!J$4:J$52,D20,1))))*100000000</f>
        <v>0</v>
      </c>
      <c r="F20" s="4" t="str">
        <f>HYPERLINK("http://141.218.60.56/~jnz1568/getInfo.php?workbook=08_02.xlsx&amp;sheet=A0&amp;row=20&amp;col=6&amp;number=&amp;sourceID=27","")</f>
        <v/>
      </c>
      <c r="G20" s="4" t="str">
        <f>HYPERLINK("http://141.218.60.56/~jnz1568/getInfo.php?workbook=08_02.xlsx&amp;sheet=A0&amp;row=20&amp;col=7&amp;number=&amp;sourceID=34","")</f>
        <v/>
      </c>
      <c r="H20" s="4" t="str">
        <f>HYPERLINK("http://141.218.60.56/~jnz1568/getInfo.php?workbook=08_02.xlsx&amp;sheet=A0&amp;row=20&amp;col=8&amp;number=&amp;sourceID=34","")</f>
        <v/>
      </c>
      <c r="I20" s="4" t="str">
        <f>HYPERLINK("http://141.218.60.56/~jnz1568/getInfo.php?workbook=08_02.xlsx&amp;sheet=A0&amp;row=20&amp;col=9&amp;number=&amp;sourceID=34","")</f>
        <v/>
      </c>
      <c r="J20" s="4" t="str">
        <f>HYPERLINK("http://141.218.60.56/~jnz1568/getInfo.php?workbook=08_02.xlsx&amp;sheet=A0&amp;row=20&amp;col=10&amp;number=&amp;sourceID=34","")</f>
        <v/>
      </c>
      <c r="K20" s="4" t="str">
        <f>HYPERLINK("http://141.218.60.56/~jnz1568/getInfo.php?workbook=08_02.xlsx&amp;sheet=A0&amp;row=20&amp;col=11&amp;number=&amp;sourceID=30","")</f>
        <v/>
      </c>
      <c r="L20" s="4" t="str">
        <f>HYPERLINK("http://141.218.60.56/~jnz1568/getInfo.php?workbook=08_02.xlsx&amp;sheet=A0&amp;row=20&amp;col=12&amp;number=0.0009107&amp;sourceID=30","0.0009107")</f>
        <v>0.0009107</v>
      </c>
      <c r="M20" s="4" t="str">
        <f>HYPERLINK("http://141.218.60.56/~jnz1568/getInfo.php?workbook=08_02.xlsx&amp;sheet=A0&amp;row=20&amp;col=13&amp;number=0.2138&amp;sourceID=30","0.2138")</f>
        <v>0.2138</v>
      </c>
      <c r="N20" s="4" t="str">
        <f>HYPERLINK("http://141.218.60.56/~jnz1568/getInfo.php?workbook=08_02.xlsx&amp;sheet=A0&amp;row=20&amp;col=14&amp;number=&amp;sourceID=30","")</f>
        <v/>
      </c>
      <c r="O20" s="4" t="str">
        <f>HYPERLINK("http://141.218.60.56/~jnz1568/getInfo.php?workbook=08_02.xlsx&amp;sheet=A0&amp;row=20&amp;col=15&amp;number=&amp;sourceID=32","")</f>
        <v/>
      </c>
      <c r="P20" s="4" t="str">
        <f>HYPERLINK("http://141.218.60.56/~jnz1568/getInfo.php?workbook=08_02.xlsx&amp;sheet=A0&amp;row=20&amp;col=16&amp;number=0.0008106&amp;sourceID=32","0.0008106")</f>
        <v>0.0008106</v>
      </c>
      <c r="Q20" s="4" t="str">
        <f>HYPERLINK("http://141.218.60.56/~jnz1568/getInfo.php?workbook=08_02.xlsx&amp;sheet=A0&amp;row=20&amp;col=17&amp;number=0.2033&amp;sourceID=32","0.2033")</f>
        <v>0.2033</v>
      </c>
      <c r="R20" s="4" t="str">
        <f>HYPERLINK("http://141.218.60.56/~jnz1568/getInfo.php?workbook=08_02.xlsx&amp;sheet=A0&amp;row=20&amp;col=18&amp;number=&amp;sourceID=32","")</f>
        <v/>
      </c>
      <c r="S20" s="4" t="str">
        <f>HYPERLINK("http://141.218.60.56/~jnz1568/getInfo.php?workbook=08_02.xlsx&amp;sheet=A0&amp;row=20&amp;col=19&amp;number=&amp;sourceID=1","")</f>
        <v/>
      </c>
      <c r="T20" s="4" t="str">
        <f>HYPERLINK("http://141.218.60.56/~jnz1568/getInfo.php?workbook=08_02.xlsx&amp;sheet=A0&amp;row=20&amp;col=20&amp;number=&amp;sourceID=1","")</f>
        <v/>
      </c>
    </row>
    <row r="21" spans="1:20">
      <c r="A21" s="3">
        <v>8</v>
      </c>
      <c r="B21" s="3">
        <v>2</v>
      </c>
      <c r="C21" s="3">
        <v>7</v>
      </c>
      <c r="D21" s="3">
        <v>5</v>
      </c>
      <c r="E21" s="3">
        <f>((1/(INDEX(E0!J$4:J$52,C21,1)-INDEX(E0!J$4:J$52,D21,1))))*100000000</f>
        <v>0</v>
      </c>
      <c r="F21" s="4" t="str">
        <f>HYPERLINK("http://141.218.60.56/~jnz1568/getInfo.php?workbook=08_02.xlsx&amp;sheet=A0&amp;row=21&amp;col=6&amp;number=&amp;sourceID=27","")</f>
        <v/>
      </c>
      <c r="G21" s="4" t="str">
        <f>HYPERLINK("http://141.218.60.56/~jnz1568/getInfo.php?workbook=08_02.xlsx&amp;sheet=A0&amp;row=21&amp;col=7&amp;number=&amp;sourceID=34","")</f>
        <v/>
      </c>
      <c r="H21" s="4" t="str">
        <f>HYPERLINK("http://141.218.60.56/~jnz1568/getInfo.php?workbook=08_02.xlsx&amp;sheet=A0&amp;row=21&amp;col=8&amp;number=&amp;sourceID=34","")</f>
        <v/>
      </c>
      <c r="I21" s="4" t="str">
        <f>HYPERLINK("http://141.218.60.56/~jnz1568/getInfo.php?workbook=08_02.xlsx&amp;sheet=A0&amp;row=21&amp;col=9&amp;number=&amp;sourceID=34","")</f>
        <v/>
      </c>
      <c r="J21" s="4" t="str">
        <f>HYPERLINK("http://141.218.60.56/~jnz1568/getInfo.php?workbook=08_02.xlsx&amp;sheet=A0&amp;row=21&amp;col=10&amp;number=&amp;sourceID=34","")</f>
        <v/>
      </c>
      <c r="K21" s="4" t="str">
        <f>HYPERLINK("http://141.218.60.56/~jnz1568/getInfo.php?workbook=08_02.xlsx&amp;sheet=A0&amp;row=21&amp;col=11&amp;number=&amp;sourceID=30","")</f>
        <v/>
      </c>
      <c r="L21" s="4" t="str">
        <f>HYPERLINK("http://141.218.60.56/~jnz1568/getInfo.php?workbook=08_02.xlsx&amp;sheet=A0&amp;row=21&amp;col=12&amp;number=0.0002927&amp;sourceID=30","0.0002927")</f>
        <v>0.0002927</v>
      </c>
      <c r="M21" s="4" t="str">
        <f>HYPERLINK("http://141.218.60.56/~jnz1568/getInfo.php?workbook=08_02.xlsx&amp;sheet=A0&amp;row=21&amp;col=13&amp;number=0.2225&amp;sourceID=30","0.2225")</f>
        <v>0.2225</v>
      </c>
      <c r="N21" s="4" t="str">
        <f>HYPERLINK("http://141.218.60.56/~jnz1568/getInfo.php?workbook=08_02.xlsx&amp;sheet=A0&amp;row=21&amp;col=14&amp;number=&amp;sourceID=30","")</f>
        <v/>
      </c>
      <c r="O21" s="4" t="str">
        <f>HYPERLINK("http://141.218.60.56/~jnz1568/getInfo.php?workbook=08_02.xlsx&amp;sheet=A0&amp;row=21&amp;col=15&amp;number=&amp;sourceID=32","")</f>
        <v/>
      </c>
      <c r="P21" s="4" t="str">
        <f>HYPERLINK("http://141.218.60.56/~jnz1568/getInfo.php?workbook=08_02.xlsx&amp;sheet=A0&amp;row=21&amp;col=16&amp;number=0.0002578&amp;sourceID=32","0.0002578")</f>
        <v>0.0002578</v>
      </c>
      <c r="Q21" s="4" t="str">
        <f>HYPERLINK("http://141.218.60.56/~jnz1568/getInfo.php?workbook=08_02.xlsx&amp;sheet=A0&amp;row=21&amp;col=17&amp;number=0.21&amp;sourceID=32","0.21")</f>
        <v>0.21</v>
      </c>
      <c r="R21" s="4" t="str">
        <f>HYPERLINK("http://141.218.60.56/~jnz1568/getInfo.php?workbook=08_02.xlsx&amp;sheet=A0&amp;row=21&amp;col=18&amp;number=&amp;sourceID=32","")</f>
        <v/>
      </c>
      <c r="S21" s="4" t="str">
        <f>HYPERLINK("http://141.218.60.56/~jnz1568/getInfo.php?workbook=08_02.xlsx&amp;sheet=A0&amp;row=21&amp;col=19&amp;number=&amp;sourceID=1","")</f>
        <v/>
      </c>
      <c r="T21" s="4" t="str">
        <f>HYPERLINK("http://141.218.60.56/~jnz1568/getInfo.php?workbook=08_02.xlsx&amp;sheet=A0&amp;row=21&amp;col=20&amp;number=&amp;sourceID=1","")</f>
        <v/>
      </c>
    </row>
    <row r="22" spans="1:20">
      <c r="A22" s="3">
        <v>8</v>
      </c>
      <c r="B22" s="3">
        <v>2</v>
      </c>
      <c r="C22" s="3">
        <v>7</v>
      </c>
      <c r="D22" s="3">
        <v>6</v>
      </c>
      <c r="E22" s="3">
        <f>((1/(INDEX(E0!J$4:J$52,C22,1)-INDEX(E0!J$4:J$52,D22,1))))*100000000</f>
        <v>0</v>
      </c>
      <c r="F22" s="4" t="str">
        <f>HYPERLINK("http://141.218.60.56/~jnz1568/getInfo.php?workbook=08_02.xlsx&amp;sheet=A0&amp;row=22&amp;col=6&amp;number=&amp;sourceID=27","")</f>
        <v/>
      </c>
      <c r="G22" s="4" t="str">
        <f>HYPERLINK("http://141.218.60.56/~jnz1568/getInfo.php?workbook=08_02.xlsx&amp;sheet=A0&amp;row=22&amp;col=7&amp;number=25140000&amp;sourceID=34","25140000")</f>
        <v>25140000</v>
      </c>
      <c r="H22" s="4" t="str">
        <f>HYPERLINK("http://141.218.60.56/~jnz1568/getInfo.php?workbook=08_02.xlsx&amp;sheet=A0&amp;row=22&amp;col=8&amp;number=&amp;sourceID=34","")</f>
        <v/>
      </c>
      <c r="I22" s="4" t="str">
        <f>HYPERLINK("http://141.218.60.56/~jnz1568/getInfo.php?workbook=08_02.xlsx&amp;sheet=A0&amp;row=22&amp;col=9&amp;number=&amp;sourceID=34","")</f>
        <v/>
      </c>
      <c r="J22" s="4" t="str">
        <f>HYPERLINK("http://141.218.60.56/~jnz1568/getInfo.php?workbook=08_02.xlsx&amp;sheet=A0&amp;row=22&amp;col=10&amp;number=&amp;sourceID=34","")</f>
        <v/>
      </c>
      <c r="K22" s="4" t="str">
        <f>HYPERLINK("http://141.218.60.56/~jnz1568/getInfo.php?workbook=08_02.xlsx&amp;sheet=A0&amp;row=22&amp;col=11&amp;number=21570000&amp;sourceID=30","21570000")</f>
        <v>21570000</v>
      </c>
      <c r="L22" s="4" t="str">
        <f>HYPERLINK("http://141.218.60.56/~jnz1568/getInfo.php?workbook=08_02.xlsx&amp;sheet=A0&amp;row=22&amp;col=12&amp;number=&amp;sourceID=30","")</f>
        <v/>
      </c>
      <c r="M22" s="4" t="str">
        <f>HYPERLINK("http://141.218.60.56/~jnz1568/getInfo.php?workbook=08_02.xlsx&amp;sheet=A0&amp;row=22&amp;col=13&amp;number=&amp;sourceID=30","")</f>
        <v/>
      </c>
      <c r="N22" s="4" t="str">
        <f>HYPERLINK("http://141.218.60.56/~jnz1568/getInfo.php?workbook=08_02.xlsx&amp;sheet=A0&amp;row=22&amp;col=14&amp;number=&amp;sourceID=30","")</f>
        <v/>
      </c>
      <c r="O22" s="4" t="str">
        <f>HYPERLINK("http://141.218.60.56/~jnz1568/getInfo.php?workbook=08_02.xlsx&amp;sheet=A0&amp;row=22&amp;col=15&amp;number=25480000&amp;sourceID=32","25480000")</f>
        <v>25480000</v>
      </c>
      <c r="P22" s="4" t="str">
        <f>HYPERLINK("http://141.218.60.56/~jnz1568/getInfo.php?workbook=08_02.xlsx&amp;sheet=A0&amp;row=22&amp;col=16&amp;number=&amp;sourceID=32","")</f>
        <v/>
      </c>
      <c r="Q22" s="4" t="str">
        <f>HYPERLINK("http://141.218.60.56/~jnz1568/getInfo.php?workbook=08_02.xlsx&amp;sheet=A0&amp;row=22&amp;col=17&amp;number=&amp;sourceID=32","")</f>
        <v/>
      </c>
      <c r="R22" s="4" t="str">
        <f>HYPERLINK("http://141.218.60.56/~jnz1568/getInfo.php?workbook=08_02.xlsx&amp;sheet=A0&amp;row=22&amp;col=18&amp;number=&amp;sourceID=32","")</f>
        <v/>
      </c>
      <c r="S22" s="4" t="str">
        <f>HYPERLINK("http://141.218.60.56/~jnz1568/getInfo.php?workbook=08_02.xlsx&amp;sheet=A0&amp;row=22&amp;col=19&amp;number=&amp;sourceID=1","")</f>
        <v/>
      </c>
      <c r="T22" s="4" t="str">
        <f>HYPERLINK("http://141.218.60.56/~jnz1568/getInfo.php?workbook=08_02.xlsx&amp;sheet=A0&amp;row=22&amp;col=20&amp;number=&amp;sourceID=1","")</f>
        <v/>
      </c>
    </row>
    <row r="23" spans="1:20">
      <c r="A23" s="3">
        <v>8</v>
      </c>
      <c r="B23" s="3">
        <v>2</v>
      </c>
      <c r="C23" s="3">
        <v>8</v>
      </c>
      <c r="D23" s="3">
        <v>1</v>
      </c>
      <c r="E23" s="3">
        <f>((1/(INDEX(E0!J$4:J$52,C23,1)-INDEX(E0!J$4:J$52,D23,1))))*100000000</f>
        <v>0</v>
      </c>
      <c r="F23" s="4" t="str">
        <f>HYPERLINK("http://141.218.60.56/~jnz1568/getInfo.php?workbook=08_02.xlsx&amp;sheet=A0&amp;row=23&amp;col=6&amp;number=&amp;sourceID=27","")</f>
        <v/>
      </c>
      <c r="G23" s="4" t="str">
        <f>HYPERLINK("http://141.218.60.56/~jnz1568/getInfo.php?workbook=08_02.xlsx&amp;sheet=A0&amp;row=23&amp;col=7&amp;number=&amp;sourceID=34","")</f>
        <v/>
      </c>
      <c r="H23" s="4" t="str">
        <f>HYPERLINK("http://141.218.60.56/~jnz1568/getInfo.php?workbook=08_02.xlsx&amp;sheet=A0&amp;row=23&amp;col=8&amp;number=&amp;sourceID=34","")</f>
        <v/>
      </c>
      <c r="I23" s="4" t="str">
        <f>HYPERLINK("http://141.218.60.56/~jnz1568/getInfo.php?workbook=08_02.xlsx&amp;sheet=A0&amp;row=23&amp;col=9&amp;number=357&amp;sourceID=34","357")</f>
        <v>357</v>
      </c>
      <c r="J23" s="4" t="str">
        <f>HYPERLINK("http://141.218.60.56/~jnz1568/getInfo.php?workbook=08_02.xlsx&amp;sheet=A0&amp;row=23&amp;col=10&amp;number=&amp;sourceID=34","")</f>
        <v/>
      </c>
      <c r="K23" s="4" t="str">
        <f>HYPERLINK("http://141.218.60.56/~jnz1568/getInfo.php?workbook=08_02.xlsx&amp;sheet=A0&amp;row=23&amp;col=11&amp;number=&amp;sourceID=30","")</f>
        <v/>
      </c>
      <c r="L23" s="4" t="str">
        <f>HYPERLINK("http://141.218.60.56/~jnz1568/getInfo.php?workbook=08_02.xlsx&amp;sheet=A0&amp;row=23&amp;col=12&amp;number=&amp;sourceID=30","")</f>
        <v/>
      </c>
      <c r="M23" s="4" t="str">
        <f>HYPERLINK("http://141.218.60.56/~jnz1568/getInfo.php?workbook=08_02.xlsx&amp;sheet=A0&amp;row=23&amp;col=13&amp;number=250.2&amp;sourceID=30","250.2")</f>
        <v>250.2</v>
      </c>
      <c r="N23" s="4" t="str">
        <f>HYPERLINK("http://141.218.60.56/~jnz1568/getInfo.php?workbook=08_02.xlsx&amp;sheet=A0&amp;row=23&amp;col=14&amp;number=&amp;sourceID=30","")</f>
        <v/>
      </c>
      <c r="O23" s="4" t="str">
        <f>HYPERLINK("http://141.218.60.56/~jnz1568/getInfo.php?workbook=08_02.xlsx&amp;sheet=A0&amp;row=23&amp;col=15&amp;number=&amp;sourceID=32","")</f>
        <v/>
      </c>
      <c r="P23" s="4" t="str">
        <f>HYPERLINK("http://141.218.60.56/~jnz1568/getInfo.php?workbook=08_02.xlsx&amp;sheet=A0&amp;row=23&amp;col=16&amp;number=&amp;sourceID=32","")</f>
        <v/>
      </c>
      <c r="Q23" s="4" t="str">
        <f>HYPERLINK("http://141.218.60.56/~jnz1568/getInfo.php?workbook=08_02.xlsx&amp;sheet=A0&amp;row=23&amp;col=17&amp;number=436.2&amp;sourceID=32","436.2")</f>
        <v>436.2</v>
      </c>
      <c r="R23" s="4" t="str">
        <f>HYPERLINK("http://141.218.60.56/~jnz1568/getInfo.php?workbook=08_02.xlsx&amp;sheet=A0&amp;row=23&amp;col=18&amp;number=&amp;sourceID=32","")</f>
        <v/>
      </c>
      <c r="S23" s="4" t="str">
        <f>HYPERLINK("http://141.218.60.56/~jnz1568/getInfo.php?workbook=08_02.xlsx&amp;sheet=A0&amp;row=23&amp;col=19&amp;number=&amp;sourceID=1","")</f>
        <v/>
      </c>
      <c r="T23" s="4" t="str">
        <f>HYPERLINK("http://141.218.60.56/~jnz1568/getInfo.php?workbook=08_02.xlsx&amp;sheet=A0&amp;row=23&amp;col=20&amp;number=&amp;sourceID=1","")</f>
        <v/>
      </c>
    </row>
    <row r="24" spans="1:20">
      <c r="A24" s="3">
        <v>8</v>
      </c>
      <c r="B24" s="3">
        <v>2</v>
      </c>
      <c r="C24" s="3">
        <v>8</v>
      </c>
      <c r="D24" s="3">
        <v>2</v>
      </c>
      <c r="E24" s="3">
        <f>((1/(INDEX(E0!J$4:J$52,C24,1)-INDEX(E0!J$4:J$52,D24,1))))*100000000</f>
        <v>0</v>
      </c>
      <c r="F24" s="4" t="str">
        <f>HYPERLINK("http://141.218.60.56/~jnz1568/getInfo.php?workbook=08_02.xlsx&amp;sheet=A0&amp;row=24&amp;col=6&amp;number=&amp;sourceID=27","")</f>
        <v/>
      </c>
      <c r="G24" s="4" t="str">
        <f>HYPERLINK("http://141.218.60.56/~jnz1568/getInfo.php?workbook=08_02.xlsx&amp;sheet=A0&amp;row=24&amp;col=7&amp;number=&amp;sourceID=34","")</f>
        <v/>
      </c>
      <c r="H24" s="4" t="str">
        <f>HYPERLINK("http://141.218.60.56/~jnz1568/getInfo.php?workbook=08_02.xlsx&amp;sheet=A0&amp;row=24&amp;col=8&amp;number=&amp;sourceID=34","")</f>
        <v/>
      </c>
      <c r="I24" s="4" t="str">
        <f>HYPERLINK("http://141.218.60.56/~jnz1568/getInfo.php?workbook=08_02.xlsx&amp;sheet=A0&amp;row=24&amp;col=9&amp;number=&amp;sourceID=34","")</f>
        <v/>
      </c>
      <c r="J24" s="4" t="str">
        <f>HYPERLINK("http://141.218.60.56/~jnz1568/getInfo.php?workbook=08_02.xlsx&amp;sheet=A0&amp;row=24&amp;col=10&amp;number=&amp;sourceID=34","")</f>
        <v/>
      </c>
      <c r="K24" s="4" t="str">
        <f>HYPERLINK("http://141.218.60.56/~jnz1568/getInfo.php?workbook=08_02.xlsx&amp;sheet=A0&amp;row=24&amp;col=11&amp;number=&amp;sourceID=30","")</f>
        <v/>
      </c>
      <c r="L24" s="4" t="str">
        <f>HYPERLINK("http://141.218.60.56/~jnz1568/getInfo.php?workbook=08_02.xlsx&amp;sheet=A0&amp;row=24&amp;col=12&amp;number=0.1215&amp;sourceID=30","0.1215")</f>
        <v>0.1215</v>
      </c>
      <c r="M24" s="4" t="str">
        <f>HYPERLINK("http://141.218.60.56/~jnz1568/getInfo.php?workbook=08_02.xlsx&amp;sheet=A0&amp;row=24&amp;col=13&amp;number=0.4532&amp;sourceID=30","0.4532")</f>
        <v>0.4532</v>
      </c>
      <c r="N24" s="4" t="str">
        <f>HYPERLINK("http://141.218.60.56/~jnz1568/getInfo.php?workbook=08_02.xlsx&amp;sheet=A0&amp;row=24&amp;col=14&amp;number=&amp;sourceID=30","")</f>
        <v/>
      </c>
      <c r="O24" s="4" t="str">
        <f>HYPERLINK("http://141.218.60.56/~jnz1568/getInfo.php?workbook=08_02.xlsx&amp;sheet=A0&amp;row=24&amp;col=15&amp;number=&amp;sourceID=32","")</f>
        <v/>
      </c>
      <c r="P24" s="4" t="str">
        <f>HYPERLINK("http://141.218.60.56/~jnz1568/getInfo.php?workbook=08_02.xlsx&amp;sheet=A0&amp;row=24&amp;col=16&amp;number=0.1313&amp;sourceID=32","0.1313")</f>
        <v>0.1313</v>
      </c>
      <c r="Q24" s="4" t="str">
        <f>HYPERLINK("http://141.218.60.56/~jnz1568/getInfo.php?workbook=08_02.xlsx&amp;sheet=A0&amp;row=24&amp;col=17&amp;number=0.4736&amp;sourceID=32","0.4736")</f>
        <v>0.4736</v>
      </c>
      <c r="R24" s="4" t="str">
        <f>HYPERLINK("http://141.218.60.56/~jnz1568/getInfo.php?workbook=08_02.xlsx&amp;sheet=A0&amp;row=24&amp;col=18&amp;number=&amp;sourceID=32","")</f>
        <v/>
      </c>
      <c r="S24" s="4" t="str">
        <f>HYPERLINK("http://141.218.60.56/~jnz1568/getInfo.php?workbook=08_02.xlsx&amp;sheet=A0&amp;row=24&amp;col=19&amp;number=&amp;sourceID=1","")</f>
        <v/>
      </c>
      <c r="T24" s="4" t="str">
        <f>HYPERLINK("http://141.218.60.56/~jnz1568/getInfo.php?workbook=08_02.xlsx&amp;sheet=A0&amp;row=24&amp;col=20&amp;number=&amp;sourceID=1","")</f>
        <v/>
      </c>
    </row>
    <row r="25" spans="1:20">
      <c r="A25" s="3">
        <v>8</v>
      </c>
      <c r="B25" s="3">
        <v>2</v>
      </c>
      <c r="C25" s="3">
        <v>8</v>
      </c>
      <c r="D25" s="3">
        <v>3</v>
      </c>
      <c r="E25" s="3">
        <f>((1/(INDEX(E0!J$4:J$52,C25,1)-INDEX(E0!J$4:J$52,D25,1))))*100000000</f>
        <v>0</v>
      </c>
      <c r="F25" s="4" t="str">
        <f>HYPERLINK("http://141.218.60.56/~jnz1568/getInfo.php?workbook=08_02.xlsx&amp;sheet=A0&amp;row=25&amp;col=6&amp;number=&amp;sourceID=27","")</f>
        <v/>
      </c>
      <c r="G25" s="4" t="str">
        <f>HYPERLINK("http://141.218.60.56/~jnz1568/getInfo.php?workbook=08_02.xlsx&amp;sheet=A0&amp;row=25&amp;col=7&amp;number=2505000000&amp;sourceID=34","2505000000")</f>
        <v>2505000000</v>
      </c>
      <c r="H25" s="4" t="str">
        <f>HYPERLINK("http://141.218.60.56/~jnz1568/getInfo.php?workbook=08_02.xlsx&amp;sheet=A0&amp;row=25&amp;col=8&amp;number=&amp;sourceID=34","")</f>
        <v/>
      </c>
      <c r="I25" s="4" t="str">
        <f>HYPERLINK("http://141.218.60.56/~jnz1568/getInfo.php?workbook=08_02.xlsx&amp;sheet=A0&amp;row=25&amp;col=9&amp;number=&amp;sourceID=34","")</f>
        <v/>
      </c>
      <c r="J25" s="4" t="str">
        <f>HYPERLINK("http://141.218.60.56/~jnz1568/getInfo.php?workbook=08_02.xlsx&amp;sheet=A0&amp;row=25&amp;col=10&amp;number=&amp;sourceID=34","")</f>
        <v/>
      </c>
      <c r="K25" s="4" t="str">
        <f>HYPERLINK("http://141.218.60.56/~jnz1568/getInfo.php?workbook=08_02.xlsx&amp;sheet=A0&amp;row=25&amp;col=11&amp;number=2404000000&amp;sourceID=30","2404000000")</f>
        <v>2404000000</v>
      </c>
      <c r="L25" s="4" t="str">
        <f>HYPERLINK("http://141.218.60.56/~jnz1568/getInfo.php?workbook=08_02.xlsx&amp;sheet=A0&amp;row=25&amp;col=12&amp;number=&amp;sourceID=30","")</f>
        <v/>
      </c>
      <c r="M25" s="4" t="str">
        <f>HYPERLINK("http://141.218.60.56/~jnz1568/getInfo.php?workbook=08_02.xlsx&amp;sheet=A0&amp;row=25&amp;col=13&amp;number=&amp;sourceID=30","")</f>
        <v/>
      </c>
      <c r="N25" s="4" t="str">
        <f>HYPERLINK("http://141.218.60.56/~jnz1568/getInfo.php?workbook=08_02.xlsx&amp;sheet=A0&amp;row=25&amp;col=14&amp;number=&amp;sourceID=30","")</f>
        <v/>
      </c>
      <c r="O25" s="4" t="str">
        <f>HYPERLINK("http://141.218.60.56/~jnz1568/getInfo.php?workbook=08_02.xlsx&amp;sheet=A0&amp;row=25&amp;col=15&amp;number=2519000000&amp;sourceID=32","2519000000")</f>
        <v>2519000000</v>
      </c>
      <c r="P25" s="4" t="str">
        <f>HYPERLINK("http://141.218.60.56/~jnz1568/getInfo.php?workbook=08_02.xlsx&amp;sheet=A0&amp;row=25&amp;col=16&amp;number=&amp;sourceID=32","")</f>
        <v/>
      </c>
      <c r="Q25" s="4" t="str">
        <f>HYPERLINK("http://141.218.60.56/~jnz1568/getInfo.php?workbook=08_02.xlsx&amp;sheet=A0&amp;row=25&amp;col=17&amp;number=&amp;sourceID=32","")</f>
        <v/>
      </c>
      <c r="R25" s="4" t="str">
        <f>HYPERLINK("http://141.218.60.56/~jnz1568/getInfo.php?workbook=08_02.xlsx&amp;sheet=A0&amp;row=25&amp;col=18&amp;number=&amp;sourceID=32","")</f>
        <v/>
      </c>
      <c r="S25" s="4" t="str">
        <f>HYPERLINK("http://141.218.60.56/~jnz1568/getInfo.php?workbook=08_02.xlsx&amp;sheet=A0&amp;row=25&amp;col=19&amp;number=&amp;sourceID=1","")</f>
        <v/>
      </c>
      <c r="T25" s="4" t="str">
        <f>HYPERLINK("http://141.218.60.56/~jnz1568/getInfo.php?workbook=08_02.xlsx&amp;sheet=A0&amp;row=25&amp;col=20&amp;number=&amp;sourceID=1","")</f>
        <v/>
      </c>
    </row>
    <row r="26" spans="1:20">
      <c r="A26" s="3">
        <v>8</v>
      </c>
      <c r="B26" s="3">
        <v>2</v>
      </c>
      <c r="C26" s="3">
        <v>8</v>
      </c>
      <c r="D26" s="3">
        <v>4</v>
      </c>
      <c r="E26" s="3">
        <f>((1/(INDEX(E0!J$4:J$52,C26,1)-INDEX(E0!J$4:J$52,D26,1))))*100000000</f>
        <v>0</v>
      </c>
      <c r="F26" s="4" t="str">
        <f>HYPERLINK("http://141.218.60.56/~jnz1568/getInfo.php?workbook=08_02.xlsx&amp;sheet=A0&amp;row=26&amp;col=6&amp;number=&amp;sourceID=27","")</f>
        <v/>
      </c>
      <c r="G26" s="4" t="str">
        <f>HYPERLINK("http://141.218.60.56/~jnz1568/getInfo.php?workbook=08_02.xlsx&amp;sheet=A0&amp;row=26&amp;col=7&amp;number=7513333333.33&amp;sourceID=34","7513333333.33")</f>
        <v>7513333333.33</v>
      </c>
      <c r="H26" s="4" t="str">
        <f>HYPERLINK("http://141.218.60.56/~jnz1568/getInfo.php?workbook=08_02.xlsx&amp;sheet=A0&amp;row=26&amp;col=8&amp;number=&amp;sourceID=34","")</f>
        <v/>
      </c>
      <c r="I26" s="4" t="str">
        <f>HYPERLINK("http://141.218.60.56/~jnz1568/getInfo.php?workbook=08_02.xlsx&amp;sheet=A0&amp;row=26&amp;col=9&amp;number=&amp;sourceID=34","")</f>
        <v/>
      </c>
      <c r="J26" s="4" t="str">
        <f>HYPERLINK("http://141.218.60.56/~jnz1568/getInfo.php?workbook=08_02.xlsx&amp;sheet=A0&amp;row=26&amp;col=10&amp;number=&amp;sourceID=34","")</f>
        <v/>
      </c>
      <c r="K26" s="4" t="str">
        <f>HYPERLINK("http://141.218.60.56/~jnz1568/getInfo.php?workbook=08_02.xlsx&amp;sheet=A0&amp;row=26&amp;col=11&amp;number=7188000000&amp;sourceID=30","7188000000")</f>
        <v>7188000000</v>
      </c>
      <c r="L26" s="4" t="str">
        <f>HYPERLINK("http://141.218.60.56/~jnz1568/getInfo.php?workbook=08_02.xlsx&amp;sheet=A0&amp;row=26&amp;col=12&amp;number=&amp;sourceID=30","")</f>
        <v/>
      </c>
      <c r="M26" s="4" t="str">
        <f>HYPERLINK("http://141.218.60.56/~jnz1568/getInfo.php?workbook=08_02.xlsx&amp;sheet=A0&amp;row=26&amp;col=13&amp;number=&amp;sourceID=30","")</f>
        <v/>
      </c>
      <c r="N26" s="4" t="str">
        <f>HYPERLINK("http://141.218.60.56/~jnz1568/getInfo.php?workbook=08_02.xlsx&amp;sheet=A0&amp;row=26&amp;col=14&amp;number=14.43&amp;sourceID=30","14.43")</f>
        <v>14.43</v>
      </c>
      <c r="O26" s="4" t="str">
        <f>HYPERLINK("http://141.218.60.56/~jnz1568/getInfo.php?workbook=08_02.xlsx&amp;sheet=A0&amp;row=26&amp;col=15&amp;number=7538000000&amp;sourceID=32","7538000000")</f>
        <v>7538000000</v>
      </c>
      <c r="P26" s="4" t="str">
        <f>HYPERLINK("http://141.218.60.56/~jnz1568/getInfo.php?workbook=08_02.xlsx&amp;sheet=A0&amp;row=26&amp;col=16&amp;number=&amp;sourceID=32","")</f>
        <v/>
      </c>
      <c r="Q26" s="4" t="str">
        <f>HYPERLINK("http://141.218.60.56/~jnz1568/getInfo.php?workbook=08_02.xlsx&amp;sheet=A0&amp;row=26&amp;col=17&amp;number=&amp;sourceID=32","")</f>
        <v/>
      </c>
      <c r="R26" s="4" t="str">
        <f>HYPERLINK("http://141.218.60.56/~jnz1568/getInfo.php?workbook=08_02.xlsx&amp;sheet=A0&amp;row=26&amp;col=18&amp;number=15.2&amp;sourceID=32","15.2")</f>
        <v>15.2</v>
      </c>
      <c r="S26" s="4" t="str">
        <f>HYPERLINK("http://141.218.60.56/~jnz1568/getInfo.php?workbook=08_02.xlsx&amp;sheet=A0&amp;row=26&amp;col=19&amp;number=&amp;sourceID=1","")</f>
        <v/>
      </c>
      <c r="T26" s="4" t="str">
        <f>HYPERLINK("http://141.218.60.56/~jnz1568/getInfo.php?workbook=08_02.xlsx&amp;sheet=A0&amp;row=26&amp;col=20&amp;number=&amp;sourceID=1","")</f>
        <v/>
      </c>
    </row>
    <row r="27" spans="1:20">
      <c r="A27" s="3">
        <v>8</v>
      </c>
      <c r="B27" s="3">
        <v>2</v>
      </c>
      <c r="C27" s="3">
        <v>8</v>
      </c>
      <c r="D27" s="3">
        <v>5</v>
      </c>
      <c r="E27" s="3">
        <f>((1/(INDEX(E0!J$4:J$52,C27,1)-INDEX(E0!J$4:J$52,D27,1))))*100000000</f>
        <v>0</v>
      </c>
      <c r="F27" s="4" t="str">
        <f>HYPERLINK("http://141.218.60.56/~jnz1568/getInfo.php?workbook=08_02.xlsx&amp;sheet=A0&amp;row=27&amp;col=6&amp;number=&amp;sourceID=27","")</f>
        <v/>
      </c>
      <c r="G27" s="4" t="str">
        <f>HYPERLINK("http://141.218.60.56/~jnz1568/getInfo.php?workbook=08_02.xlsx&amp;sheet=A0&amp;row=27&amp;col=7&amp;number=12490000000&amp;sourceID=34","12490000000")</f>
        <v>12490000000</v>
      </c>
      <c r="H27" s="4" t="str">
        <f>HYPERLINK("http://141.218.60.56/~jnz1568/getInfo.php?workbook=08_02.xlsx&amp;sheet=A0&amp;row=27&amp;col=8&amp;number=&amp;sourceID=34","")</f>
        <v/>
      </c>
      <c r="I27" s="4" t="str">
        <f>HYPERLINK("http://141.218.60.56/~jnz1568/getInfo.php?workbook=08_02.xlsx&amp;sheet=A0&amp;row=27&amp;col=9&amp;number=&amp;sourceID=34","")</f>
        <v/>
      </c>
      <c r="J27" s="4" t="str">
        <f>HYPERLINK("http://141.218.60.56/~jnz1568/getInfo.php?workbook=08_02.xlsx&amp;sheet=A0&amp;row=27&amp;col=10&amp;number=&amp;sourceID=34","")</f>
        <v/>
      </c>
      <c r="K27" s="4" t="str">
        <f>HYPERLINK("http://141.218.60.56/~jnz1568/getInfo.php?workbook=08_02.xlsx&amp;sheet=A0&amp;row=27&amp;col=11&amp;number=12020000000&amp;sourceID=30","12020000000")</f>
        <v>12020000000</v>
      </c>
      <c r="L27" s="4" t="str">
        <f>HYPERLINK("http://141.218.60.56/~jnz1568/getInfo.php?workbook=08_02.xlsx&amp;sheet=A0&amp;row=27&amp;col=12&amp;number=&amp;sourceID=30","")</f>
        <v/>
      </c>
      <c r="M27" s="4" t="str">
        <f>HYPERLINK("http://141.218.60.56/~jnz1568/getInfo.php?workbook=08_02.xlsx&amp;sheet=A0&amp;row=27&amp;col=13&amp;number=&amp;sourceID=30","")</f>
        <v/>
      </c>
      <c r="N27" s="4" t="str">
        <f>HYPERLINK("http://141.218.60.56/~jnz1568/getInfo.php?workbook=08_02.xlsx&amp;sheet=A0&amp;row=27&amp;col=14&amp;number=44.98&amp;sourceID=30","44.98")</f>
        <v>44.98</v>
      </c>
      <c r="O27" s="4" t="str">
        <f>HYPERLINK("http://141.218.60.56/~jnz1568/getInfo.php?workbook=08_02.xlsx&amp;sheet=A0&amp;row=27&amp;col=15&amp;number=12610000000&amp;sourceID=32","12610000000")</f>
        <v>12610000000</v>
      </c>
      <c r="P27" s="4" t="str">
        <f>HYPERLINK("http://141.218.60.56/~jnz1568/getInfo.php?workbook=08_02.xlsx&amp;sheet=A0&amp;row=27&amp;col=16&amp;number=&amp;sourceID=32","")</f>
        <v/>
      </c>
      <c r="Q27" s="4" t="str">
        <f>HYPERLINK("http://141.218.60.56/~jnz1568/getInfo.php?workbook=08_02.xlsx&amp;sheet=A0&amp;row=27&amp;col=17&amp;number=&amp;sourceID=32","")</f>
        <v/>
      </c>
      <c r="R27" s="4" t="str">
        <f>HYPERLINK("http://141.218.60.56/~jnz1568/getInfo.php?workbook=08_02.xlsx&amp;sheet=A0&amp;row=27&amp;col=18&amp;number=47.32&amp;sourceID=32","47.32")</f>
        <v>47.32</v>
      </c>
      <c r="S27" s="4" t="str">
        <f>HYPERLINK("http://141.218.60.56/~jnz1568/getInfo.php?workbook=08_02.xlsx&amp;sheet=A0&amp;row=27&amp;col=19&amp;number=&amp;sourceID=1","")</f>
        <v/>
      </c>
      <c r="T27" s="4" t="str">
        <f>HYPERLINK("http://141.218.60.56/~jnz1568/getInfo.php?workbook=08_02.xlsx&amp;sheet=A0&amp;row=27&amp;col=20&amp;number=&amp;sourceID=1","")</f>
        <v/>
      </c>
    </row>
    <row r="28" spans="1:20">
      <c r="A28" s="3">
        <v>8</v>
      </c>
      <c r="B28" s="3">
        <v>2</v>
      </c>
      <c r="C28" s="3">
        <v>8</v>
      </c>
      <c r="D28" s="3">
        <v>6</v>
      </c>
      <c r="E28" s="3">
        <f>((1/(INDEX(E0!J$4:J$52,C28,1)-INDEX(E0!J$4:J$52,D28,1))))*100000000</f>
        <v>0</v>
      </c>
      <c r="F28" s="4" t="str">
        <f>HYPERLINK("http://141.218.60.56/~jnz1568/getInfo.php?workbook=08_02.xlsx&amp;sheet=A0&amp;row=28&amp;col=6&amp;number=&amp;sourceID=27","")</f>
        <v/>
      </c>
      <c r="G28" s="4" t="str">
        <f>HYPERLINK("http://141.218.60.56/~jnz1568/getInfo.php?workbook=08_02.xlsx&amp;sheet=A0&amp;row=28&amp;col=7&amp;number=&amp;sourceID=34","")</f>
        <v/>
      </c>
      <c r="H28" s="4" t="str">
        <f>HYPERLINK("http://141.218.60.56/~jnz1568/getInfo.php?workbook=08_02.xlsx&amp;sheet=A0&amp;row=28&amp;col=8&amp;number=&amp;sourceID=34","")</f>
        <v/>
      </c>
      <c r="I28" s="4" t="str">
        <f>HYPERLINK("http://141.218.60.56/~jnz1568/getInfo.php?workbook=08_02.xlsx&amp;sheet=A0&amp;row=28&amp;col=9&amp;number=&amp;sourceID=34","")</f>
        <v/>
      </c>
      <c r="J28" s="4" t="str">
        <f>HYPERLINK("http://141.218.60.56/~jnz1568/getInfo.php?workbook=08_02.xlsx&amp;sheet=A0&amp;row=28&amp;col=10&amp;number=&amp;sourceID=34","")</f>
        <v/>
      </c>
      <c r="K28" s="4" t="str">
        <f>HYPERLINK("http://141.218.60.56/~jnz1568/getInfo.php?workbook=08_02.xlsx&amp;sheet=A0&amp;row=28&amp;col=11&amp;number=&amp;sourceID=30","")</f>
        <v/>
      </c>
      <c r="L28" s="4" t="str">
        <f>HYPERLINK("http://141.218.60.56/~jnz1568/getInfo.php?workbook=08_02.xlsx&amp;sheet=A0&amp;row=28&amp;col=12&amp;number=&amp;sourceID=30","")</f>
        <v/>
      </c>
      <c r="M28" s="4" t="str">
        <f>HYPERLINK("http://141.218.60.56/~jnz1568/getInfo.php?workbook=08_02.xlsx&amp;sheet=A0&amp;row=28&amp;col=13&amp;number=0.3879&amp;sourceID=30","0.3879")</f>
        <v>0.3879</v>
      </c>
      <c r="N28" s="4" t="str">
        <f>HYPERLINK("http://141.218.60.56/~jnz1568/getInfo.php?workbook=08_02.xlsx&amp;sheet=A0&amp;row=28&amp;col=14&amp;number=&amp;sourceID=30","")</f>
        <v/>
      </c>
      <c r="O28" s="4" t="str">
        <f>HYPERLINK("http://141.218.60.56/~jnz1568/getInfo.php?workbook=08_02.xlsx&amp;sheet=A0&amp;row=28&amp;col=15&amp;number=&amp;sourceID=32","")</f>
        <v/>
      </c>
      <c r="P28" s="4" t="str">
        <f>HYPERLINK("http://141.218.60.56/~jnz1568/getInfo.php?workbook=08_02.xlsx&amp;sheet=A0&amp;row=28&amp;col=16&amp;number=&amp;sourceID=32","")</f>
        <v/>
      </c>
      <c r="Q28" s="4" t="str">
        <f>HYPERLINK("http://141.218.60.56/~jnz1568/getInfo.php?workbook=08_02.xlsx&amp;sheet=A0&amp;row=28&amp;col=17&amp;number=0.3677&amp;sourceID=32","0.3677")</f>
        <v>0.3677</v>
      </c>
      <c r="R28" s="4" t="str">
        <f>HYPERLINK("http://141.218.60.56/~jnz1568/getInfo.php?workbook=08_02.xlsx&amp;sheet=A0&amp;row=28&amp;col=18&amp;number=&amp;sourceID=32","")</f>
        <v/>
      </c>
      <c r="S28" s="4" t="str">
        <f>HYPERLINK("http://141.218.60.56/~jnz1568/getInfo.php?workbook=08_02.xlsx&amp;sheet=A0&amp;row=28&amp;col=19&amp;number=&amp;sourceID=1","")</f>
        <v/>
      </c>
      <c r="T28" s="4" t="str">
        <f>HYPERLINK("http://141.218.60.56/~jnz1568/getInfo.php?workbook=08_02.xlsx&amp;sheet=A0&amp;row=28&amp;col=20&amp;number=&amp;sourceID=1","")</f>
        <v/>
      </c>
    </row>
    <row r="29" spans="1:20">
      <c r="A29" s="3">
        <v>8</v>
      </c>
      <c r="B29" s="3">
        <v>2</v>
      </c>
      <c r="C29" s="3">
        <v>8</v>
      </c>
      <c r="D29" s="3">
        <v>7</v>
      </c>
      <c r="E29" s="3">
        <f>((1/(INDEX(E0!J$4:J$52,C29,1)-INDEX(E0!J$4:J$52,D29,1))))*100000000</f>
        <v>0</v>
      </c>
      <c r="F29" s="4" t="str">
        <f>HYPERLINK("http://141.218.60.56/~jnz1568/getInfo.php?workbook=08_02.xlsx&amp;sheet=A0&amp;row=29&amp;col=6&amp;number=&amp;sourceID=27","")</f>
        <v/>
      </c>
      <c r="G29" s="4" t="str">
        <f>HYPERLINK("http://141.218.60.56/~jnz1568/getInfo.php?workbook=08_02.xlsx&amp;sheet=A0&amp;row=29&amp;col=7&amp;number=&amp;sourceID=34","")</f>
        <v/>
      </c>
      <c r="H29" s="4" t="str">
        <f>HYPERLINK("http://141.218.60.56/~jnz1568/getInfo.php?workbook=08_02.xlsx&amp;sheet=A0&amp;row=29&amp;col=8&amp;number=&amp;sourceID=34","")</f>
        <v/>
      </c>
      <c r="I29" s="4" t="str">
        <f>HYPERLINK("http://141.218.60.56/~jnz1568/getInfo.php?workbook=08_02.xlsx&amp;sheet=A0&amp;row=29&amp;col=9&amp;number=&amp;sourceID=34","")</f>
        <v/>
      </c>
      <c r="J29" s="4" t="str">
        <f>HYPERLINK("http://141.218.60.56/~jnz1568/getInfo.php?workbook=08_02.xlsx&amp;sheet=A0&amp;row=29&amp;col=10&amp;number=&amp;sourceID=34","")</f>
        <v/>
      </c>
      <c r="K29" s="4" t="str">
        <f>HYPERLINK("http://141.218.60.56/~jnz1568/getInfo.php?workbook=08_02.xlsx&amp;sheet=A0&amp;row=29&amp;col=11&amp;number=1304000&amp;sourceID=30","1304000")</f>
        <v>1304000</v>
      </c>
      <c r="L29" s="4" t="str">
        <f>HYPERLINK("http://141.218.60.56/~jnz1568/getInfo.php?workbook=08_02.xlsx&amp;sheet=A0&amp;row=29&amp;col=12&amp;number=&amp;sourceID=30","")</f>
        <v/>
      </c>
      <c r="M29" s="4" t="str">
        <f>HYPERLINK("http://141.218.60.56/~jnz1568/getInfo.php?workbook=08_02.xlsx&amp;sheet=A0&amp;row=29&amp;col=13&amp;number=&amp;sourceID=30","")</f>
        <v/>
      </c>
      <c r="N29" s="4" t="str">
        <f>HYPERLINK("http://141.218.60.56/~jnz1568/getInfo.php?workbook=08_02.xlsx&amp;sheet=A0&amp;row=29&amp;col=14&amp;number=36.75&amp;sourceID=30","36.75")</f>
        <v>36.75</v>
      </c>
      <c r="O29" s="4" t="str">
        <f>HYPERLINK("http://141.218.60.56/~jnz1568/getInfo.php?workbook=08_02.xlsx&amp;sheet=A0&amp;row=29&amp;col=15&amp;number=1387000&amp;sourceID=32","1387000")</f>
        <v>1387000</v>
      </c>
      <c r="P29" s="4" t="str">
        <f>HYPERLINK("http://141.218.60.56/~jnz1568/getInfo.php?workbook=08_02.xlsx&amp;sheet=A0&amp;row=29&amp;col=16&amp;number=&amp;sourceID=32","")</f>
        <v/>
      </c>
      <c r="Q29" s="4" t="str">
        <f>HYPERLINK("http://141.218.60.56/~jnz1568/getInfo.php?workbook=08_02.xlsx&amp;sheet=A0&amp;row=29&amp;col=17&amp;number=&amp;sourceID=32","")</f>
        <v/>
      </c>
      <c r="R29" s="4" t="str">
        <f>HYPERLINK("http://141.218.60.56/~jnz1568/getInfo.php?workbook=08_02.xlsx&amp;sheet=A0&amp;row=29&amp;col=18&amp;number=34.26&amp;sourceID=32","34.26")</f>
        <v>34.26</v>
      </c>
      <c r="S29" s="4" t="str">
        <f>HYPERLINK("http://141.218.60.56/~jnz1568/getInfo.php?workbook=08_02.xlsx&amp;sheet=A0&amp;row=29&amp;col=19&amp;number=&amp;sourceID=1","")</f>
        <v/>
      </c>
      <c r="T29" s="4" t="str">
        <f>HYPERLINK("http://141.218.60.56/~jnz1568/getInfo.php?workbook=08_02.xlsx&amp;sheet=A0&amp;row=29&amp;col=20&amp;number=&amp;sourceID=1","")</f>
        <v/>
      </c>
    </row>
    <row r="30" spans="1:20">
      <c r="A30" s="3">
        <v>8</v>
      </c>
      <c r="B30" s="3">
        <v>2</v>
      </c>
      <c r="C30" s="3">
        <v>9</v>
      </c>
      <c r="D30" s="3">
        <v>2</v>
      </c>
      <c r="E30" s="3">
        <f>((1/(INDEX(E0!J$4:J$52,C30,1)-INDEX(E0!J$4:J$52,D30,1))))*100000000</f>
        <v>0</v>
      </c>
      <c r="F30" s="4" t="str">
        <f>HYPERLINK("http://141.218.60.56/~jnz1568/getInfo.php?workbook=08_02.xlsx&amp;sheet=A0&amp;row=30&amp;col=6&amp;number=&amp;sourceID=27","")</f>
        <v/>
      </c>
      <c r="G30" s="4" t="str">
        <f>HYPERLINK("http://141.218.60.56/~jnz1568/getInfo.php?workbook=08_02.xlsx&amp;sheet=A0&amp;row=30&amp;col=7&amp;number=&amp;sourceID=34","")</f>
        <v/>
      </c>
      <c r="H30" s="4" t="str">
        <f>HYPERLINK("http://141.218.60.56/~jnz1568/getInfo.php?workbook=08_02.xlsx&amp;sheet=A0&amp;row=30&amp;col=8&amp;number=&amp;sourceID=34","")</f>
        <v/>
      </c>
      <c r="I30" s="4" t="str">
        <f>HYPERLINK("http://141.218.60.56/~jnz1568/getInfo.php?workbook=08_02.xlsx&amp;sheet=A0&amp;row=30&amp;col=9&amp;number=&amp;sourceID=34","")</f>
        <v/>
      </c>
      <c r="J30" s="4" t="str">
        <f>HYPERLINK("http://141.218.60.56/~jnz1568/getInfo.php?workbook=08_02.xlsx&amp;sheet=A0&amp;row=30&amp;col=10&amp;number=&amp;sourceID=34","")</f>
        <v/>
      </c>
      <c r="K30" s="4" t="str">
        <f>HYPERLINK("http://141.218.60.56/~jnz1568/getInfo.php?workbook=08_02.xlsx&amp;sheet=A0&amp;row=30&amp;col=11&amp;number=51980000000&amp;sourceID=30","51980000000")</f>
        <v>51980000000</v>
      </c>
      <c r="L30" s="4" t="str">
        <f>HYPERLINK("http://141.218.60.56/~jnz1568/getInfo.php?workbook=08_02.xlsx&amp;sheet=A0&amp;row=30&amp;col=12&amp;number=&amp;sourceID=30","")</f>
        <v/>
      </c>
      <c r="M30" s="4" t="str">
        <f>HYPERLINK("http://141.218.60.56/~jnz1568/getInfo.php?workbook=08_02.xlsx&amp;sheet=A0&amp;row=30&amp;col=13&amp;number=&amp;sourceID=30","")</f>
        <v/>
      </c>
      <c r="N30" s="4" t="str">
        <f>HYPERLINK("http://141.218.60.56/~jnz1568/getInfo.php?workbook=08_02.xlsx&amp;sheet=A0&amp;row=30&amp;col=14&amp;number=&amp;sourceID=30","")</f>
        <v/>
      </c>
      <c r="O30" s="4" t="str">
        <f>HYPERLINK("http://141.218.60.56/~jnz1568/getInfo.php?workbook=08_02.xlsx&amp;sheet=A0&amp;row=30&amp;col=15&amp;number=53210000000&amp;sourceID=32","53210000000")</f>
        <v>53210000000</v>
      </c>
      <c r="P30" s="4" t="str">
        <f>HYPERLINK("http://141.218.60.56/~jnz1568/getInfo.php?workbook=08_02.xlsx&amp;sheet=A0&amp;row=30&amp;col=16&amp;number=&amp;sourceID=32","")</f>
        <v/>
      </c>
      <c r="Q30" s="4" t="str">
        <f>HYPERLINK("http://141.218.60.56/~jnz1568/getInfo.php?workbook=08_02.xlsx&amp;sheet=A0&amp;row=30&amp;col=17&amp;number=&amp;sourceID=32","")</f>
        <v/>
      </c>
      <c r="R30" s="4" t="str">
        <f>HYPERLINK("http://141.218.60.56/~jnz1568/getInfo.php?workbook=08_02.xlsx&amp;sheet=A0&amp;row=30&amp;col=18&amp;number=&amp;sourceID=32","")</f>
        <v/>
      </c>
      <c r="S30" s="4" t="str">
        <f>HYPERLINK("http://141.218.60.56/~jnz1568/getInfo.php?workbook=08_02.xlsx&amp;sheet=A0&amp;row=30&amp;col=19&amp;number=&amp;sourceID=1","")</f>
        <v/>
      </c>
      <c r="T30" s="4" t="str">
        <f>HYPERLINK("http://141.218.60.56/~jnz1568/getInfo.php?workbook=08_02.xlsx&amp;sheet=A0&amp;row=30&amp;col=20&amp;number=&amp;sourceID=1","")</f>
        <v/>
      </c>
    </row>
    <row r="31" spans="1:20">
      <c r="A31" s="3">
        <v>8</v>
      </c>
      <c r="B31" s="3">
        <v>2</v>
      </c>
      <c r="C31" s="3">
        <v>9</v>
      </c>
      <c r="D31" s="3">
        <v>4</v>
      </c>
      <c r="E31" s="3">
        <f>((1/(INDEX(E0!J$4:J$52,C31,1)-INDEX(E0!J$4:J$52,D31,1))))*100000000</f>
        <v>0</v>
      </c>
      <c r="F31" s="4" t="str">
        <f>HYPERLINK("http://141.218.60.56/~jnz1568/getInfo.php?workbook=08_02.xlsx&amp;sheet=A0&amp;row=31&amp;col=6&amp;number=&amp;sourceID=27","")</f>
        <v/>
      </c>
      <c r="G31" s="4" t="str">
        <f>HYPERLINK("http://141.218.60.56/~jnz1568/getInfo.php?workbook=08_02.xlsx&amp;sheet=A0&amp;row=31&amp;col=7&amp;number=&amp;sourceID=34","")</f>
        <v/>
      </c>
      <c r="H31" s="4" t="str">
        <f>HYPERLINK("http://141.218.60.56/~jnz1568/getInfo.php?workbook=08_02.xlsx&amp;sheet=A0&amp;row=31&amp;col=8&amp;number=&amp;sourceID=34","")</f>
        <v/>
      </c>
      <c r="I31" s="4" t="str">
        <f>HYPERLINK("http://141.218.60.56/~jnz1568/getInfo.php?workbook=08_02.xlsx&amp;sheet=A0&amp;row=31&amp;col=9&amp;number=&amp;sourceID=34","")</f>
        <v/>
      </c>
      <c r="J31" s="4" t="str">
        <f>HYPERLINK("http://141.218.60.56/~jnz1568/getInfo.php?workbook=08_02.xlsx&amp;sheet=A0&amp;row=31&amp;col=10&amp;number=&amp;sourceID=34","")</f>
        <v/>
      </c>
      <c r="K31" s="4" t="str">
        <f>HYPERLINK("http://141.218.60.56/~jnz1568/getInfo.php?workbook=08_02.xlsx&amp;sheet=A0&amp;row=31&amp;col=11&amp;number=&amp;sourceID=30","")</f>
        <v/>
      </c>
      <c r="L31" s="4" t="str">
        <f>HYPERLINK("http://141.218.60.56/~jnz1568/getInfo.php?workbook=08_02.xlsx&amp;sheet=A0&amp;row=31&amp;col=12&amp;number=&amp;sourceID=30","")</f>
        <v/>
      </c>
      <c r="M31" s="4" t="str">
        <f>HYPERLINK("http://141.218.60.56/~jnz1568/getInfo.php?workbook=08_02.xlsx&amp;sheet=A0&amp;row=31&amp;col=13&amp;number=0.005795&amp;sourceID=30","0.005795")</f>
        <v>0.005795</v>
      </c>
      <c r="N31" s="4" t="str">
        <f>HYPERLINK("http://141.218.60.56/~jnz1568/getInfo.php?workbook=08_02.xlsx&amp;sheet=A0&amp;row=31&amp;col=14&amp;number=&amp;sourceID=30","")</f>
        <v/>
      </c>
      <c r="O31" s="4" t="str">
        <f>HYPERLINK("http://141.218.60.56/~jnz1568/getInfo.php?workbook=08_02.xlsx&amp;sheet=A0&amp;row=31&amp;col=15&amp;number=&amp;sourceID=32","")</f>
        <v/>
      </c>
      <c r="P31" s="4" t="str">
        <f>HYPERLINK("http://141.218.60.56/~jnz1568/getInfo.php?workbook=08_02.xlsx&amp;sheet=A0&amp;row=31&amp;col=16&amp;number=&amp;sourceID=32","")</f>
        <v/>
      </c>
      <c r="Q31" s="4" t="str">
        <f>HYPERLINK("http://141.218.60.56/~jnz1568/getInfo.php?workbook=08_02.xlsx&amp;sheet=A0&amp;row=31&amp;col=17&amp;number=0.0003473&amp;sourceID=32","0.0003473")</f>
        <v>0.0003473</v>
      </c>
      <c r="R31" s="4" t="str">
        <f>HYPERLINK("http://141.218.60.56/~jnz1568/getInfo.php?workbook=08_02.xlsx&amp;sheet=A0&amp;row=31&amp;col=18&amp;number=&amp;sourceID=32","")</f>
        <v/>
      </c>
      <c r="S31" s="4" t="str">
        <f>HYPERLINK("http://141.218.60.56/~jnz1568/getInfo.php?workbook=08_02.xlsx&amp;sheet=A0&amp;row=31&amp;col=19&amp;number=&amp;sourceID=1","")</f>
        <v/>
      </c>
      <c r="T31" s="4" t="str">
        <f>HYPERLINK("http://141.218.60.56/~jnz1568/getInfo.php?workbook=08_02.xlsx&amp;sheet=A0&amp;row=31&amp;col=20&amp;number=&amp;sourceID=1","")</f>
        <v/>
      </c>
    </row>
    <row r="32" spans="1:20">
      <c r="A32" s="3">
        <v>8</v>
      </c>
      <c r="B32" s="3">
        <v>2</v>
      </c>
      <c r="C32" s="3">
        <v>9</v>
      </c>
      <c r="D32" s="3">
        <v>5</v>
      </c>
      <c r="E32" s="3">
        <f>((1/(INDEX(E0!J$4:J$52,C32,1)-INDEX(E0!J$4:J$52,D32,1))))*100000000</f>
        <v>0</v>
      </c>
      <c r="F32" s="4" t="str">
        <f>HYPERLINK("http://141.218.60.56/~jnz1568/getInfo.php?workbook=08_02.xlsx&amp;sheet=A0&amp;row=32&amp;col=6&amp;number=&amp;sourceID=27","")</f>
        <v/>
      </c>
      <c r="G32" s="4" t="str">
        <f>HYPERLINK("http://141.218.60.56/~jnz1568/getInfo.php?workbook=08_02.xlsx&amp;sheet=A0&amp;row=32&amp;col=7&amp;number=&amp;sourceID=34","")</f>
        <v/>
      </c>
      <c r="H32" s="4" t="str">
        <f>HYPERLINK("http://141.218.60.56/~jnz1568/getInfo.php?workbook=08_02.xlsx&amp;sheet=A0&amp;row=32&amp;col=8&amp;number=&amp;sourceID=34","")</f>
        <v/>
      </c>
      <c r="I32" s="4" t="str">
        <f>HYPERLINK("http://141.218.60.56/~jnz1568/getInfo.php?workbook=08_02.xlsx&amp;sheet=A0&amp;row=32&amp;col=9&amp;number=&amp;sourceID=34","")</f>
        <v/>
      </c>
      <c r="J32" s="4" t="str">
        <f>HYPERLINK("http://141.218.60.56/~jnz1568/getInfo.php?workbook=08_02.xlsx&amp;sheet=A0&amp;row=32&amp;col=10&amp;number=&amp;sourceID=34","")</f>
        <v/>
      </c>
      <c r="K32" s="4" t="str">
        <f>HYPERLINK("http://141.218.60.56/~jnz1568/getInfo.php?workbook=08_02.xlsx&amp;sheet=A0&amp;row=32&amp;col=11&amp;number=&amp;sourceID=30","")</f>
        <v/>
      </c>
      <c r="L32" s="4" t="str">
        <f>HYPERLINK("http://141.218.60.56/~jnz1568/getInfo.php?workbook=08_02.xlsx&amp;sheet=A0&amp;row=32&amp;col=12&amp;number=2938000&amp;sourceID=30","2938000")</f>
        <v>2938000</v>
      </c>
      <c r="M32" s="4" t="str">
        <f>HYPERLINK("http://141.218.60.56/~jnz1568/getInfo.php?workbook=08_02.xlsx&amp;sheet=A0&amp;row=32&amp;col=13&amp;number=&amp;sourceID=30","")</f>
        <v/>
      </c>
      <c r="N32" s="4" t="str">
        <f>HYPERLINK("http://141.218.60.56/~jnz1568/getInfo.php?workbook=08_02.xlsx&amp;sheet=A0&amp;row=32&amp;col=14&amp;number=&amp;sourceID=30","")</f>
        <v/>
      </c>
      <c r="O32" s="4" t="str">
        <f>HYPERLINK("http://141.218.60.56/~jnz1568/getInfo.php?workbook=08_02.xlsx&amp;sheet=A0&amp;row=32&amp;col=15&amp;number=&amp;sourceID=32","")</f>
        <v/>
      </c>
      <c r="P32" s="4" t="str">
        <f>HYPERLINK("http://141.218.60.56/~jnz1568/getInfo.php?workbook=08_02.xlsx&amp;sheet=A0&amp;row=32&amp;col=16&amp;number=2992000&amp;sourceID=32","2992000")</f>
        <v>2992000</v>
      </c>
      <c r="Q32" s="4" t="str">
        <f>HYPERLINK("http://141.218.60.56/~jnz1568/getInfo.php?workbook=08_02.xlsx&amp;sheet=A0&amp;row=32&amp;col=17&amp;number=&amp;sourceID=32","")</f>
        <v/>
      </c>
      <c r="R32" s="4" t="str">
        <f>HYPERLINK("http://141.218.60.56/~jnz1568/getInfo.php?workbook=08_02.xlsx&amp;sheet=A0&amp;row=32&amp;col=18&amp;number=&amp;sourceID=32","")</f>
        <v/>
      </c>
      <c r="S32" s="4" t="str">
        <f>HYPERLINK("http://141.218.60.56/~jnz1568/getInfo.php?workbook=08_02.xlsx&amp;sheet=A0&amp;row=32&amp;col=19&amp;number=&amp;sourceID=1","")</f>
        <v/>
      </c>
      <c r="T32" s="4" t="str">
        <f>HYPERLINK("http://141.218.60.56/~jnz1568/getInfo.php?workbook=08_02.xlsx&amp;sheet=A0&amp;row=32&amp;col=20&amp;number=&amp;sourceID=1","")</f>
        <v/>
      </c>
    </row>
    <row r="33" spans="1:20">
      <c r="A33" s="3">
        <v>8</v>
      </c>
      <c r="B33" s="3">
        <v>2</v>
      </c>
      <c r="C33" s="3">
        <v>9</v>
      </c>
      <c r="D33" s="3">
        <v>7</v>
      </c>
      <c r="E33" s="3">
        <f>((1/(INDEX(E0!J$4:J$52,C33,1)-INDEX(E0!J$4:J$52,D33,1))))*100000000</f>
        <v>0</v>
      </c>
      <c r="F33" s="4" t="str">
        <f>HYPERLINK("http://141.218.60.56/~jnz1568/getInfo.php?workbook=08_02.xlsx&amp;sheet=A0&amp;row=33&amp;col=6&amp;number=&amp;sourceID=27","")</f>
        <v/>
      </c>
      <c r="G33" s="4" t="str">
        <f>HYPERLINK("http://141.218.60.56/~jnz1568/getInfo.php?workbook=08_02.xlsx&amp;sheet=A0&amp;row=33&amp;col=7&amp;number=&amp;sourceID=34","")</f>
        <v/>
      </c>
      <c r="H33" s="4" t="str">
        <f>HYPERLINK("http://141.218.60.56/~jnz1568/getInfo.php?workbook=08_02.xlsx&amp;sheet=A0&amp;row=33&amp;col=8&amp;number=&amp;sourceID=34","")</f>
        <v/>
      </c>
      <c r="I33" s="4" t="str">
        <f>HYPERLINK("http://141.218.60.56/~jnz1568/getInfo.php?workbook=08_02.xlsx&amp;sheet=A0&amp;row=33&amp;col=9&amp;number=&amp;sourceID=34","")</f>
        <v/>
      </c>
      <c r="J33" s="4" t="str">
        <f>HYPERLINK("http://141.218.60.56/~jnz1568/getInfo.php?workbook=08_02.xlsx&amp;sheet=A0&amp;row=33&amp;col=10&amp;number=&amp;sourceID=34","")</f>
        <v/>
      </c>
      <c r="K33" s="4" t="str">
        <f>HYPERLINK("http://141.218.60.56/~jnz1568/getInfo.php?workbook=08_02.xlsx&amp;sheet=A0&amp;row=33&amp;col=11&amp;number=&amp;sourceID=30","")</f>
        <v/>
      </c>
      <c r="L33" s="4" t="str">
        <f>HYPERLINK("http://141.218.60.56/~jnz1568/getInfo.php?workbook=08_02.xlsx&amp;sheet=A0&amp;row=33&amp;col=12&amp;number=&amp;sourceID=30","")</f>
        <v/>
      </c>
      <c r="M33" s="4" t="str">
        <f>HYPERLINK("http://141.218.60.56/~jnz1568/getInfo.php?workbook=08_02.xlsx&amp;sheet=A0&amp;row=33&amp;col=13&amp;number=4.679&amp;sourceID=30","4.679")</f>
        <v>4.679</v>
      </c>
      <c r="N33" s="4" t="str">
        <f>HYPERLINK("http://141.218.60.56/~jnz1568/getInfo.php?workbook=08_02.xlsx&amp;sheet=A0&amp;row=33&amp;col=14&amp;number=&amp;sourceID=30","")</f>
        <v/>
      </c>
      <c r="O33" s="4" t="str">
        <f>HYPERLINK("http://141.218.60.56/~jnz1568/getInfo.php?workbook=08_02.xlsx&amp;sheet=A0&amp;row=33&amp;col=15&amp;number=&amp;sourceID=32","")</f>
        <v/>
      </c>
      <c r="P33" s="4" t="str">
        <f>HYPERLINK("http://141.218.60.56/~jnz1568/getInfo.php?workbook=08_02.xlsx&amp;sheet=A0&amp;row=33&amp;col=16&amp;number=&amp;sourceID=32","")</f>
        <v/>
      </c>
      <c r="Q33" s="4" t="str">
        <f>HYPERLINK("http://141.218.60.56/~jnz1568/getInfo.php?workbook=08_02.xlsx&amp;sheet=A0&amp;row=33&amp;col=17&amp;number=4.841&amp;sourceID=32","4.841")</f>
        <v>4.841</v>
      </c>
      <c r="R33" s="4" t="str">
        <f>HYPERLINK("http://141.218.60.56/~jnz1568/getInfo.php?workbook=08_02.xlsx&amp;sheet=A0&amp;row=33&amp;col=18&amp;number=&amp;sourceID=32","")</f>
        <v/>
      </c>
      <c r="S33" s="4" t="str">
        <f>HYPERLINK("http://141.218.60.56/~jnz1568/getInfo.php?workbook=08_02.xlsx&amp;sheet=A0&amp;row=33&amp;col=19&amp;number=&amp;sourceID=1","")</f>
        <v/>
      </c>
      <c r="T33" s="4" t="str">
        <f>HYPERLINK("http://141.218.60.56/~jnz1568/getInfo.php?workbook=08_02.xlsx&amp;sheet=A0&amp;row=33&amp;col=20&amp;number=&amp;sourceID=1","")</f>
        <v/>
      </c>
    </row>
    <row r="34" spans="1:20">
      <c r="A34" s="3">
        <v>8</v>
      </c>
      <c r="B34" s="3">
        <v>2</v>
      </c>
      <c r="C34" s="3">
        <v>9</v>
      </c>
      <c r="D34" s="3">
        <v>8</v>
      </c>
      <c r="E34" s="3">
        <f>((1/(INDEX(E0!J$4:J$52,C34,1)-INDEX(E0!J$4:J$52,D34,1))))*100000000</f>
        <v>0</v>
      </c>
      <c r="F34" s="4" t="str">
        <f>HYPERLINK("http://141.218.60.56/~jnz1568/getInfo.php?workbook=08_02.xlsx&amp;sheet=A0&amp;row=34&amp;col=6&amp;number=&amp;sourceID=27","")</f>
        <v/>
      </c>
      <c r="G34" s="4" t="str">
        <f>HYPERLINK("http://141.218.60.56/~jnz1568/getInfo.php?workbook=08_02.xlsx&amp;sheet=A0&amp;row=34&amp;col=7&amp;number=&amp;sourceID=34","")</f>
        <v/>
      </c>
      <c r="H34" s="4" t="str">
        <f>HYPERLINK("http://141.218.60.56/~jnz1568/getInfo.php?workbook=08_02.xlsx&amp;sheet=A0&amp;row=34&amp;col=8&amp;number=&amp;sourceID=34","")</f>
        <v/>
      </c>
      <c r="I34" s="4" t="str">
        <f>HYPERLINK("http://141.218.60.56/~jnz1568/getInfo.php?workbook=08_02.xlsx&amp;sheet=A0&amp;row=34&amp;col=9&amp;number=&amp;sourceID=34","")</f>
        <v/>
      </c>
      <c r="J34" s="4" t="str">
        <f>HYPERLINK("http://141.218.60.56/~jnz1568/getInfo.php?workbook=08_02.xlsx&amp;sheet=A0&amp;row=34&amp;col=10&amp;number=&amp;sourceID=34","")</f>
        <v/>
      </c>
      <c r="K34" s="4" t="str">
        <f>HYPERLINK("http://141.218.60.56/~jnz1568/getInfo.php?workbook=08_02.xlsx&amp;sheet=A0&amp;row=34&amp;col=11&amp;number=10140000&amp;sourceID=30","10140000")</f>
        <v>10140000</v>
      </c>
      <c r="L34" s="4" t="str">
        <f>HYPERLINK("http://141.218.60.56/~jnz1568/getInfo.php?workbook=08_02.xlsx&amp;sheet=A0&amp;row=34&amp;col=12&amp;number=&amp;sourceID=30","")</f>
        <v/>
      </c>
      <c r="M34" s="4" t="str">
        <f>HYPERLINK("http://141.218.60.56/~jnz1568/getInfo.php?workbook=08_02.xlsx&amp;sheet=A0&amp;row=34&amp;col=13&amp;number=&amp;sourceID=30","")</f>
        <v/>
      </c>
      <c r="N34" s="4" t="str">
        <f>HYPERLINK("http://141.218.60.56/~jnz1568/getInfo.php?workbook=08_02.xlsx&amp;sheet=A0&amp;row=34&amp;col=14&amp;number=&amp;sourceID=30","")</f>
        <v/>
      </c>
      <c r="O34" s="4" t="str">
        <f>HYPERLINK("http://141.218.60.56/~jnz1568/getInfo.php?workbook=08_02.xlsx&amp;sheet=A0&amp;row=34&amp;col=15&amp;number=9838000&amp;sourceID=32","9838000")</f>
        <v>9838000</v>
      </c>
      <c r="P34" s="4" t="str">
        <f>HYPERLINK("http://141.218.60.56/~jnz1568/getInfo.php?workbook=08_02.xlsx&amp;sheet=A0&amp;row=34&amp;col=16&amp;number=&amp;sourceID=32","")</f>
        <v/>
      </c>
      <c r="Q34" s="4" t="str">
        <f>HYPERLINK("http://141.218.60.56/~jnz1568/getInfo.php?workbook=08_02.xlsx&amp;sheet=A0&amp;row=34&amp;col=17&amp;number=&amp;sourceID=32","")</f>
        <v/>
      </c>
      <c r="R34" s="4" t="str">
        <f>HYPERLINK("http://141.218.60.56/~jnz1568/getInfo.php?workbook=08_02.xlsx&amp;sheet=A0&amp;row=34&amp;col=18&amp;number=&amp;sourceID=32","")</f>
        <v/>
      </c>
      <c r="S34" s="4" t="str">
        <f>HYPERLINK("http://141.218.60.56/~jnz1568/getInfo.php?workbook=08_02.xlsx&amp;sheet=A0&amp;row=34&amp;col=19&amp;number=&amp;sourceID=1","")</f>
        <v/>
      </c>
      <c r="T34" s="4" t="str">
        <f>HYPERLINK("http://141.218.60.56/~jnz1568/getInfo.php?workbook=08_02.xlsx&amp;sheet=A0&amp;row=34&amp;col=20&amp;number=&amp;sourceID=1","")</f>
        <v/>
      </c>
    </row>
    <row r="35" spans="1:20">
      <c r="A35" s="3">
        <v>8</v>
      </c>
      <c r="B35" s="3">
        <v>2</v>
      </c>
      <c r="C35" s="3">
        <v>10</v>
      </c>
      <c r="D35" s="3">
        <v>1</v>
      </c>
      <c r="E35" s="3">
        <f>((1/(INDEX(E0!J$4:J$52,C35,1)-INDEX(E0!J$4:J$52,D35,1))))*100000000</f>
        <v>0</v>
      </c>
      <c r="F35" s="4" t="str">
        <f>HYPERLINK("http://141.218.60.56/~jnz1568/getInfo.php?workbook=08_02.xlsx&amp;sheet=A0&amp;row=35&amp;col=6&amp;number=&amp;sourceID=27","")</f>
        <v/>
      </c>
      <c r="G35" s="4" t="str">
        <f>HYPERLINK("http://141.218.60.56/~jnz1568/getInfo.php?workbook=08_02.xlsx&amp;sheet=A0&amp;row=35&amp;col=7&amp;number=&amp;sourceID=34","")</f>
        <v/>
      </c>
      <c r="H35" s="4" t="str">
        <f>HYPERLINK("http://141.218.60.56/~jnz1568/getInfo.php?workbook=08_02.xlsx&amp;sheet=A0&amp;row=35&amp;col=8&amp;number=&amp;sourceID=34","")</f>
        <v/>
      </c>
      <c r="I35" s="4" t="str">
        <f>HYPERLINK("http://141.218.60.56/~jnz1568/getInfo.php?workbook=08_02.xlsx&amp;sheet=A0&amp;row=35&amp;col=9&amp;number=&amp;sourceID=34","")</f>
        <v/>
      </c>
      <c r="J35" s="4" t="str">
        <f>HYPERLINK("http://141.218.60.56/~jnz1568/getInfo.php?workbook=08_02.xlsx&amp;sheet=A0&amp;row=35&amp;col=10&amp;number=&amp;sourceID=34","")</f>
        <v/>
      </c>
      <c r="K35" s="4" t="str">
        <f>HYPERLINK("http://141.218.60.56/~jnz1568/getInfo.php?workbook=08_02.xlsx&amp;sheet=A0&amp;row=35&amp;col=11&amp;number=175500000&amp;sourceID=30","175500000")</f>
        <v>175500000</v>
      </c>
      <c r="L35" s="4" t="str">
        <f>HYPERLINK("http://141.218.60.56/~jnz1568/getInfo.php?workbook=08_02.xlsx&amp;sheet=A0&amp;row=35&amp;col=12&amp;number=&amp;sourceID=30","")</f>
        <v/>
      </c>
      <c r="M35" s="4" t="str">
        <f>HYPERLINK("http://141.218.60.56/~jnz1568/getInfo.php?workbook=08_02.xlsx&amp;sheet=A0&amp;row=35&amp;col=13&amp;number=&amp;sourceID=30","")</f>
        <v/>
      </c>
      <c r="N35" s="4" t="str">
        <f>HYPERLINK("http://141.218.60.56/~jnz1568/getInfo.php?workbook=08_02.xlsx&amp;sheet=A0&amp;row=35&amp;col=14&amp;number=&amp;sourceID=30","")</f>
        <v/>
      </c>
      <c r="O35" s="4" t="str">
        <f>HYPERLINK("http://141.218.60.56/~jnz1568/getInfo.php?workbook=08_02.xlsx&amp;sheet=A0&amp;row=35&amp;col=15&amp;number=160700000&amp;sourceID=32","160700000")</f>
        <v>160700000</v>
      </c>
      <c r="P35" s="4" t="str">
        <f>HYPERLINK("http://141.218.60.56/~jnz1568/getInfo.php?workbook=08_02.xlsx&amp;sheet=A0&amp;row=35&amp;col=16&amp;number=&amp;sourceID=32","")</f>
        <v/>
      </c>
      <c r="Q35" s="4" t="str">
        <f>HYPERLINK("http://141.218.60.56/~jnz1568/getInfo.php?workbook=08_02.xlsx&amp;sheet=A0&amp;row=35&amp;col=17&amp;number=&amp;sourceID=32","")</f>
        <v/>
      </c>
      <c r="R35" s="4" t="str">
        <f>HYPERLINK("http://141.218.60.56/~jnz1568/getInfo.php?workbook=08_02.xlsx&amp;sheet=A0&amp;row=35&amp;col=18&amp;number=&amp;sourceID=32","")</f>
        <v/>
      </c>
      <c r="S35" s="4" t="str">
        <f>HYPERLINK("http://141.218.60.56/~jnz1568/getInfo.php?workbook=08_02.xlsx&amp;sheet=A0&amp;row=35&amp;col=19&amp;number=&amp;sourceID=1","")</f>
        <v/>
      </c>
      <c r="T35" s="4" t="str">
        <f>HYPERLINK("http://141.218.60.56/~jnz1568/getInfo.php?workbook=08_02.xlsx&amp;sheet=A0&amp;row=35&amp;col=20&amp;number=&amp;sourceID=1","")</f>
        <v/>
      </c>
    </row>
    <row r="36" spans="1:20">
      <c r="A36" s="3">
        <v>8</v>
      </c>
      <c r="B36" s="3">
        <v>2</v>
      </c>
      <c r="C36" s="3">
        <v>10</v>
      </c>
      <c r="D36" s="3">
        <v>2</v>
      </c>
      <c r="E36" s="3">
        <f>((1/(INDEX(E0!J$4:J$52,C36,1)-INDEX(E0!J$4:J$52,D36,1))))*100000000</f>
        <v>0</v>
      </c>
      <c r="F36" s="4" t="str">
        <f>HYPERLINK("http://141.218.60.56/~jnz1568/getInfo.php?workbook=08_02.xlsx&amp;sheet=A0&amp;row=36&amp;col=6&amp;number=&amp;sourceID=27","")</f>
        <v/>
      </c>
      <c r="G36" s="4" t="str">
        <f>HYPERLINK("http://141.218.60.56/~jnz1568/getInfo.php?workbook=08_02.xlsx&amp;sheet=A0&amp;row=36&amp;col=7&amp;number=&amp;sourceID=34","")</f>
        <v/>
      </c>
      <c r="H36" s="4" t="str">
        <f>HYPERLINK("http://141.218.60.56/~jnz1568/getInfo.php?workbook=08_02.xlsx&amp;sheet=A0&amp;row=36&amp;col=8&amp;number=&amp;sourceID=34","")</f>
        <v/>
      </c>
      <c r="I36" s="4" t="str">
        <f>HYPERLINK("http://141.218.60.56/~jnz1568/getInfo.php?workbook=08_02.xlsx&amp;sheet=A0&amp;row=36&amp;col=9&amp;number=&amp;sourceID=34","")</f>
        <v/>
      </c>
      <c r="J36" s="4" t="str">
        <f>HYPERLINK("http://141.218.60.56/~jnz1568/getInfo.php?workbook=08_02.xlsx&amp;sheet=A0&amp;row=36&amp;col=10&amp;number=&amp;sourceID=34","")</f>
        <v/>
      </c>
      <c r="K36" s="4" t="str">
        <f>HYPERLINK("http://141.218.60.56/~jnz1568/getInfo.php?workbook=08_02.xlsx&amp;sheet=A0&amp;row=36&amp;col=11&amp;number=51950000000&amp;sourceID=30","51950000000")</f>
        <v>51950000000</v>
      </c>
      <c r="L36" s="4" t="str">
        <f>HYPERLINK("http://141.218.60.56/~jnz1568/getInfo.php?workbook=08_02.xlsx&amp;sheet=A0&amp;row=36&amp;col=12&amp;number=&amp;sourceID=30","")</f>
        <v/>
      </c>
      <c r="M36" s="4" t="str">
        <f>HYPERLINK("http://141.218.60.56/~jnz1568/getInfo.php?workbook=08_02.xlsx&amp;sheet=A0&amp;row=36&amp;col=13&amp;number=&amp;sourceID=30","")</f>
        <v/>
      </c>
      <c r="N36" s="4" t="str">
        <f>HYPERLINK("http://141.218.60.56/~jnz1568/getInfo.php?workbook=08_02.xlsx&amp;sheet=A0&amp;row=36&amp;col=14&amp;number=127.2&amp;sourceID=30","127.2")</f>
        <v>127.2</v>
      </c>
      <c r="O36" s="4" t="str">
        <f>HYPERLINK("http://141.218.60.56/~jnz1568/getInfo.php?workbook=08_02.xlsx&amp;sheet=A0&amp;row=36&amp;col=15&amp;number=53190000000&amp;sourceID=32","53190000000")</f>
        <v>53190000000</v>
      </c>
      <c r="P36" s="4" t="str">
        <f>HYPERLINK("http://141.218.60.56/~jnz1568/getInfo.php?workbook=08_02.xlsx&amp;sheet=A0&amp;row=36&amp;col=16&amp;number=&amp;sourceID=32","")</f>
        <v/>
      </c>
      <c r="Q36" s="4" t="str">
        <f>HYPERLINK("http://141.218.60.56/~jnz1568/getInfo.php?workbook=08_02.xlsx&amp;sheet=A0&amp;row=36&amp;col=17&amp;number=&amp;sourceID=32","")</f>
        <v/>
      </c>
      <c r="R36" s="4" t="str">
        <f>HYPERLINK("http://141.218.60.56/~jnz1568/getInfo.php?workbook=08_02.xlsx&amp;sheet=A0&amp;row=36&amp;col=18&amp;number=130.2&amp;sourceID=32","130.2")</f>
        <v>130.2</v>
      </c>
      <c r="S36" s="4" t="str">
        <f>HYPERLINK("http://141.218.60.56/~jnz1568/getInfo.php?workbook=08_02.xlsx&amp;sheet=A0&amp;row=36&amp;col=19&amp;number=&amp;sourceID=1","")</f>
        <v/>
      </c>
      <c r="T36" s="4" t="str">
        <f>HYPERLINK("http://141.218.60.56/~jnz1568/getInfo.php?workbook=08_02.xlsx&amp;sheet=A0&amp;row=36&amp;col=20&amp;number=&amp;sourceID=1","")</f>
        <v/>
      </c>
    </row>
    <row r="37" spans="1:20">
      <c r="A37" s="3">
        <v>8</v>
      </c>
      <c r="B37" s="3">
        <v>2</v>
      </c>
      <c r="C37" s="3">
        <v>10</v>
      </c>
      <c r="D37" s="3">
        <v>3</v>
      </c>
      <c r="E37" s="3">
        <f>((1/(INDEX(E0!J$4:J$52,C37,1)-INDEX(E0!J$4:J$52,D37,1))))*100000000</f>
        <v>0</v>
      </c>
      <c r="F37" s="4" t="str">
        <f>HYPERLINK("http://141.218.60.56/~jnz1568/getInfo.php?workbook=08_02.xlsx&amp;sheet=A0&amp;row=37&amp;col=6&amp;number=&amp;sourceID=27","")</f>
        <v/>
      </c>
      <c r="G37" s="4" t="str">
        <f>HYPERLINK("http://141.218.60.56/~jnz1568/getInfo.php?workbook=08_02.xlsx&amp;sheet=A0&amp;row=37&amp;col=7&amp;number=&amp;sourceID=34","")</f>
        <v/>
      </c>
      <c r="H37" s="4" t="str">
        <f>HYPERLINK("http://141.218.60.56/~jnz1568/getInfo.php?workbook=08_02.xlsx&amp;sheet=A0&amp;row=37&amp;col=8&amp;number=&amp;sourceID=34","")</f>
        <v/>
      </c>
      <c r="I37" s="4" t="str">
        <f>HYPERLINK("http://141.218.60.56/~jnz1568/getInfo.php?workbook=08_02.xlsx&amp;sheet=A0&amp;row=37&amp;col=9&amp;number=&amp;sourceID=34","")</f>
        <v/>
      </c>
      <c r="J37" s="4" t="str">
        <f>HYPERLINK("http://141.218.60.56/~jnz1568/getInfo.php?workbook=08_02.xlsx&amp;sheet=A0&amp;row=37&amp;col=10&amp;number=&amp;sourceID=34","")</f>
        <v/>
      </c>
      <c r="K37" s="4" t="str">
        <f>HYPERLINK("http://141.218.60.56/~jnz1568/getInfo.php?workbook=08_02.xlsx&amp;sheet=A0&amp;row=37&amp;col=11&amp;number=&amp;sourceID=30","")</f>
        <v/>
      </c>
      <c r="L37" s="4" t="str">
        <f>HYPERLINK("http://141.218.60.56/~jnz1568/getInfo.php?workbook=08_02.xlsx&amp;sheet=A0&amp;row=37&amp;col=12&amp;number=&amp;sourceID=30","")</f>
        <v/>
      </c>
      <c r="M37" s="4" t="str">
        <f>HYPERLINK("http://141.218.60.56/~jnz1568/getInfo.php?workbook=08_02.xlsx&amp;sheet=A0&amp;row=37&amp;col=13&amp;number=0.05314&amp;sourceID=30","0.05314")</f>
        <v>0.05314</v>
      </c>
      <c r="N37" s="4" t="str">
        <f>HYPERLINK("http://141.218.60.56/~jnz1568/getInfo.php?workbook=08_02.xlsx&amp;sheet=A0&amp;row=37&amp;col=14&amp;number=&amp;sourceID=30","")</f>
        <v/>
      </c>
      <c r="O37" s="4" t="str">
        <f>HYPERLINK("http://141.218.60.56/~jnz1568/getInfo.php?workbook=08_02.xlsx&amp;sheet=A0&amp;row=37&amp;col=15&amp;number=&amp;sourceID=32","")</f>
        <v/>
      </c>
      <c r="P37" s="4" t="str">
        <f>HYPERLINK("http://141.218.60.56/~jnz1568/getInfo.php?workbook=08_02.xlsx&amp;sheet=A0&amp;row=37&amp;col=16&amp;number=&amp;sourceID=32","")</f>
        <v/>
      </c>
      <c r="Q37" s="4" t="str">
        <f>HYPERLINK("http://141.218.60.56/~jnz1568/getInfo.php?workbook=08_02.xlsx&amp;sheet=A0&amp;row=37&amp;col=17&amp;number=0.08205&amp;sourceID=32","0.08205")</f>
        <v>0.08205</v>
      </c>
      <c r="R37" s="4" t="str">
        <f>HYPERLINK("http://141.218.60.56/~jnz1568/getInfo.php?workbook=08_02.xlsx&amp;sheet=A0&amp;row=37&amp;col=18&amp;number=&amp;sourceID=32","")</f>
        <v/>
      </c>
      <c r="S37" s="4" t="str">
        <f>HYPERLINK("http://141.218.60.56/~jnz1568/getInfo.php?workbook=08_02.xlsx&amp;sheet=A0&amp;row=37&amp;col=19&amp;number=&amp;sourceID=1","")</f>
        <v/>
      </c>
      <c r="T37" s="4" t="str">
        <f>HYPERLINK("http://141.218.60.56/~jnz1568/getInfo.php?workbook=08_02.xlsx&amp;sheet=A0&amp;row=37&amp;col=20&amp;number=&amp;sourceID=1","")</f>
        <v/>
      </c>
    </row>
    <row r="38" spans="1:20">
      <c r="A38" s="3">
        <v>8</v>
      </c>
      <c r="B38" s="3">
        <v>2</v>
      </c>
      <c r="C38" s="3">
        <v>10</v>
      </c>
      <c r="D38" s="3">
        <v>4</v>
      </c>
      <c r="E38" s="3">
        <f>((1/(INDEX(E0!J$4:J$52,C38,1)-INDEX(E0!J$4:J$52,D38,1))))*100000000</f>
        <v>0</v>
      </c>
      <c r="F38" s="4" t="str">
        <f>HYPERLINK("http://141.218.60.56/~jnz1568/getInfo.php?workbook=08_02.xlsx&amp;sheet=A0&amp;row=38&amp;col=6&amp;number=&amp;sourceID=27","")</f>
        <v/>
      </c>
      <c r="G38" s="4" t="str">
        <f>HYPERLINK("http://141.218.60.56/~jnz1568/getInfo.php?workbook=08_02.xlsx&amp;sheet=A0&amp;row=38&amp;col=7&amp;number=&amp;sourceID=34","")</f>
        <v/>
      </c>
      <c r="H38" s="4" t="str">
        <f>HYPERLINK("http://141.218.60.56/~jnz1568/getInfo.php?workbook=08_02.xlsx&amp;sheet=A0&amp;row=38&amp;col=8&amp;number=&amp;sourceID=34","")</f>
        <v/>
      </c>
      <c r="I38" s="4" t="str">
        <f>HYPERLINK("http://141.218.60.56/~jnz1568/getInfo.php?workbook=08_02.xlsx&amp;sheet=A0&amp;row=38&amp;col=9&amp;number=&amp;sourceID=34","")</f>
        <v/>
      </c>
      <c r="J38" s="4" t="str">
        <f>HYPERLINK("http://141.218.60.56/~jnz1568/getInfo.php?workbook=08_02.xlsx&amp;sheet=A0&amp;row=38&amp;col=10&amp;number=&amp;sourceID=34","")</f>
        <v/>
      </c>
      <c r="K38" s="4" t="str">
        <f>HYPERLINK("http://141.218.60.56/~jnz1568/getInfo.php?workbook=08_02.xlsx&amp;sheet=A0&amp;row=38&amp;col=11&amp;number=&amp;sourceID=30","")</f>
        <v/>
      </c>
      <c r="L38" s="4" t="str">
        <f>HYPERLINK("http://141.218.60.56/~jnz1568/getInfo.php?workbook=08_02.xlsx&amp;sheet=A0&amp;row=38&amp;col=12&amp;number=734300&amp;sourceID=30","734300")</f>
        <v>734300</v>
      </c>
      <c r="M38" s="4" t="str">
        <f>HYPERLINK("http://141.218.60.56/~jnz1568/getInfo.php?workbook=08_02.xlsx&amp;sheet=A0&amp;row=38&amp;col=13&amp;number=0.4304&amp;sourceID=30","0.4304")</f>
        <v>0.4304</v>
      </c>
      <c r="N38" s="4" t="str">
        <f>HYPERLINK("http://141.218.60.56/~jnz1568/getInfo.php?workbook=08_02.xlsx&amp;sheet=A0&amp;row=38&amp;col=14&amp;number=&amp;sourceID=30","")</f>
        <v/>
      </c>
      <c r="O38" s="4" t="str">
        <f>HYPERLINK("http://141.218.60.56/~jnz1568/getInfo.php?workbook=08_02.xlsx&amp;sheet=A0&amp;row=38&amp;col=15&amp;number=&amp;sourceID=32","")</f>
        <v/>
      </c>
      <c r="P38" s="4" t="str">
        <f>HYPERLINK("http://141.218.60.56/~jnz1568/getInfo.php?workbook=08_02.xlsx&amp;sheet=A0&amp;row=38&amp;col=16&amp;number=747800&amp;sourceID=32","747800")</f>
        <v>747800</v>
      </c>
      <c r="Q38" s="4" t="str">
        <f>HYPERLINK("http://141.218.60.56/~jnz1568/getInfo.php?workbook=08_02.xlsx&amp;sheet=A0&amp;row=38&amp;col=17&amp;number=0.438&amp;sourceID=32","0.438")</f>
        <v>0.438</v>
      </c>
      <c r="R38" s="4" t="str">
        <f>HYPERLINK("http://141.218.60.56/~jnz1568/getInfo.php?workbook=08_02.xlsx&amp;sheet=A0&amp;row=38&amp;col=18&amp;number=&amp;sourceID=32","")</f>
        <v/>
      </c>
      <c r="S38" s="4" t="str">
        <f>HYPERLINK("http://141.218.60.56/~jnz1568/getInfo.php?workbook=08_02.xlsx&amp;sheet=A0&amp;row=38&amp;col=19&amp;number=&amp;sourceID=1","")</f>
        <v/>
      </c>
      <c r="T38" s="4" t="str">
        <f>HYPERLINK("http://141.218.60.56/~jnz1568/getInfo.php?workbook=08_02.xlsx&amp;sheet=A0&amp;row=38&amp;col=20&amp;number=&amp;sourceID=1","")</f>
        <v/>
      </c>
    </row>
    <row r="39" spans="1:20">
      <c r="A39" s="3">
        <v>8</v>
      </c>
      <c r="B39" s="3">
        <v>2</v>
      </c>
      <c r="C39" s="3">
        <v>10</v>
      </c>
      <c r="D39" s="3">
        <v>5</v>
      </c>
      <c r="E39" s="3">
        <f>((1/(INDEX(E0!J$4:J$52,C39,1)-INDEX(E0!J$4:J$52,D39,1))))*100000000</f>
        <v>0</v>
      </c>
      <c r="F39" s="4" t="str">
        <f>HYPERLINK("http://141.218.60.56/~jnz1568/getInfo.php?workbook=08_02.xlsx&amp;sheet=A0&amp;row=39&amp;col=6&amp;number=&amp;sourceID=27","")</f>
        <v/>
      </c>
      <c r="G39" s="4" t="str">
        <f>HYPERLINK("http://141.218.60.56/~jnz1568/getInfo.php?workbook=08_02.xlsx&amp;sheet=A0&amp;row=39&amp;col=7&amp;number=&amp;sourceID=34","")</f>
        <v/>
      </c>
      <c r="H39" s="4" t="str">
        <f>HYPERLINK("http://141.218.60.56/~jnz1568/getInfo.php?workbook=08_02.xlsx&amp;sheet=A0&amp;row=39&amp;col=8&amp;number=&amp;sourceID=34","")</f>
        <v/>
      </c>
      <c r="I39" s="4" t="str">
        <f>HYPERLINK("http://141.218.60.56/~jnz1568/getInfo.php?workbook=08_02.xlsx&amp;sheet=A0&amp;row=39&amp;col=9&amp;number=&amp;sourceID=34","")</f>
        <v/>
      </c>
      <c r="J39" s="4" t="str">
        <f>HYPERLINK("http://141.218.60.56/~jnz1568/getInfo.php?workbook=08_02.xlsx&amp;sheet=A0&amp;row=39&amp;col=10&amp;number=&amp;sourceID=34","")</f>
        <v/>
      </c>
      <c r="K39" s="4" t="str">
        <f>HYPERLINK("http://141.218.60.56/~jnz1568/getInfo.php?workbook=08_02.xlsx&amp;sheet=A0&amp;row=39&amp;col=11&amp;number=&amp;sourceID=30","")</f>
        <v/>
      </c>
      <c r="L39" s="4" t="str">
        <f>HYPERLINK("http://141.218.60.56/~jnz1568/getInfo.php?workbook=08_02.xlsx&amp;sheet=A0&amp;row=39&amp;col=12&amp;number=2203000&amp;sourceID=30","2203000")</f>
        <v>2203000</v>
      </c>
      <c r="M39" s="4" t="str">
        <f>HYPERLINK("http://141.218.60.56/~jnz1568/getInfo.php?workbook=08_02.xlsx&amp;sheet=A0&amp;row=39&amp;col=13&amp;number=1.261&amp;sourceID=30","1.261")</f>
        <v>1.261</v>
      </c>
      <c r="N39" s="4" t="str">
        <f>HYPERLINK("http://141.218.60.56/~jnz1568/getInfo.php?workbook=08_02.xlsx&amp;sheet=A0&amp;row=39&amp;col=14&amp;number=&amp;sourceID=30","")</f>
        <v/>
      </c>
      <c r="O39" s="4" t="str">
        <f>HYPERLINK("http://141.218.60.56/~jnz1568/getInfo.php?workbook=08_02.xlsx&amp;sheet=A0&amp;row=39&amp;col=15&amp;number=&amp;sourceID=32","")</f>
        <v/>
      </c>
      <c r="P39" s="4" t="str">
        <f>HYPERLINK("http://141.218.60.56/~jnz1568/getInfo.php?workbook=08_02.xlsx&amp;sheet=A0&amp;row=39&amp;col=16&amp;number=2244000&amp;sourceID=32","2244000")</f>
        <v>2244000</v>
      </c>
      <c r="Q39" s="4" t="str">
        <f>HYPERLINK("http://141.218.60.56/~jnz1568/getInfo.php?workbook=08_02.xlsx&amp;sheet=A0&amp;row=39&amp;col=17&amp;number=1.183&amp;sourceID=32","1.183")</f>
        <v>1.183</v>
      </c>
      <c r="R39" s="4" t="str">
        <f>HYPERLINK("http://141.218.60.56/~jnz1568/getInfo.php?workbook=08_02.xlsx&amp;sheet=A0&amp;row=39&amp;col=18&amp;number=&amp;sourceID=32","")</f>
        <v/>
      </c>
      <c r="S39" s="4" t="str">
        <f>HYPERLINK("http://141.218.60.56/~jnz1568/getInfo.php?workbook=08_02.xlsx&amp;sheet=A0&amp;row=39&amp;col=19&amp;number=&amp;sourceID=1","")</f>
        <v/>
      </c>
      <c r="T39" s="4" t="str">
        <f>HYPERLINK("http://141.218.60.56/~jnz1568/getInfo.php?workbook=08_02.xlsx&amp;sheet=A0&amp;row=39&amp;col=20&amp;number=&amp;sourceID=1","")</f>
        <v/>
      </c>
    </row>
    <row r="40" spans="1:20">
      <c r="A40" s="3">
        <v>8</v>
      </c>
      <c r="B40" s="3">
        <v>2</v>
      </c>
      <c r="C40" s="3">
        <v>10</v>
      </c>
      <c r="D40" s="3">
        <v>6</v>
      </c>
      <c r="E40" s="3">
        <f>((1/(INDEX(E0!J$4:J$52,C40,1)-INDEX(E0!J$4:J$52,D40,1))))*100000000</f>
        <v>0</v>
      </c>
      <c r="F40" s="4" t="str">
        <f>HYPERLINK("http://141.218.60.56/~jnz1568/getInfo.php?workbook=08_02.xlsx&amp;sheet=A0&amp;row=40&amp;col=6&amp;number=&amp;sourceID=27","")</f>
        <v/>
      </c>
      <c r="G40" s="4" t="str">
        <f>HYPERLINK("http://141.218.60.56/~jnz1568/getInfo.php?workbook=08_02.xlsx&amp;sheet=A0&amp;row=40&amp;col=7&amp;number=&amp;sourceID=34","")</f>
        <v/>
      </c>
      <c r="H40" s="4" t="str">
        <f>HYPERLINK("http://141.218.60.56/~jnz1568/getInfo.php?workbook=08_02.xlsx&amp;sheet=A0&amp;row=40&amp;col=8&amp;number=&amp;sourceID=34","")</f>
        <v/>
      </c>
      <c r="I40" s="4" t="str">
        <f>HYPERLINK("http://141.218.60.56/~jnz1568/getInfo.php?workbook=08_02.xlsx&amp;sheet=A0&amp;row=40&amp;col=9&amp;number=&amp;sourceID=34","")</f>
        <v/>
      </c>
      <c r="J40" s="4" t="str">
        <f>HYPERLINK("http://141.218.60.56/~jnz1568/getInfo.php?workbook=08_02.xlsx&amp;sheet=A0&amp;row=40&amp;col=10&amp;number=&amp;sourceID=34","")</f>
        <v/>
      </c>
      <c r="K40" s="4" t="str">
        <f>HYPERLINK("http://141.218.60.56/~jnz1568/getInfo.php?workbook=08_02.xlsx&amp;sheet=A0&amp;row=40&amp;col=11&amp;number=9456000&amp;sourceID=30","9456000")</f>
        <v>9456000</v>
      </c>
      <c r="L40" s="4" t="str">
        <f>HYPERLINK("http://141.218.60.56/~jnz1568/getInfo.php?workbook=08_02.xlsx&amp;sheet=A0&amp;row=40&amp;col=12&amp;number=&amp;sourceID=30","")</f>
        <v/>
      </c>
      <c r="M40" s="4" t="str">
        <f>HYPERLINK("http://141.218.60.56/~jnz1568/getInfo.php?workbook=08_02.xlsx&amp;sheet=A0&amp;row=40&amp;col=13&amp;number=&amp;sourceID=30","")</f>
        <v/>
      </c>
      <c r="N40" s="4" t="str">
        <f>HYPERLINK("http://141.218.60.56/~jnz1568/getInfo.php?workbook=08_02.xlsx&amp;sheet=A0&amp;row=40&amp;col=14&amp;number=&amp;sourceID=30","")</f>
        <v/>
      </c>
      <c r="O40" s="4" t="str">
        <f>HYPERLINK("http://141.218.60.56/~jnz1568/getInfo.php?workbook=08_02.xlsx&amp;sheet=A0&amp;row=40&amp;col=15&amp;number=9677000&amp;sourceID=32","9677000")</f>
        <v>9677000</v>
      </c>
      <c r="P40" s="4" t="str">
        <f>HYPERLINK("http://141.218.60.56/~jnz1568/getInfo.php?workbook=08_02.xlsx&amp;sheet=A0&amp;row=40&amp;col=16&amp;number=&amp;sourceID=32","")</f>
        <v/>
      </c>
      <c r="Q40" s="4" t="str">
        <f>HYPERLINK("http://141.218.60.56/~jnz1568/getInfo.php?workbook=08_02.xlsx&amp;sheet=A0&amp;row=40&amp;col=17&amp;number=&amp;sourceID=32","")</f>
        <v/>
      </c>
      <c r="R40" s="4" t="str">
        <f>HYPERLINK("http://141.218.60.56/~jnz1568/getInfo.php?workbook=08_02.xlsx&amp;sheet=A0&amp;row=40&amp;col=18&amp;number=&amp;sourceID=32","")</f>
        <v/>
      </c>
      <c r="S40" s="4" t="str">
        <f>HYPERLINK("http://141.218.60.56/~jnz1568/getInfo.php?workbook=08_02.xlsx&amp;sheet=A0&amp;row=40&amp;col=19&amp;number=&amp;sourceID=1","")</f>
        <v/>
      </c>
      <c r="T40" s="4" t="str">
        <f>HYPERLINK("http://141.218.60.56/~jnz1568/getInfo.php?workbook=08_02.xlsx&amp;sheet=A0&amp;row=40&amp;col=20&amp;number=&amp;sourceID=1","")</f>
        <v/>
      </c>
    </row>
    <row r="41" spans="1:20">
      <c r="A41" s="3">
        <v>8</v>
      </c>
      <c r="B41" s="3">
        <v>2</v>
      </c>
      <c r="C41" s="3">
        <v>10</v>
      </c>
      <c r="D41" s="3">
        <v>7</v>
      </c>
      <c r="E41" s="3">
        <f>((1/(INDEX(E0!J$4:J$52,C41,1)-INDEX(E0!J$4:J$52,D41,1))))*100000000</f>
        <v>0</v>
      </c>
      <c r="F41" s="4" t="str">
        <f>HYPERLINK("http://141.218.60.56/~jnz1568/getInfo.php?workbook=08_02.xlsx&amp;sheet=A0&amp;row=41&amp;col=6&amp;number=&amp;sourceID=27","")</f>
        <v/>
      </c>
      <c r="G41" s="4" t="str">
        <f>HYPERLINK("http://141.218.60.56/~jnz1568/getInfo.php?workbook=08_02.xlsx&amp;sheet=A0&amp;row=41&amp;col=7&amp;number=&amp;sourceID=34","")</f>
        <v/>
      </c>
      <c r="H41" s="4" t="str">
        <f>HYPERLINK("http://141.218.60.56/~jnz1568/getInfo.php?workbook=08_02.xlsx&amp;sheet=A0&amp;row=41&amp;col=8&amp;number=&amp;sourceID=34","")</f>
        <v/>
      </c>
      <c r="I41" s="4" t="str">
        <f>HYPERLINK("http://141.218.60.56/~jnz1568/getInfo.php?workbook=08_02.xlsx&amp;sheet=A0&amp;row=41&amp;col=9&amp;number=&amp;sourceID=34","")</f>
        <v/>
      </c>
      <c r="J41" s="4" t="str">
        <f>HYPERLINK("http://141.218.60.56/~jnz1568/getInfo.php?workbook=08_02.xlsx&amp;sheet=A0&amp;row=41&amp;col=10&amp;number=&amp;sourceID=34","")</f>
        <v/>
      </c>
      <c r="K41" s="4" t="str">
        <f>HYPERLINK("http://141.218.60.56/~jnz1568/getInfo.php?workbook=08_02.xlsx&amp;sheet=A0&amp;row=41&amp;col=11&amp;number=&amp;sourceID=30","")</f>
        <v/>
      </c>
      <c r="L41" s="4" t="str">
        <f>HYPERLINK("http://141.218.60.56/~jnz1568/getInfo.php?workbook=08_02.xlsx&amp;sheet=A0&amp;row=41&amp;col=12&amp;number=998.1&amp;sourceID=30","998.1")</f>
        <v>998.1</v>
      </c>
      <c r="M41" s="4" t="str">
        <f>HYPERLINK("http://141.218.60.56/~jnz1568/getInfo.php?workbook=08_02.xlsx&amp;sheet=A0&amp;row=41&amp;col=13&amp;number=1.549&amp;sourceID=30","1.549")</f>
        <v>1.549</v>
      </c>
      <c r="N41" s="4" t="str">
        <f>HYPERLINK("http://141.218.60.56/~jnz1568/getInfo.php?workbook=08_02.xlsx&amp;sheet=A0&amp;row=41&amp;col=14&amp;number=&amp;sourceID=30","")</f>
        <v/>
      </c>
      <c r="O41" s="4" t="str">
        <f>HYPERLINK("http://141.218.60.56/~jnz1568/getInfo.php?workbook=08_02.xlsx&amp;sheet=A0&amp;row=41&amp;col=15&amp;number=&amp;sourceID=32","")</f>
        <v/>
      </c>
      <c r="P41" s="4" t="str">
        <f>HYPERLINK("http://141.218.60.56/~jnz1568/getInfo.php?workbook=08_02.xlsx&amp;sheet=A0&amp;row=41&amp;col=16&amp;number=1040&amp;sourceID=32","1040")</f>
        <v>1040</v>
      </c>
      <c r="Q41" s="4" t="str">
        <f>HYPERLINK("http://141.218.60.56/~jnz1568/getInfo.php?workbook=08_02.xlsx&amp;sheet=A0&amp;row=41&amp;col=17&amp;number=1.529&amp;sourceID=32","1.529")</f>
        <v>1.529</v>
      </c>
      <c r="R41" s="4" t="str">
        <f>HYPERLINK("http://141.218.60.56/~jnz1568/getInfo.php?workbook=08_02.xlsx&amp;sheet=A0&amp;row=41&amp;col=18&amp;number=&amp;sourceID=32","")</f>
        <v/>
      </c>
      <c r="S41" s="4" t="str">
        <f>HYPERLINK("http://141.218.60.56/~jnz1568/getInfo.php?workbook=08_02.xlsx&amp;sheet=A0&amp;row=41&amp;col=19&amp;number=&amp;sourceID=1","")</f>
        <v/>
      </c>
      <c r="T41" s="4" t="str">
        <f>HYPERLINK("http://141.218.60.56/~jnz1568/getInfo.php?workbook=08_02.xlsx&amp;sheet=A0&amp;row=41&amp;col=20&amp;number=&amp;sourceID=1","")</f>
        <v/>
      </c>
    </row>
    <row r="42" spans="1:20">
      <c r="A42" s="3">
        <v>8</v>
      </c>
      <c r="B42" s="3">
        <v>2</v>
      </c>
      <c r="C42" s="3">
        <v>10</v>
      </c>
      <c r="D42" s="3">
        <v>8</v>
      </c>
      <c r="E42" s="3">
        <f>((1/(INDEX(E0!J$4:J$52,C42,1)-INDEX(E0!J$4:J$52,D42,1))))*100000000</f>
        <v>0</v>
      </c>
      <c r="F42" s="4" t="str">
        <f>HYPERLINK("http://141.218.60.56/~jnz1568/getInfo.php?workbook=08_02.xlsx&amp;sheet=A0&amp;row=42&amp;col=6&amp;number=&amp;sourceID=27","")</f>
        <v/>
      </c>
      <c r="G42" s="4" t="str">
        <f>HYPERLINK("http://141.218.60.56/~jnz1568/getInfo.php?workbook=08_02.xlsx&amp;sheet=A0&amp;row=42&amp;col=7&amp;number=&amp;sourceID=34","")</f>
        <v/>
      </c>
      <c r="H42" s="4" t="str">
        <f>HYPERLINK("http://141.218.60.56/~jnz1568/getInfo.php?workbook=08_02.xlsx&amp;sheet=A0&amp;row=42&amp;col=8&amp;number=&amp;sourceID=34","")</f>
        <v/>
      </c>
      <c r="I42" s="4" t="str">
        <f>HYPERLINK("http://141.218.60.56/~jnz1568/getInfo.php?workbook=08_02.xlsx&amp;sheet=A0&amp;row=42&amp;col=9&amp;number=&amp;sourceID=34","")</f>
        <v/>
      </c>
      <c r="J42" s="4" t="str">
        <f>HYPERLINK("http://141.218.60.56/~jnz1568/getInfo.php?workbook=08_02.xlsx&amp;sheet=A0&amp;row=42&amp;col=10&amp;number=&amp;sourceID=34","")</f>
        <v/>
      </c>
      <c r="K42" s="4" t="str">
        <f>HYPERLINK("http://141.218.60.56/~jnz1568/getInfo.php?workbook=08_02.xlsx&amp;sheet=A0&amp;row=42&amp;col=11&amp;number=10180000&amp;sourceID=30","10180000")</f>
        <v>10180000</v>
      </c>
      <c r="L42" s="4" t="str">
        <f>HYPERLINK("http://141.218.60.56/~jnz1568/getInfo.php?workbook=08_02.xlsx&amp;sheet=A0&amp;row=42&amp;col=12&amp;number=&amp;sourceID=30","")</f>
        <v/>
      </c>
      <c r="M42" s="4" t="str">
        <f>HYPERLINK("http://141.218.60.56/~jnz1568/getInfo.php?workbook=08_02.xlsx&amp;sheet=A0&amp;row=42&amp;col=13&amp;number=&amp;sourceID=30","")</f>
        <v/>
      </c>
      <c r="N42" s="4" t="str">
        <f>HYPERLINK("http://141.218.60.56/~jnz1568/getInfo.php?workbook=08_02.xlsx&amp;sheet=A0&amp;row=42&amp;col=14&amp;number=1.016e-05&amp;sourceID=30","1.016e-05")</f>
        <v>1.016e-05</v>
      </c>
      <c r="O42" s="4" t="str">
        <f>HYPERLINK("http://141.218.60.56/~jnz1568/getInfo.php?workbook=08_02.xlsx&amp;sheet=A0&amp;row=42&amp;col=15&amp;number=9873000&amp;sourceID=32","9873000")</f>
        <v>9873000</v>
      </c>
      <c r="P42" s="4" t="str">
        <f>HYPERLINK("http://141.218.60.56/~jnz1568/getInfo.php?workbook=08_02.xlsx&amp;sheet=A0&amp;row=42&amp;col=16&amp;number=&amp;sourceID=32","")</f>
        <v/>
      </c>
      <c r="Q42" s="4" t="str">
        <f>HYPERLINK("http://141.218.60.56/~jnz1568/getInfo.php?workbook=08_02.xlsx&amp;sheet=A0&amp;row=42&amp;col=17&amp;number=&amp;sourceID=32","")</f>
        <v/>
      </c>
      <c r="R42" s="4" t="str">
        <f>HYPERLINK("http://141.218.60.56/~jnz1568/getInfo.php?workbook=08_02.xlsx&amp;sheet=A0&amp;row=42&amp;col=18&amp;number=9.686e-06&amp;sourceID=32","9.686e-06")</f>
        <v>9.686e-06</v>
      </c>
      <c r="S42" s="4" t="str">
        <f>HYPERLINK("http://141.218.60.56/~jnz1568/getInfo.php?workbook=08_02.xlsx&amp;sheet=A0&amp;row=42&amp;col=19&amp;number=&amp;sourceID=1","")</f>
        <v/>
      </c>
      <c r="T42" s="4" t="str">
        <f>HYPERLINK("http://141.218.60.56/~jnz1568/getInfo.php?workbook=08_02.xlsx&amp;sheet=A0&amp;row=42&amp;col=20&amp;number=&amp;sourceID=1","")</f>
        <v/>
      </c>
    </row>
    <row r="43" spans="1:20">
      <c r="A43" s="3">
        <v>8</v>
      </c>
      <c r="B43" s="3">
        <v>2</v>
      </c>
      <c r="C43" s="3">
        <v>10</v>
      </c>
      <c r="D43" s="3">
        <v>9</v>
      </c>
      <c r="E43" s="3">
        <f>((1/(INDEX(E0!J$4:J$52,C43,1)-INDEX(E0!J$4:J$52,D43,1))))*100000000</f>
        <v>0</v>
      </c>
      <c r="F43" s="4" t="str">
        <f>HYPERLINK("http://141.218.60.56/~jnz1568/getInfo.php?workbook=08_02.xlsx&amp;sheet=A0&amp;row=43&amp;col=6&amp;number=&amp;sourceID=27","")</f>
        <v/>
      </c>
      <c r="G43" s="4" t="str">
        <f>HYPERLINK("http://141.218.60.56/~jnz1568/getInfo.php?workbook=08_02.xlsx&amp;sheet=A0&amp;row=43&amp;col=7&amp;number=&amp;sourceID=34","")</f>
        <v/>
      </c>
      <c r="H43" s="4" t="str">
        <f>HYPERLINK("http://141.218.60.56/~jnz1568/getInfo.php?workbook=08_02.xlsx&amp;sheet=A0&amp;row=43&amp;col=8&amp;number=&amp;sourceID=34","")</f>
        <v/>
      </c>
      <c r="I43" s="4" t="str">
        <f>HYPERLINK("http://141.218.60.56/~jnz1568/getInfo.php?workbook=08_02.xlsx&amp;sheet=A0&amp;row=43&amp;col=9&amp;number=&amp;sourceID=34","")</f>
        <v/>
      </c>
      <c r="J43" s="4" t="str">
        <f>HYPERLINK("http://141.218.60.56/~jnz1568/getInfo.php?workbook=08_02.xlsx&amp;sheet=A0&amp;row=43&amp;col=10&amp;number=&amp;sourceID=34","")</f>
        <v/>
      </c>
      <c r="K43" s="4" t="str">
        <f>HYPERLINK("http://141.218.60.56/~jnz1568/getInfo.php?workbook=08_02.xlsx&amp;sheet=A0&amp;row=43&amp;col=11&amp;number=&amp;sourceID=30","")</f>
        <v/>
      </c>
      <c r="L43" s="4" t="str">
        <f>HYPERLINK("http://141.218.60.56/~jnz1568/getInfo.php?workbook=08_02.xlsx&amp;sheet=A0&amp;row=43&amp;col=12&amp;number=&amp;sourceID=30","")</f>
        <v/>
      </c>
      <c r="M43" s="4" t="str">
        <f>HYPERLINK("http://141.218.60.56/~jnz1568/getInfo.php?workbook=08_02.xlsx&amp;sheet=A0&amp;row=43&amp;col=13&amp;number=2.096e-07&amp;sourceID=30","2.096e-07")</f>
        <v>2.096e-07</v>
      </c>
      <c r="N43" s="4" t="str">
        <f>HYPERLINK("http://141.218.60.56/~jnz1568/getInfo.php?workbook=08_02.xlsx&amp;sheet=A0&amp;row=43&amp;col=14&amp;number=&amp;sourceID=30","")</f>
        <v/>
      </c>
      <c r="O43" s="4" t="str">
        <f>HYPERLINK("http://141.218.60.56/~jnz1568/getInfo.php?workbook=08_02.xlsx&amp;sheet=A0&amp;row=43&amp;col=15&amp;number=&amp;sourceID=32","")</f>
        <v/>
      </c>
      <c r="P43" s="4" t="str">
        <f>HYPERLINK("http://141.218.60.56/~jnz1568/getInfo.php?workbook=08_02.xlsx&amp;sheet=A0&amp;row=43&amp;col=16&amp;number=&amp;sourceID=32","")</f>
        <v/>
      </c>
      <c r="Q43" s="4" t="str">
        <f>HYPERLINK("http://141.218.60.56/~jnz1568/getInfo.php?workbook=08_02.xlsx&amp;sheet=A0&amp;row=43&amp;col=17&amp;number=&amp;sourceID=32","")</f>
        <v/>
      </c>
      <c r="R43" s="4" t="str">
        <f>HYPERLINK("http://141.218.60.56/~jnz1568/getInfo.php?workbook=08_02.xlsx&amp;sheet=A0&amp;row=43&amp;col=18&amp;number=&amp;sourceID=32","")</f>
        <v/>
      </c>
      <c r="S43" s="4" t="str">
        <f>HYPERLINK("http://141.218.60.56/~jnz1568/getInfo.php?workbook=08_02.xlsx&amp;sheet=A0&amp;row=43&amp;col=19&amp;number=&amp;sourceID=1","")</f>
        <v/>
      </c>
      <c r="T43" s="4" t="str">
        <f>HYPERLINK("http://141.218.60.56/~jnz1568/getInfo.php?workbook=08_02.xlsx&amp;sheet=A0&amp;row=43&amp;col=20&amp;number=&amp;sourceID=1","")</f>
        <v/>
      </c>
    </row>
    <row r="44" spans="1:20">
      <c r="A44" s="3">
        <v>8</v>
      </c>
      <c r="B44" s="3">
        <v>2</v>
      </c>
      <c r="C44" s="3">
        <v>11</v>
      </c>
      <c r="D44" s="3">
        <v>1</v>
      </c>
      <c r="E44" s="3">
        <f>((1/(INDEX(E0!J$4:J$52,C44,1)-INDEX(E0!J$4:J$52,D44,1))))*100000000</f>
        <v>0</v>
      </c>
      <c r="F44" s="4" t="str">
        <f>HYPERLINK("http://141.218.60.56/~jnz1568/getInfo.php?workbook=08_02.xlsx&amp;sheet=A0&amp;row=44&amp;col=6&amp;number=&amp;sourceID=27","")</f>
        <v/>
      </c>
      <c r="G44" s="4" t="str">
        <f>HYPERLINK("http://141.218.60.56/~jnz1568/getInfo.php?workbook=08_02.xlsx&amp;sheet=A0&amp;row=44&amp;col=7&amp;number=&amp;sourceID=34","")</f>
        <v/>
      </c>
      <c r="H44" s="4" t="str">
        <f>HYPERLINK("http://141.218.60.56/~jnz1568/getInfo.php?workbook=08_02.xlsx&amp;sheet=A0&amp;row=44&amp;col=8&amp;number=&amp;sourceID=34","")</f>
        <v/>
      </c>
      <c r="I44" s="4" t="str">
        <f>HYPERLINK("http://141.218.60.56/~jnz1568/getInfo.php?workbook=08_02.xlsx&amp;sheet=A0&amp;row=44&amp;col=9&amp;number=&amp;sourceID=34","")</f>
        <v/>
      </c>
      <c r="J44" s="4" t="str">
        <f>HYPERLINK("http://141.218.60.56/~jnz1568/getInfo.php?workbook=08_02.xlsx&amp;sheet=A0&amp;row=44&amp;col=10&amp;number=&amp;sourceID=34","")</f>
        <v/>
      </c>
      <c r="K44" s="4" t="str">
        <f>HYPERLINK("http://141.218.60.56/~jnz1568/getInfo.php?workbook=08_02.xlsx&amp;sheet=A0&amp;row=44&amp;col=11&amp;number=&amp;sourceID=30","")</f>
        <v/>
      </c>
      <c r="L44" s="4" t="str">
        <f>HYPERLINK("http://141.218.60.56/~jnz1568/getInfo.php?workbook=08_02.xlsx&amp;sheet=A0&amp;row=44&amp;col=12&amp;number=&amp;sourceID=30","")</f>
        <v/>
      </c>
      <c r="M44" s="4" t="str">
        <f>HYPERLINK("http://141.218.60.56/~jnz1568/getInfo.php?workbook=08_02.xlsx&amp;sheet=A0&amp;row=44&amp;col=13&amp;number=&amp;sourceID=30","")</f>
        <v/>
      </c>
      <c r="N44" s="4" t="str">
        <f>HYPERLINK("http://141.218.60.56/~jnz1568/getInfo.php?workbook=08_02.xlsx&amp;sheet=A0&amp;row=44&amp;col=14&amp;number=126100&amp;sourceID=30","126100")</f>
        <v>126100</v>
      </c>
      <c r="O44" s="4" t="str">
        <f>HYPERLINK("http://141.218.60.56/~jnz1568/getInfo.php?workbook=08_02.xlsx&amp;sheet=A0&amp;row=44&amp;col=15&amp;number=&amp;sourceID=32","")</f>
        <v/>
      </c>
      <c r="P44" s="4" t="str">
        <f>HYPERLINK("http://141.218.60.56/~jnz1568/getInfo.php?workbook=08_02.xlsx&amp;sheet=A0&amp;row=44&amp;col=16&amp;number=&amp;sourceID=32","")</f>
        <v/>
      </c>
      <c r="Q44" s="4" t="str">
        <f>HYPERLINK("http://141.218.60.56/~jnz1568/getInfo.php?workbook=08_02.xlsx&amp;sheet=A0&amp;row=44&amp;col=17&amp;number=&amp;sourceID=32","")</f>
        <v/>
      </c>
      <c r="R44" s="4" t="str">
        <f>HYPERLINK("http://141.218.60.56/~jnz1568/getInfo.php?workbook=08_02.xlsx&amp;sheet=A0&amp;row=44&amp;col=18&amp;number=120600&amp;sourceID=32","120600")</f>
        <v>120600</v>
      </c>
      <c r="S44" s="4" t="str">
        <f>HYPERLINK("http://141.218.60.56/~jnz1568/getInfo.php?workbook=08_02.xlsx&amp;sheet=A0&amp;row=44&amp;col=19&amp;number=&amp;sourceID=1","")</f>
        <v/>
      </c>
      <c r="T44" s="4" t="str">
        <f>HYPERLINK("http://141.218.60.56/~jnz1568/getInfo.php?workbook=08_02.xlsx&amp;sheet=A0&amp;row=44&amp;col=20&amp;number=&amp;sourceID=1","")</f>
        <v/>
      </c>
    </row>
    <row r="45" spans="1:20">
      <c r="A45" s="3">
        <v>8</v>
      </c>
      <c r="B45" s="3">
        <v>2</v>
      </c>
      <c r="C45" s="3">
        <v>11</v>
      </c>
      <c r="D45" s="3">
        <v>2</v>
      </c>
      <c r="E45" s="3">
        <f>((1/(INDEX(E0!J$4:J$52,C45,1)-INDEX(E0!J$4:J$52,D45,1))))*100000000</f>
        <v>0</v>
      </c>
      <c r="F45" s="4" t="str">
        <f>HYPERLINK("http://141.218.60.56/~jnz1568/getInfo.php?workbook=08_02.xlsx&amp;sheet=A0&amp;row=45&amp;col=6&amp;number=&amp;sourceID=27","")</f>
        <v/>
      </c>
      <c r="G45" s="4" t="str">
        <f>HYPERLINK("http://141.218.60.56/~jnz1568/getInfo.php?workbook=08_02.xlsx&amp;sheet=A0&amp;row=45&amp;col=7&amp;number=&amp;sourceID=34","")</f>
        <v/>
      </c>
      <c r="H45" s="4" t="str">
        <f>HYPERLINK("http://141.218.60.56/~jnz1568/getInfo.php?workbook=08_02.xlsx&amp;sheet=A0&amp;row=45&amp;col=8&amp;number=&amp;sourceID=34","")</f>
        <v/>
      </c>
      <c r="I45" s="4" t="str">
        <f>HYPERLINK("http://141.218.60.56/~jnz1568/getInfo.php?workbook=08_02.xlsx&amp;sheet=A0&amp;row=45&amp;col=9&amp;number=&amp;sourceID=34","")</f>
        <v/>
      </c>
      <c r="J45" s="4" t="str">
        <f>HYPERLINK("http://141.218.60.56/~jnz1568/getInfo.php?workbook=08_02.xlsx&amp;sheet=A0&amp;row=45&amp;col=10&amp;number=&amp;sourceID=34","")</f>
        <v/>
      </c>
      <c r="K45" s="4" t="str">
        <f>HYPERLINK("http://141.218.60.56/~jnz1568/getInfo.php?workbook=08_02.xlsx&amp;sheet=A0&amp;row=45&amp;col=11&amp;number=51850000000&amp;sourceID=30","51850000000")</f>
        <v>51850000000</v>
      </c>
      <c r="L45" s="4" t="str">
        <f>HYPERLINK("http://141.218.60.56/~jnz1568/getInfo.php?workbook=08_02.xlsx&amp;sheet=A0&amp;row=45&amp;col=12&amp;number=&amp;sourceID=30","")</f>
        <v/>
      </c>
      <c r="M45" s="4" t="str">
        <f>HYPERLINK("http://141.218.60.56/~jnz1568/getInfo.php?workbook=08_02.xlsx&amp;sheet=A0&amp;row=45&amp;col=13&amp;number=&amp;sourceID=30","")</f>
        <v/>
      </c>
      <c r="N45" s="4" t="str">
        <f>HYPERLINK("http://141.218.60.56/~jnz1568/getInfo.php?workbook=08_02.xlsx&amp;sheet=A0&amp;row=45&amp;col=14&amp;number=237.1&amp;sourceID=30","237.1")</f>
        <v>237.1</v>
      </c>
      <c r="O45" s="4" t="str">
        <f>HYPERLINK("http://141.218.60.56/~jnz1568/getInfo.php?workbook=08_02.xlsx&amp;sheet=A0&amp;row=45&amp;col=15&amp;number=53100000000&amp;sourceID=32","53100000000")</f>
        <v>53100000000</v>
      </c>
      <c r="P45" s="4" t="str">
        <f>HYPERLINK("http://141.218.60.56/~jnz1568/getInfo.php?workbook=08_02.xlsx&amp;sheet=A0&amp;row=45&amp;col=16&amp;number=&amp;sourceID=32","")</f>
        <v/>
      </c>
      <c r="Q45" s="4" t="str">
        <f>HYPERLINK("http://141.218.60.56/~jnz1568/getInfo.php?workbook=08_02.xlsx&amp;sheet=A0&amp;row=45&amp;col=17&amp;number=&amp;sourceID=32","")</f>
        <v/>
      </c>
      <c r="R45" s="4" t="str">
        <f>HYPERLINK("http://141.218.60.56/~jnz1568/getInfo.php?workbook=08_02.xlsx&amp;sheet=A0&amp;row=45&amp;col=18&amp;number=243&amp;sourceID=32","243")</f>
        <v>243</v>
      </c>
      <c r="S45" s="4" t="str">
        <f>HYPERLINK("http://141.218.60.56/~jnz1568/getInfo.php?workbook=08_02.xlsx&amp;sheet=A0&amp;row=45&amp;col=19&amp;number=&amp;sourceID=1","")</f>
        <v/>
      </c>
      <c r="T45" s="4" t="str">
        <f>HYPERLINK("http://141.218.60.56/~jnz1568/getInfo.php?workbook=08_02.xlsx&amp;sheet=A0&amp;row=45&amp;col=20&amp;number=&amp;sourceID=1","")</f>
        <v/>
      </c>
    </row>
    <row r="46" spans="1:20">
      <c r="A46" s="3">
        <v>8</v>
      </c>
      <c r="B46" s="3">
        <v>2</v>
      </c>
      <c r="C46" s="3">
        <v>11</v>
      </c>
      <c r="D46" s="3">
        <v>3</v>
      </c>
      <c r="E46" s="3">
        <f>((1/(INDEX(E0!J$4:J$52,C46,1)-INDEX(E0!J$4:J$52,D46,1))))*100000000</f>
        <v>0</v>
      </c>
      <c r="F46" s="4" t="str">
        <f>HYPERLINK("http://141.218.60.56/~jnz1568/getInfo.php?workbook=08_02.xlsx&amp;sheet=A0&amp;row=46&amp;col=6&amp;number=&amp;sourceID=27","")</f>
        <v/>
      </c>
      <c r="G46" s="4" t="str">
        <f>HYPERLINK("http://141.218.60.56/~jnz1568/getInfo.php?workbook=08_02.xlsx&amp;sheet=A0&amp;row=46&amp;col=7&amp;number=&amp;sourceID=34","")</f>
        <v/>
      </c>
      <c r="H46" s="4" t="str">
        <f>HYPERLINK("http://141.218.60.56/~jnz1568/getInfo.php?workbook=08_02.xlsx&amp;sheet=A0&amp;row=46&amp;col=8&amp;number=&amp;sourceID=34","")</f>
        <v/>
      </c>
      <c r="I46" s="4" t="str">
        <f>HYPERLINK("http://141.218.60.56/~jnz1568/getInfo.php?workbook=08_02.xlsx&amp;sheet=A0&amp;row=46&amp;col=9&amp;number=&amp;sourceID=34","")</f>
        <v/>
      </c>
      <c r="J46" s="4" t="str">
        <f>HYPERLINK("http://141.218.60.56/~jnz1568/getInfo.php?workbook=08_02.xlsx&amp;sheet=A0&amp;row=46&amp;col=10&amp;number=&amp;sourceID=34","")</f>
        <v/>
      </c>
      <c r="K46" s="4" t="str">
        <f>HYPERLINK("http://141.218.60.56/~jnz1568/getInfo.php?workbook=08_02.xlsx&amp;sheet=A0&amp;row=46&amp;col=11&amp;number=&amp;sourceID=30","")</f>
        <v/>
      </c>
      <c r="L46" s="4" t="str">
        <f>HYPERLINK("http://141.218.60.56/~jnz1568/getInfo.php?workbook=08_02.xlsx&amp;sheet=A0&amp;row=46&amp;col=12&amp;number=587900&amp;sourceID=30","587900")</f>
        <v>587900</v>
      </c>
      <c r="M46" s="4" t="str">
        <f>HYPERLINK("http://141.218.60.56/~jnz1568/getInfo.php?workbook=08_02.xlsx&amp;sheet=A0&amp;row=46&amp;col=13&amp;number=&amp;sourceID=30","")</f>
        <v/>
      </c>
      <c r="N46" s="4" t="str">
        <f>HYPERLINK("http://141.218.60.56/~jnz1568/getInfo.php?workbook=08_02.xlsx&amp;sheet=A0&amp;row=46&amp;col=14&amp;number=&amp;sourceID=30","")</f>
        <v/>
      </c>
      <c r="O46" s="4" t="str">
        <f>HYPERLINK("http://141.218.60.56/~jnz1568/getInfo.php?workbook=08_02.xlsx&amp;sheet=A0&amp;row=46&amp;col=15&amp;number=&amp;sourceID=32","")</f>
        <v/>
      </c>
      <c r="P46" s="4" t="str">
        <f>HYPERLINK("http://141.218.60.56/~jnz1568/getInfo.php?workbook=08_02.xlsx&amp;sheet=A0&amp;row=46&amp;col=16&amp;number=598700&amp;sourceID=32","598700")</f>
        <v>598700</v>
      </c>
      <c r="Q46" s="4" t="str">
        <f>HYPERLINK("http://141.218.60.56/~jnz1568/getInfo.php?workbook=08_02.xlsx&amp;sheet=A0&amp;row=46&amp;col=17&amp;number=&amp;sourceID=32","")</f>
        <v/>
      </c>
      <c r="R46" s="4" t="str">
        <f>HYPERLINK("http://141.218.60.56/~jnz1568/getInfo.php?workbook=08_02.xlsx&amp;sheet=A0&amp;row=46&amp;col=18&amp;number=&amp;sourceID=32","")</f>
        <v/>
      </c>
      <c r="S46" s="4" t="str">
        <f>HYPERLINK("http://141.218.60.56/~jnz1568/getInfo.php?workbook=08_02.xlsx&amp;sheet=A0&amp;row=46&amp;col=19&amp;number=&amp;sourceID=1","")</f>
        <v/>
      </c>
      <c r="T46" s="4" t="str">
        <f>HYPERLINK("http://141.218.60.56/~jnz1568/getInfo.php?workbook=08_02.xlsx&amp;sheet=A0&amp;row=46&amp;col=20&amp;number=&amp;sourceID=1","")</f>
        <v/>
      </c>
    </row>
    <row r="47" spans="1:20">
      <c r="A47" s="3">
        <v>8</v>
      </c>
      <c r="B47" s="3">
        <v>2</v>
      </c>
      <c r="C47" s="3">
        <v>11</v>
      </c>
      <c r="D47" s="3">
        <v>4</v>
      </c>
      <c r="E47" s="3">
        <f>((1/(INDEX(E0!J$4:J$52,C47,1)-INDEX(E0!J$4:J$52,D47,1))))*100000000</f>
        <v>0</v>
      </c>
      <c r="F47" s="4" t="str">
        <f>HYPERLINK("http://141.218.60.56/~jnz1568/getInfo.php?workbook=08_02.xlsx&amp;sheet=A0&amp;row=47&amp;col=6&amp;number=&amp;sourceID=27","")</f>
        <v/>
      </c>
      <c r="G47" s="4" t="str">
        <f>HYPERLINK("http://141.218.60.56/~jnz1568/getInfo.php?workbook=08_02.xlsx&amp;sheet=A0&amp;row=47&amp;col=7&amp;number=&amp;sourceID=34","")</f>
        <v/>
      </c>
      <c r="H47" s="4" t="str">
        <f>HYPERLINK("http://141.218.60.56/~jnz1568/getInfo.php?workbook=08_02.xlsx&amp;sheet=A0&amp;row=47&amp;col=8&amp;number=&amp;sourceID=34","")</f>
        <v/>
      </c>
      <c r="I47" s="4" t="str">
        <f>HYPERLINK("http://141.218.60.56/~jnz1568/getInfo.php?workbook=08_02.xlsx&amp;sheet=A0&amp;row=47&amp;col=9&amp;number=&amp;sourceID=34","")</f>
        <v/>
      </c>
      <c r="J47" s="4" t="str">
        <f>HYPERLINK("http://141.218.60.56/~jnz1568/getInfo.php?workbook=08_02.xlsx&amp;sheet=A0&amp;row=47&amp;col=10&amp;number=&amp;sourceID=34","")</f>
        <v/>
      </c>
      <c r="K47" s="4" t="str">
        <f>HYPERLINK("http://141.218.60.56/~jnz1568/getInfo.php?workbook=08_02.xlsx&amp;sheet=A0&amp;row=47&amp;col=11&amp;number=&amp;sourceID=30","")</f>
        <v/>
      </c>
      <c r="L47" s="4" t="str">
        <f>HYPERLINK("http://141.218.60.56/~jnz1568/getInfo.php?workbook=08_02.xlsx&amp;sheet=A0&amp;row=47&amp;col=12&amp;number=1322000&amp;sourceID=30","1322000")</f>
        <v>1322000</v>
      </c>
      <c r="M47" s="4" t="str">
        <f>HYPERLINK("http://141.218.60.56/~jnz1568/getInfo.php?workbook=08_02.xlsx&amp;sheet=A0&amp;row=47&amp;col=13&amp;number=0.8499&amp;sourceID=30","0.8499")</f>
        <v>0.8499</v>
      </c>
      <c r="N47" s="4" t="str">
        <f>HYPERLINK("http://141.218.60.56/~jnz1568/getInfo.php?workbook=08_02.xlsx&amp;sheet=A0&amp;row=47&amp;col=14&amp;number=&amp;sourceID=30","")</f>
        <v/>
      </c>
      <c r="O47" s="4" t="str">
        <f>HYPERLINK("http://141.218.60.56/~jnz1568/getInfo.php?workbook=08_02.xlsx&amp;sheet=A0&amp;row=47&amp;col=15&amp;number=&amp;sourceID=32","")</f>
        <v/>
      </c>
      <c r="P47" s="4" t="str">
        <f>HYPERLINK("http://141.218.60.56/~jnz1568/getInfo.php?workbook=08_02.xlsx&amp;sheet=A0&amp;row=47&amp;col=16&amp;number=1347000&amp;sourceID=32","1347000")</f>
        <v>1347000</v>
      </c>
      <c r="Q47" s="4" t="str">
        <f>HYPERLINK("http://141.218.60.56/~jnz1568/getInfo.php?workbook=08_02.xlsx&amp;sheet=A0&amp;row=47&amp;col=17&amp;number=0.9068&amp;sourceID=32","0.9068")</f>
        <v>0.9068</v>
      </c>
      <c r="R47" s="4" t="str">
        <f>HYPERLINK("http://141.218.60.56/~jnz1568/getInfo.php?workbook=08_02.xlsx&amp;sheet=A0&amp;row=47&amp;col=18&amp;number=&amp;sourceID=32","")</f>
        <v/>
      </c>
      <c r="S47" s="4" t="str">
        <f>HYPERLINK("http://141.218.60.56/~jnz1568/getInfo.php?workbook=08_02.xlsx&amp;sheet=A0&amp;row=47&amp;col=19&amp;number=&amp;sourceID=1","")</f>
        <v/>
      </c>
      <c r="T47" s="4" t="str">
        <f>HYPERLINK("http://141.218.60.56/~jnz1568/getInfo.php?workbook=08_02.xlsx&amp;sheet=A0&amp;row=47&amp;col=20&amp;number=&amp;sourceID=1","")</f>
        <v/>
      </c>
    </row>
    <row r="48" spans="1:20">
      <c r="A48" s="3">
        <v>8</v>
      </c>
      <c r="B48" s="3">
        <v>2</v>
      </c>
      <c r="C48" s="3">
        <v>11</v>
      </c>
      <c r="D48" s="3">
        <v>5</v>
      </c>
      <c r="E48" s="3">
        <f>((1/(INDEX(E0!J$4:J$52,C48,1)-INDEX(E0!J$4:J$52,D48,1))))*100000000</f>
        <v>0</v>
      </c>
      <c r="F48" s="4" t="str">
        <f>HYPERLINK("http://141.218.60.56/~jnz1568/getInfo.php?workbook=08_02.xlsx&amp;sheet=A0&amp;row=48&amp;col=6&amp;number=&amp;sourceID=27","")</f>
        <v/>
      </c>
      <c r="G48" s="4" t="str">
        <f>HYPERLINK("http://141.218.60.56/~jnz1568/getInfo.php?workbook=08_02.xlsx&amp;sheet=A0&amp;row=48&amp;col=7&amp;number=&amp;sourceID=34","")</f>
        <v/>
      </c>
      <c r="H48" s="4" t="str">
        <f>HYPERLINK("http://141.218.60.56/~jnz1568/getInfo.php?workbook=08_02.xlsx&amp;sheet=A0&amp;row=48&amp;col=8&amp;number=&amp;sourceID=34","")</f>
        <v/>
      </c>
      <c r="I48" s="4" t="str">
        <f>HYPERLINK("http://141.218.60.56/~jnz1568/getInfo.php?workbook=08_02.xlsx&amp;sheet=A0&amp;row=48&amp;col=9&amp;number=&amp;sourceID=34","")</f>
        <v/>
      </c>
      <c r="J48" s="4" t="str">
        <f>HYPERLINK("http://141.218.60.56/~jnz1568/getInfo.php?workbook=08_02.xlsx&amp;sheet=A0&amp;row=48&amp;col=10&amp;number=&amp;sourceID=34","")</f>
        <v/>
      </c>
      <c r="K48" s="4" t="str">
        <f>HYPERLINK("http://141.218.60.56/~jnz1568/getInfo.php?workbook=08_02.xlsx&amp;sheet=A0&amp;row=48&amp;col=11&amp;number=&amp;sourceID=30","")</f>
        <v/>
      </c>
      <c r="L48" s="4" t="str">
        <f>HYPERLINK("http://141.218.60.56/~jnz1568/getInfo.php?workbook=08_02.xlsx&amp;sheet=A0&amp;row=48&amp;col=12&amp;number=1028000&amp;sourceID=30","1028000")</f>
        <v>1028000</v>
      </c>
      <c r="M48" s="4" t="str">
        <f>HYPERLINK("http://141.218.60.56/~jnz1568/getInfo.php?workbook=08_02.xlsx&amp;sheet=A0&amp;row=48&amp;col=13&amp;number=1.081&amp;sourceID=30","1.081")</f>
        <v>1.081</v>
      </c>
      <c r="N48" s="4" t="str">
        <f>HYPERLINK("http://141.218.60.56/~jnz1568/getInfo.php?workbook=08_02.xlsx&amp;sheet=A0&amp;row=48&amp;col=14&amp;number=&amp;sourceID=30","")</f>
        <v/>
      </c>
      <c r="O48" s="4" t="str">
        <f>HYPERLINK("http://141.218.60.56/~jnz1568/getInfo.php?workbook=08_02.xlsx&amp;sheet=A0&amp;row=48&amp;col=15&amp;number=&amp;sourceID=32","")</f>
        <v/>
      </c>
      <c r="P48" s="4" t="str">
        <f>HYPERLINK("http://141.218.60.56/~jnz1568/getInfo.php?workbook=08_02.xlsx&amp;sheet=A0&amp;row=48&amp;col=16&amp;number=1047000&amp;sourceID=32","1047000")</f>
        <v>1047000</v>
      </c>
      <c r="Q48" s="4" t="str">
        <f>HYPERLINK("http://141.218.60.56/~jnz1568/getInfo.php?workbook=08_02.xlsx&amp;sheet=A0&amp;row=48&amp;col=17&amp;number=1.012&amp;sourceID=32","1.012")</f>
        <v>1.012</v>
      </c>
      <c r="R48" s="4" t="str">
        <f>HYPERLINK("http://141.218.60.56/~jnz1568/getInfo.php?workbook=08_02.xlsx&amp;sheet=A0&amp;row=48&amp;col=18&amp;number=&amp;sourceID=32","")</f>
        <v/>
      </c>
      <c r="S48" s="4" t="str">
        <f>HYPERLINK("http://141.218.60.56/~jnz1568/getInfo.php?workbook=08_02.xlsx&amp;sheet=A0&amp;row=48&amp;col=19&amp;number=&amp;sourceID=1","")</f>
        <v/>
      </c>
      <c r="T48" s="4" t="str">
        <f>HYPERLINK("http://141.218.60.56/~jnz1568/getInfo.php?workbook=08_02.xlsx&amp;sheet=A0&amp;row=48&amp;col=20&amp;number=&amp;sourceID=1","")</f>
        <v/>
      </c>
    </row>
    <row r="49" spans="1:20">
      <c r="A49" s="3">
        <v>8</v>
      </c>
      <c r="B49" s="3">
        <v>2</v>
      </c>
      <c r="C49" s="3">
        <v>11</v>
      </c>
      <c r="D49" s="3">
        <v>6</v>
      </c>
      <c r="E49" s="3">
        <f>((1/(INDEX(E0!J$4:J$52,C49,1)-INDEX(E0!J$4:J$52,D49,1))))*100000000</f>
        <v>0</v>
      </c>
      <c r="F49" s="4" t="str">
        <f>HYPERLINK("http://141.218.60.56/~jnz1568/getInfo.php?workbook=08_02.xlsx&amp;sheet=A0&amp;row=49&amp;col=6&amp;number=&amp;sourceID=27","")</f>
        <v/>
      </c>
      <c r="G49" s="4" t="str">
        <f>HYPERLINK("http://141.218.60.56/~jnz1568/getInfo.php?workbook=08_02.xlsx&amp;sheet=A0&amp;row=49&amp;col=7&amp;number=&amp;sourceID=34","")</f>
        <v/>
      </c>
      <c r="H49" s="4" t="str">
        <f>HYPERLINK("http://141.218.60.56/~jnz1568/getInfo.php?workbook=08_02.xlsx&amp;sheet=A0&amp;row=49&amp;col=8&amp;number=&amp;sourceID=34","")</f>
        <v/>
      </c>
      <c r="I49" s="4" t="str">
        <f>HYPERLINK("http://141.218.60.56/~jnz1568/getInfo.php?workbook=08_02.xlsx&amp;sheet=A0&amp;row=49&amp;col=9&amp;number=&amp;sourceID=34","")</f>
        <v/>
      </c>
      <c r="J49" s="4" t="str">
        <f>HYPERLINK("http://141.218.60.56/~jnz1568/getInfo.php?workbook=08_02.xlsx&amp;sheet=A0&amp;row=49&amp;col=10&amp;number=&amp;sourceID=34","")</f>
        <v/>
      </c>
      <c r="K49" s="4" t="str">
        <f>HYPERLINK("http://141.218.60.56/~jnz1568/getInfo.php?workbook=08_02.xlsx&amp;sheet=A0&amp;row=49&amp;col=11&amp;number=&amp;sourceID=30","")</f>
        <v/>
      </c>
      <c r="L49" s="4" t="str">
        <f>HYPERLINK("http://141.218.60.56/~jnz1568/getInfo.php?workbook=08_02.xlsx&amp;sheet=A0&amp;row=49&amp;col=12&amp;number=&amp;sourceID=30","")</f>
        <v/>
      </c>
      <c r="M49" s="4" t="str">
        <f>HYPERLINK("http://141.218.60.56/~jnz1568/getInfo.php?workbook=08_02.xlsx&amp;sheet=A0&amp;row=49&amp;col=13&amp;number=&amp;sourceID=30","")</f>
        <v/>
      </c>
      <c r="N49" s="4" t="str">
        <f>HYPERLINK("http://141.218.60.56/~jnz1568/getInfo.php?workbook=08_02.xlsx&amp;sheet=A0&amp;row=49&amp;col=14&amp;number=149.3&amp;sourceID=30","149.3")</f>
        <v>149.3</v>
      </c>
      <c r="O49" s="4" t="str">
        <f>HYPERLINK("http://141.218.60.56/~jnz1568/getInfo.php?workbook=08_02.xlsx&amp;sheet=A0&amp;row=49&amp;col=15&amp;number=&amp;sourceID=32","")</f>
        <v/>
      </c>
      <c r="P49" s="4" t="str">
        <f>HYPERLINK("http://141.218.60.56/~jnz1568/getInfo.php?workbook=08_02.xlsx&amp;sheet=A0&amp;row=49&amp;col=16&amp;number=&amp;sourceID=32","")</f>
        <v/>
      </c>
      <c r="Q49" s="4" t="str">
        <f>HYPERLINK("http://141.218.60.56/~jnz1568/getInfo.php?workbook=08_02.xlsx&amp;sheet=A0&amp;row=49&amp;col=17&amp;number=&amp;sourceID=32","")</f>
        <v/>
      </c>
      <c r="R49" s="4" t="str">
        <f>HYPERLINK("http://141.218.60.56/~jnz1568/getInfo.php?workbook=08_02.xlsx&amp;sheet=A0&amp;row=49&amp;col=18&amp;number=148&amp;sourceID=32","148")</f>
        <v>148</v>
      </c>
      <c r="S49" s="4" t="str">
        <f>HYPERLINK("http://141.218.60.56/~jnz1568/getInfo.php?workbook=08_02.xlsx&amp;sheet=A0&amp;row=49&amp;col=19&amp;number=&amp;sourceID=1","")</f>
        <v/>
      </c>
      <c r="T49" s="4" t="str">
        <f>HYPERLINK("http://141.218.60.56/~jnz1568/getInfo.php?workbook=08_02.xlsx&amp;sheet=A0&amp;row=49&amp;col=20&amp;number=&amp;sourceID=1","")</f>
        <v/>
      </c>
    </row>
    <row r="50" spans="1:20">
      <c r="A50" s="3">
        <v>8</v>
      </c>
      <c r="B50" s="3">
        <v>2</v>
      </c>
      <c r="C50" s="3">
        <v>11</v>
      </c>
      <c r="D50" s="3">
        <v>7</v>
      </c>
      <c r="E50" s="3">
        <f>((1/(INDEX(E0!J$4:J$52,C50,1)-INDEX(E0!J$4:J$52,D50,1))))*100000000</f>
        <v>0</v>
      </c>
      <c r="F50" s="4" t="str">
        <f>HYPERLINK("http://141.218.60.56/~jnz1568/getInfo.php?workbook=08_02.xlsx&amp;sheet=A0&amp;row=50&amp;col=6&amp;number=&amp;sourceID=27","")</f>
        <v/>
      </c>
      <c r="G50" s="4" t="str">
        <f>HYPERLINK("http://141.218.60.56/~jnz1568/getInfo.php?workbook=08_02.xlsx&amp;sheet=A0&amp;row=50&amp;col=7&amp;number=&amp;sourceID=34","")</f>
        <v/>
      </c>
      <c r="H50" s="4" t="str">
        <f>HYPERLINK("http://141.218.60.56/~jnz1568/getInfo.php?workbook=08_02.xlsx&amp;sheet=A0&amp;row=50&amp;col=8&amp;number=&amp;sourceID=34","")</f>
        <v/>
      </c>
      <c r="I50" s="4" t="str">
        <f>HYPERLINK("http://141.218.60.56/~jnz1568/getInfo.php?workbook=08_02.xlsx&amp;sheet=A0&amp;row=50&amp;col=9&amp;number=&amp;sourceID=34","")</f>
        <v/>
      </c>
      <c r="J50" s="4" t="str">
        <f>HYPERLINK("http://141.218.60.56/~jnz1568/getInfo.php?workbook=08_02.xlsx&amp;sheet=A0&amp;row=50&amp;col=10&amp;number=&amp;sourceID=34","")</f>
        <v/>
      </c>
      <c r="K50" s="4" t="str">
        <f>HYPERLINK("http://141.218.60.56/~jnz1568/getInfo.php?workbook=08_02.xlsx&amp;sheet=A0&amp;row=50&amp;col=11&amp;number=&amp;sourceID=30","")</f>
        <v/>
      </c>
      <c r="L50" s="4" t="str">
        <f>HYPERLINK("http://141.218.60.56/~jnz1568/getInfo.php?workbook=08_02.xlsx&amp;sheet=A0&amp;row=50&amp;col=12&amp;number=183.8&amp;sourceID=30","183.8")</f>
        <v>183.8</v>
      </c>
      <c r="M50" s="4" t="str">
        <f>HYPERLINK("http://141.218.60.56/~jnz1568/getInfo.php?workbook=08_02.xlsx&amp;sheet=A0&amp;row=50&amp;col=13&amp;number=0.1205&amp;sourceID=30","0.1205")</f>
        <v>0.1205</v>
      </c>
      <c r="N50" s="4" t="str">
        <f>HYPERLINK("http://141.218.60.56/~jnz1568/getInfo.php?workbook=08_02.xlsx&amp;sheet=A0&amp;row=50&amp;col=14&amp;number=&amp;sourceID=30","")</f>
        <v/>
      </c>
      <c r="O50" s="4" t="str">
        <f>HYPERLINK("http://141.218.60.56/~jnz1568/getInfo.php?workbook=08_02.xlsx&amp;sheet=A0&amp;row=50&amp;col=15&amp;number=&amp;sourceID=32","")</f>
        <v/>
      </c>
      <c r="P50" s="4" t="str">
        <f>HYPERLINK("http://141.218.60.56/~jnz1568/getInfo.php?workbook=08_02.xlsx&amp;sheet=A0&amp;row=50&amp;col=16&amp;number=193.5&amp;sourceID=32","193.5")</f>
        <v>193.5</v>
      </c>
      <c r="Q50" s="4" t="str">
        <f>HYPERLINK("http://141.218.60.56/~jnz1568/getInfo.php?workbook=08_02.xlsx&amp;sheet=A0&amp;row=50&amp;col=17&amp;number=0.1377&amp;sourceID=32","0.1377")</f>
        <v>0.1377</v>
      </c>
      <c r="R50" s="4" t="str">
        <f>HYPERLINK("http://141.218.60.56/~jnz1568/getInfo.php?workbook=08_02.xlsx&amp;sheet=A0&amp;row=50&amp;col=18&amp;number=&amp;sourceID=32","")</f>
        <v/>
      </c>
      <c r="S50" s="4" t="str">
        <f>HYPERLINK("http://141.218.60.56/~jnz1568/getInfo.php?workbook=08_02.xlsx&amp;sheet=A0&amp;row=50&amp;col=19&amp;number=&amp;sourceID=1","")</f>
        <v/>
      </c>
      <c r="T50" s="4" t="str">
        <f>HYPERLINK("http://141.218.60.56/~jnz1568/getInfo.php?workbook=08_02.xlsx&amp;sheet=A0&amp;row=50&amp;col=20&amp;number=&amp;sourceID=1","")</f>
        <v/>
      </c>
    </row>
    <row r="51" spans="1:20">
      <c r="A51" s="3">
        <v>8</v>
      </c>
      <c r="B51" s="3">
        <v>2</v>
      </c>
      <c r="C51" s="3">
        <v>11</v>
      </c>
      <c r="D51" s="3">
        <v>8</v>
      </c>
      <c r="E51" s="3">
        <f>((1/(INDEX(E0!J$4:J$52,C51,1)-INDEX(E0!J$4:J$52,D51,1))))*100000000</f>
        <v>0</v>
      </c>
      <c r="F51" s="4" t="str">
        <f>HYPERLINK("http://141.218.60.56/~jnz1568/getInfo.php?workbook=08_02.xlsx&amp;sheet=A0&amp;row=51&amp;col=6&amp;number=&amp;sourceID=27","")</f>
        <v/>
      </c>
      <c r="G51" s="4" t="str">
        <f>HYPERLINK("http://141.218.60.56/~jnz1568/getInfo.php?workbook=08_02.xlsx&amp;sheet=A0&amp;row=51&amp;col=7&amp;number=&amp;sourceID=34","")</f>
        <v/>
      </c>
      <c r="H51" s="4" t="str">
        <f>HYPERLINK("http://141.218.60.56/~jnz1568/getInfo.php?workbook=08_02.xlsx&amp;sheet=A0&amp;row=51&amp;col=8&amp;number=&amp;sourceID=34","")</f>
        <v/>
      </c>
      <c r="I51" s="4" t="str">
        <f>HYPERLINK("http://141.218.60.56/~jnz1568/getInfo.php?workbook=08_02.xlsx&amp;sheet=A0&amp;row=51&amp;col=9&amp;number=&amp;sourceID=34","")</f>
        <v/>
      </c>
      <c r="J51" s="4" t="str">
        <f>HYPERLINK("http://141.218.60.56/~jnz1568/getInfo.php?workbook=08_02.xlsx&amp;sheet=A0&amp;row=51&amp;col=10&amp;number=&amp;sourceID=34","")</f>
        <v/>
      </c>
      <c r="K51" s="4" t="str">
        <f>HYPERLINK("http://141.218.60.56/~jnz1568/getInfo.php?workbook=08_02.xlsx&amp;sheet=A0&amp;row=51&amp;col=11&amp;number=10480000&amp;sourceID=30","10480000")</f>
        <v>10480000</v>
      </c>
      <c r="L51" s="4" t="str">
        <f>HYPERLINK("http://141.218.60.56/~jnz1568/getInfo.php?workbook=08_02.xlsx&amp;sheet=A0&amp;row=51&amp;col=12&amp;number=&amp;sourceID=30","")</f>
        <v/>
      </c>
      <c r="M51" s="4" t="str">
        <f>HYPERLINK("http://141.218.60.56/~jnz1568/getInfo.php?workbook=08_02.xlsx&amp;sheet=A0&amp;row=51&amp;col=13&amp;number=&amp;sourceID=30","")</f>
        <v/>
      </c>
      <c r="N51" s="4" t="str">
        <f>HYPERLINK("http://141.218.60.56/~jnz1568/getInfo.php?workbook=08_02.xlsx&amp;sheet=A0&amp;row=51&amp;col=14&amp;number=1.99e-05&amp;sourceID=30","1.99e-05")</f>
        <v>1.99e-05</v>
      </c>
      <c r="O51" s="4" t="str">
        <f>HYPERLINK("http://141.218.60.56/~jnz1568/getInfo.php?workbook=08_02.xlsx&amp;sheet=A0&amp;row=51&amp;col=15&amp;number=10170000&amp;sourceID=32","10170000")</f>
        <v>10170000</v>
      </c>
      <c r="P51" s="4" t="str">
        <f>HYPERLINK("http://141.218.60.56/~jnz1568/getInfo.php?workbook=08_02.xlsx&amp;sheet=A0&amp;row=51&amp;col=16&amp;number=&amp;sourceID=32","")</f>
        <v/>
      </c>
      <c r="Q51" s="4" t="str">
        <f>HYPERLINK("http://141.218.60.56/~jnz1568/getInfo.php?workbook=08_02.xlsx&amp;sheet=A0&amp;row=51&amp;col=17&amp;number=&amp;sourceID=32","")</f>
        <v/>
      </c>
      <c r="R51" s="4" t="str">
        <f>HYPERLINK("http://141.218.60.56/~jnz1568/getInfo.php?workbook=08_02.xlsx&amp;sheet=A0&amp;row=51&amp;col=18&amp;number=1.901e-05&amp;sourceID=32","1.901e-05")</f>
        <v>1.901e-05</v>
      </c>
      <c r="S51" s="4" t="str">
        <f>HYPERLINK("http://141.218.60.56/~jnz1568/getInfo.php?workbook=08_02.xlsx&amp;sheet=A0&amp;row=51&amp;col=19&amp;number=&amp;sourceID=1","")</f>
        <v/>
      </c>
      <c r="T51" s="4" t="str">
        <f>HYPERLINK("http://141.218.60.56/~jnz1568/getInfo.php?workbook=08_02.xlsx&amp;sheet=A0&amp;row=51&amp;col=20&amp;number=&amp;sourceID=1","")</f>
        <v/>
      </c>
    </row>
    <row r="52" spans="1:20">
      <c r="A52" s="3">
        <v>8</v>
      </c>
      <c r="B52" s="3">
        <v>2</v>
      </c>
      <c r="C52" s="3">
        <v>11</v>
      </c>
      <c r="D52" s="3">
        <v>9</v>
      </c>
      <c r="E52" s="3">
        <f>((1/(INDEX(E0!J$4:J$52,C52,1)-INDEX(E0!J$4:J$52,D52,1))))*100000000</f>
        <v>0</v>
      </c>
      <c r="F52" s="4" t="str">
        <f>HYPERLINK("http://141.218.60.56/~jnz1568/getInfo.php?workbook=08_02.xlsx&amp;sheet=A0&amp;row=52&amp;col=6&amp;number=&amp;sourceID=27","")</f>
        <v/>
      </c>
      <c r="G52" s="4" t="str">
        <f>HYPERLINK("http://141.218.60.56/~jnz1568/getInfo.php?workbook=08_02.xlsx&amp;sheet=A0&amp;row=52&amp;col=7&amp;number=&amp;sourceID=34","")</f>
        <v/>
      </c>
      <c r="H52" s="4" t="str">
        <f>HYPERLINK("http://141.218.60.56/~jnz1568/getInfo.php?workbook=08_02.xlsx&amp;sheet=A0&amp;row=52&amp;col=8&amp;number=&amp;sourceID=34","")</f>
        <v/>
      </c>
      <c r="I52" s="4" t="str">
        <f>HYPERLINK("http://141.218.60.56/~jnz1568/getInfo.php?workbook=08_02.xlsx&amp;sheet=A0&amp;row=52&amp;col=9&amp;number=&amp;sourceID=34","")</f>
        <v/>
      </c>
      <c r="J52" s="4" t="str">
        <f>HYPERLINK("http://141.218.60.56/~jnz1568/getInfo.php?workbook=08_02.xlsx&amp;sheet=A0&amp;row=52&amp;col=10&amp;number=&amp;sourceID=34","")</f>
        <v/>
      </c>
      <c r="K52" s="4" t="str">
        <f>HYPERLINK("http://141.218.60.56/~jnz1568/getInfo.php?workbook=08_02.xlsx&amp;sheet=A0&amp;row=52&amp;col=11&amp;number=&amp;sourceID=30","")</f>
        <v/>
      </c>
      <c r="L52" s="4" t="str">
        <f>HYPERLINK("http://141.218.60.56/~jnz1568/getInfo.php?workbook=08_02.xlsx&amp;sheet=A0&amp;row=52&amp;col=12&amp;number=2.425e-11&amp;sourceID=30","2.425e-11")</f>
        <v>2.425e-11</v>
      </c>
      <c r="M52" s="4" t="str">
        <f>HYPERLINK("http://141.218.60.56/~jnz1568/getInfo.php?workbook=08_02.xlsx&amp;sheet=A0&amp;row=52&amp;col=13&amp;number=&amp;sourceID=30","")</f>
        <v/>
      </c>
      <c r="N52" s="4" t="str">
        <f>HYPERLINK("http://141.218.60.56/~jnz1568/getInfo.php?workbook=08_02.xlsx&amp;sheet=A0&amp;row=52&amp;col=14&amp;number=&amp;sourceID=30","")</f>
        <v/>
      </c>
      <c r="O52" s="4" t="str">
        <f>HYPERLINK("http://141.218.60.56/~jnz1568/getInfo.php?workbook=08_02.xlsx&amp;sheet=A0&amp;row=52&amp;col=15&amp;number=&amp;sourceID=32","")</f>
        <v/>
      </c>
      <c r="P52" s="4" t="str">
        <f>HYPERLINK("http://141.218.60.56/~jnz1568/getInfo.php?workbook=08_02.xlsx&amp;sheet=A0&amp;row=52&amp;col=16&amp;number=2.471e-11&amp;sourceID=32","2.471e-11")</f>
        <v>2.471e-11</v>
      </c>
      <c r="Q52" s="4" t="str">
        <f>HYPERLINK("http://141.218.60.56/~jnz1568/getInfo.php?workbook=08_02.xlsx&amp;sheet=A0&amp;row=52&amp;col=17&amp;number=&amp;sourceID=32","")</f>
        <v/>
      </c>
      <c r="R52" s="4" t="str">
        <f>HYPERLINK("http://141.218.60.56/~jnz1568/getInfo.php?workbook=08_02.xlsx&amp;sheet=A0&amp;row=52&amp;col=18&amp;number=&amp;sourceID=32","")</f>
        <v/>
      </c>
      <c r="S52" s="4" t="str">
        <f>HYPERLINK("http://141.218.60.56/~jnz1568/getInfo.php?workbook=08_02.xlsx&amp;sheet=A0&amp;row=52&amp;col=19&amp;number=&amp;sourceID=1","")</f>
        <v/>
      </c>
      <c r="T52" s="4" t="str">
        <f>HYPERLINK("http://141.218.60.56/~jnz1568/getInfo.php?workbook=08_02.xlsx&amp;sheet=A0&amp;row=52&amp;col=20&amp;number=&amp;sourceID=1","")</f>
        <v/>
      </c>
    </row>
    <row r="53" spans="1:20">
      <c r="A53" s="3">
        <v>8</v>
      </c>
      <c r="B53" s="3">
        <v>2</v>
      </c>
      <c r="C53" s="3">
        <v>11</v>
      </c>
      <c r="D53" s="3">
        <v>10</v>
      </c>
      <c r="E53" s="3">
        <f>((1/(INDEX(E0!J$4:J$52,C53,1)-INDEX(E0!J$4:J$52,D53,1))))*100000000</f>
        <v>0</v>
      </c>
      <c r="F53" s="4" t="str">
        <f>HYPERLINK("http://141.218.60.56/~jnz1568/getInfo.php?workbook=08_02.xlsx&amp;sheet=A0&amp;row=53&amp;col=6&amp;number=&amp;sourceID=27","")</f>
        <v/>
      </c>
      <c r="G53" s="4" t="str">
        <f>HYPERLINK("http://141.218.60.56/~jnz1568/getInfo.php?workbook=08_02.xlsx&amp;sheet=A0&amp;row=53&amp;col=7&amp;number=&amp;sourceID=34","")</f>
        <v/>
      </c>
      <c r="H53" s="4" t="str">
        <f>HYPERLINK("http://141.218.60.56/~jnz1568/getInfo.php?workbook=08_02.xlsx&amp;sheet=A0&amp;row=53&amp;col=8&amp;number=&amp;sourceID=34","")</f>
        <v/>
      </c>
      <c r="I53" s="4" t="str">
        <f>HYPERLINK("http://141.218.60.56/~jnz1568/getInfo.php?workbook=08_02.xlsx&amp;sheet=A0&amp;row=53&amp;col=9&amp;number=&amp;sourceID=34","")</f>
        <v/>
      </c>
      <c r="J53" s="4" t="str">
        <f>HYPERLINK("http://141.218.60.56/~jnz1568/getInfo.php?workbook=08_02.xlsx&amp;sheet=A0&amp;row=53&amp;col=10&amp;number=&amp;sourceID=34","")</f>
        <v/>
      </c>
      <c r="K53" s="4" t="str">
        <f>HYPERLINK("http://141.218.60.56/~jnz1568/getInfo.php?workbook=08_02.xlsx&amp;sheet=A0&amp;row=53&amp;col=11&amp;number=&amp;sourceID=30","")</f>
        <v/>
      </c>
      <c r="L53" s="4" t="str">
        <f>HYPERLINK("http://141.218.60.56/~jnz1568/getInfo.php?workbook=08_02.xlsx&amp;sheet=A0&amp;row=53&amp;col=12&amp;number=2.828e-11&amp;sourceID=30","2.828e-11")</f>
        <v>2.828e-11</v>
      </c>
      <c r="M53" s="4" t="str">
        <f>HYPERLINK("http://141.218.60.56/~jnz1568/getInfo.php?workbook=08_02.xlsx&amp;sheet=A0&amp;row=53&amp;col=13&amp;number=5.681e-05&amp;sourceID=30","5.681e-05")</f>
        <v>5.681e-05</v>
      </c>
      <c r="N53" s="4" t="str">
        <f>HYPERLINK("http://141.218.60.56/~jnz1568/getInfo.php?workbook=08_02.xlsx&amp;sheet=A0&amp;row=53&amp;col=14&amp;number=&amp;sourceID=30","")</f>
        <v/>
      </c>
      <c r="O53" s="4" t="str">
        <f>HYPERLINK("http://141.218.60.56/~jnz1568/getInfo.php?workbook=08_02.xlsx&amp;sheet=A0&amp;row=53&amp;col=15&amp;number=&amp;sourceID=32","")</f>
        <v/>
      </c>
      <c r="P53" s="4" t="str">
        <f>HYPERLINK("http://141.218.60.56/~jnz1568/getInfo.php?workbook=08_02.xlsx&amp;sheet=A0&amp;row=53&amp;col=16&amp;number=2.858e-11&amp;sourceID=32","2.858e-11")</f>
        <v>2.858e-11</v>
      </c>
      <c r="Q53" s="4" t="str">
        <f>HYPERLINK("http://141.218.60.56/~jnz1568/getInfo.php?workbook=08_02.xlsx&amp;sheet=A0&amp;row=53&amp;col=17&amp;number=5.738e-05&amp;sourceID=32","5.738e-05")</f>
        <v>5.738e-05</v>
      </c>
      <c r="R53" s="4" t="str">
        <f>HYPERLINK("http://141.218.60.56/~jnz1568/getInfo.php?workbook=08_02.xlsx&amp;sheet=A0&amp;row=53&amp;col=18&amp;number=&amp;sourceID=32","")</f>
        <v/>
      </c>
      <c r="S53" s="4" t="str">
        <f>HYPERLINK("http://141.218.60.56/~jnz1568/getInfo.php?workbook=08_02.xlsx&amp;sheet=A0&amp;row=53&amp;col=19&amp;number=&amp;sourceID=1","")</f>
        <v/>
      </c>
      <c r="T53" s="4" t="str">
        <f>HYPERLINK("http://141.218.60.56/~jnz1568/getInfo.php?workbook=08_02.xlsx&amp;sheet=A0&amp;row=53&amp;col=20&amp;number=&amp;sourceID=1","")</f>
        <v/>
      </c>
    </row>
    <row r="54" spans="1:20">
      <c r="A54" s="3">
        <v>8</v>
      </c>
      <c r="B54" s="3">
        <v>2</v>
      </c>
      <c r="C54" s="3">
        <v>12</v>
      </c>
      <c r="D54" s="3">
        <v>2</v>
      </c>
      <c r="E54" s="3">
        <f>((1/(INDEX(E0!J$4:J$52,C54,1)-INDEX(E0!J$4:J$52,D54,1))))*100000000</f>
        <v>0</v>
      </c>
      <c r="F54" s="4" t="str">
        <f>HYPERLINK("http://141.218.60.56/~jnz1568/getInfo.php?workbook=08_02.xlsx&amp;sheet=A0&amp;row=54&amp;col=6&amp;number=&amp;sourceID=27","")</f>
        <v/>
      </c>
      <c r="G54" s="4" t="str">
        <f>HYPERLINK("http://141.218.60.56/~jnz1568/getInfo.php?workbook=08_02.xlsx&amp;sheet=A0&amp;row=54&amp;col=7&amp;number=&amp;sourceID=34","")</f>
        <v/>
      </c>
      <c r="H54" s="4" t="str">
        <f>HYPERLINK("http://141.218.60.56/~jnz1568/getInfo.php?workbook=08_02.xlsx&amp;sheet=A0&amp;row=54&amp;col=8&amp;number=&amp;sourceID=34","")</f>
        <v/>
      </c>
      <c r="I54" s="4" t="str">
        <f>HYPERLINK("http://141.218.60.56/~jnz1568/getInfo.php?workbook=08_02.xlsx&amp;sheet=A0&amp;row=54&amp;col=9&amp;number=&amp;sourceID=34","")</f>
        <v/>
      </c>
      <c r="J54" s="4" t="str">
        <f>HYPERLINK("http://141.218.60.56/~jnz1568/getInfo.php?workbook=08_02.xlsx&amp;sheet=A0&amp;row=54&amp;col=10&amp;number=&amp;sourceID=34","")</f>
        <v/>
      </c>
      <c r="K54" s="4" t="str">
        <f>HYPERLINK("http://141.218.60.56/~jnz1568/getInfo.php?workbook=08_02.xlsx&amp;sheet=A0&amp;row=54&amp;col=11&amp;number=&amp;sourceID=30","")</f>
        <v/>
      </c>
      <c r="L54" s="4" t="str">
        <f>HYPERLINK("http://141.218.60.56/~jnz1568/getInfo.php?workbook=08_02.xlsx&amp;sheet=A0&amp;row=54&amp;col=12&amp;number=&amp;sourceID=30","")</f>
        <v/>
      </c>
      <c r="M54" s="4" t="str">
        <f>HYPERLINK("http://141.218.60.56/~jnz1568/getInfo.php?workbook=08_02.xlsx&amp;sheet=A0&amp;row=54&amp;col=13&amp;number=0.44&amp;sourceID=30","0.44")</f>
        <v>0.44</v>
      </c>
      <c r="N54" s="4" t="str">
        <f>HYPERLINK("http://141.218.60.56/~jnz1568/getInfo.php?workbook=08_02.xlsx&amp;sheet=A0&amp;row=54&amp;col=14&amp;number=&amp;sourceID=30","")</f>
        <v/>
      </c>
      <c r="O54" s="4" t="str">
        <f>HYPERLINK("http://141.218.60.56/~jnz1568/getInfo.php?workbook=08_02.xlsx&amp;sheet=A0&amp;row=54&amp;col=15&amp;number=&amp;sourceID=32","")</f>
        <v/>
      </c>
      <c r="P54" s="4" t="str">
        <f>HYPERLINK("http://141.218.60.56/~jnz1568/getInfo.php?workbook=08_02.xlsx&amp;sheet=A0&amp;row=54&amp;col=16&amp;number=&amp;sourceID=32","")</f>
        <v/>
      </c>
      <c r="Q54" s="4" t="str">
        <f>HYPERLINK("http://141.218.60.56/~jnz1568/getInfo.php?workbook=08_02.xlsx&amp;sheet=A0&amp;row=54&amp;col=17&amp;number=0.3964&amp;sourceID=32","0.3964")</f>
        <v>0.3964</v>
      </c>
      <c r="R54" s="4" t="str">
        <f>HYPERLINK("http://141.218.60.56/~jnz1568/getInfo.php?workbook=08_02.xlsx&amp;sheet=A0&amp;row=54&amp;col=18&amp;number=&amp;sourceID=32","")</f>
        <v/>
      </c>
      <c r="S54" s="4" t="str">
        <f>HYPERLINK("http://141.218.60.56/~jnz1568/getInfo.php?workbook=08_02.xlsx&amp;sheet=A0&amp;row=54&amp;col=19&amp;number=&amp;sourceID=1","")</f>
        <v/>
      </c>
      <c r="T54" s="4" t="str">
        <f>HYPERLINK("http://141.218.60.56/~jnz1568/getInfo.php?workbook=08_02.xlsx&amp;sheet=A0&amp;row=54&amp;col=20&amp;number=&amp;sourceID=1","")</f>
        <v/>
      </c>
    </row>
    <row r="55" spans="1:20">
      <c r="A55" s="3">
        <v>8</v>
      </c>
      <c r="B55" s="3">
        <v>2</v>
      </c>
      <c r="C55" s="3">
        <v>12</v>
      </c>
      <c r="D55" s="3">
        <v>4</v>
      </c>
      <c r="E55" s="3">
        <f>((1/(INDEX(E0!J$4:J$52,C55,1)-INDEX(E0!J$4:J$52,D55,1))))*100000000</f>
        <v>0</v>
      </c>
      <c r="F55" s="4" t="str">
        <f>HYPERLINK("http://141.218.60.56/~jnz1568/getInfo.php?workbook=08_02.xlsx&amp;sheet=A0&amp;row=55&amp;col=6&amp;number=&amp;sourceID=27","")</f>
        <v/>
      </c>
      <c r="G55" s="4" t="str">
        <f>HYPERLINK("http://141.218.60.56/~jnz1568/getInfo.php?workbook=08_02.xlsx&amp;sheet=A0&amp;row=55&amp;col=7&amp;number=&amp;sourceID=34","")</f>
        <v/>
      </c>
      <c r="H55" s="4" t="str">
        <f>HYPERLINK("http://141.218.60.56/~jnz1568/getInfo.php?workbook=08_02.xlsx&amp;sheet=A0&amp;row=55&amp;col=8&amp;number=&amp;sourceID=34","")</f>
        <v/>
      </c>
      <c r="I55" s="4" t="str">
        <f>HYPERLINK("http://141.218.60.56/~jnz1568/getInfo.php?workbook=08_02.xlsx&amp;sheet=A0&amp;row=55&amp;col=9&amp;number=&amp;sourceID=34","")</f>
        <v/>
      </c>
      <c r="J55" s="4" t="str">
        <f>HYPERLINK("http://141.218.60.56/~jnz1568/getInfo.php?workbook=08_02.xlsx&amp;sheet=A0&amp;row=55&amp;col=10&amp;number=&amp;sourceID=34","")</f>
        <v/>
      </c>
      <c r="K55" s="4" t="str">
        <f>HYPERLINK("http://141.218.60.56/~jnz1568/getInfo.php?workbook=08_02.xlsx&amp;sheet=A0&amp;row=55&amp;col=11&amp;number=2561000&amp;sourceID=30","2561000")</f>
        <v>2561000</v>
      </c>
      <c r="L55" s="4" t="str">
        <f>HYPERLINK("http://141.218.60.56/~jnz1568/getInfo.php?workbook=08_02.xlsx&amp;sheet=A0&amp;row=55&amp;col=12&amp;number=&amp;sourceID=30","")</f>
        <v/>
      </c>
      <c r="M55" s="4" t="str">
        <f>HYPERLINK("http://141.218.60.56/~jnz1568/getInfo.php?workbook=08_02.xlsx&amp;sheet=A0&amp;row=55&amp;col=13&amp;number=&amp;sourceID=30","")</f>
        <v/>
      </c>
      <c r="N55" s="4" t="str">
        <f>HYPERLINK("http://141.218.60.56/~jnz1568/getInfo.php?workbook=08_02.xlsx&amp;sheet=A0&amp;row=55&amp;col=14&amp;number=&amp;sourceID=30","")</f>
        <v/>
      </c>
      <c r="O55" s="4" t="str">
        <f>HYPERLINK("http://141.218.60.56/~jnz1568/getInfo.php?workbook=08_02.xlsx&amp;sheet=A0&amp;row=55&amp;col=15&amp;number=&amp;sourceID=32","")</f>
        <v/>
      </c>
      <c r="P55" s="4" t="str">
        <f>HYPERLINK("http://141.218.60.56/~jnz1568/getInfo.php?workbook=08_02.xlsx&amp;sheet=A0&amp;row=55&amp;col=16&amp;number=&amp;sourceID=32","")</f>
        <v/>
      </c>
      <c r="Q55" s="4" t="str">
        <f>HYPERLINK("http://141.218.60.56/~jnz1568/getInfo.php?workbook=08_02.xlsx&amp;sheet=A0&amp;row=55&amp;col=17&amp;number=&amp;sourceID=32","")</f>
        <v/>
      </c>
      <c r="R55" s="4" t="str">
        <f>HYPERLINK("http://141.218.60.56/~jnz1568/getInfo.php?workbook=08_02.xlsx&amp;sheet=A0&amp;row=55&amp;col=18&amp;number=&amp;sourceID=32","")</f>
        <v/>
      </c>
      <c r="S55" s="4" t="str">
        <f>HYPERLINK("http://141.218.60.56/~jnz1568/getInfo.php?workbook=08_02.xlsx&amp;sheet=A0&amp;row=55&amp;col=19&amp;number=&amp;sourceID=1","")</f>
        <v/>
      </c>
      <c r="T55" s="4" t="str">
        <f>HYPERLINK("http://141.218.60.56/~jnz1568/getInfo.php?workbook=08_02.xlsx&amp;sheet=A0&amp;row=55&amp;col=20&amp;number=&amp;sourceID=1","")</f>
        <v/>
      </c>
    </row>
    <row r="56" spans="1:20">
      <c r="A56" s="3">
        <v>8</v>
      </c>
      <c r="B56" s="3">
        <v>2</v>
      </c>
      <c r="C56" s="3">
        <v>12</v>
      </c>
      <c r="D56" s="3">
        <v>5</v>
      </c>
      <c r="E56" s="3">
        <f>((1/(INDEX(E0!J$4:J$52,C56,1)-INDEX(E0!J$4:J$52,D56,1))))*100000000</f>
        <v>0</v>
      </c>
      <c r="F56" s="4" t="str">
        <f>HYPERLINK("http://141.218.60.56/~jnz1568/getInfo.php?workbook=08_02.xlsx&amp;sheet=A0&amp;row=56&amp;col=6&amp;number=&amp;sourceID=27","")</f>
        <v/>
      </c>
      <c r="G56" s="4" t="str">
        <f>HYPERLINK("http://141.218.60.56/~jnz1568/getInfo.php?workbook=08_02.xlsx&amp;sheet=A0&amp;row=56&amp;col=7&amp;number=&amp;sourceID=34","")</f>
        <v/>
      </c>
      <c r="H56" s="4" t="str">
        <f>HYPERLINK("http://141.218.60.56/~jnz1568/getInfo.php?workbook=08_02.xlsx&amp;sheet=A0&amp;row=56&amp;col=8&amp;number=&amp;sourceID=34","")</f>
        <v/>
      </c>
      <c r="I56" s="4" t="str">
        <f>HYPERLINK("http://141.218.60.56/~jnz1568/getInfo.php?workbook=08_02.xlsx&amp;sheet=A0&amp;row=56&amp;col=9&amp;number=&amp;sourceID=34","")</f>
        <v/>
      </c>
      <c r="J56" s="4" t="str">
        <f>HYPERLINK("http://141.218.60.56/~jnz1568/getInfo.php?workbook=08_02.xlsx&amp;sheet=A0&amp;row=56&amp;col=10&amp;number=&amp;sourceID=34","")</f>
        <v/>
      </c>
      <c r="K56" s="4" t="str">
        <f>HYPERLINK("http://141.218.60.56/~jnz1568/getInfo.php?workbook=08_02.xlsx&amp;sheet=A0&amp;row=56&amp;col=11&amp;number=&amp;sourceID=30","")</f>
        <v/>
      </c>
      <c r="L56" s="4" t="str">
        <f>HYPERLINK("http://141.218.60.56/~jnz1568/getInfo.php?workbook=08_02.xlsx&amp;sheet=A0&amp;row=56&amp;col=12&amp;number=&amp;sourceID=30","")</f>
        <v/>
      </c>
      <c r="M56" s="4" t="str">
        <f>HYPERLINK("http://141.218.60.56/~jnz1568/getInfo.php?workbook=08_02.xlsx&amp;sheet=A0&amp;row=56&amp;col=13&amp;number=&amp;sourceID=30","")</f>
        <v/>
      </c>
      <c r="N56" s="4" t="str">
        <f>HYPERLINK("http://141.218.60.56/~jnz1568/getInfo.php?workbook=08_02.xlsx&amp;sheet=A0&amp;row=56&amp;col=14&amp;number=65.67&amp;sourceID=30","65.67")</f>
        <v>65.67</v>
      </c>
      <c r="O56" s="4" t="str">
        <f>HYPERLINK("http://141.218.60.56/~jnz1568/getInfo.php?workbook=08_02.xlsx&amp;sheet=A0&amp;row=56&amp;col=15&amp;number=&amp;sourceID=32","")</f>
        <v/>
      </c>
      <c r="P56" s="4" t="str">
        <f>HYPERLINK("http://141.218.60.56/~jnz1568/getInfo.php?workbook=08_02.xlsx&amp;sheet=A0&amp;row=56&amp;col=16&amp;number=&amp;sourceID=32","")</f>
        <v/>
      </c>
      <c r="Q56" s="4" t="str">
        <f>HYPERLINK("http://141.218.60.56/~jnz1568/getInfo.php?workbook=08_02.xlsx&amp;sheet=A0&amp;row=56&amp;col=17&amp;number=&amp;sourceID=32","")</f>
        <v/>
      </c>
      <c r="R56" s="4" t="str">
        <f>HYPERLINK("http://141.218.60.56/~jnz1568/getInfo.php?workbook=08_02.xlsx&amp;sheet=A0&amp;row=56&amp;col=18&amp;number=&amp;sourceID=32","")</f>
        <v/>
      </c>
      <c r="S56" s="4" t="str">
        <f>HYPERLINK("http://141.218.60.56/~jnz1568/getInfo.php?workbook=08_02.xlsx&amp;sheet=A0&amp;row=56&amp;col=19&amp;number=&amp;sourceID=1","")</f>
        <v/>
      </c>
      <c r="T56" s="4" t="str">
        <f>HYPERLINK("http://141.218.60.56/~jnz1568/getInfo.php?workbook=08_02.xlsx&amp;sheet=A0&amp;row=56&amp;col=20&amp;number=&amp;sourceID=1","")</f>
        <v/>
      </c>
    </row>
    <row r="57" spans="1:20">
      <c r="A57" s="3">
        <v>8</v>
      </c>
      <c r="B57" s="3">
        <v>2</v>
      </c>
      <c r="C57" s="3">
        <v>12</v>
      </c>
      <c r="D57" s="3">
        <v>7</v>
      </c>
      <c r="E57" s="3">
        <f>((1/(INDEX(E0!J$4:J$52,C57,1)-INDEX(E0!J$4:J$52,D57,1))))*100000000</f>
        <v>0</v>
      </c>
      <c r="F57" s="4" t="str">
        <f>HYPERLINK("http://141.218.60.56/~jnz1568/getInfo.php?workbook=08_02.xlsx&amp;sheet=A0&amp;row=57&amp;col=6&amp;number=&amp;sourceID=27","")</f>
        <v/>
      </c>
      <c r="G57" s="4" t="str">
        <f>HYPERLINK("http://141.218.60.56/~jnz1568/getInfo.php?workbook=08_02.xlsx&amp;sheet=A0&amp;row=57&amp;col=7&amp;number=20080000000&amp;sourceID=34","20080000000")</f>
        <v>20080000000</v>
      </c>
      <c r="H57" s="4" t="str">
        <f>HYPERLINK("http://141.218.60.56/~jnz1568/getInfo.php?workbook=08_02.xlsx&amp;sheet=A0&amp;row=57&amp;col=8&amp;number=&amp;sourceID=34","")</f>
        <v/>
      </c>
      <c r="I57" s="4" t="str">
        <f>HYPERLINK("http://141.218.60.56/~jnz1568/getInfo.php?workbook=08_02.xlsx&amp;sheet=A0&amp;row=57&amp;col=9&amp;number=&amp;sourceID=34","")</f>
        <v/>
      </c>
      <c r="J57" s="4" t="str">
        <f>HYPERLINK("http://141.218.60.56/~jnz1568/getInfo.php?workbook=08_02.xlsx&amp;sheet=A0&amp;row=57&amp;col=10&amp;number=&amp;sourceID=34","")</f>
        <v/>
      </c>
      <c r="K57" s="4" t="str">
        <f>HYPERLINK("http://141.218.60.56/~jnz1568/getInfo.php?workbook=08_02.xlsx&amp;sheet=A0&amp;row=57&amp;col=11&amp;number=22080000000&amp;sourceID=30","22080000000")</f>
        <v>22080000000</v>
      </c>
      <c r="L57" s="4" t="str">
        <f>HYPERLINK("http://141.218.60.56/~jnz1568/getInfo.php?workbook=08_02.xlsx&amp;sheet=A0&amp;row=57&amp;col=12&amp;number=&amp;sourceID=30","")</f>
        <v/>
      </c>
      <c r="M57" s="4" t="str">
        <f>HYPERLINK("http://141.218.60.56/~jnz1568/getInfo.php?workbook=08_02.xlsx&amp;sheet=A0&amp;row=57&amp;col=13&amp;number=&amp;sourceID=30","")</f>
        <v/>
      </c>
      <c r="N57" s="4" t="str">
        <f>HYPERLINK("http://141.218.60.56/~jnz1568/getInfo.php?workbook=08_02.xlsx&amp;sheet=A0&amp;row=57&amp;col=14&amp;number=&amp;sourceID=30","")</f>
        <v/>
      </c>
      <c r="O57" s="4" t="str">
        <f>HYPERLINK("http://141.218.60.56/~jnz1568/getInfo.php?workbook=08_02.xlsx&amp;sheet=A0&amp;row=57&amp;col=15&amp;number=&amp;sourceID=32","")</f>
        <v/>
      </c>
      <c r="P57" s="4" t="str">
        <f>HYPERLINK("http://141.218.60.56/~jnz1568/getInfo.php?workbook=08_02.xlsx&amp;sheet=A0&amp;row=57&amp;col=16&amp;number=&amp;sourceID=32","")</f>
        <v/>
      </c>
      <c r="Q57" s="4" t="str">
        <f>HYPERLINK("http://141.218.60.56/~jnz1568/getInfo.php?workbook=08_02.xlsx&amp;sheet=A0&amp;row=57&amp;col=17&amp;number=&amp;sourceID=32","")</f>
        <v/>
      </c>
      <c r="R57" s="4" t="str">
        <f>HYPERLINK("http://141.218.60.56/~jnz1568/getInfo.php?workbook=08_02.xlsx&amp;sheet=A0&amp;row=57&amp;col=18&amp;number=&amp;sourceID=32","")</f>
        <v/>
      </c>
      <c r="S57" s="4" t="str">
        <f>HYPERLINK("http://141.218.60.56/~jnz1568/getInfo.php?workbook=08_02.xlsx&amp;sheet=A0&amp;row=57&amp;col=19&amp;number=&amp;sourceID=1","")</f>
        <v/>
      </c>
      <c r="T57" s="4" t="str">
        <f>HYPERLINK("http://141.218.60.56/~jnz1568/getInfo.php?workbook=08_02.xlsx&amp;sheet=A0&amp;row=57&amp;col=20&amp;number=&amp;sourceID=1","")</f>
        <v/>
      </c>
    </row>
    <row r="58" spans="1:20">
      <c r="A58" s="3">
        <v>8</v>
      </c>
      <c r="B58" s="3">
        <v>2</v>
      </c>
      <c r="C58" s="3">
        <v>12</v>
      </c>
      <c r="D58" s="3">
        <v>8</v>
      </c>
      <c r="E58" s="3">
        <f>((1/(INDEX(E0!J$4:J$52,C58,1)-INDEX(E0!J$4:J$52,D58,1))))*100000000</f>
        <v>0</v>
      </c>
      <c r="F58" s="4" t="str">
        <f>HYPERLINK("http://141.218.60.56/~jnz1568/getInfo.php?workbook=08_02.xlsx&amp;sheet=A0&amp;row=58&amp;col=6&amp;number=&amp;sourceID=27","")</f>
        <v/>
      </c>
      <c r="G58" s="4" t="str">
        <f>HYPERLINK("http://141.218.60.56/~jnz1568/getInfo.php?workbook=08_02.xlsx&amp;sheet=A0&amp;row=58&amp;col=7&amp;number=&amp;sourceID=34","")</f>
        <v/>
      </c>
      <c r="H58" s="4" t="str">
        <f>HYPERLINK("http://141.218.60.56/~jnz1568/getInfo.php?workbook=08_02.xlsx&amp;sheet=A0&amp;row=58&amp;col=8&amp;number=&amp;sourceID=34","")</f>
        <v/>
      </c>
      <c r="I58" s="4" t="str">
        <f>HYPERLINK("http://141.218.60.56/~jnz1568/getInfo.php?workbook=08_02.xlsx&amp;sheet=A0&amp;row=58&amp;col=9&amp;number=&amp;sourceID=34","")</f>
        <v/>
      </c>
      <c r="J58" s="4" t="str">
        <f>HYPERLINK("http://141.218.60.56/~jnz1568/getInfo.php?workbook=08_02.xlsx&amp;sheet=A0&amp;row=58&amp;col=10&amp;number=&amp;sourceID=34","")</f>
        <v/>
      </c>
      <c r="K58" s="4" t="str">
        <f>HYPERLINK("http://141.218.60.56/~jnz1568/getInfo.php?workbook=08_02.xlsx&amp;sheet=A0&amp;row=58&amp;col=11&amp;number=&amp;sourceID=30","")</f>
        <v/>
      </c>
      <c r="L58" s="4" t="str">
        <f>HYPERLINK("http://141.218.60.56/~jnz1568/getInfo.php?workbook=08_02.xlsx&amp;sheet=A0&amp;row=58&amp;col=12&amp;number=&amp;sourceID=30","")</f>
        <v/>
      </c>
      <c r="M58" s="4" t="str">
        <f>HYPERLINK("http://141.218.60.56/~jnz1568/getInfo.php?workbook=08_02.xlsx&amp;sheet=A0&amp;row=58&amp;col=13&amp;number=0.0005188&amp;sourceID=30","0.0005188")</f>
        <v>0.0005188</v>
      </c>
      <c r="N58" s="4" t="str">
        <f>HYPERLINK("http://141.218.60.56/~jnz1568/getInfo.php?workbook=08_02.xlsx&amp;sheet=A0&amp;row=58&amp;col=14&amp;number=&amp;sourceID=30","")</f>
        <v/>
      </c>
      <c r="O58" s="4" t="str">
        <f>HYPERLINK("http://141.218.60.56/~jnz1568/getInfo.php?workbook=08_02.xlsx&amp;sheet=A0&amp;row=58&amp;col=15&amp;number=&amp;sourceID=32","")</f>
        <v/>
      </c>
      <c r="P58" s="4" t="str">
        <f>HYPERLINK("http://141.218.60.56/~jnz1568/getInfo.php?workbook=08_02.xlsx&amp;sheet=A0&amp;row=58&amp;col=16&amp;number=&amp;sourceID=32","")</f>
        <v/>
      </c>
      <c r="Q58" s="4" t="str">
        <f>HYPERLINK("http://141.218.60.56/~jnz1568/getInfo.php?workbook=08_02.xlsx&amp;sheet=A0&amp;row=58&amp;col=17&amp;number=0.0004107&amp;sourceID=32","0.0004107")</f>
        <v>0.0004107</v>
      </c>
      <c r="R58" s="4" t="str">
        <f>HYPERLINK("http://141.218.60.56/~jnz1568/getInfo.php?workbook=08_02.xlsx&amp;sheet=A0&amp;row=58&amp;col=18&amp;number=&amp;sourceID=32","")</f>
        <v/>
      </c>
      <c r="S58" s="4" t="str">
        <f>HYPERLINK("http://141.218.60.56/~jnz1568/getInfo.php?workbook=08_02.xlsx&amp;sheet=A0&amp;row=58&amp;col=19&amp;number=&amp;sourceID=1","")</f>
        <v/>
      </c>
      <c r="T58" s="4" t="str">
        <f>HYPERLINK("http://141.218.60.56/~jnz1568/getInfo.php?workbook=08_02.xlsx&amp;sheet=A0&amp;row=58&amp;col=20&amp;number=&amp;sourceID=1","")</f>
        <v/>
      </c>
    </row>
    <row r="59" spans="1:20">
      <c r="A59" s="3">
        <v>8</v>
      </c>
      <c r="B59" s="3">
        <v>2</v>
      </c>
      <c r="C59" s="3">
        <v>12</v>
      </c>
      <c r="D59" s="3">
        <v>10</v>
      </c>
      <c r="E59" s="3">
        <f>((1/(INDEX(E0!J$4:J$52,C59,1)-INDEX(E0!J$4:J$52,D59,1))))*100000000</f>
        <v>0</v>
      </c>
      <c r="F59" s="4" t="str">
        <f>HYPERLINK("http://141.218.60.56/~jnz1568/getInfo.php?workbook=08_02.xlsx&amp;sheet=A0&amp;row=59&amp;col=6&amp;number=&amp;sourceID=27","")</f>
        <v/>
      </c>
      <c r="G59" s="4" t="str">
        <f>HYPERLINK("http://141.218.60.56/~jnz1568/getInfo.php?workbook=08_02.xlsx&amp;sheet=A0&amp;row=59&amp;col=7&amp;number=&amp;sourceID=34","")</f>
        <v/>
      </c>
      <c r="H59" s="4" t="str">
        <f>HYPERLINK("http://141.218.60.56/~jnz1568/getInfo.php?workbook=08_02.xlsx&amp;sheet=A0&amp;row=59&amp;col=8&amp;number=&amp;sourceID=34","")</f>
        <v/>
      </c>
      <c r="I59" s="4" t="str">
        <f>HYPERLINK("http://141.218.60.56/~jnz1568/getInfo.php?workbook=08_02.xlsx&amp;sheet=A0&amp;row=59&amp;col=9&amp;number=&amp;sourceID=34","")</f>
        <v/>
      </c>
      <c r="J59" s="4" t="str">
        <f>HYPERLINK("http://141.218.60.56/~jnz1568/getInfo.php?workbook=08_02.xlsx&amp;sheet=A0&amp;row=59&amp;col=10&amp;number=&amp;sourceID=34","")</f>
        <v/>
      </c>
      <c r="K59" s="4" t="str">
        <f>HYPERLINK("http://141.218.60.56/~jnz1568/getInfo.php?workbook=08_02.xlsx&amp;sheet=A0&amp;row=59&amp;col=11&amp;number=3.377&amp;sourceID=30","3.377")</f>
        <v>3.377</v>
      </c>
      <c r="L59" s="4" t="str">
        <f>HYPERLINK("http://141.218.60.56/~jnz1568/getInfo.php?workbook=08_02.xlsx&amp;sheet=A0&amp;row=59&amp;col=12&amp;number=&amp;sourceID=30","")</f>
        <v/>
      </c>
      <c r="M59" s="4" t="str">
        <f>HYPERLINK("http://141.218.60.56/~jnz1568/getInfo.php?workbook=08_02.xlsx&amp;sheet=A0&amp;row=59&amp;col=13&amp;number=&amp;sourceID=30","")</f>
        <v/>
      </c>
      <c r="N59" s="4" t="str">
        <f>HYPERLINK("http://141.218.60.56/~jnz1568/getInfo.php?workbook=08_02.xlsx&amp;sheet=A0&amp;row=59&amp;col=14&amp;number=&amp;sourceID=30","")</f>
        <v/>
      </c>
      <c r="O59" s="4" t="str">
        <f>HYPERLINK("http://141.218.60.56/~jnz1568/getInfo.php?workbook=08_02.xlsx&amp;sheet=A0&amp;row=59&amp;col=15&amp;number=&amp;sourceID=32","")</f>
        <v/>
      </c>
      <c r="P59" s="4" t="str">
        <f>HYPERLINK("http://141.218.60.56/~jnz1568/getInfo.php?workbook=08_02.xlsx&amp;sheet=A0&amp;row=59&amp;col=16&amp;number=&amp;sourceID=32","")</f>
        <v/>
      </c>
      <c r="Q59" s="4" t="str">
        <f>HYPERLINK("http://141.218.60.56/~jnz1568/getInfo.php?workbook=08_02.xlsx&amp;sheet=A0&amp;row=59&amp;col=17&amp;number=&amp;sourceID=32","")</f>
        <v/>
      </c>
      <c r="R59" s="4" t="str">
        <f>HYPERLINK("http://141.218.60.56/~jnz1568/getInfo.php?workbook=08_02.xlsx&amp;sheet=A0&amp;row=59&amp;col=18&amp;number=&amp;sourceID=32","")</f>
        <v/>
      </c>
      <c r="S59" s="4" t="str">
        <f>HYPERLINK("http://141.218.60.56/~jnz1568/getInfo.php?workbook=08_02.xlsx&amp;sheet=A0&amp;row=59&amp;col=19&amp;number=&amp;sourceID=1","")</f>
        <v/>
      </c>
      <c r="T59" s="4" t="str">
        <f>HYPERLINK("http://141.218.60.56/~jnz1568/getInfo.php?workbook=08_02.xlsx&amp;sheet=A0&amp;row=59&amp;col=20&amp;number=&amp;sourceID=1","")</f>
        <v/>
      </c>
    </row>
    <row r="60" spans="1:20">
      <c r="A60" s="3">
        <v>8</v>
      </c>
      <c r="B60" s="3">
        <v>2</v>
      </c>
      <c r="C60" s="3">
        <v>12</v>
      </c>
      <c r="D60" s="3">
        <v>11</v>
      </c>
      <c r="E60" s="3">
        <f>((1/(INDEX(E0!J$4:J$52,C60,1)-INDEX(E0!J$4:J$52,D60,1))))*100000000</f>
        <v>0</v>
      </c>
      <c r="F60" s="4" t="str">
        <f>HYPERLINK("http://141.218.60.56/~jnz1568/getInfo.php?workbook=08_02.xlsx&amp;sheet=A0&amp;row=60&amp;col=6&amp;number=&amp;sourceID=27","")</f>
        <v/>
      </c>
      <c r="G60" s="4" t="str">
        <f>HYPERLINK("http://141.218.60.56/~jnz1568/getInfo.php?workbook=08_02.xlsx&amp;sheet=A0&amp;row=60&amp;col=7&amp;number=&amp;sourceID=34","")</f>
        <v/>
      </c>
      <c r="H60" s="4" t="str">
        <f>HYPERLINK("http://141.218.60.56/~jnz1568/getInfo.php?workbook=08_02.xlsx&amp;sheet=A0&amp;row=60&amp;col=8&amp;number=&amp;sourceID=34","")</f>
        <v/>
      </c>
      <c r="I60" s="4" t="str">
        <f>HYPERLINK("http://141.218.60.56/~jnz1568/getInfo.php?workbook=08_02.xlsx&amp;sheet=A0&amp;row=60&amp;col=9&amp;number=&amp;sourceID=34","")</f>
        <v/>
      </c>
      <c r="J60" s="4" t="str">
        <f>HYPERLINK("http://141.218.60.56/~jnz1568/getInfo.php?workbook=08_02.xlsx&amp;sheet=A0&amp;row=60&amp;col=10&amp;number=&amp;sourceID=34","")</f>
        <v/>
      </c>
      <c r="K60" s="4" t="str">
        <f>HYPERLINK("http://141.218.60.56/~jnz1568/getInfo.php?workbook=08_02.xlsx&amp;sheet=A0&amp;row=60&amp;col=11&amp;number=&amp;sourceID=30","")</f>
        <v/>
      </c>
      <c r="L60" s="4" t="str">
        <f>HYPERLINK("http://141.218.60.56/~jnz1568/getInfo.php?workbook=08_02.xlsx&amp;sheet=A0&amp;row=60&amp;col=12&amp;number=&amp;sourceID=30","")</f>
        <v/>
      </c>
      <c r="M60" s="4" t="str">
        <f>HYPERLINK("http://141.218.60.56/~jnz1568/getInfo.php?workbook=08_02.xlsx&amp;sheet=A0&amp;row=60&amp;col=13&amp;number=&amp;sourceID=30","")</f>
        <v/>
      </c>
      <c r="N60" s="4" t="str">
        <f>HYPERLINK("http://141.218.60.56/~jnz1568/getInfo.php?workbook=08_02.xlsx&amp;sheet=A0&amp;row=60&amp;col=14&amp;number=1.951e-10&amp;sourceID=30","1.951e-10")</f>
        <v>1.951e-10</v>
      </c>
      <c r="O60" s="4" t="str">
        <f>HYPERLINK("http://141.218.60.56/~jnz1568/getInfo.php?workbook=08_02.xlsx&amp;sheet=A0&amp;row=60&amp;col=15&amp;number=&amp;sourceID=32","")</f>
        <v/>
      </c>
      <c r="P60" s="4" t="str">
        <f>HYPERLINK("http://141.218.60.56/~jnz1568/getInfo.php?workbook=08_02.xlsx&amp;sheet=A0&amp;row=60&amp;col=16&amp;number=&amp;sourceID=32","")</f>
        <v/>
      </c>
      <c r="Q60" s="4" t="str">
        <f>HYPERLINK("http://141.218.60.56/~jnz1568/getInfo.php?workbook=08_02.xlsx&amp;sheet=A0&amp;row=60&amp;col=17&amp;number=&amp;sourceID=32","")</f>
        <v/>
      </c>
      <c r="R60" s="4" t="str">
        <f>HYPERLINK("http://141.218.60.56/~jnz1568/getInfo.php?workbook=08_02.xlsx&amp;sheet=A0&amp;row=60&amp;col=18&amp;number=&amp;sourceID=32","")</f>
        <v/>
      </c>
      <c r="S60" s="4" t="str">
        <f>HYPERLINK("http://141.218.60.56/~jnz1568/getInfo.php?workbook=08_02.xlsx&amp;sheet=A0&amp;row=60&amp;col=19&amp;number=&amp;sourceID=1","")</f>
        <v/>
      </c>
      <c r="T60" s="4" t="str">
        <f>HYPERLINK("http://141.218.60.56/~jnz1568/getInfo.php?workbook=08_02.xlsx&amp;sheet=A0&amp;row=60&amp;col=20&amp;number=&amp;sourceID=1","")</f>
        <v/>
      </c>
    </row>
    <row r="61" spans="1:20">
      <c r="A61" s="3">
        <v>8</v>
      </c>
      <c r="B61" s="3">
        <v>2</v>
      </c>
      <c r="C61" s="3">
        <v>13</v>
      </c>
      <c r="D61" s="3">
        <v>1</v>
      </c>
      <c r="E61" s="3">
        <f>((1/(INDEX(E0!J$4:J$52,C61,1)-INDEX(E0!J$4:J$52,D61,1))))*100000000</f>
        <v>0</v>
      </c>
      <c r="F61" s="4" t="str">
        <f>HYPERLINK("http://141.218.60.56/~jnz1568/getInfo.php?workbook=08_02.xlsx&amp;sheet=A0&amp;row=61&amp;col=6&amp;number=&amp;sourceID=27","")</f>
        <v/>
      </c>
      <c r="G61" s="4" t="str">
        <f>HYPERLINK("http://141.218.60.56/~jnz1568/getInfo.php?workbook=08_02.xlsx&amp;sheet=A0&amp;row=61&amp;col=7&amp;number=&amp;sourceID=34","")</f>
        <v/>
      </c>
      <c r="H61" s="4" t="str">
        <f>HYPERLINK("http://141.218.60.56/~jnz1568/getInfo.php?workbook=08_02.xlsx&amp;sheet=A0&amp;row=61&amp;col=8&amp;number=&amp;sourceID=34","")</f>
        <v/>
      </c>
      <c r="I61" s="4" t="str">
        <f>HYPERLINK("http://141.218.60.56/~jnz1568/getInfo.php?workbook=08_02.xlsx&amp;sheet=A0&amp;row=61&amp;col=9&amp;number=&amp;sourceID=34","")</f>
        <v/>
      </c>
      <c r="J61" s="4" t="str">
        <f>HYPERLINK("http://141.218.60.56/~jnz1568/getInfo.php?workbook=08_02.xlsx&amp;sheet=A0&amp;row=61&amp;col=10&amp;number=&amp;sourceID=34","")</f>
        <v/>
      </c>
      <c r="K61" s="4" t="str">
        <f>HYPERLINK("http://141.218.60.56/~jnz1568/getInfo.php?workbook=08_02.xlsx&amp;sheet=A0&amp;row=61&amp;col=11&amp;number=&amp;sourceID=30","")</f>
        <v/>
      </c>
      <c r="L61" s="4" t="str">
        <f>HYPERLINK("http://141.218.60.56/~jnz1568/getInfo.php?workbook=08_02.xlsx&amp;sheet=A0&amp;row=61&amp;col=12&amp;number=&amp;sourceID=30","")</f>
        <v/>
      </c>
      <c r="M61" s="4" t="str">
        <f>HYPERLINK("http://141.218.60.56/~jnz1568/getInfo.php?workbook=08_02.xlsx&amp;sheet=A0&amp;row=61&amp;col=13&amp;number=5.627&amp;sourceID=30","5.627")</f>
        <v>5.627</v>
      </c>
      <c r="N61" s="4" t="str">
        <f>HYPERLINK("http://141.218.60.56/~jnz1568/getInfo.php?workbook=08_02.xlsx&amp;sheet=A0&amp;row=61&amp;col=14&amp;number=&amp;sourceID=30","")</f>
        <v/>
      </c>
      <c r="O61" s="4" t="str">
        <f>HYPERLINK("http://141.218.60.56/~jnz1568/getInfo.php?workbook=08_02.xlsx&amp;sheet=A0&amp;row=61&amp;col=15&amp;number=&amp;sourceID=32","")</f>
        <v/>
      </c>
      <c r="P61" s="4" t="str">
        <f>HYPERLINK("http://141.218.60.56/~jnz1568/getInfo.php?workbook=08_02.xlsx&amp;sheet=A0&amp;row=61&amp;col=16&amp;number=&amp;sourceID=32","")</f>
        <v/>
      </c>
      <c r="Q61" s="4" t="str">
        <f>HYPERLINK("http://141.218.60.56/~jnz1568/getInfo.php?workbook=08_02.xlsx&amp;sheet=A0&amp;row=61&amp;col=17&amp;number=4.208&amp;sourceID=32","4.208")</f>
        <v>4.208</v>
      </c>
      <c r="R61" s="4" t="str">
        <f>HYPERLINK("http://141.218.60.56/~jnz1568/getInfo.php?workbook=08_02.xlsx&amp;sheet=A0&amp;row=61&amp;col=18&amp;number=&amp;sourceID=32","")</f>
        <v/>
      </c>
      <c r="S61" s="4" t="str">
        <f>HYPERLINK("http://141.218.60.56/~jnz1568/getInfo.php?workbook=08_02.xlsx&amp;sheet=A0&amp;row=61&amp;col=19&amp;number=&amp;sourceID=1","")</f>
        <v/>
      </c>
      <c r="T61" s="4" t="str">
        <f>HYPERLINK("http://141.218.60.56/~jnz1568/getInfo.php?workbook=08_02.xlsx&amp;sheet=A0&amp;row=61&amp;col=20&amp;number=&amp;sourceID=1","")</f>
        <v/>
      </c>
    </row>
    <row r="62" spans="1:20">
      <c r="A62" s="3">
        <v>8</v>
      </c>
      <c r="B62" s="3">
        <v>2</v>
      </c>
      <c r="C62" s="3">
        <v>13</v>
      </c>
      <c r="D62" s="3">
        <v>2</v>
      </c>
      <c r="E62" s="3">
        <f>((1/(INDEX(E0!J$4:J$52,C62,1)-INDEX(E0!J$4:J$52,D62,1))))*100000000</f>
        <v>0</v>
      </c>
      <c r="F62" s="4" t="str">
        <f>HYPERLINK("http://141.218.60.56/~jnz1568/getInfo.php?workbook=08_02.xlsx&amp;sheet=A0&amp;row=62&amp;col=6&amp;number=&amp;sourceID=27","")</f>
        <v/>
      </c>
      <c r="G62" s="4" t="str">
        <f>HYPERLINK("http://141.218.60.56/~jnz1568/getInfo.php?workbook=08_02.xlsx&amp;sheet=A0&amp;row=62&amp;col=7&amp;number=&amp;sourceID=34","")</f>
        <v/>
      </c>
      <c r="H62" s="4" t="str">
        <f>HYPERLINK("http://141.218.60.56/~jnz1568/getInfo.php?workbook=08_02.xlsx&amp;sheet=A0&amp;row=62&amp;col=8&amp;number=&amp;sourceID=34","")</f>
        <v/>
      </c>
      <c r="I62" s="4" t="str">
        <f>HYPERLINK("http://141.218.60.56/~jnz1568/getInfo.php?workbook=08_02.xlsx&amp;sheet=A0&amp;row=62&amp;col=9&amp;number=&amp;sourceID=34","")</f>
        <v/>
      </c>
      <c r="J62" s="4" t="str">
        <f>HYPERLINK("http://141.218.60.56/~jnz1568/getInfo.php?workbook=08_02.xlsx&amp;sheet=A0&amp;row=62&amp;col=10&amp;number=&amp;sourceID=34","")</f>
        <v/>
      </c>
      <c r="K62" s="4" t="str">
        <f>HYPERLINK("http://141.218.60.56/~jnz1568/getInfo.php?workbook=08_02.xlsx&amp;sheet=A0&amp;row=62&amp;col=11&amp;number=&amp;sourceID=30","")</f>
        <v/>
      </c>
      <c r="L62" s="4" t="str">
        <f>HYPERLINK("http://141.218.60.56/~jnz1568/getInfo.php?workbook=08_02.xlsx&amp;sheet=A0&amp;row=62&amp;col=12&amp;number=8257000&amp;sourceID=30","8257000")</f>
        <v>8257000</v>
      </c>
      <c r="M62" s="4" t="str">
        <f>HYPERLINK("http://141.218.60.56/~jnz1568/getInfo.php?workbook=08_02.xlsx&amp;sheet=A0&amp;row=62&amp;col=13&amp;number=0.06513&amp;sourceID=30","0.06513")</f>
        <v>0.06513</v>
      </c>
      <c r="N62" s="4" t="str">
        <f>HYPERLINK("http://141.218.60.56/~jnz1568/getInfo.php?workbook=08_02.xlsx&amp;sheet=A0&amp;row=62&amp;col=14&amp;number=&amp;sourceID=30","")</f>
        <v/>
      </c>
      <c r="O62" s="4" t="str">
        <f>HYPERLINK("http://141.218.60.56/~jnz1568/getInfo.php?workbook=08_02.xlsx&amp;sheet=A0&amp;row=62&amp;col=15&amp;number=&amp;sourceID=32","")</f>
        <v/>
      </c>
      <c r="P62" s="4" t="str">
        <f>HYPERLINK("http://141.218.60.56/~jnz1568/getInfo.php?workbook=08_02.xlsx&amp;sheet=A0&amp;row=62&amp;col=16&amp;number=8303000&amp;sourceID=32","8303000")</f>
        <v>8303000</v>
      </c>
      <c r="Q62" s="4" t="str">
        <f>HYPERLINK("http://141.218.60.56/~jnz1568/getInfo.php?workbook=08_02.xlsx&amp;sheet=A0&amp;row=62&amp;col=17&amp;number=0.07933&amp;sourceID=32","0.07933")</f>
        <v>0.07933</v>
      </c>
      <c r="R62" s="4" t="str">
        <f>HYPERLINK("http://141.218.60.56/~jnz1568/getInfo.php?workbook=08_02.xlsx&amp;sheet=A0&amp;row=62&amp;col=18&amp;number=&amp;sourceID=32","")</f>
        <v/>
      </c>
      <c r="S62" s="4" t="str">
        <f>HYPERLINK("http://141.218.60.56/~jnz1568/getInfo.php?workbook=08_02.xlsx&amp;sheet=A0&amp;row=62&amp;col=19&amp;number=&amp;sourceID=1","")</f>
        <v/>
      </c>
      <c r="T62" s="4" t="str">
        <f>HYPERLINK("http://141.218.60.56/~jnz1568/getInfo.php?workbook=08_02.xlsx&amp;sheet=A0&amp;row=62&amp;col=20&amp;number=&amp;sourceID=1","")</f>
        <v/>
      </c>
    </row>
    <row r="63" spans="1:20">
      <c r="A63" s="3">
        <v>8</v>
      </c>
      <c r="B63" s="3">
        <v>2</v>
      </c>
      <c r="C63" s="3">
        <v>13</v>
      </c>
      <c r="D63" s="3">
        <v>3</v>
      </c>
      <c r="E63" s="3">
        <f>((1/(INDEX(E0!J$4:J$52,C63,1)-INDEX(E0!J$4:J$52,D63,1))))*100000000</f>
        <v>0</v>
      </c>
      <c r="F63" s="4" t="str">
        <f>HYPERLINK("http://141.218.60.56/~jnz1568/getInfo.php?workbook=08_02.xlsx&amp;sheet=A0&amp;row=63&amp;col=6&amp;number=&amp;sourceID=27","")</f>
        <v/>
      </c>
      <c r="G63" s="4" t="str">
        <f>HYPERLINK("http://141.218.60.56/~jnz1568/getInfo.php?workbook=08_02.xlsx&amp;sheet=A0&amp;row=63&amp;col=7&amp;number=89833333333.3&amp;sourceID=34","89833333333.3")</f>
        <v>89833333333.3</v>
      </c>
      <c r="H63" s="4" t="str">
        <f>HYPERLINK("http://141.218.60.56/~jnz1568/getInfo.php?workbook=08_02.xlsx&amp;sheet=A0&amp;row=63&amp;col=8&amp;number=&amp;sourceID=34","")</f>
        <v/>
      </c>
      <c r="I63" s="4" t="str">
        <f>HYPERLINK("http://141.218.60.56/~jnz1568/getInfo.php?workbook=08_02.xlsx&amp;sheet=A0&amp;row=63&amp;col=9&amp;number=&amp;sourceID=34","")</f>
        <v/>
      </c>
      <c r="J63" s="4" t="str">
        <f>HYPERLINK("http://141.218.60.56/~jnz1568/getInfo.php?workbook=08_02.xlsx&amp;sheet=A0&amp;row=63&amp;col=10&amp;number=&amp;sourceID=34","")</f>
        <v/>
      </c>
      <c r="K63" s="4" t="str">
        <f>HYPERLINK("http://141.218.60.56/~jnz1568/getInfo.php?workbook=08_02.xlsx&amp;sheet=A0&amp;row=63&amp;col=11&amp;number=89560000000&amp;sourceID=30","89560000000")</f>
        <v>89560000000</v>
      </c>
      <c r="L63" s="4" t="str">
        <f>HYPERLINK("http://141.218.60.56/~jnz1568/getInfo.php?workbook=08_02.xlsx&amp;sheet=A0&amp;row=63&amp;col=12&amp;number=&amp;sourceID=30","")</f>
        <v/>
      </c>
      <c r="M63" s="4" t="str">
        <f>HYPERLINK("http://141.218.60.56/~jnz1568/getInfo.php?workbook=08_02.xlsx&amp;sheet=A0&amp;row=63&amp;col=13&amp;number=&amp;sourceID=30","")</f>
        <v/>
      </c>
      <c r="N63" s="4" t="str">
        <f>HYPERLINK("http://141.218.60.56/~jnz1568/getInfo.php?workbook=08_02.xlsx&amp;sheet=A0&amp;row=63&amp;col=14&amp;number=&amp;sourceID=30","")</f>
        <v/>
      </c>
      <c r="O63" s="4" t="str">
        <f>HYPERLINK("http://141.218.60.56/~jnz1568/getInfo.php?workbook=08_02.xlsx&amp;sheet=A0&amp;row=63&amp;col=15&amp;number=89690000000&amp;sourceID=32","89690000000")</f>
        <v>89690000000</v>
      </c>
      <c r="P63" s="4" t="str">
        <f>HYPERLINK("http://141.218.60.56/~jnz1568/getInfo.php?workbook=08_02.xlsx&amp;sheet=A0&amp;row=63&amp;col=16&amp;number=&amp;sourceID=32","")</f>
        <v/>
      </c>
      <c r="Q63" s="4" t="str">
        <f>HYPERLINK("http://141.218.60.56/~jnz1568/getInfo.php?workbook=08_02.xlsx&amp;sheet=A0&amp;row=63&amp;col=17&amp;number=&amp;sourceID=32","")</f>
        <v/>
      </c>
      <c r="R63" s="4" t="str">
        <f>HYPERLINK("http://141.218.60.56/~jnz1568/getInfo.php?workbook=08_02.xlsx&amp;sheet=A0&amp;row=63&amp;col=18&amp;number=&amp;sourceID=32","")</f>
        <v/>
      </c>
      <c r="S63" s="4" t="str">
        <f>HYPERLINK("http://141.218.60.56/~jnz1568/getInfo.php?workbook=08_02.xlsx&amp;sheet=A0&amp;row=63&amp;col=19&amp;number=&amp;sourceID=1","")</f>
        <v/>
      </c>
      <c r="T63" s="4" t="str">
        <f>HYPERLINK("http://141.218.60.56/~jnz1568/getInfo.php?workbook=08_02.xlsx&amp;sheet=A0&amp;row=63&amp;col=20&amp;number=&amp;sourceID=1","")</f>
        <v/>
      </c>
    </row>
    <row r="64" spans="1:20">
      <c r="A64" s="3">
        <v>8</v>
      </c>
      <c r="B64" s="3">
        <v>2</v>
      </c>
      <c r="C64" s="3">
        <v>13</v>
      </c>
      <c r="D64" s="3">
        <v>4</v>
      </c>
      <c r="E64" s="3">
        <f>((1/(INDEX(E0!J$4:J$52,C64,1)-INDEX(E0!J$4:J$52,D64,1))))*100000000</f>
        <v>0</v>
      </c>
      <c r="F64" s="4" t="str">
        <f>HYPERLINK("http://141.218.60.56/~jnz1568/getInfo.php?workbook=08_02.xlsx&amp;sheet=A0&amp;row=64&amp;col=6&amp;number=&amp;sourceID=27","")</f>
        <v/>
      </c>
      <c r="G64" s="4" t="str">
        <f>HYPERLINK("http://141.218.60.56/~jnz1568/getInfo.php?workbook=08_02.xlsx&amp;sheet=A0&amp;row=64&amp;col=7&amp;number=67333333333.3&amp;sourceID=34","67333333333.3")</f>
        <v>67333333333.3</v>
      </c>
      <c r="H64" s="4" t="str">
        <f>HYPERLINK("http://141.218.60.56/~jnz1568/getInfo.php?workbook=08_02.xlsx&amp;sheet=A0&amp;row=64&amp;col=8&amp;number=&amp;sourceID=34","")</f>
        <v/>
      </c>
      <c r="I64" s="4" t="str">
        <f>HYPERLINK("http://141.218.60.56/~jnz1568/getInfo.php?workbook=08_02.xlsx&amp;sheet=A0&amp;row=64&amp;col=9&amp;number=&amp;sourceID=34","")</f>
        <v/>
      </c>
      <c r="J64" s="4" t="str">
        <f>HYPERLINK("http://141.218.60.56/~jnz1568/getInfo.php?workbook=08_02.xlsx&amp;sheet=A0&amp;row=64&amp;col=10&amp;number=&amp;sourceID=34","")</f>
        <v/>
      </c>
      <c r="K64" s="4" t="str">
        <f>HYPERLINK("http://141.218.60.56/~jnz1568/getInfo.php?workbook=08_02.xlsx&amp;sheet=A0&amp;row=64&amp;col=11&amp;number=67160000000&amp;sourceID=30","67160000000")</f>
        <v>67160000000</v>
      </c>
      <c r="L64" s="4" t="str">
        <f>HYPERLINK("http://141.218.60.56/~jnz1568/getInfo.php?workbook=08_02.xlsx&amp;sheet=A0&amp;row=64&amp;col=12&amp;number=&amp;sourceID=30","")</f>
        <v/>
      </c>
      <c r="M64" s="4" t="str">
        <f>HYPERLINK("http://141.218.60.56/~jnz1568/getInfo.php?workbook=08_02.xlsx&amp;sheet=A0&amp;row=64&amp;col=13&amp;number=&amp;sourceID=30","")</f>
        <v/>
      </c>
      <c r="N64" s="4" t="str">
        <f>HYPERLINK("http://141.218.60.56/~jnz1568/getInfo.php?workbook=08_02.xlsx&amp;sheet=A0&amp;row=64&amp;col=14&amp;number=24.3&amp;sourceID=30","24.3")</f>
        <v>24.3</v>
      </c>
      <c r="O64" s="4" t="str">
        <f>HYPERLINK("http://141.218.60.56/~jnz1568/getInfo.php?workbook=08_02.xlsx&amp;sheet=A0&amp;row=64&amp;col=15&amp;number=67260000000&amp;sourceID=32","67260000000")</f>
        <v>67260000000</v>
      </c>
      <c r="P64" s="4" t="str">
        <f>HYPERLINK("http://141.218.60.56/~jnz1568/getInfo.php?workbook=08_02.xlsx&amp;sheet=A0&amp;row=64&amp;col=16&amp;number=&amp;sourceID=32","")</f>
        <v/>
      </c>
      <c r="Q64" s="4" t="str">
        <f>HYPERLINK("http://141.218.60.56/~jnz1568/getInfo.php?workbook=08_02.xlsx&amp;sheet=A0&amp;row=64&amp;col=17&amp;number=&amp;sourceID=32","")</f>
        <v/>
      </c>
      <c r="R64" s="4" t="str">
        <f>HYPERLINK("http://141.218.60.56/~jnz1568/getInfo.php?workbook=08_02.xlsx&amp;sheet=A0&amp;row=64&amp;col=18&amp;number=24.59&amp;sourceID=32","24.59")</f>
        <v>24.59</v>
      </c>
      <c r="S64" s="4" t="str">
        <f>HYPERLINK("http://141.218.60.56/~jnz1568/getInfo.php?workbook=08_02.xlsx&amp;sheet=A0&amp;row=64&amp;col=19&amp;number=&amp;sourceID=1","")</f>
        <v/>
      </c>
      <c r="T64" s="4" t="str">
        <f>HYPERLINK("http://141.218.60.56/~jnz1568/getInfo.php?workbook=08_02.xlsx&amp;sheet=A0&amp;row=64&amp;col=20&amp;number=&amp;sourceID=1","")</f>
        <v/>
      </c>
    </row>
    <row r="65" spans="1:20">
      <c r="A65" s="3">
        <v>8</v>
      </c>
      <c r="B65" s="3">
        <v>2</v>
      </c>
      <c r="C65" s="3">
        <v>13</v>
      </c>
      <c r="D65" s="3">
        <v>5</v>
      </c>
      <c r="E65" s="3">
        <f>((1/(INDEX(E0!J$4:J$52,C65,1)-INDEX(E0!J$4:J$52,D65,1))))*100000000</f>
        <v>0</v>
      </c>
      <c r="F65" s="4" t="str">
        <f>HYPERLINK("http://141.218.60.56/~jnz1568/getInfo.php?workbook=08_02.xlsx&amp;sheet=A0&amp;row=65&amp;col=6&amp;number=&amp;sourceID=27","")</f>
        <v/>
      </c>
      <c r="G65" s="4" t="str">
        <f>HYPERLINK("http://141.218.60.56/~jnz1568/getInfo.php?workbook=08_02.xlsx&amp;sheet=A0&amp;row=65&amp;col=7&amp;number=4480000000&amp;sourceID=34","4480000000")</f>
        <v>4480000000</v>
      </c>
      <c r="H65" s="4" t="str">
        <f>HYPERLINK("http://141.218.60.56/~jnz1568/getInfo.php?workbook=08_02.xlsx&amp;sheet=A0&amp;row=65&amp;col=8&amp;number=&amp;sourceID=34","")</f>
        <v/>
      </c>
      <c r="I65" s="4" t="str">
        <f>HYPERLINK("http://141.218.60.56/~jnz1568/getInfo.php?workbook=08_02.xlsx&amp;sheet=A0&amp;row=65&amp;col=9&amp;number=&amp;sourceID=34","")</f>
        <v/>
      </c>
      <c r="J65" s="4" t="str">
        <f>HYPERLINK("http://141.218.60.56/~jnz1568/getInfo.php?workbook=08_02.xlsx&amp;sheet=A0&amp;row=65&amp;col=10&amp;number=&amp;sourceID=34","")</f>
        <v/>
      </c>
      <c r="K65" s="4" t="str">
        <f>HYPERLINK("http://141.218.60.56/~jnz1568/getInfo.php?workbook=08_02.xlsx&amp;sheet=A0&amp;row=65&amp;col=11&amp;number=4473000000&amp;sourceID=30","4473000000")</f>
        <v>4473000000</v>
      </c>
      <c r="L65" s="4" t="str">
        <f>HYPERLINK("http://141.218.60.56/~jnz1568/getInfo.php?workbook=08_02.xlsx&amp;sheet=A0&amp;row=65&amp;col=12&amp;number=&amp;sourceID=30","")</f>
        <v/>
      </c>
      <c r="M65" s="4" t="str">
        <f>HYPERLINK("http://141.218.60.56/~jnz1568/getInfo.php?workbook=08_02.xlsx&amp;sheet=A0&amp;row=65&amp;col=13&amp;number=&amp;sourceID=30","")</f>
        <v/>
      </c>
      <c r="N65" s="4" t="str">
        <f>HYPERLINK("http://141.218.60.56/~jnz1568/getInfo.php?workbook=08_02.xlsx&amp;sheet=A0&amp;row=65&amp;col=14&amp;number=3.294e-07&amp;sourceID=30","3.294e-07")</f>
        <v>3.294e-07</v>
      </c>
      <c r="O65" s="4" t="str">
        <f>HYPERLINK("http://141.218.60.56/~jnz1568/getInfo.php?workbook=08_02.xlsx&amp;sheet=A0&amp;row=65&amp;col=15&amp;number=4480000000&amp;sourceID=32","4480000000")</f>
        <v>4480000000</v>
      </c>
      <c r="P65" s="4" t="str">
        <f>HYPERLINK("http://141.218.60.56/~jnz1568/getInfo.php?workbook=08_02.xlsx&amp;sheet=A0&amp;row=65&amp;col=16&amp;number=&amp;sourceID=32","")</f>
        <v/>
      </c>
      <c r="Q65" s="4" t="str">
        <f>HYPERLINK("http://141.218.60.56/~jnz1568/getInfo.php?workbook=08_02.xlsx&amp;sheet=A0&amp;row=65&amp;col=17&amp;number=&amp;sourceID=32","")</f>
        <v/>
      </c>
      <c r="R65" s="4" t="str">
        <f>HYPERLINK("http://141.218.60.56/~jnz1568/getInfo.php?workbook=08_02.xlsx&amp;sheet=A0&amp;row=65&amp;col=18&amp;number=8.024e-05&amp;sourceID=32","8.024e-05")</f>
        <v>8.024e-05</v>
      </c>
      <c r="S65" s="4" t="str">
        <f>HYPERLINK("http://141.218.60.56/~jnz1568/getInfo.php?workbook=08_02.xlsx&amp;sheet=A0&amp;row=65&amp;col=19&amp;number=&amp;sourceID=1","")</f>
        <v/>
      </c>
      <c r="T65" s="4" t="str">
        <f>HYPERLINK("http://141.218.60.56/~jnz1568/getInfo.php?workbook=08_02.xlsx&amp;sheet=A0&amp;row=65&amp;col=20&amp;number=&amp;sourceID=1","")</f>
        <v/>
      </c>
    </row>
    <row r="66" spans="1:20">
      <c r="A66" s="3">
        <v>8</v>
      </c>
      <c r="B66" s="3">
        <v>2</v>
      </c>
      <c r="C66" s="3">
        <v>13</v>
      </c>
      <c r="D66" s="3">
        <v>6</v>
      </c>
      <c r="E66" s="3">
        <f>((1/(INDEX(E0!J$4:J$52,C66,1)-INDEX(E0!J$4:J$52,D66,1))))*100000000</f>
        <v>0</v>
      </c>
      <c r="F66" s="4" t="str">
        <f>HYPERLINK("http://141.218.60.56/~jnz1568/getInfo.php?workbook=08_02.xlsx&amp;sheet=A0&amp;row=66&amp;col=6&amp;number=&amp;sourceID=27","")</f>
        <v/>
      </c>
      <c r="G66" s="4" t="str">
        <f>HYPERLINK("http://141.218.60.56/~jnz1568/getInfo.php?workbook=08_02.xlsx&amp;sheet=A0&amp;row=66&amp;col=7&amp;number=&amp;sourceID=34","")</f>
        <v/>
      </c>
      <c r="H66" s="4" t="str">
        <f>HYPERLINK("http://141.218.60.56/~jnz1568/getInfo.php?workbook=08_02.xlsx&amp;sheet=A0&amp;row=66&amp;col=8&amp;number=&amp;sourceID=34","")</f>
        <v/>
      </c>
      <c r="I66" s="4" t="str">
        <f>HYPERLINK("http://141.218.60.56/~jnz1568/getInfo.php?workbook=08_02.xlsx&amp;sheet=A0&amp;row=66&amp;col=9&amp;number=&amp;sourceID=34","")</f>
        <v/>
      </c>
      <c r="J66" s="4" t="str">
        <f>HYPERLINK("http://141.218.60.56/~jnz1568/getInfo.php?workbook=08_02.xlsx&amp;sheet=A0&amp;row=66&amp;col=10&amp;number=&amp;sourceID=34","")</f>
        <v/>
      </c>
      <c r="K66" s="4" t="str">
        <f>HYPERLINK("http://141.218.60.56/~jnz1568/getInfo.php?workbook=08_02.xlsx&amp;sheet=A0&amp;row=66&amp;col=11&amp;number=&amp;sourceID=30","")</f>
        <v/>
      </c>
      <c r="L66" s="4" t="str">
        <f>HYPERLINK("http://141.218.60.56/~jnz1568/getInfo.php?workbook=08_02.xlsx&amp;sheet=A0&amp;row=66&amp;col=12&amp;number=&amp;sourceID=30","")</f>
        <v/>
      </c>
      <c r="M66" s="4" t="str">
        <f>HYPERLINK("http://141.218.60.56/~jnz1568/getInfo.php?workbook=08_02.xlsx&amp;sheet=A0&amp;row=66&amp;col=13&amp;number=0.02176&amp;sourceID=30","0.02176")</f>
        <v>0.02176</v>
      </c>
      <c r="N66" s="4" t="str">
        <f>HYPERLINK("http://141.218.60.56/~jnz1568/getInfo.php?workbook=08_02.xlsx&amp;sheet=A0&amp;row=66&amp;col=14&amp;number=&amp;sourceID=30","")</f>
        <v/>
      </c>
      <c r="O66" s="4" t="str">
        <f>HYPERLINK("http://141.218.60.56/~jnz1568/getInfo.php?workbook=08_02.xlsx&amp;sheet=A0&amp;row=66&amp;col=15&amp;number=&amp;sourceID=32","")</f>
        <v/>
      </c>
      <c r="P66" s="4" t="str">
        <f>HYPERLINK("http://141.218.60.56/~jnz1568/getInfo.php?workbook=08_02.xlsx&amp;sheet=A0&amp;row=66&amp;col=16&amp;number=&amp;sourceID=32","")</f>
        <v/>
      </c>
      <c r="Q66" s="4" t="str">
        <f>HYPERLINK("http://141.218.60.56/~jnz1568/getInfo.php?workbook=08_02.xlsx&amp;sheet=A0&amp;row=66&amp;col=17&amp;number=0.03423&amp;sourceID=32","0.03423")</f>
        <v>0.03423</v>
      </c>
      <c r="R66" s="4" t="str">
        <f>HYPERLINK("http://141.218.60.56/~jnz1568/getInfo.php?workbook=08_02.xlsx&amp;sheet=A0&amp;row=66&amp;col=18&amp;number=&amp;sourceID=32","")</f>
        <v/>
      </c>
      <c r="S66" s="4" t="str">
        <f>HYPERLINK("http://141.218.60.56/~jnz1568/getInfo.php?workbook=08_02.xlsx&amp;sheet=A0&amp;row=66&amp;col=19&amp;number=&amp;sourceID=1","")</f>
        <v/>
      </c>
      <c r="T66" s="4" t="str">
        <f>HYPERLINK("http://141.218.60.56/~jnz1568/getInfo.php?workbook=08_02.xlsx&amp;sheet=A0&amp;row=66&amp;col=20&amp;number=&amp;sourceID=1","")</f>
        <v/>
      </c>
    </row>
    <row r="67" spans="1:20">
      <c r="A67" s="3">
        <v>8</v>
      </c>
      <c r="B67" s="3">
        <v>2</v>
      </c>
      <c r="C67" s="3">
        <v>13</v>
      </c>
      <c r="D67" s="3">
        <v>7</v>
      </c>
      <c r="E67" s="3">
        <f>((1/(INDEX(E0!J$4:J$52,C67,1)-INDEX(E0!J$4:J$52,D67,1))))*100000000</f>
        <v>0</v>
      </c>
      <c r="F67" s="4" t="str">
        <f>HYPERLINK("http://141.218.60.56/~jnz1568/getInfo.php?workbook=08_02.xlsx&amp;sheet=A0&amp;row=67&amp;col=6&amp;number=&amp;sourceID=27","")</f>
        <v/>
      </c>
      <c r="G67" s="4" t="str">
        <f>HYPERLINK("http://141.218.60.56/~jnz1568/getInfo.php?workbook=08_02.xlsx&amp;sheet=A0&amp;row=67&amp;col=7&amp;number=&amp;sourceID=34","")</f>
        <v/>
      </c>
      <c r="H67" s="4" t="str">
        <f>HYPERLINK("http://141.218.60.56/~jnz1568/getInfo.php?workbook=08_02.xlsx&amp;sheet=A0&amp;row=67&amp;col=8&amp;number=&amp;sourceID=34","")</f>
        <v/>
      </c>
      <c r="I67" s="4" t="str">
        <f>HYPERLINK("http://141.218.60.56/~jnz1568/getInfo.php?workbook=08_02.xlsx&amp;sheet=A0&amp;row=67&amp;col=9&amp;number=&amp;sourceID=34","")</f>
        <v/>
      </c>
      <c r="J67" s="4" t="str">
        <f>HYPERLINK("http://141.218.60.56/~jnz1568/getInfo.php?workbook=08_02.xlsx&amp;sheet=A0&amp;row=67&amp;col=10&amp;number=&amp;sourceID=34","")</f>
        <v/>
      </c>
      <c r="K67" s="4" t="str">
        <f>HYPERLINK("http://141.218.60.56/~jnz1568/getInfo.php?workbook=08_02.xlsx&amp;sheet=A0&amp;row=67&amp;col=11&amp;number=9329000&amp;sourceID=30","9329000")</f>
        <v>9329000</v>
      </c>
      <c r="L67" s="4" t="str">
        <f>HYPERLINK("http://141.218.60.56/~jnz1568/getInfo.php?workbook=08_02.xlsx&amp;sheet=A0&amp;row=67&amp;col=12&amp;number=&amp;sourceID=30","")</f>
        <v/>
      </c>
      <c r="M67" s="4" t="str">
        <f>HYPERLINK("http://141.218.60.56/~jnz1568/getInfo.php?workbook=08_02.xlsx&amp;sheet=A0&amp;row=67&amp;col=13&amp;number=&amp;sourceID=30","")</f>
        <v/>
      </c>
      <c r="N67" s="4" t="str">
        <f>HYPERLINK("http://141.218.60.56/~jnz1568/getInfo.php?workbook=08_02.xlsx&amp;sheet=A0&amp;row=67&amp;col=14&amp;number=9.728&amp;sourceID=30","9.728")</f>
        <v>9.728</v>
      </c>
      <c r="O67" s="4" t="str">
        <f>HYPERLINK("http://141.218.60.56/~jnz1568/getInfo.php?workbook=08_02.xlsx&amp;sheet=A0&amp;row=67&amp;col=15&amp;number=9742000&amp;sourceID=32","9742000")</f>
        <v>9742000</v>
      </c>
      <c r="P67" s="4" t="str">
        <f>HYPERLINK("http://141.218.60.56/~jnz1568/getInfo.php?workbook=08_02.xlsx&amp;sheet=A0&amp;row=67&amp;col=16&amp;number=&amp;sourceID=32","")</f>
        <v/>
      </c>
      <c r="Q67" s="4" t="str">
        <f>HYPERLINK("http://141.218.60.56/~jnz1568/getInfo.php?workbook=08_02.xlsx&amp;sheet=A0&amp;row=67&amp;col=17&amp;number=&amp;sourceID=32","")</f>
        <v/>
      </c>
      <c r="R67" s="4" t="str">
        <f>HYPERLINK("http://141.218.60.56/~jnz1568/getInfo.php?workbook=08_02.xlsx&amp;sheet=A0&amp;row=67&amp;col=18&amp;number=9.82&amp;sourceID=32","9.82")</f>
        <v>9.82</v>
      </c>
      <c r="S67" s="4" t="str">
        <f>HYPERLINK("http://141.218.60.56/~jnz1568/getInfo.php?workbook=08_02.xlsx&amp;sheet=A0&amp;row=67&amp;col=19&amp;number=&amp;sourceID=1","")</f>
        <v/>
      </c>
      <c r="T67" s="4" t="str">
        <f>HYPERLINK("http://141.218.60.56/~jnz1568/getInfo.php?workbook=08_02.xlsx&amp;sheet=A0&amp;row=67&amp;col=20&amp;number=&amp;sourceID=1","")</f>
        <v/>
      </c>
    </row>
    <row r="68" spans="1:20">
      <c r="A68" s="3">
        <v>8</v>
      </c>
      <c r="B68" s="3">
        <v>2</v>
      </c>
      <c r="C68" s="3">
        <v>13</v>
      </c>
      <c r="D68" s="3">
        <v>8</v>
      </c>
      <c r="E68" s="3">
        <f>((1/(INDEX(E0!J$4:J$52,C68,1)-INDEX(E0!J$4:J$52,D68,1))))*100000000</f>
        <v>0</v>
      </c>
      <c r="F68" s="4" t="str">
        <f>HYPERLINK("http://141.218.60.56/~jnz1568/getInfo.php?workbook=08_02.xlsx&amp;sheet=A0&amp;row=68&amp;col=6&amp;number=&amp;sourceID=27","")</f>
        <v/>
      </c>
      <c r="G68" s="4" t="str">
        <f>HYPERLINK("http://141.218.60.56/~jnz1568/getInfo.php?workbook=08_02.xlsx&amp;sheet=A0&amp;row=68&amp;col=7&amp;number=&amp;sourceID=34","")</f>
        <v/>
      </c>
      <c r="H68" s="4" t="str">
        <f>HYPERLINK("http://141.218.60.56/~jnz1568/getInfo.php?workbook=08_02.xlsx&amp;sheet=A0&amp;row=68&amp;col=8&amp;number=&amp;sourceID=34","")</f>
        <v/>
      </c>
      <c r="I68" s="4" t="str">
        <f>HYPERLINK("http://141.218.60.56/~jnz1568/getInfo.php?workbook=08_02.xlsx&amp;sheet=A0&amp;row=68&amp;col=9&amp;number=&amp;sourceID=34","")</f>
        <v/>
      </c>
      <c r="J68" s="4" t="str">
        <f>HYPERLINK("http://141.218.60.56/~jnz1568/getInfo.php?workbook=08_02.xlsx&amp;sheet=A0&amp;row=68&amp;col=10&amp;number=&amp;sourceID=34","")</f>
        <v/>
      </c>
      <c r="K68" s="4" t="str">
        <f>HYPERLINK("http://141.218.60.56/~jnz1568/getInfo.php?workbook=08_02.xlsx&amp;sheet=A0&amp;row=68&amp;col=11&amp;number=&amp;sourceID=30","")</f>
        <v/>
      </c>
      <c r="L68" s="4" t="str">
        <f>HYPERLINK("http://141.218.60.56/~jnz1568/getInfo.php?workbook=08_02.xlsx&amp;sheet=A0&amp;row=68&amp;col=12&amp;number=1.946&amp;sourceID=30","1.946")</f>
        <v>1.946</v>
      </c>
      <c r="M68" s="4" t="str">
        <f>HYPERLINK("http://141.218.60.56/~jnz1568/getInfo.php?workbook=08_02.xlsx&amp;sheet=A0&amp;row=68&amp;col=13&amp;number=3.711e-05&amp;sourceID=30","3.711e-05")</f>
        <v>3.711e-05</v>
      </c>
      <c r="N68" s="4" t="str">
        <f>HYPERLINK("http://141.218.60.56/~jnz1568/getInfo.php?workbook=08_02.xlsx&amp;sheet=A0&amp;row=68&amp;col=14&amp;number=&amp;sourceID=30","")</f>
        <v/>
      </c>
      <c r="O68" s="4" t="str">
        <f>HYPERLINK("http://141.218.60.56/~jnz1568/getInfo.php?workbook=08_02.xlsx&amp;sheet=A0&amp;row=68&amp;col=15&amp;number=&amp;sourceID=32","")</f>
        <v/>
      </c>
      <c r="P68" s="4" t="str">
        <f>HYPERLINK("http://141.218.60.56/~jnz1568/getInfo.php?workbook=08_02.xlsx&amp;sheet=A0&amp;row=68&amp;col=16&amp;number=1.986&amp;sourceID=32","1.986")</f>
        <v>1.986</v>
      </c>
      <c r="Q68" s="4" t="str">
        <f>HYPERLINK("http://141.218.60.56/~jnz1568/getInfo.php?workbook=08_02.xlsx&amp;sheet=A0&amp;row=68&amp;col=17&amp;number=3.722e-05&amp;sourceID=32","3.722e-05")</f>
        <v>3.722e-05</v>
      </c>
      <c r="R68" s="4" t="str">
        <f>HYPERLINK("http://141.218.60.56/~jnz1568/getInfo.php?workbook=08_02.xlsx&amp;sheet=A0&amp;row=68&amp;col=18&amp;number=&amp;sourceID=32","")</f>
        <v/>
      </c>
      <c r="S68" s="4" t="str">
        <f>HYPERLINK("http://141.218.60.56/~jnz1568/getInfo.php?workbook=08_02.xlsx&amp;sheet=A0&amp;row=68&amp;col=19&amp;number=&amp;sourceID=1","")</f>
        <v/>
      </c>
      <c r="T68" s="4" t="str">
        <f>HYPERLINK("http://141.218.60.56/~jnz1568/getInfo.php?workbook=08_02.xlsx&amp;sheet=A0&amp;row=68&amp;col=20&amp;number=&amp;sourceID=1","")</f>
        <v/>
      </c>
    </row>
    <row r="69" spans="1:20">
      <c r="A69" s="3">
        <v>8</v>
      </c>
      <c r="B69" s="3">
        <v>2</v>
      </c>
      <c r="C69" s="3">
        <v>13</v>
      </c>
      <c r="D69" s="3">
        <v>9</v>
      </c>
      <c r="E69" s="3">
        <f>((1/(INDEX(E0!J$4:J$52,C69,1)-INDEX(E0!J$4:J$52,D69,1))))*100000000</f>
        <v>0</v>
      </c>
      <c r="F69" s="4" t="str">
        <f>HYPERLINK("http://141.218.60.56/~jnz1568/getInfo.php?workbook=08_02.xlsx&amp;sheet=A0&amp;row=69&amp;col=6&amp;number=&amp;sourceID=27","")</f>
        <v/>
      </c>
      <c r="G69" s="4" t="str">
        <f>HYPERLINK("http://141.218.60.56/~jnz1568/getInfo.php?workbook=08_02.xlsx&amp;sheet=A0&amp;row=69&amp;col=7&amp;number=611333.333333&amp;sourceID=34","611333.333333")</f>
        <v>611333.333333</v>
      </c>
      <c r="H69" s="4" t="str">
        <f>HYPERLINK("http://141.218.60.56/~jnz1568/getInfo.php?workbook=08_02.xlsx&amp;sheet=A0&amp;row=69&amp;col=8&amp;number=&amp;sourceID=34","")</f>
        <v/>
      </c>
      <c r="I69" s="4" t="str">
        <f>HYPERLINK("http://141.218.60.56/~jnz1568/getInfo.php?workbook=08_02.xlsx&amp;sheet=A0&amp;row=69&amp;col=9&amp;number=&amp;sourceID=34","")</f>
        <v/>
      </c>
      <c r="J69" s="4" t="str">
        <f>HYPERLINK("http://141.218.60.56/~jnz1568/getInfo.php?workbook=08_02.xlsx&amp;sheet=A0&amp;row=69&amp;col=10&amp;number=&amp;sourceID=34","")</f>
        <v/>
      </c>
      <c r="K69" s="4" t="str">
        <f>HYPERLINK("http://141.218.60.56/~jnz1568/getInfo.php?workbook=08_02.xlsx&amp;sheet=A0&amp;row=69&amp;col=11&amp;number=599500&amp;sourceID=30","599500")</f>
        <v>599500</v>
      </c>
      <c r="L69" s="4" t="str">
        <f>HYPERLINK("http://141.218.60.56/~jnz1568/getInfo.php?workbook=08_02.xlsx&amp;sheet=A0&amp;row=69&amp;col=12&amp;number=&amp;sourceID=30","")</f>
        <v/>
      </c>
      <c r="M69" s="4" t="str">
        <f>HYPERLINK("http://141.218.60.56/~jnz1568/getInfo.php?workbook=08_02.xlsx&amp;sheet=A0&amp;row=69&amp;col=13&amp;number=&amp;sourceID=30","")</f>
        <v/>
      </c>
      <c r="N69" s="4" t="str">
        <f>HYPERLINK("http://141.218.60.56/~jnz1568/getInfo.php?workbook=08_02.xlsx&amp;sheet=A0&amp;row=69&amp;col=14&amp;number=&amp;sourceID=30","")</f>
        <v/>
      </c>
      <c r="O69" s="4" t="str">
        <f>HYPERLINK("http://141.218.60.56/~jnz1568/getInfo.php?workbook=08_02.xlsx&amp;sheet=A0&amp;row=69&amp;col=15&amp;number=652300&amp;sourceID=32","652300")</f>
        <v>652300</v>
      </c>
      <c r="P69" s="4" t="str">
        <f>HYPERLINK("http://141.218.60.56/~jnz1568/getInfo.php?workbook=08_02.xlsx&amp;sheet=A0&amp;row=69&amp;col=16&amp;number=&amp;sourceID=32","")</f>
        <v/>
      </c>
      <c r="Q69" s="4" t="str">
        <f>HYPERLINK("http://141.218.60.56/~jnz1568/getInfo.php?workbook=08_02.xlsx&amp;sheet=A0&amp;row=69&amp;col=17&amp;number=&amp;sourceID=32","")</f>
        <v/>
      </c>
      <c r="R69" s="4" t="str">
        <f>HYPERLINK("http://141.218.60.56/~jnz1568/getInfo.php?workbook=08_02.xlsx&amp;sheet=A0&amp;row=69&amp;col=18&amp;number=&amp;sourceID=32","")</f>
        <v/>
      </c>
      <c r="S69" s="4" t="str">
        <f>HYPERLINK("http://141.218.60.56/~jnz1568/getInfo.php?workbook=08_02.xlsx&amp;sheet=A0&amp;row=69&amp;col=19&amp;number=&amp;sourceID=1","")</f>
        <v/>
      </c>
      <c r="T69" s="4" t="str">
        <f>HYPERLINK("http://141.218.60.56/~jnz1568/getInfo.php?workbook=08_02.xlsx&amp;sheet=A0&amp;row=69&amp;col=20&amp;number=&amp;sourceID=1","")</f>
        <v/>
      </c>
    </row>
    <row r="70" spans="1:20">
      <c r="A70" s="3">
        <v>8</v>
      </c>
      <c r="B70" s="3">
        <v>2</v>
      </c>
      <c r="C70" s="3">
        <v>13</v>
      </c>
      <c r="D70" s="3">
        <v>10</v>
      </c>
      <c r="E70" s="3">
        <f>((1/(INDEX(E0!J$4:J$52,C70,1)-INDEX(E0!J$4:J$52,D70,1))))*100000000</f>
        <v>0</v>
      </c>
      <c r="F70" s="4" t="str">
        <f>HYPERLINK("http://141.218.60.56/~jnz1568/getInfo.php?workbook=08_02.xlsx&amp;sheet=A0&amp;row=70&amp;col=6&amp;number=&amp;sourceID=27","")</f>
        <v/>
      </c>
      <c r="G70" s="4" t="str">
        <f>HYPERLINK("http://141.218.60.56/~jnz1568/getInfo.php?workbook=08_02.xlsx&amp;sheet=A0&amp;row=70&amp;col=7&amp;number=458666.666667&amp;sourceID=34","458666.666667")</f>
        <v>458666.666667</v>
      </c>
      <c r="H70" s="4" t="str">
        <f>HYPERLINK("http://141.218.60.56/~jnz1568/getInfo.php?workbook=08_02.xlsx&amp;sheet=A0&amp;row=70&amp;col=8&amp;number=&amp;sourceID=34","")</f>
        <v/>
      </c>
      <c r="I70" s="4" t="str">
        <f>HYPERLINK("http://141.218.60.56/~jnz1568/getInfo.php?workbook=08_02.xlsx&amp;sheet=A0&amp;row=70&amp;col=9&amp;number=&amp;sourceID=34","")</f>
        <v/>
      </c>
      <c r="J70" s="4" t="str">
        <f>HYPERLINK("http://141.218.60.56/~jnz1568/getInfo.php?workbook=08_02.xlsx&amp;sheet=A0&amp;row=70&amp;col=10&amp;number=&amp;sourceID=34","")</f>
        <v/>
      </c>
      <c r="K70" s="4" t="str">
        <f>HYPERLINK("http://141.218.60.56/~jnz1568/getInfo.php?workbook=08_02.xlsx&amp;sheet=A0&amp;row=70&amp;col=11&amp;number=446400&amp;sourceID=30","446400")</f>
        <v>446400</v>
      </c>
      <c r="L70" s="4" t="str">
        <f>HYPERLINK("http://141.218.60.56/~jnz1568/getInfo.php?workbook=08_02.xlsx&amp;sheet=A0&amp;row=70&amp;col=12&amp;number=&amp;sourceID=30","")</f>
        <v/>
      </c>
      <c r="M70" s="4" t="str">
        <f>HYPERLINK("http://141.218.60.56/~jnz1568/getInfo.php?workbook=08_02.xlsx&amp;sheet=A0&amp;row=70&amp;col=13&amp;number=&amp;sourceID=30","")</f>
        <v/>
      </c>
      <c r="N70" s="4" t="str">
        <f>HYPERLINK("http://141.218.60.56/~jnz1568/getInfo.php?workbook=08_02.xlsx&amp;sheet=A0&amp;row=70&amp;col=14&amp;number=1.974e-08&amp;sourceID=30","1.974e-08")</f>
        <v>1.974e-08</v>
      </c>
      <c r="O70" s="4" t="str">
        <f>HYPERLINK("http://141.218.60.56/~jnz1568/getInfo.php?workbook=08_02.xlsx&amp;sheet=A0&amp;row=70&amp;col=15&amp;number=485700&amp;sourceID=32","485700")</f>
        <v>485700</v>
      </c>
      <c r="P70" s="4" t="str">
        <f>HYPERLINK("http://141.218.60.56/~jnz1568/getInfo.php?workbook=08_02.xlsx&amp;sheet=A0&amp;row=70&amp;col=16&amp;number=&amp;sourceID=32","")</f>
        <v/>
      </c>
      <c r="Q70" s="4" t="str">
        <f>HYPERLINK("http://141.218.60.56/~jnz1568/getInfo.php?workbook=08_02.xlsx&amp;sheet=A0&amp;row=70&amp;col=17&amp;number=&amp;sourceID=32","")</f>
        <v/>
      </c>
      <c r="R70" s="4" t="str">
        <f>HYPERLINK("http://141.218.60.56/~jnz1568/getInfo.php?workbook=08_02.xlsx&amp;sheet=A0&amp;row=70&amp;col=18&amp;number=2.278e-08&amp;sourceID=32","2.278e-08")</f>
        <v>2.278e-08</v>
      </c>
      <c r="S70" s="4" t="str">
        <f>HYPERLINK("http://141.218.60.56/~jnz1568/getInfo.php?workbook=08_02.xlsx&amp;sheet=A0&amp;row=70&amp;col=19&amp;number=&amp;sourceID=1","")</f>
        <v/>
      </c>
      <c r="T70" s="4" t="str">
        <f>HYPERLINK("http://141.218.60.56/~jnz1568/getInfo.php?workbook=08_02.xlsx&amp;sheet=A0&amp;row=70&amp;col=20&amp;number=&amp;sourceID=1","")</f>
        <v/>
      </c>
    </row>
    <row r="71" spans="1:20">
      <c r="A71" s="3">
        <v>8</v>
      </c>
      <c r="B71" s="3">
        <v>2</v>
      </c>
      <c r="C71" s="3">
        <v>13</v>
      </c>
      <c r="D71" s="3">
        <v>11</v>
      </c>
      <c r="E71" s="3">
        <f>((1/(INDEX(E0!J$4:J$52,C71,1)-INDEX(E0!J$4:J$52,D71,1))))*100000000</f>
        <v>0</v>
      </c>
      <c r="F71" s="4" t="str">
        <f>HYPERLINK("http://141.218.60.56/~jnz1568/getInfo.php?workbook=08_02.xlsx&amp;sheet=A0&amp;row=71&amp;col=6&amp;number=&amp;sourceID=27","")</f>
        <v/>
      </c>
      <c r="G71" s="4" t="str">
        <f>HYPERLINK("http://141.218.60.56/~jnz1568/getInfo.php?workbook=08_02.xlsx&amp;sheet=A0&amp;row=71&amp;col=7&amp;number=30570&amp;sourceID=34","30570")</f>
        <v>30570</v>
      </c>
      <c r="H71" s="4" t="str">
        <f>HYPERLINK("http://141.218.60.56/~jnz1568/getInfo.php?workbook=08_02.xlsx&amp;sheet=A0&amp;row=71&amp;col=8&amp;number=&amp;sourceID=34","")</f>
        <v/>
      </c>
      <c r="I71" s="4" t="str">
        <f>HYPERLINK("http://141.218.60.56/~jnz1568/getInfo.php?workbook=08_02.xlsx&amp;sheet=A0&amp;row=71&amp;col=9&amp;number=&amp;sourceID=34","")</f>
        <v/>
      </c>
      <c r="J71" s="4" t="str">
        <f>HYPERLINK("http://141.218.60.56/~jnz1568/getInfo.php?workbook=08_02.xlsx&amp;sheet=A0&amp;row=71&amp;col=10&amp;number=&amp;sourceID=34","")</f>
        <v/>
      </c>
      <c r="K71" s="4" t="str">
        <f>HYPERLINK("http://141.218.60.56/~jnz1568/getInfo.php?workbook=08_02.xlsx&amp;sheet=A0&amp;row=71&amp;col=11&amp;number=28020&amp;sourceID=30","28020")</f>
        <v>28020</v>
      </c>
      <c r="L71" s="4" t="str">
        <f>HYPERLINK("http://141.218.60.56/~jnz1568/getInfo.php?workbook=08_02.xlsx&amp;sheet=A0&amp;row=71&amp;col=12&amp;number=&amp;sourceID=30","")</f>
        <v/>
      </c>
      <c r="M71" s="4" t="str">
        <f>HYPERLINK("http://141.218.60.56/~jnz1568/getInfo.php?workbook=08_02.xlsx&amp;sheet=A0&amp;row=71&amp;col=13&amp;number=&amp;sourceID=30","")</f>
        <v/>
      </c>
      <c r="N71" s="4" t="str">
        <f>HYPERLINK("http://141.218.60.56/~jnz1568/getInfo.php?workbook=08_02.xlsx&amp;sheet=A0&amp;row=71&amp;col=14&amp;number=2e-14&amp;sourceID=30","2e-14")</f>
        <v>2e-14</v>
      </c>
      <c r="O71" s="4" t="str">
        <f>HYPERLINK("http://141.218.60.56/~jnz1568/getInfo.php?workbook=08_02.xlsx&amp;sheet=A0&amp;row=71&amp;col=15&amp;number=30540&amp;sourceID=32","30540")</f>
        <v>30540</v>
      </c>
      <c r="P71" s="4" t="str">
        <f>HYPERLINK("http://141.218.60.56/~jnz1568/getInfo.php?workbook=08_02.xlsx&amp;sheet=A0&amp;row=71&amp;col=16&amp;number=&amp;sourceID=32","")</f>
        <v/>
      </c>
      <c r="Q71" s="4" t="str">
        <f>HYPERLINK("http://141.218.60.56/~jnz1568/getInfo.php?workbook=08_02.xlsx&amp;sheet=A0&amp;row=71&amp;col=17&amp;number=&amp;sourceID=32","")</f>
        <v/>
      </c>
      <c r="R71" s="4" t="str">
        <f>HYPERLINK("http://141.218.60.56/~jnz1568/getInfo.php?workbook=08_02.xlsx&amp;sheet=A0&amp;row=71&amp;col=18&amp;number=1.2e-14&amp;sourceID=32","1.2e-14")</f>
        <v>1.2e-14</v>
      </c>
      <c r="S71" s="4" t="str">
        <f>HYPERLINK("http://141.218.60.56/~jnz1568/getInfo.php?workbook=08_02.xlsx&amp;sheet=A0&amp;row=71&amp;col=19&amp;number=&amp;sourceID=1","")</f>
        <v/>
      </c>
      <c r="T71" s="4" t="str">
        <f>HYPERLINK("http://141.218.60.56/~jnz1568/getInfo.php?workbook=08_02.xlsx&amp;sheet=A0&amp;row=71&amp;col=20&amp;number=&amp;sourceID=1","")</f>
        <v/>
      </c>
    </row>
    <row r="72" spans="1:20">
      <c r="A72" s="3">
        <v>8</v>
      </c>
      <c r="B72" s="3">
        <v>2</v>
      </c>
      <c r="C72" s="3">
        <v>13</v>
      </c>
      <c r="D72" s="3">
        <v>12</v>
      </c>
      <c r="E72" s="3">
        <f>((1/(INDEX(E0!J$4:J$52,C72,1)-INDEX(E0!J$4:J$52,D72,1))))*100000000</f>
        <v>0</v>
      </c>
      <c r="F72" s="4" t="str">
        <f>HYPERLINK("http://141.218.60.56/~jnz1568/getInfo.php?workbook=08_02.xlsx&amp;sheet=A0&amp;row=72&amp;col=6&amp;number=&amp;sourceID=27","")</f>
        <v/>
      </c>
      <c r="G72" s="4" t="str">
        <f>HYPERLINK("http://141.218.60.56/~jnz1568/getInfo.php?workbook=08_02.xlsx&amp;sheet=A0&amp;row=72&amp;col=7&amp;number=&amp;sourceID=34","")</f>
        <v/>
      </c>
      <c r="H72" s="4" t="str">
        <f>HYPERLINK("http://141.218.60.56/~jnz1568/getInfo.php?workbook=08_02.xlsx&amp;sheet=A0&amp;row=72&amp;col=8&amp;number=&amp;sourceID=34","")</f>
        <v/>
      </c>
      <c r="I72" s="4" t="str">
        <f>HYPERLINK("http://141.218.60.56/~jnz1568/getInfo.php?workbook=08_02.xlsx&amp;sheet=A0&amp;row=72&amp;col=9&amp;number=&amp;sourceID=34","")</f>
        <v/>
      </c>
      <c r="J72" s="4" t="str">
        <f>HYPERLINK("http://141.218.60.56/~jnz1568/getInfo.php?workbook=08_02.xlsx&amp;sheet=A0&amp;row=72&amp;col=10&amp;number=&amp;sourceID=34","")</f>
        <v/>
      </c>
      <c r="K72" s="4" t="str">
        <f>HYPERLINK("http://141.218.60.56/~jnz1568/getInfo.php?workbook=08_02.xlsx&amp;sheet=A0&amp;row=72&amp;col=11&amp;number=&amp;sourceID=30","")</f>
        <v/>
      </c>
      <c r="L72" s="4" t="str">
        <f>HYPERLINK("http://141.218.60.56/~jnz1568/getInfo.php?workbook=08_02.xlsx&amp;sheet=A0&amp;row=72&amp;col=12&amp;number=&amp;sourceID=30","")</f>
        <v/>
      </c>
      <c r="M72" s="4" t="str">
        <f>HYPERLINK("http://141.218.60.56/~jnz1568/getInfo.php?workbook=08_02.xlsx&amp;sheet=A0&amp;row=72&amp;col=13&amp;number=1.268e-09&amp;sourceID=30","1.268e-09")</f>
        <v>1.268e-09</v>
      </c>
      <c r="N72" s="4" t="str">
        <f>HYPERLINK("http://141.218.60.56/~jnz1568/getInfo.php?workbook=08_02.xlsx&amp;sheet=A0&amp;row=72&amp;col=14&amp;number=&amp;sourceID=30","")</f>
        <v/>
      </c>
      <c r="O72" s="4" t="str">
        <f>HYPERLINK("http://141.218.60.56/~jnz1568/getInfo.php?workbook=08_02.xlsx&amp;sheet=A0&amp;row=72&amp;col=15&amp;number=&amp;sourceID=32","")</f>
        <v/>
      </c>
      <c r="P72" s="4" t="str">
        <f>HYPERLINK("http://141.218.60.56/~jnz1568/getInfo.php?workbook=08_02.xlsx&amp;sheet=A0&amp;row=72&amp;col=16&amp;number=&amp;sourceID=32","")</f>
        <v/>
      </c>
      <c r="Q72" s="4" t="str">
        <f>HYPERLINK("http://141.218.60.56/~jnz1568/getInfo.php?workbook=08_02.xlsx&amp;sheet=A0&amp;row=72&amp;col=17&amp;number=4.057e-09&amp;sourceID=32","4.057e-09")</f>
        <v>4.057e-09</v>
      </c>
      <c r="R72" s="4" t="str">
        <f>HYPERLINK("http://141.218.60.56/~jnz1568/getInfo.php?workbook=08_02.xlsx&amp;sheet=A0&amp;row=72&amp;col=18&amp;number=&amp;sourceID=32","")</f>
        <v/>
      </c>
      <c r="S72" s="4" t="str">
        <f>HYPERLINK("http://141.218.60.56/~jnz1568/getInfo.php?workbook=08_02.xlsx&amp;sheet=A0&amp;row=72&amp;col=19&amp;number=&amp;sourceID=1","")</f>
        <v/>
      </c>
      <c r="T72" s="4" t="str">
        <f>HYPERLINK("http://141.218.60.56/~jnz1568/getInfo.php?workbook=08_02.xlsx&amp;sheet=A0&amp;row=72&amp;col=20&amp;number=&amp;sourceID=1","")</f>
        <v/>
      </c>
    </row>
    <row r="73" spans="1:20">
      <c r="A73" s="3">
        <v>8</v>
      </c>
      <c r="B73" s="3">
        <v>2</v>
      </c>
      <c r="C73" s="3">
        <v>14</v>
      </c>
      <c r="D73" s="3">
        <v>1</v>
      </c>
      <c r="E73" s="3">
        <f>((1/(INDEX(E0!J$4:J$52,C73,1)-INDEX(E0!J$4:J$52,D73,1))))*100000000</f>
        <v>0</v>
      </c>
      <c r="F73" s="4" t="str">
        <f>HYPERLINK("http://141.218.60.56/~jnz1568/getInfo.php?workbook=08_02.xlsx&amp;sheet=A0&amp;row=73&amp;col=6&amp;number=&amp;sourceID=27","")</f>
        <v/>
      </c>
      <c r="G73" s="4" t="str">
        <f>HYPERLINK("http://141.218.60.56/~jnz1568/getInfo.php?workbook=08_02.xlsx&amp;sheet=A0&amp;row=73&amp;col=7&amp;number=&amp;sourceID=34","")</f>
        <v/>
      </c>
      <c r="H73" s="4" t="str">
        <f>HYPERLINK("http://141.218.60.56/~jnz1568/getInfo.php?workbook=08_02.xlsx&amp;sheet=A0&amp;row=73&amp;col=8&amp;number=&amp;sourceID=34","")</f>
        <v/>
      </c>
      <c r="I73" s="4" t="str">
        <f>HYPERLINK("http://141.218.60.56/~jnz1568/getInfo.php?workbook=08_02.xlsx&amp;sheet=A0&amp;row=73&amp;col=9&amp;number=&amp;sourceID=34","")</f>
        <v/>
      </c>
      <c r="J73" s="4" t="str">
        <f>HYPERLINK("http://141.218.60.56/~jnz1568/getInfo.php?workbook=08_02.xlsx&amp;sheet=A0&amp;row=73&amp;col=10&amp;number=&amp;sourceID=34","")</f>
        <v/>
      </c>
      <c r="K73" s="4" t="str">
        <f>HYPERLINK("http://141.218.60.56/~jnz1568/getInfo.php?workbook=08_02.xlsx&amp;sheet=A0&amp;row=73&amp;col=11&amp;number=&amp;sourceID=30","")</f>
        <v/>
      </c>
      <c r="L73" s="4" t="str">
        <f>HYPERLINK("http://141.218.60.56/~jnz1568/getInfo.php?workbook=08_02.xlsx&amp;sheet=A0&amp;row=73&amp;col=12&amp;number=1367000&amp;sourceID=30","1367000")</f>
        <v>1367000</v>
      </c>
      <c r="M73" s="4" t="str">
        <f>HYPERLINK("http://141.218.60.56/~jnz1568/getInfo.php?workbook=08_02.xlsx&amp;sheet=A0&amp;row=73&amp;col=13&amp;number=&amp;sourceID=30","")</f>
        <v/>
      </c>
      <c r="N73" s="4" t="str">
        <f>HYPERLINK("http://141.218.60.56/~jnz1568/getInfo.php?workbook=08_02.xlsx&amp;sheet=A0&amp;row=73&amp;col=14&amp;number=&amp;sourceID=30","")</f>
        <v/>
      </c>
      <c r="O73" s="4" t="str">
        <f>HYPERLINK("http://141.218.60.56/~jnz1568/getInfo.php?workbook=08_02.xlsx&amp;sheet=A0&amp;row=73&amp;col=15&amp;number=&amp;sourceID=32","")</f>
        <v/>
      </c>
      <c r="P73" s="4" t="str">
        <f>HYPERLINK("http://141.218.60.56/~jnz1568/getInfo.php?workbook=08_02.xlsx&amp;sheet=A0&amp;row=73&amp;col=16&amp;number=2306000&amp;sourceID=32","2306000")</f>
        <v>2306000</v>
      </c>
      <c r="Q73" s="4" t="str">
        <f>HYPERLINK("http://141.218.60.56/~jnz1568/getInfo.php?workbook=08_02.xlsx&amp;sheet=A0&amp;row=73&amp;col=17&amp;number=&amp;sourceID=32","")</f>
        <v/>
      </c>
      <c r="R73" s="4" t="str">
        <f>HYPERLINK("http://141.218.60.56/~jnz1568/getInfo.php?workbook=08_02.xlsx&amp;sheet=A0&amp;row=73&amp;col=18&amp;number=&amp;sourceID=32","")</f>
        <v/>
      </c>
      <c r="S73" s="4" t="str">
        <f>HYPERLINK("http://141.218.60.56/~jnz1568/getInfo.php?workbook=08_02.xlsx&amp;sheet=A0&amp;row=73&amp;col=19&amp;number=&amp;sourceID=1","")</f>
        <v/>
      </c>
      <c r="T73" s="4" t="str">
        <f>HYPERLINK("http://141.218.60.56/~jnz1568/getInfo.php?workbook=08_02.xlsx&amp;sheet=A0&amp;row=73&amp;col=20&amp;number=&amp;sourceID=1","")</f>
        <v/>
      </c>
    </row>
    <row r="74" spans="1:20">
      <c r="A74" s="3">
        <v>8</v>
      </c>
      <c r="B74" s="3">
        <v>2</v>
      </c>
      <c r="C74" s="3">
        <v>14</v>
      </c>
      <c r="D74" s="3">
        <v>2</v>
      </c>
      <c r="E74" s="3">
        <f>((1/(INDEX(E0!J$4:J$52,C74,1)-INDEX(E0!J$4:J$52,D74,1))))*100000000</f>
        <v>0</v>
      </c>
      <c r="F74" s="4" t="str">
        <f>HYPERLINK("http://141.218.60.56/~jnz1568/getInfo.php?workbook=08_02.xlsx&amp;sheet=A0&amp;row=74&amp;col=6&amp;number=&amp;sourceID=27","")</f>
        <v/>
      </c>
      <c r="G74" s="4" t="str">
        <f>HYPERLINK("http://141.218.60.56/~jnz1568/getInfo.php?workbook=08_02.xlsx&amp;sheet=A0&amp;row=74&amp;col=7&amp;number=&amp;sourceID=34","")</f>
        <v/>
      </c>
      <c r="H74" s="4" t="str">
        <f>HYPERLINK("http://141.218.60.56/~jnz1568/getInfo.php?workbook=08_02.xlsx&amp;sheet=A0&amp;row=74&amp;col=8&amp;number=&amp;sourceID=34","")</f>
        <v/>
      </c>
      <c r="I74" s="4" t="str">
        <f>HYPERLINK("http://141.218.60.56/~jnz1568/getInfo.php?workbook=08_02.xlsx&amp;sheet=A0&amp;row=74&amp;col=9&amp;number=&amp;sourceID=34","")</f>
        <v/>
      </c>
      <c r="J74" s="4" t="str">
        <f>HYPERLINK("http://141.218.60.56/~jnz1568/getInfo.php?workbook=08_02.xlsx&amp;sheet=A0&amp;row=74&amp;col=10&amp;number=&amp;sourceID=34","")</f>
        <v/>
      </c>
      <c r="K74" s="4" t="str">
        <f>HYPERLINK("http://141.218.60.56/~jnz1568/getInfo.php?workbook=08_02.xlsx&amp;sheet=A0&amp;row=74&amp;col=11&amp;number=&amp;sourceID=30","")</f>
        <v/>
      </c>
      <c r="L74" s="4" t="str">
        <f>HYPERLINK("http://141.218.60.56/~jnz1568/getInfo.php?workbook=08_02.xlsx&amp;sheet=A0&amp;row=74&amp;col=12&amp;number=8152000&amp;sourceID=30","8152000")</f>
        <v>8152000</v>
      </c>
      <c r="M74" s="4" t="str">
        <f>HYPERLINK("http://141.218.60.56/~jnz1568/getInfo.php?workbook=08_02.xlsx&amp;sheet=A0&amp;row=74&amp;col=13&amp;number=0.0135&amp;sourceID=30","0.0135")</f>
        <v>0.0135</v>
      </c>
      <c r="N74" s="4" t="str">
        <f>HYPERLINK("http://141.218.60.56/~jnz1568/getInfo.php?workbook=08_02.xlsx&amp;sheet=A0&amp;row=74&amp;col=14&amp;number=&amp;sourceID=30","")</f>
        <v/>
      </c>
      <c r="O74" s="4" t="str">
        <f>HYPERLINK("http://141.218.60.56/~jnz1568/getInfo.php?workbook=08_02.xlsx&amp;sheet=A0&amp;row=74&amp;col=15&amp;number=&amp;sourceID=32","")</f>
        <v/>
      </c>
      <c r="P74" s="4" t="str">
        <f>HYPERLINK("http://141.218.60.56/~jnz1568/getInfo.php?workbook=08_02.xlsx&amp;sheet=A0&amp;row=74&amp;col=16&amp;number=8172000&amp;sourceID=32","8172000")</f>
        <v>8172000</v>
      </c>
      <c r="Q74" s="4" t="str">
        <f>HYPERLINK("http://141.218.60.56/~jnz1568/getInfo.php?workbook=08_02.xlsx&amp;sheet=A0&amp;row=74&amp;col=17&amp;number=0.02461&amp;sourceID=32","0.02461")</f>
        <v>0.02461</v>
      </c>
      <c r="R74" s="4" t="str">
        <f>HYPERLINK("http://141.218.60.56/~jnz1568/getInfo.php?workbook=08_02.xlsx&amp;sheet=A0&amp;row=74&amp;col=18&amp;number=&amp;sourceID=32","")</f>
        <v/>
      </c>
      <c r="S74" s="4" t="str">
        <f>HYPERLINK("http://141.218.60.56/~jnz1568/getInfo.php?workbook=08_02.xlsx&amp;sheet=A0&amp;row=74&amp;col=19&amp;number=&amp;sourceID=1","")</f>
        <v/>
      </c>
      <c r="T74" s="4" t="str">
        <f>HYPERLINK("http://141.218.60.56/~jnz1568/getInfo.php?workbook=08_02.xlsx&amp;sheet=A0&amp;row=74&amp;col=20&amp;number=&amp;sourceID=1","")</f>
        <v/>
      </c>
    </row>
    <row r="75" spans="1:20">
      <c r="A75" s="3">
        <v>8</v>
      </c>
      <c r="B75" s="3">
        <v>2</v>
      </c>
      <c r="C75" s="3">
        <v>14</v>
      </c>
      <c r="D75" s="3">
        <v>3</v>
      </c>
      <c r="E75" s="3">
        <f>((1/(INDEX(E0!J$4:J$52,C75,1)-INDEX(E0!J$4:J$52,D75,1))))*100000000</f>
        <v>0</v>
      </c>
      <c r="F75" s="4" t="str">
        <f>HYPERLINK("http://141.218.60.56/~jnz1568/getInfo.php?workbook=08_02.xlsx&amp;sheet=A0&amp;row=75&amp;col=6&amp;number=&amp;sourceID=27","")</f>
        <v/>
      </c>
      <c r="G75" s="4" t="str">
        <f>HYPERLINK("http://141.218.60.56/~jnz1568/getInfo.php?workbook=08_02.xlsx&amp;sheet=A0&amp;row=75&amp;col=7&amp;number=&amp;sourceID=34","")</f>
        <v/>
      </c>
      <c r="H75" s="4" t="str">
        <f>HYPERLINK("http://141.218.60.56/~jnz1568/getInfo.php?workbook=08_02.xlsx&amp;sheet=A0&amp;row=75&amp;col=8&amp;number=&amp;sourceID=34","")</f>
        <v/>
      </c>
      <c r="I75" s="4" t="str">
        <f>HYPERLINK("http://141.218.60.56/~jnz1568/getInfo.php?workbook=08_02.xlsx&amp;sheet=A0&amp;row=75&amp;col=9&amp;number=&amp;sourceID=34","")</f>
        <v/>
      </c>
      <c r="J75" s="4" t="str">
        <f>HYPERLINK("http://141.218.60.56/~jnz1568/getInfo.php?workbook=08_02.xlsx&amp;sheet=A0&amp;row=75&amp;col=10&amp;number=&amp;sourceID=34","")</f>
        <v/>
      </c>
      <c r="K75" s="4" t="str">
        <f>HYPERLINK("http://141.218.60.56/~jnz1568/getInfo.php?workbook=08_02.xlsx&amp;sheet=A0&amp;row=75&amp;col=11&amp;number=&amp;sourceID=30","")</f>
        <v/>
      </c>
      <c r="L75" s="4" t="str">
        <f>HYPERLINK("http://141.218.60.56/~jnz1568/getInfo.php?workbook=08_02.xlsx&amp;sheet=A0&amp;row=75&amp;col=12&amp;number=&amp;sourceID=30","")</f>
        <v/>
      </c>
      <c r="M75" s="4" t="str">
        <f>HYPERLINK("http://141.218.60.56/~jnz1568/getInfo.php?workbook=08_02.xlsx&amp;sheet=A0&amp;row=75&amp;col=13&amp;number=&amp;sourceID=30","")</f>
        <v/>
      </c>
      <c r="N75" s="4" t="str">
        <f>HYPERLINK("http://141.218.60.56/~jnz1568/getInfo.php?workbook=08_02.xlsx&amp;sheet=A0&amp;row=75&amp;col=14&amp;number=12.31&amp;sourceID=30","12.31")</f>
        <v>12.31</v>
      </c>
      <c r="O75" s="4" t="str">
        <f>HYPERLINK("http://141.218.60.56/~jnz1568/getInfo.php?workbook=08_02.xlsx&amp;sheet=A0&amp;row=75&amp;col=15&amp;number=&amp;sourceID=32","")</f>
        <v/>
      </c>
      <c r="P75" s="4" t="str">
        <f>HYPERLINK("http://141.218.60.56/~jnz1568/getInfo.php?workbook=08_02.xlsx&amp;sheet=A0&amp;row=75&amp;col=16&amp;number=&amp;sourceID=32","")</f>
        <v/>
      </c>
      <c r="Q75" s="4" t="str">
        <f>HYPERLINK("http://141.218.60.56/~jnz1568/getInfo.php?workbook=08_02.xlsx&amp;sheet=A0&amp;row=75&amp;col=17&amp;number=&amp;sourceID=32","")</f>
        <v/>
      </c>
      <c r="R75" s="4" t="str">
        <f>HYPERLINK("http://141.218.60.56/~jnz1568/getInfo.php?workbook=08_02.xlsx&amp;sheet=A0&amp;row=75&amp;col=18&amp;number=11.13&amp;sourceID=32","11.13")</f>
        <v>11.13</v>
      </c>
      <c r="S75" s="4" t="str">
        <f>HYPERLINK("http://141.218.60.56/~jnz1568/getInfo.php?workbook=08_02.xlsx&amp;sheet=A0&amp;row=75&amp;col=19&amp;number=&amp;sourceID=1","")</f>
        <v/>
      </c>
      <c r="T75" s="4" t="str">
        <f>HYPERLINK("http://141.218.60.56/~jnz1568/getInfo.php?workbook=08_02.xlsx&amp;sheet=A0&amp;row=75&amp;col=20&amp;number=&amp;sourceID=1","")</f>
        <v/>
      </c>
    </row>
    <row r="76" spans="1:20">
      <c r="A76" s="3">
        <v>8</v>
      </c>
      <c r="B76" s="3">
        <v>2</v>
      </c>
      <c r="C76" s="3">
        <v>14</v>
      </c>
      <c r="D76" s="3">
        <v>4</v>
      </c>
      <c r="E76" s="3">
        <f>((1/(INDEX(E0!J$4:J$52,C76,1)-INDEX(E0!J$4:J$52,D76,1))))*100000000</f>
        <v>0</v>
      </c>
      <c r="F76" s="4" t="str">
        <f>HYPERLINK("http://141.218.60.56/~jnz1568/getInfo.php?workbook=08_02.xlsx&amp;sheet=A0&amp;row=76&amp;col=6&amp;number=&amp;sourceID=27","")</f>
        <v/>
      </c>
      <c r="G76" s="4" t="str">
        <f>HYPERLINK("http://141.218.60.56/~jnz1568/getInfo.php?workbook=08_02.xlsx&amp;sheet=A0&amp;row=76&amp;col=7&amp;number=121300000000&amp;sourceID=34","121300000000")</f>
        <v>121300000000</v>
      </c>
      <c r="H76" s="4" t="str">
        <f>HYPERLINK("http://141.218.60.56/~jnz1568/getInfo.php?workbook=08_02.xlsx&amp;sheet=A0&amp;row=76&amp;col=8&amp;number=&amp;sourceID=34","")</f>
        <v/>
      </c>
      <c r="I76" s="4" t="str">
        <f>HYPERLINK("http://141.218.60.56/~jnz1568/getInfo.php?workbook=08_02.xlsx&amp;sheet=A0&amp;row=76&amp;col=9&amp;number=&amp;sourceID=34","")</f>
        <v/>
      </c>
      <c r="J76" s="4" t="str">
        <f>HYPERLINK("http://141.218.60.56/~jnz1568/getInfo.php?workbook=08_02.xlsx&amp;sheet=A0&amp;row=76&amp;col=10&amp;number=&amp;sourceID=34","")</f>
        <v/>
      </c>
      <c r="K76" s="4" t="str">
        <f>HYPERLINK("http://141.218.60.56/~jnz1568/getInfo.php?workbook=08_02.xlsx&amp;sheet=A0&amp;row=76&amp;col=11&amp;number=119700000000&amp;sourceID=30","119700000000")</f>
        <v>119700000000</v>
      </c>
      <c r="L76" s="4" t="str">
        <f>HYPERLINK("http://141.218.60.56/~jnz1568/getInfo.php?workbook=08_02.xlsx&amp;sheet=A0&amp;row=76&amp;col=12&amp;number=&amp;sourceID=30","")</f>
        <v/>
      </c>
      <c r="M76" s="4" t="str">
        <f>HYPERLINK("http://141.218.60.56/~jnz1568/getInfo.php?workbook=08_02.xlsx&amp;sheet=A0&amp;row=76&amp;col=13&amp;number=&amp;sourceID=30","")</f>
        <v/>
      </c>
      <c r="N76" s="4" t="str">
        <f>HYPERLINK("http://141.218.60.56/~jnz1568/getInfo.php?workbook=08_02.xlsx&amp;sheet=A0&amp;row=76&amp;col=14&amp;number=299.3&amp;sourceID=30","299.3")</f>
        <v>299.3</v>
      </c>
      <c r="O76" s="4" t="str">
        <f>HYPERLINK("http://141.218.60.56/~jnz1568/getInfo.php?workbook=08_02.xlsx&amp;sheet=A0&amp;row=76&amp;col=15&amp;number=119600000000&amp;sourceID=32","119600000000")</f>
        <v>119600000000</v>
      </c>
      <c r="P76" s="4" t="str">
        <f>HYPERLINK("http://141.218.60.56/~jnz1568/getInfo.php?workbook=08_02.xlsx&amp;sheet=A0&amp;row=76&amp;col=16&amp;number=&amp;sourceID=32","")</f>
        <v/>
      </c>
      <c r="Q76" s="4" t="str">
        <f>HYPERLINK("http://141.218.60.56/~jnz1568/getInfo.php?workbook=08_02.xlsx&amp;sheet=A0&amp;row=76&amp;col=17&amp;number=&amp;sourceID=32","")</f>
        <v/>
      </c>
      <c r="R76" s="4" t="str">
        <f>HYPERLINK("http://141.218.60.56/~jnz1568/getInfo.php?workbook=08_02.xlsx&amp;sheet=A0&amp;row=76&amp;col=18&amp;number=291.5&amp;sourceID=32","291.5")</f>
        <v>291.5</v>
      </c>
      <c r="S76" s="4" t="str">
        <f>HYPERLINK("http://141.218.60.56/~jnz1568/getInfo.php?workbook=08_02.xlsx&amp;sheet=A0&amp;row=76&amp;col=19&amp;number=&amp;sourceID=1","")</f>
        <v/>
      </c>
      <c r="T76" s="4" t="str">
        <f>HYPERLINK("http://141.218.60.56/~jnz1568/getInfo.php?workbook=08_02.xlsx&amp;sheet=A0&amp;row=76&amp;col=20&amp;number=&amp;sourceID=1","")</f>
        <v/>
      </c>
    </row>
    <row r="77" spans="1:20">
      <c r="A77" s="3">
        <v>8</v>
      </c>
      <c r="B77" s="3">
        <v>2</v>
      </c>
      <c r="C77" s="3">
        <v>14</v>
      </c>
      <c r="D77" s="3">
        <v>5</v>
      </c>
      <c r="E77" s="3">
        <f>((1/(INDEX(E0!J$4:J$52,C77,1)-INDEX(E0!J$4:J$52,D77,1))))*100000000</f>
        <v>0</v>
      </c>
      <c r="F77" s="4" t="str">
        <f>HYPERLINK("http://141.218.60.56/~jnz1568/getInfo.php?workbook=08_02.xlsx&amp;sheet=A0&amp;row=77&amp;col=6&amp;number=&amp;sourceID=27","")</f>
        <v/>
      </c>
      <c r="G77" s="4" t="str">
        <f>HYPERLINK("http://141.218.60.56/~jnz1568/getInfo.php?workbook=08_02.xlsx&amp;sheet=A0&amp;row=77&amp;col=7&amp;number=40320000000&amp;sourceID=34","40320000000")</f>
        <v>40320000000</v>
      </c>
      <c r="H77" s="4" t="str">
        <f>HYPERLINK("http://141.218.60.56/~jnz1568/getInfo.php?workbook=08_02.xlsx&amp;sheet=A0&amp;row=77&amp;col=8&amp;number=&amp;sourceID=34","")</f>
        <v/>
      </c>
      <c r="I77" s="4" t="str">
        <f>HYPERLINK("http://141.218.60.56/~jnz1568/getInfo.php?workbook=08_02.xlsx&amp;sheet=A0&amp;row=77&amp;col=9&amp;number=&amp;sourceID=34","")</f>
        <v/>
      </c>
      <c r="J77" s="4" t="str">
        <f>HYPERLINK("http://141.218.60.56/~jnz1568/getInfo.php?workbook=08_02.xlsx&amp;sheet=A0&amp;row=77&amp;col=10&amp;number=&amp;sourceID=34","")</f>
        <v/>
      </c>
      <c r="K77" s="4" t="str">
        <f>HYPERLINK("http://141.218.60.56/~jnz1568/getInfo.php?workbook=08_02.xlsx&amp;sheet=A0&amp;row=77&amp;col=11&amp;number=39760000000&amp;sourceID=30","39760000000")</f>
        <v>39760000000</v>
      </c>
      <c r="L77" s="4" t="str">
        <f>HYPERLINK("http://141.218.60.56/~jnz1568/getInfo.php?workbook=08_02.xlsx&amp;sheet=A0&amp;row=77&amp;col=12&amp;number=&amp;sourceID=30","")</f>
        <v/>
      </c>
      <c r="M77" s="4" t="str">
        <f>HYPERLINK("http://141.218.60.56/~jnz1568/getInfo.php?workbook=08_02.xlsx&amp;sheet=A0&amp;row=77&amp;col=13&amp;number=&amp;sourceID=30","")</f>
        <v/>
      </c>
      <c r="N77" s="4" t="str">
        <f>HYPERLINK("http://141.218.60.56/~jnz1568/getInfo.php?workbook=08_02.xlsx&amp;sheet=A0&amp;row=77&amp;col=14&amp;number=122.2&amp;sourceID=30","122.2")</f>
        <v>122.2</v>
      </c>
      <c r="O77" s="4" t="str">
        <f>HYPERLINK("http://141.218.60.56/~jnz1568/getInfo.php?workbook=08_02.xlsx&amp;sheet=A0&amp;row=77&amp;col=15&amp;number=39690000000&amp;sourceID=32","39690000000")</f>
        <v>39690000000</v>
      </c>
      <c r="P77" s="4" t="str">
        <f>HYPERLINK("http://141.218.60.56/~jnz1568/getInfo.php?workbook=08_02.xlsx&amp;sheet=A0&amp;row=77&amp;col=16&amp;number=&amp;sourceID=32","")</f>
        <v/>
      </c>
      <c r="Q77" s="4" t="str">
        <f>HYPERLINK("http://141.218.60.56/~jnz1568/getInfo.php?workbook=08_02.xlsx&amp;sheet=A0&amp;row=77&amp;col=17&amp;number=&amp;sourceID=32","")</f>
        <v/>
      </c>
      <c r="R77" s="4" t="str">
        <f>HYPERLINK("http://141.218.60.56/~jnz1568/getInfo.php?workbook=08_02.xlsx&amp;sheet=A0&amp;row=77&amp;col=18&amp;number=117.9&amp;sourceID=32","117.9")</f>
        <v>117.9</v>
      </c>
      <c r="S77" s="4" t="str">
        <f>HYPERLINK("http://141.218.60.56/~jnz1568/getInfo.php?workbook=08_02.xlsx&amp;sheet=A0&amp;row=77&amp;col=19&amp;number=&amp;sourceID=1","")</f>
        <v/>
      </c>
      <c r="T77" s="4" t="str">
        <f>HYPERLINK("http://141.218.60.56/~jnz1568/getInfo.php?workbook=08_02.xlsx&amp;sheet=A0&amp;row=77&amp;col=20&amp;number=&amp;sourceID=1","")</f>
        <v/>
      </c>
    </row>
    <row r="78" spans="1:20">
      <c r="A78" s="3">
        <v>8</v>
      </c>
      <c r="B78" s="3">
        <v>2</v>
      </c>
      <c r="C78" s="3">
        <v>14</v>
      </c>
      <c r="D78" s="3">
        <v>6</v>
      </c>
      <c r="E78" s="3">
        <f>((1/(INDEX(E0!J$4:J$52,C78,1)-INDEX(E0!J$4:J$52,D78,1))))*100000000</f>
        <v>0</v>
      </c>
      <c r="F78" s="4" t="str">
        <f>HYPERLINK("http://141.218.60.56/~jnz1568/getInfo.php?workbook=08_02.xlsx&amp;sheet=A0&amp;row=78&amp;col=6&amp;number=&amp;sourceID=27","")</f>
        <v/>
      </c>
      <c r="G78" s="4" t="str">
        <f>HYPERLINK("http://141.218.60.56/~jnz1568/getInfo.php?workbook=08_02.xlsx&amp;sheet=A0&amp;row=78&amp;col=7&amp;number=&amp;sourceID=34","")</f>
        <v/>
      </c>
      <c r="H78" s="4" t="str">
        <f>HYPERLINK("http://141.218.60.56/~jnz1568/getInfo.php?workbook=08_02.xlsx&amp;sheet=A0&amp;row=78&amp;col=8&amp;number=&amp;sourceID=34","")</f>
        <v/>
      </c>
      <c r="I78" s="4" t="str">
        <f>HYPERLINK("http://141.218.60.56/~jnz1568/getInfo.php?workbook=08_02.xlsx&amp;sheet=A0&amp;row=78&amp;col=9&amp;number=&amp;sourceID=34","")</f>
        <v/>
      </c>
      <c r="J78" s="4" t="str">
        <f>HYPERLINK("http://141.218.60.56/~jnz1568/getInfo.php?workbook=08_02.xlsx&amp;sheet=A0&amp;row=78&amp;col=10&amp;number=&amp;sourceID=34","")</f>
        <v/>
      </c>
      <c r="K78" s="4" t="str">
        <f>HYPERLINK("http://141.218.60.56/~jnz1568/getInfo.php?workbook=08_02.xlsx&amp;sheet=A0&amp;row=78&amp;col=11&amp;number=&amp;sourceID=30","")</f>
        <v/>
      </c>
      <c r="L78" s="4" t="str">
        <f>HYPERLINK("http://141.218.60.56/~jnz1568/getInfo.php?workbook=08_02.xlsx&amp;sheet=A0&amp;row=78&amp;col=12&amp;number=84480&amp;sourceID=30","84480")</f>
        <v>84480</v>
      </c>
      <c r="M78" s="4" t="str">
        <f>HYPERLINK("http://141.218.60.56/~jnz1568/getInfo.php?workbook=08_02.xlsx&amp;sheet=A0&amp;row=78&amp;col=13&amp;number=&amp;sourceID=30","")</f>
        <v/>
      </c>
      <c r="N78" s="4" t="str">
        <f>HYPERLINK("http://141.218.60.56/~jnz1568/getInfo.php?workbook=08_02.xlsx&amp;sheet=A0&amp;row=78&amp;col=14&amp;number=&amp;sourceID=30","")</f>
        <v/>
      </c>
      <c r="O78" s="4" t="str">
        <f>HYPERLINK("http://141.218.60.56/~jnz1568/getInfo.php?workbook=08_02.xlsx&amp;sheet=A0&amp;row=78&amp;col=15&amp;number=&amp;sourceID=32","")</f>
        <v/>
      </c>
      <c r="P78" s="4" t="str">
        <f>HYPERLINK("http://141.218.60.56/~jnz1568/getInfo.php?workbook=08_02.xlsx&amp;sheet=A0&amp;row=78&amp;col=16&amp;number=105900&amp;sourceID=32","105900")</f>
        <v>105900</v>
      </c>
      <c r="Q78" s="4" t="str">
        <f>HYPERLINK("http://141.218.60.56/~jnz1568/getInfo.php?workbook=08_02.xlsx&amp;sheet=A0&amp;row=78&amp;col=17&amp;number=&amp;sourceID=32","")</f>
        <v/>
      </c>
      <c r="R78" s="4" t="str">
        <f>HYPERLINK("http://141.218.60.56/~jnz1568/getInfo.php?workbook=08_02.xlsx&amp;sheet=A0&amp;row=78&amp;col=18&amp;number=&amp;sourceID=32","")</f>
        <v/>
      </c>
      <c r="S78" s="4" t="str">
        <f>HYPERLINK("http://141.218.60.56/~jnz1568/getInfo.php?workbook=08_02.xlsx&amp;sheet=A0&amp;row=78&amp;col=19&amp;number=&amp;sourceID=1","")</f>
        <v/>
      </c>
      <c r="T78" s="4" t="str">
        <f>HYPERLINK("http://141.218.60.56/~jnz1568/getInfo.php?workbook=08_02.xlsx&amp;sheet=A0&amp;row=78&amp;col=20&amp;number=&amp;sourceID=1","")</f>
        <v/>
      </c>
    </row>
    <row r="79" spans="1:20">
      <c r="A79" s="3">
        <v>8</v>
      </c>
      <c r="B79" s="3">
        <v>2</v>
      </c>
      <c r="C79" s="3">
        <v>14</v>
      </c>
      <c r="D79" s="3">
        <v>7</v>
      </c>
      <c r="E79" s="3">
        <f>((1/(INDEX(E0!J$4:J$52,C79,1)-INDEX(E0!J$4:J$52,D79,1))))*100000000</f>
        <v>0</v>
      </c>
      <c r="F79" s="4" t="str">
        <f>HYPERLINK("http://141.218.60.56/~jnz1568/getInfo.php?workbook=08_02.xlsx&amp;sheet=A0&amp;row=79&amp;col=6&amp;number=&amp;sourceID=27","")</f>
        <v/>
      </c>
      <c r="G79" s="4" t="str">
        <f>HYPERLINK("http://141.218.60.56/~jnz1568/getInfo.php?workbook=08_02.xlsx&amp;sheet=A0&amp;row=79&amp;col=7&amp;number=&amp;sourceID=34","")</f>
        <v/>
      </c>
      <c r="H79" s="4" t="str">
        <f>HYPERLINK("http://141.218.60.56/~jnz1568/getInfo.php?workbook=08_02.xlsx&amp;sheet=A0&amp;row=79&amp;col=8&amp;number=&amp;sourceID=34","")</f>
        <v/>
      </c>
      <c r="I79" s="4" t="str">
        <f>HYPERLINK("http://141.218.60.56/~jnz1568/getInfo.php?workbook=08_02.xlsx&amp;sheet=A0&amp;row=79&amp;col=9&amp;number=&amp;sourceID=34","")</f>
        <v/>
      </c>
      <c r="J79" s="4" t="str">
        <f>HYPERLINK("http://141.218.60.56/~jnz1568/getInfo.php?workbook=08_02.xlsx&amp;sheet=A0&amp;row=79&amp;col=10&amp;number=&amp;sourceID=34","")</f>
        <v/>
      </c>
      <c r="K79" s="4" t="str">
        <f>HYPERLINK("http://141.218.60.56/~jnz1568/getInfo.php?workbook=08_02.xlsx&amp;sheet=A0&amp;row=79&amp;col=11&amp;number=1599000000&amp;sourceID=30","1599000000")</f>
        <v>1599000000</v>
      </c>
      <c r="L79" s="4" t="str">
        <f>HYPERLINK("http://141.218.60.56/~jnz1568/getInfo.php?workbook=08_02.xlsx&amp;sheet=A0&amp;row=79&amp;col=12&amp;number=&amp;sourceID=30","")</f>
        <v/>
      </c>
      <c r="M79" s="4" t="str">
        <f>HYPERLINK("http://141.218.60.56/~jnz1568/getInfo.php?workbook=08_02.xlsx&amp;sheet=A0&amp;row=79&amp;col=13&amp;number=&amp;sourceID=30","")</f>
        <v/>
      </c>
      <c r="N79" s="4" t="str">
        <f>HYPERLINK("http://141.218.60.56/~jnz1568/getInfo.php?workbook=08_02.xlsx&amp;sheet=A0&amp;row=79&amp;col=14&amp;number=62.47&amp;sourceID=30","62.47")</f>
        <v>62.47</v>
      </c>
      <c r="O79" s="4" t="str">
        <f>HYPERLINK("http://141.218.60.56/~jnz1568/getInfo.php?workbook=08_02.xlsx&amp;sheet=A0&amp;row=79&amp;col=15&amp;number=2021000000&amp;sourceID=32","2021000000")</f>
        <v>2021000000</v>
      </c>
      <c r="P79" s="4" t="str">
        <f>HYPERLINK("http://141.218.60.56/~jnz1568/getInfo.php?workbook=08_02.xlsx&amp;sheet=A0&amp;row=79&amp;col=16&amp;number=&amp;sourceID=32","")</f>
        <v/>
      </c>
      <c r="Q79" s="4" t="str">
        <f>HYPERLINK("http://141.218.60.56/~jnz1568/getInfo.php?workbook=08_02.xlsx&amp;sheet=A0&amp;row=79&amp;col=17&amp;number=&amp;sourceID=32","")</f>
        <v/>
      </c>
      <c r="R79" s="4" t="str">
        <f>HYPERLINK("http://141.218.60.56/~jnz1568/getInfo.php?workbook=08_02.xlsx&amp;sheet=A0&amp;row=79&amp;col=18&amp;number=59.72&amp;sourceID=32","59.72")</f>
        <v>59.72</v>
      </c>
      <c r="S79" s="4" t="str">
        <f>HYPERLINK("http://141.218.60.56/~jnz1568/getInfo.php?workbook=08_02.xlsx&amp;sheet=A0&amp;row=79&amp;col=19&amp;number=&amp;sourceID=1","")</f>
        <v/>
      </c>
      <c r="T79" s="4" t="str">
        <f>HYPERLINK("http://141.218.60.56/~jnz1568/getInfo.php?workbook=08_02.xlsx&amp;sheet=A0&amp;row=79&amp;col=20&amp;number=&amp;sourceID=1","")</f>
        <v/>
      </c>
    </row>
    <row r="80" spans="1:20">
      <c r="A80" s="3">
        <v>8</v>
      </c>
      <c r="B80" s="3">
        <v>2</v>
      </c>
      <c r="C80" s="3">
        <v>14</v>
      </c>
      <c r="D80" s="3">
        <v>8</v>
      </c>
      <c r="E80" s="3">
        <f>((1/(INDEX(E0!J$4:J$52,C80,1)-INDEX(E0!J$4:J$52,D80,1))))*100000000</f>
        <v>0</v>
      </c>
      <c r="F80" s="4" t="str">
        <f>HYPERLINK("http://141.218.60.56/~jnz1568/getInfo.php?workbook=08_02.xlsx&amp;sheet=A0&amp;row=80&amp;col=6&amp;number=&amp;sourceID=27","")</f>
        <v/>
      </c>
      <c r="G80" s="4" t="str">
        <f>HYPERLINK("http://141.218.60.56/~jnz1568/getInfo.php?workbook=08_02.xlsx&amp;sheet=A0&amp;row=80&amp;col=7&amp;number=&amp;sourceID=34","")</f>
        <v/>
      </c>
      <c r="H80" s="4" t="str">
        <f>HYPERLINK("http://141.218.60.56/~jnz1568/getInfo.php?workbook=08_02.xlsx&amp;sheet=A0&amp;row=80&amp;col=8&amp;number=&amp;sourceID=34","")</f>
        <v/>
      </c>
      <c r="I80" s="4" t="str">
        <f>HYPERLINK("http://141.218.60.56/~jnz1568/getInfo.php?workbook=08_02.xlsx&amp;sheet=A0&amp;row=80&amp;col=9&amp;number=&amp;sourceID=34","")</f>
        <v/>
      </c>
      <c r="J80" s="4" t="str">
        <f>HYPERLINK("http://141.218.60.56/~jnz1568/getInfo.php?workbook=08_02.xlsx&amp;sheet=A0&amp;row=80&amp;col=10&amp;number=&amp;sourceID=34","")</f>
        <v/>
      </c>
      <c r="K80" s="4" t="str">
        <f>HYPERLINK("http://141.218.60.56/~jnz1568/getInfo.php?workbook=08_02.xlsx&amp;sheet=A0&amp;row=80&amp;col=11&amp;number=&amp;sourceID=30","")</f>
        <v/>
      </c>
      <c r="L80" s="4" t="str">
        <f>HYPERLINK("http://141.218.60.56/~jnz1568/getInfo.php?workbook=08_02.xlsx&amp;sheet=A0&amp;row=80&amp;col=12&amp;number=1.924&amp;sourceID=30","1.924")</f>
        <v>1.924</v>
      </c>
      <c r="M80" s="4" t="str">
        <f>HYPERLINK("http://141.218.60.56/~jnz1568/getInfo.php?workbook=08_02.xlsx&amp;sheet=A0&amp;row=80&amp;col=13&amp;number=9.432e-06&amp;sourceID=30","9.432e-06")</f>
        <v>9.432e-06</v>
      </c>
      <c r="N80" s="4" t="str">
        <f>HYPERLINK("http://141.218.60.56/~jnz1568/getInfo.php?workbook=08_02.xlsx&amp;sheet=A0&amp;row=80&amp;col=14&amp;number=&amp;sourceID=30","")</f>
        <v/>
      </c>
      <c r="O80" s="4" t="str">
        <f>HYPERLINK("http://141.218.60.56/~jnz1568/getInfo.php?workbook=08_02.xlsx&amp;sheet=A0&amp;row=80&amp;col=15&amp;number=&amp;sourceID=32","")</f>
        <v/>
      </c>
      <c r="P80" s="4" t="str">
        <f>HYPERLINK("http://141.218.60.56/~jnz1568/getInfo.php?workbook=08_02.xlsx&amp;sheet=A0&amp;row=80&amp;col=16&amp;number=1.957&amp;sourceID=32","1.957")</f>
        <v>1.957</v>
      </c>
      <c r="Q80" s="4" t="str">
        <f>HYPERLINK("http://141.218.60.56/~jnz1568/getInfo.php?workbook=08_02.xlsx&amp;sheet=A0&amp;row=80&amp;col=17&amp;number=1.011e-05&amp;sourceID=32","1.011e-05")</f>
        <v>1.011e-05</v>
      </c>
      <c r="R80" s="4" t="str">
        <f>HYPERLINK("http://141.218.60.56/~jnz1568/getInfo.php?workbook=08_02.xlsx&amp;sheet=A0&amp;row=80&amp;col=18&amp;number=&amp;sourceID=32","")</f>
        <v/>
      </c>
      <c r="S80" s="4" t="str">
        <f>HYPERLINK("http://141.218.60.56/~jnz1568/getInfo.php?workbook=08_02.xlsx&amp;sheet=A0&amp;row=80&amp;col=19&amp;number=&amp;sourceID=1","")</f>
        <v/>
      </c>
      <c r="T80" s="4" t="str">
        <f>HYPERLINK("http://141.218.60.56/~jnz1568/getInfo.php?workbook=08_02.xlsx&amp;sheet=A0&amp;row=80&amp;col=20&amp;number=&amp;sourceID=1","")</f>
        <v/>
      </c>
    </row>
    <row r="81" spans="1:20">
      <c r="A81" s="3">
        <v>8</v>
      </c>
      <c r="B81" s="3">
        <v>2</v>
      </c>
      <c r="C81" s="3">
        <v>14</v>
      </c>
      <c r="D81" s="3">
        <v>9</v>
      </c>
      <c r="E81" s="3">
        <f>((1/(INDEX(E0!J$4:J$52,C81,1)-INDEX(E0!J$4:J$52,D81,1))))*100000000</f>
        <v>0</v>
      </c>
      <c r="F81" s="4" t="str">
        <f>HYPERLINK("http://141.218.60.56/~jnz1568/getInfo.php?workbook=08_02.xlsx&amp;sheet=A0&amp;row=81&amp;col=6&amp;number=&amp;sourceID=27","")</f>
        <v/>
      </c>
      <c r="G81" s="4" t="str">
        <f>HYPERLINK("http://141.218.60.56/~jnz1568/getInfo.php?workbook=08_02.xlsx&amp;sheet=A0&amp;row=81&amp;col=7&amp;number=&amp;sourceID=34","")</f>
        <v/>
      </c>
      <c r="H81" s="4" t="str">
        <f>HYPERLINK("http://141.218.60.56/~jnz1568/getInfo.php?workbook=08_02.xlsx&amp;sheet=A0&amp;row=81&amp;col=8&amp;number=&amp;sourceID=34","")</f>
        <v/>
      </c>
      <c r="I81" s="4" t="str">
        <f>HYPERLINK("http://141.218.60.56/~jnz1568/getInfo.php?workbook=08_02.xlsx&amp;sheet=A0&amp;row=81&amp;col=9&amp;number=&amp;sourceID=34","")</f>
        <v/>
      </c>
      <c r="J81" s="4" t="str">
        <f>HYPERLINK("http://141.218.60.56/~jnz1568/getInfo.php?workbook=08_02.xlsx&amp;sheet=A0&amp;row=81&amp;col=10&amp;number=&amp;sourceID=34","")</f>
        <v/>
      </c>
      <c r="K81" s="4" t="str">
        <f>HYPERLINK("http://141.218.60.56/~jnz1568/getInfo.php?workbook=08_02.xlsx&amp;sheet=A0&amp;row=81&amp;col=11&amp;number=&amp;sourceID=30","")</f>
        <v/>
      </c>
      <c r="L81" s="4" t="str">
        <f>HYPERLINK("http://141.218.60.56/~jnz1568/getInfo.php?workbook=08_02.xlsx&amp;sheet=A0&amp;row=81&amp;col=12&amp;number=&amp;sourceID=30","")</f>
        <v/>
      </c>
      <c r="M81" s="4" t="str">
        <f>HYPERLINK("http://141.218.60.56/~jnz1568/getInfo.php?workbook=08_02.xlsx&amp;sheet=A0&amp;row=81&amp;col=13&amp;number=&amp;sourceID=30","")</f>
        <v/>
      </c>
      <c r="N81" s="4" t="str">
        <f>HYPERLINK("http://141.218.60.56/~jnz1568/getInfo.php?workbook=08_02.xlsx&amp;sheet=A0&amp;row=81&amp;col=14&amp;number=1.017e-08&amp;sourceID=30","1.017e-08")</f>
        <v>1.017e-08</v>
      </c>
      <c r="O81" s="4" t="str">
        <f>HYPERLINK("http://141.218.60.56/~jnz1568/getInfo.php?workbook=08_02.xlsx&amp;sheet=A0&amp;row=81&amp;col=15&amp;number=&amp;sourceID=32","")</f>
        <v/>
      </c>
      <c r="P81" s="4" t="str">
        <f>HYPERLINK("http://141.218.60.56/~jnz1568/getInfo.php?workbook=08_02.xlsx&amp;sheet=A0&amp;row=81&amp;col=16&amp;number=&amp;sourceID=32","")</f>
        <v/>
      </c>
      <c r="Q81" s="4" t="str">
        <f>HYPERLINK("http://141.218.60.56/~jnz1568/getInfo.php?workbook=08_02.xlsx&amp;sheet=A0&amp;row=81&amp;col=17&amp;number=&amp;sourceID=32","")</f>
        <v/>
      </c>
      <c r="R81" s="4" t="str">
        <f>HYPERLINK("http://141.218.60.56/~jnz1568/getInfo.php?workbook=08_02.xlsx&amp;sheet=A0&amp;row=81&amp;col=18&amp;number=1.061e-08&amp;sourceID=32","1.061e-08")</f>
        <v>1.061e-08</v>
      </c>
      <c r="S81" s="4" t="str">
        <f>HYPERLINK("http://141.218.60.56/~jnz1568/getInfo.php?workbook=08_02.xlsx&amp;sheet=A0&amp;row=81&amp;col=19&amp;number=&amp;sourceID=1","")</f>
        <v/>
      </c>
      <c r="T81" s="4" t="str">
        <f>HYPERLINK("http://141.218.60.56/~jnz1568/getInfo.php?workbook=08_02.xlsx&amp;sheet=A0&amp;row=81&amp;col=20&amp;number=&amp;sourceID=1","")</f>
        <v/>
      </c>
    </row>
    <row r="82" spans="1:20">
      <c r="A82" s="3">
        <v>8</v>
      </c>
      <c r="B82" s="3">
        <v>2</v>
      </c>
      <c r="C82" s="3">
        <v>14</v>
      </c>
      <c r="D82" s="3">
        <v>10</v>
      </c>
      <c r="E82" s="3">
        <f>((1/(INDEX(E0!J$4:J$52,C82,1)-INDEX(E0!J$4:J$52,D82,1))))*100000000</f>
        <v>0</v>
      </c>
      <c r="F82" s="4" t="str">
        <f>HYPERLINK("http://141.218.60.56/~jnz1568/getInfo.php?workbook=08_02.xlsx&amp;sheet=A0&amp;row=82&amp;col=6&amp;number=&amp;sourceID=27","")</f>
        <v/>
      </c>
      <c r="G82" s="4" t="str">
        <f>HYPERLINK("http://141.218.60.56/~jnz1568/getInfo.php?workbook=08_02.xlsx&amp;sheet=A0&amp;row=82&amp;col=7&amp;number=842600&amp;sourceID=34","842600")</f>
        <v>842600</v>
      </c>
      <c r="H82" s="4" t="str">
        <f>HYPERLINK("http://141.218.60.56/~jnz1568/getInfo.php?workbook=08_02.xlsx&amp;sheet=A0&amp;row=82&amp;col=8&amp;number=&amp;sourceID=34","")</f>
        <v/>
      </c>
      <c r="I82" s="4" t="str">
        <f>HYPERLINK("http://141.218.60.56/~jnz1568/getInfo.php?workbook=08_02.xlsx&amp;sheet=A0&amp;row=82&amp;col=9&amp;number=&amp;sourceID=34","")</f>
        <v/>
      </c>
      <c r="J82" s="4" t="str">
        <f>HYPERLINK("http://141.218.60.56/~jnz1568/getInfo.php?workbook=08_02.xlsx&amp;sheet=A0&amp;row=82&amp;col=10&amp;number=&amp;sourceID=34","")</f>
        <v/>
      </c>
      <c r="K82" s="4" t="str">
        <f>HYPERLINK("http://141.218.60.56/~jnz1568/getInfo.php?workbook=08_02.xlsx&amp;sheet=A0&amp;row=82&amp;col=11&amp;number=797900&amp;sourceID=30","797900")</f>
        <v>797900</v>
      </c>
      <c r="L82" s="4" t="str">
        <f>HYPERLINK("http://141.218.60.56/~jnz1568/getInfo.php?workbook=08_02.xlsx&amp;sheet=A0&amp;row=82&amp;col=12&amp;number=&amp;sourceID=30","")</f>
        <v/>
      </c>
      <c r="M82" s="4" t="str">
        <f>HYPERLINK("http://141.218.60.56/~jnz1568/getInfo.php?workbook=08_02.xlsx&amp;sheet=A0&amp;row=82&amp;col=13&amp;number=&amp;sourceID=30","")</f>
        <v/>
      </c>
      <c r="N82" s="4" t="str">
        <f>HYPERLINK("http://141.218.60.56/~jnz1568/getInfo.php?workbook=08_02.xlsx&amp;sheet=A0&amp;row=82&amp;col=14&amp;number=2.439e-07&amp;sourceID=30","2.439e-07")</f>
        <v>2.439e-07</v>
      </c>
      <c r="O82" s="4" t="str">
        <f>HYPERLINK("http://141.218.60.56/~jnz1568/getInfo.php?workbook=08_02.xlsx&amp;sheet=A0&amp;row=82&amp;col=15&amp;number=865600&amp;sourceID=32","865600")</f>
        <v>865600</v>
      </c>
      <c r="P82" s="4" t="str">
        <f>HYPERLINK("http://141.218.60.56/~jnz1568/getInfo.php?workbook=08_02.xlsx&amp;sheet=A0&amp;row=82&amp;col=16&amp;number=&amp;sourceID=32","")</f>
        <v/>
      </c>
      <c r="Q82" s="4" t="str">
        <f>HYPERLINK("http://141.218.60.56/~jnz1568/getInfo.php?workbook=08_02.xlsx&amp;sheet=A0&amp;row=82&amp;col=17&amp;number=&amp;sourceID=32","")</f>
        <v/>
      </c>
      <c r="R82" s="4" t="str">
        <f>HYPERLINK("http://141.218.60.56/~jnz1568/getInfo.php?workbook=08_02.xlsx&amp;sheet=A0&amp;row=82&amp;col=18&amp;number=2.721e-07&amp;sourceID=32","2.721e-07")</f>
        <v>2.721e-07</v>
      </c>
      <c r="S82" s="4" t="str">
        <f>HYPERLINK("http://141.218.60.56/~jnz1568/getInfo.php?workbook=08_02.xlsx&amp;sheet=A0&amp;row=82&amp;col=19&amp;number=&amp;sourceID=1","")</f>
        <v/>
      </c>
      <c r="T82" s="4" t="str">
        <f>HYPERLINK("http://141.218.60.56/~jnz1568/getInfo.php?workbook=08_02.xlsx&amp;sheet=A0&amp;row=82&amp;col=20&amp;number=&amp;sourceID=1","")</f>
        <v/>
      </c>
    </row>
    <row r="83" spans="1:20">
      <c r="A83" s="3">
        <v>8</v>
      </c>
      <c r="B83" s="3">
        <v>2</v>
      </c>
      <c r="C83" s="3">
        <v>14</v>
      </c>
      <c r="D83" s="3">
        <v>11</v>
      </c>
      <c r="E83" s="3">
        <f>((1/(INDEX(E0!J$4:J$52,C83,1)-INDEX(E0!J$4:J$52,D83,1))))*100000000</f>
        <v>0</v>
      </c>
      <c r="F83" s="4" t="str">
        <f>HYPERLINK("http://141.218.60.56/~jnz1568/getInfo.php?workbook=08_02.xlsx&amp;sheet=A0&amp;row=83&amp;col=6&amp;number=&amp;sourceID=27","")</f>
        <v/>
      </c>
      <c r="G83" s="4" t="str">
        <f>HYPERLINK("http://141.218.60.56/~jnz1568/getInfo.php?workbook=08_02.xlsx&amp;sheet=A0&amp;row=83&amp;col=7&amp;number=280800&amp;sourceID=34","280800")</f>
        <v>280800</v>
      </c>
      <c r="H83" s="4" t="str">
        <f>HYPERLINK("http://141.218.60.56/~jnz1568/getInfo.php?workbook=08_02.xlsx&amp;sheet=A0&amp;row=83&amp;col=8&amp;number=&amp;sourceID=34","")</f>
        <v/>
      </c>
      <c r="I83" s="4" t="str">
        <f>HYPERLINK("http://141.218.60.56/~jnz1568/getInfo.php?workbook=08_02.xlsx&amp;sheet=A0&amp;row=83&amp;col=9&amp;number=&amp;sourceID=34","")</f>
        <v/>
      </c>
      <c r="J83" s="4" t="str">
        <f>HYPERLINK("http://141.218.60.56/~jnz1568/getInfo.php?workbook=08_02.xlsx&amp;sheet=A0&amp;row=83&amp;col=10&amp;number=&amp;sourceID=34","")</f>
        <v/>
      </c>
      <c r="K83" s="4" t="str">
        <f>HYPERLINK("http://141.218.60.56/~jnz1568/getInfo.php?workbook=08_02.xlsx&amp;sheet=A0&amp;row=83&amp;col=11&amp;number=250400&amp;sourceID=30","250400")</f>
        <v>250400</v>
      </c>
      <c r="L83" s="4" t="str">
        <f>HYPERLINK("http://141.218.60.56/~jnz1568/getInfo.php?workbook=08_02.xlsx&amp;sheet=A0&amp;row=83&amp;col=12&amp;number=&amp;sourceID=30","")</f>
        <v/>
      </c>
      <c r="M83" s="4" t="str">
        <f>HYPERLINK("http://141.218.60.56/~jnz1568/getInfo.php?workbook=08_02.xlsx&amp;sheet=A0&amp;row=83&amp;col=13&amp;number=&amp;sourceID=30","")</f>
        <v/>
      </c>
      <c r="N83" s="4" t="str">
        <f>HYPERLINK("http://141.218.60.56/~jnz1568/getInfo.php?workbook=08_02.xlsx&amp;sheet=A0&amp;row=83&amp;col=14&amp;number=9.076e-08&amp;sourceID=30","9.076e-08")</f>
        <v>9.076e-08</v>
      </c>
      <c r="O83" s="4" t="str">
        <f>HYPERLINK("http://141.218.60.56/~jnz1568/getInfo.php?workbook=08_02.xlsx&amp;sheet=A0&amp;row=83&amp;col=15&amp;number=271900&amp;sourceID=32","271900")</f>
        <v>271900</v>
      </c>
      <c r="P83" s="4" t="str">
        <f>HYPERLINK("http://141.218.60.56/~jnz1568/getInfo.php?workbook=08_02.xlsx&amp;sheet=A0&amp;row=83&amp;col=16&amp;number=&amp;sourceID=32","")</f>
        <v/>
      </c>
      <c r="Q83" s="4" t="str">
        <f>HYPERLINK("http://141.218.60.56/~jnz1568/getInfo.php?workbook=08_02.xlsx&amp;sheet=A0&amp;row=83&amp;col=17&amp;number=&amp;sourceID=32","")</f>
        <v/>
      </c>
      <c r="R83" s="4" t="str">
        <f>HYPERLINK("http://141.218.60.56/~jnz1568/getInfo.php?workbook=08_02.xlsx&amp;sheet=A0&amp;row=83&amp;col=18&amp;number=1.005e-07&amp;sourceID=32","1.005e-07")</f>
        <v>1.005e-07</v>
      </c>
      <c r="S83" s="4" t="str">
        <f>HYPERLINK("http://141.218.60.56/~jnz1568/getInfo.php?workbook=08_02.xlsx&amp;sheet=A0&amp;row=83&amp;col=19&amp;number=&amp;sourceID=1","")</f>
        <v/>
      </c>
      <c r="T83" s="4" t="str">
        <f>HYPERLINK("http://141.218.60.56/~jnz1568/getInfo.php?workbook=08_02.xlsx&amp;sheet=A0&amp;row=83&amp;col=20&amp;number=&amp;sourceID=1","")</f>
        <v/>
      </c>
    </row>
    <row r="84" spans="1:20">
      <c r="A84" s="3">
        <v>8</v>
      </c>
      <c r="B84" s="3">
        <v>2</v>
      </c>
      <c r="C84" s="3">
        <v>14</v>
      </c>
      <c r="D84" s="3">
        <v>12</v>
      </c>
      <c r="E84" s="3">
        <f>((1/(INDEX(E0!J$4:J$52,C84,1)-INDEX(E0!J$4:J$52,D84,1))))*100000000</f>
        <v>0</v>
      </c>
      <c r="F84" s="4" t="str">
        <f>HYPERLINK("http://141.218.60.56/~jnz1568/getInfo.php?workbook=08_02.xlsx&amp;sheet=A0&amp;row=84&amp;col=6&amp;number=&amp;sourceID=27","")</f>
        <v/>
      </c>
      <c r="G84" s="4" t="str">
        <f>HYPERLINK("http://141.218.60.56/~jnz1568/getInfo.php?workbook=08_02.xlsx&amp;sheet=A0&amp;row=84&amp;col=7&amp;number=&amp;sourceID=34","")</f>
        <v/>
      </c>
      <c r="H84" s="4" t="str">
        <f>HYPERLINK("http://141.218.60.56/~jnz1568/getInfo.php?workbook=08_02.xlsx&amp;sheet=A0&amp;row=84&amp;col=8&amp;number=&amp;sourceID=34","")</f>
        <v/>
      </c>
      <c r="I84" s="4" t="str">
        <f>HYPERLINK("http://141.218.60.56/~jnz1568/getInfo.php?workbook=08_02.xlsx&amp;sheet=A0&amp;row=84&amp;col=9&amp;number=&amp;sourceID=34","")</f>
        <v/>
      </c>
      <c r="J84" s="4" t="str">
        <f>HYPERLINK("http://141.218.60.56/~jnz1568/getInfo.php?workbook=08_02.xlsx&amp;sheet=A0&amp;row=84&amp;col=10&amp;number=&amp;sourceID=34","")</f>
        <v/>
      </c>
      <c r="K84" s="4" t="str">
        <f>HYPERLINK("http://141.218.60.56/~jnz1568/getInfo.php?workbook=08_02.xlsx&amp;sheet=A0&amp;row=84&amp;col=11&amp;number=&amp;sourceID=30","")</f>
        <v/>
      </c>
      <c r="L84" s="4" t="str">
        <f>HYPERLINK("http://141.218.60.56/~jnz1568/getInfo.php?workbook=08_02.xlsx&amp;sheet=A0&amp;row=84&amp;col=12&amp;number=4.313e-05&amp;sourceID=30","4.313e-05")</f>
        <v>4.313e-05</v>
      </c>
      <c r="M84" s="4" t="str">
        <f>HYPERLINK("http://141.218.60.56/~jnz1568/getInfo.php?workbook=08_02.xlsx&amp;sheet=A0&amp;row=84&amp;col=13&amp;number=&amp;sourceID=30","")</f>
        <v/>
      </c>
      <c r="N84" s="4" t="str">
        <f>HYPERLINK("http://141.218.60.56/~jnz1568/getInfo.php?workbook=08_02.xlsx&amp;sheet=A0&amp;row=84&amp;col=14&amp;number=&amp;sourceID=30","")</f>
        <v/>
      </c>
      <c r="O84" s="4" t="str">
        <f>HYPERLINK("http://141.218.60.56/~jnz1568/getInfo.php?workbook=08_02.xlsx&amp;sheet=A0&amp;row=84&amp;col=15&amp;number=&amp;sourceID=32","")</f>
        <v/>
      </c>
      <c r="P84" s="4" t="str">
        <f>HYPERLINK("http://141.218.60.56/~jnz1568/getInfo.php?workbook=08_02.xlsx&amp;sheet=A0&amp;row=84&amp;col=16&amp;number=0.0001531&amp;sourceID=32","0.0001531")</f>
        <v>0.0001531</v>
      </c>
      <c r="Q84" s="4" t="str">
        <f>HYPERLINK("http://141.218.60.56/~jnz1568/getInfo.php?workbook=08_02.xlsx&amp;sheet=A0&amp;row=84&amp;col=17&amp;number=&amp;sourceID=32","")</f>
        <v/>
      </c>
      <c r="R84" s="4" t="str">
        <f>HYPERLINK("http://141.218.60.56/~jnz1568/getInfo.php?workbook=08_02.xlsx&amp;sheet=A0&amp;row=84&amp;col=18&amp;number=&amp;sourceID=32","")</f>
        <v/>
      </c>
      <c r="S84" s="4" t="str">
        <f>HYPERLINK("http://141.218.60.56/~jnz1568/getInfo.php?workbook=08_02.xlsx&amp;sheet=A0&amp;row=84&amp;col=19&amp;number=&amp;sourceID=1","")</f>
        <v/>
      </c>
      <c r="T84" s="4" t="str">
        <f>HYPERLINK("http://141.218.60.56/~jnz1568/getInfo.php?workbook=08_02.xlsx&amp;sheet=A0&amp;row=84&amp;col=20&amp;number=&amp;sourceID=1","")</f>
        <v/>
      </c>
    </row>
    <row r="85" spans="1:20">
      <c r="A85" s="3">
        <v>8</v>
      </c>
      <c r="B85" s="3">
        <v>2</v>
      </c>
      <c r="C85" s="3">
        <v>14</v>
      </c>
      <c r="D85" s="3">
        <v>13</v>
      </c>
      <c r="E85" s="3">
        <f>((1/(INDEX(E0!J$4:J$52,C85,1)-INDEX(E0!J$4:J$52,D85,1))))*100000000</f>
        <v>0</v>
      </c>
      <c r="F85" s="4" t="str">
        <f>HYPERLINK("http://141.218.60.56/~jnz1568/getInfo.php?workbook=08_02.xlsx&amp;sheet=A0&amp;row=85&amp;col=6&amp;number=&amp;sourceID=27","")</f>
        <v/>
      </c>
      <c r="G85" s="4" t="str">
        <f>HYPERLINK("http://141.218.60.56/~jnz1568/getInfo.php?workbook=08_02.xlsx&amp;sheet=A0&amp;row=85&amp;col=7&amp;number=&amp;sourceID=34","")</f>
        <v/>
      </c>
      <c r="H85" s="4" t="str">
        <f>HYPERLINK("http://141.218.60.56/~jnz1568/getInfo.php?workbook=08_02.xlsx&amp;sheet=A0&amp;row=85&amp;col=8&amp;number=&amp;sourceID=34","")</f>
        <v/>
      </c>
      <c r="I85" s="4" t="str">
        <f>HYPERLINK("http://141.218.60.56/~jnz1568/getInfo.php?workbook=08_02.xlsx&amp;sheet=A0&amp;row=85&amp;col=9&amp;number=&amp;sourceID=34","")</f>
        <v/>
      </c>
      <c r="J85" s="4" t="str">
        <f>HYPERLINK("http://141.218.60.56/~jnz1568/getInfo.php?workbook=08_02.xlsx&amp;sheet=A0&amp;row=85&amp;col=10&amp;number=&amp;sourceID=34","")</f>
        <v/>
      </c>
      <c r="K85" s="4" t="str">
        <f>HYPERLINK("http://141.218.60.56/~jnz1568/getInfo.php?workbook=08_02.xlsx&amp;sheet=A0&amp;row=85&amp;col=11&amp;number=&amp;sourceID=30","")</f>
        <v/>
      </c>
      <c r="L85" s="4" t="str">
        <f>HYPERLINK("http://141.218.60.56/~jnz1568/getInfo.php?workbook=08_02.xlsx&amp;sheet=A0&amp;row=85&amp;col=12&amp;number=0&amp;sourceID=30","0")</f>
        <v>0</v>
      </c>
      <c r="M85" s="4" t="str">
        <f>HYPERLINK("http://141.218.60.56/~jnz1568/getInfo.php?workbook=08_02.xlsx&amp;sheet=A0&amp;row=85&amp;col=13&amp;number=1.571e-08&amp;sourceID=30","1.571e-08")</f>
        <v>1.571e-08</v>
      </c>
      <c r="N85" s="4" t="str">
        <f>HYPERLINK("http://141.218.60.56/~jnz1568/getInfo.php?workbook=08_02.xlsx&amp;sheet=A0&amp;row=85&amp;col=14&amp;number=&amp;sourceID=30","")</f>
        <v/>
      </c>
      <c r="O85" s="4" t="str">
        <f>HYPERLINK("http://141.218.60.56/~jnz1568/getInfo.php?workbook=08_02.xlsx&amp;sheet=A0&amp;row=85&amp;col=15&amp;number=&amp;sourceID=32","")</f>
        <v/>
      </c>
      <c r="P85" s="4" t="str">
        <f>HYPERLINK("http://141.218.60.56/~jnz1568/getInfo.php?workbook=08_02.xlsx&amp;sheet=A0&amp;row=85&amp;col=16&amp;number=&amp;sourceID=32","")</f>
        <v/>
      </c>
      <c r="Q85" s="4" t="str">
        <f>HYPERLINK("http://141.218.60.56/~jnz1568/getInfo.php?workbook=08_02.xlsx&amp;sheet=A0&amp;row=85&amp;col=17&amp;number=&amp;sourceID=32","")</f>
        <v/>
      </c>
      <c r="R85" s="4" t="str">
        <f>HYPERLINK("http://141.218.60.56/~jnz1568/getInfo.php?workbook=08_02.xlsx&amp;sheet=A0&amp;row=85&amp;col=18&amp;number=&amp;sourceID=32","")</f>
        <v/>
      </c>
      <c r="S85" s="4" t="str">
        <f>HYPERLINK("http://141.218.60.56/~jnz1568/getInfo.php?workbook=08_02.xlsx&amp;sheet=A0&amp;row=85&amp;col=19&amp;number=&amp;sourceID=1","")</f>
        <v/>
      </c>
      <c r="T85" s="4" t="str">
        <f>HYPERLINK("http://141.218.60.56/~jnz1568/getInfo.php?workbook=08_02.xlsx&amp;sheet=A0&amp;row=85&amp;col=20&amp;number=&amp;sourceID=1","")</f>
        <v/>
      </c>
    </row>
    <row r="86" spans="1:20">
      <c r="A86" s="3">
        <v>8</v>
      </c>
      <c r="B86" s="3">
        <v>2</v>
      </c>
      <c r="C86" s="3">
        <v>15</v>
      </c>
      <c r="D86" s="3">
        <v>2</v>
      </c>
      <c r="E86" s="3">
        <f>((1/(INDEX(E0!J$4:J$52,C86,1)-INDEX(E0!J$4:J$52,D86,1))))*100000000</f>
        <v>0</v>
      </c>
      <c r="F86" s="4" t="str">
        <f>HYPERLINK("http://141.218.60.56/~jnz1568/getInfo.php?workbook=08_02.xlsx&amp;sheet=A0&amp;row=86&amp;col=6&amp;number=&amp;sourceID=27","")</f>
        <v/>
      </c>
      <c r="G86" s="4" t="str">
        <f>HYPERLINK("http://141.218.60.56/~jnz1568/getInfo.php?workbook=08_02.xlsx&amp;sheet=A0&amp;row=86&amp;col=7&amp;number=&amp;sourceID=34","")</f>
        <v/>
      </c>
      <c r="H86" s="4" t="str">
        <f>HYPERLINK("http://141.218.60.56/~jnz1568/getInfo.php?workbook=08_02.xlsx&amp;sheet=A0&amp;row=86&amp;col=8&amp;number=&amp;sourceID=34","")</f>
        <v/>
      </c>
      <c r="I86" s="4" t="str">
        <f>HYPERLINK("http://141.218.60.56/~jnz1568/getInfo.php?workbook=08_02.xlsx&amp;sheet=A0&amp;row=86&amp;col=9&amp;number=&amp;sourceID=34","")</f>
        <v/>
      </c>
      <c r="J86" s="4" t="str">
        <f>HYPERLINK("http://141.218.60.56/~jnz1568/getInfo.php?workbook=08_02.xlsx&amp;sheet=A0&amp;row=86&amp;col=10&amp;number=&amp;sourceID=34","")</f>
        <v/>
      </c>
      <c r="K86" s="4" t="str">
        <f>HYPERLINK("http://141.218.60.56/~jnz1568/getInfo.php?workbook=08_02.xlsx&amp;sheet=A0&amp;row=86&amp;col=11&amp;number=&amp;sourceID=30","")</f>
        <v/>
      </c>
      <c r="L86" s="4" t="str">
        <f>HYPERLINK("http://141.218.60.56/~jnz1568/getInfo.php?workbook=08_02.xlsx&amp;sheet=A0&amp;row=86&amp;col=12&amp;number=8258000&amp;sourceID=30","8258000")</f>
        <v>8258000</v>
      </c>
      <c r="M86" s="4" t="str">
        <f>HYPERLINK("http://141.218.60.56/~jnz1568/getInfo.php?workbook=08_02.xlsx&amp;sheet=A0&amp;row=86&amp;col=13&amp;number=&amp;sourceID=30","")</f>
        <v/>
      </c>
      <c r="N86" s="4" t="str">
        <f>HYPERLINK("http://141.218.60.56/~jnz1568/getInfo.php?workbook=08_02.xlsx&amp;sheet=A0&amp;row=86&amp;col=14&amp;number=&amp;sourceID=30","")</f>
        <v/>
      </c>
      <c r="O86" s="4" t="str">
        <f>HYPERLINK("http://141.218.60.56/~jnz1568/getInfo.php?workbook=08_02.xlsx&amp;sheet=A0&amp;row=86&amp;col=15&amp;number=&amp;sourceID=32","")</f>
        <v/>
      </c>
      <c r="P86" s="4" t="str">
        <f>HYPERLINK("http://141.218.60.56/~jnz1568/getInfo.php?workbook=08_02.xlsx&amp;sheet=A0&amp;row=86&amp;col=16&amp;number=8305000&amp;sourceID=32","8305000")</f>
        <v>8305000</v>
      </c>
      <c r="Q86" s="4" t="str">
        <f>HYPERLINK("http://141.218.60.56/~jnz1568/getInfo.php?workbook=08_02.xlsx&amp;sheet=A0&amp;row=86&amp;col=17&amp;number=&amp;sourceID=32","")</f>
        <v/>
      </c>
      <c r="R86" s="4" t="str">
        <f>HYPERLINK("http://141.218.60.56/~jnz1568/getInfo.php?workbook=08_02.xlsx&amp;sheet=A0&amp;row=86&amp;col=18&amp;number=&amp;sourceID=32","")</f>
        <v/>
      </c>
      <c r="S86" s="4" t="str">
        <f>HYPERLINK("http://141.218.60.56/~jnz1568/getInfo.php?workbook=08_02.xlsx&amp;sheet=A0&amp;row=86&amp;col=19&amp;number=&amp;sourceID=1","")</f>
        <v/>
      </c>
      <c r="T86" s="4" t="str">
        <f>HYPERLINK("http://141.218.60.56/~jnz1568/getInfo.php?workbook=08_02.xlsx&amp;sheet=A0&amp;row=86&amp;col=20&amp;number=&amp;sourceID=1","")</f>
        <v/>
      </c>
    </row>
    <row r="87" spans="1:20">
      <c r="A87" s="3">
        <v>8</v>
      </c>
      <c r="B87" s="3">
        <v>2</v>
      </c>
      <c r="C87" s="3">
        <v>15</v>
      </c>
      <c r="D87" s="3">
        <v>4</v>
      </c>
      <c r="E87" s="3">
        <f>((1/(INDEX(E0!J$4:J$52,C87,1)-INDEX(E0!J$4:J$52,D87,1))))*100000000</f>
        <v>0</v>
      </c>
      <c r="F87" s="4" t="str">
        <f>HYPERLINK("http://141.218.60.56/~jnz1568/getInfo.php?workbook=08_02.xlsx&amp;sheet=A0&amp;row=87&amp;col=6&amp;number=&amp;sourceID=27","")</f>
        <v/>
      </c>
      <c r="G87" s="4" t="str">
        <f>HYPERLINK("http://141.218.60.56/~jnz1568/getInfo.php?workbook=08_02.xlsx&amp;sheet=A0&amp;row=87&amp;col=7&amp;number=&amp;sourceID=34","")</f>
        <v/>
      </c>
      <c r="H87" s="4" t="str">
        <f>HYPERLINK("http://141.218.60.56/~jnz1568/getInfo.php?workbook=08_02.xlsx&amp;sheet=A0&amp;row=87&amp;col=8&amp;number=&amp;sourceID=34","")</f>
        <v/>
      </c>
      <c r="I87" s="4" t="str">
        <f>HYPERLINK("http://141.218.60.56/~jnz1568/getInfo.php?workbook=08_02.xlsx&amp;sheet=A0&amp;row=87&amp;col=9&amp;number=&amp;sourceID=34","")</f>
        <v/>
      </c>
      <c r="J87" s="4" t="str">
        <f>HYPERLINK("http://141.218.60.56/~jnz1568/getInfo.php?workbook=08_02.xlsx&amp;sheet=A0&amp;row=87&amp;col=10&amp;number=&amp;sourceID=34","")</f>
        <v/>
      </c>
      <c r="K87" s="4" t="str">
        <f>HYPERLINK("http://141.218.60.56/~jnz1568/getInfo.php?workbook=08_02.xlsx&amp;sheet=A0&amp;row=87&amp;col=11&amp;number=&amp;sourceID=30","")</f>
        <v/>
      </c>
      <c r="L87" s="4" t="str">
        <f>HYPERLINK("http://141.218.60.56/~jnz1568/getInfo.php?workbook=08_02.xlsx&amp;sheet=A0&amp;row=87&amp;col=12&amp;number=&amp;sourceID=30","")</f>
        <v/>
      </c>
      <c r="M87" s="4" t="str">
        <f>HYPERLINK("http://141.218.60.56/~jnz1568/getInfo.php?workbook=08_02.xlsx&amp;sheet=A0&amp;row=87&amp;col=13&amp;number=&amp;sourceID=30","")</f>
        <v/>
      </c>
      <c r="N87" s="4" t="str">
        <f>HYPERLINK("http://141.218.60.56/~jnz1568/getInfo.php?workbook=08_02.xlsx&amp;sheet=A0&amp;row=87&amp;col=14&amp;number=26.43&amp;sourceID=30","26.43")</f>
        <v>26.43</v>
      </c>
      <c r="O87" s="4" t="str">
        <f>HYPERLINK("http://141.218.60.56/~jnz1568/getInfo.php?workbook=08_02.xlsx&amp;sheet=A0&amp;row=87&amp;col=15&amp;number=&amp;sourceID=32","")</f>
        <v/>
      </c>
      <c r="P87" s="4" t="str">
        <f>HYPERLINK("http://141.218.60.56/~jnz1568/getInfo.php?workbook=08_02.xlsx&amp;sheet=A0&amp;row=87&amp;col=16&amp;number=&amp;sourceID=32","")</f>
        <v/>
      </c>
      <c r="Q87" s="4" t="str">
        <f>HYPERLINK("http://141.218.60.56/~jnz1568/getInfo.php?workbook=08_02.xlsx&amp;sheet=A0&amp;row=87&amp;col=17&amp;number=&amp;sourceID=32","")</f>
        <v/>
      </c>
      <c r="R87" s="4" t="str">
        <f>HYPERLINK("http://141.218.60.56/~jnz1568/getInfo.php?workbook=08_02.xlsx&amp;sheet=A0&amp;row=87&amp;col=18&amp;number=26.5&amp;sourceID=32","26.5")</f>
        <v>26.5</v>
      </c>
      <c r="S87" s="4" t="str">
        <f>HYPERLINK("http://141.218.60.56/~jnz1568/getInfo.php?workbook=08_02.xlsx&amp;sheet=A0&amp;row=87&amp;col=19&amp;number=&amp;sourceID=1","")</f>
        <v/>
      </c>
      <c r="T87" s="4" t="str">
        <f>HYPERLINK("http://141.218.60.56/~jnz1568/getInfo.php?workbook=08_02.xlsx&amp;sheet=A0&amp;row=87&amp;col=20&amp;number=&amp;sourceID=1","")</f>
        <v/>
      </c>
    </row>
    <row r="88" spans="1:20">
      <c r="A88" s="3">
        <v>8</v>
      </c>
      <c r="B88" s="3">
        <v>2</v>
      </c>
      <c r="C88" s="3">
        <v>15</v>
      </c>
      <c r="D88" s="3">
        <v>5</v>
      </c>
      <c r="E88" s="3">
        <f>((1/(INDEX(E0!J$4:J$52,C88,1)-INDEX(E0!J$4:J$52,D88,1))))*100000000</f>
        <v>0</v>
      </c>
      <c r="F88" s="4" t="str">
        <f>HYPERLINK("http://141.218.60.56/~jnz1568/getInfo.php?workbook=08_02.xlsx&amp;sheet=A0&amp;row=88&amp;col=6&amp;number=&amp;sourceID=27","")</f>
        <v/>
      </c>
      <c r="G88" s="4" t="str">
        <f>HYPERLINK("http://141.218.60.56/~jnz1568/getInfo.php?workbook=08_02.xlsx&amp;sheet=A0&amp;row=88&amp;col=7&amp;number=161285714286&amp;sourceID=34","161285714286")</f>
        <v>161285714286</v>
      </c>
      <c r="H88" s="4" t="str">
        <f>HYPERLINK("http://141.218.60.56/~jnz1568/getInfo.php?workbook=08_02.xlsx&amp;sheet=A0&amp;row=88&amp;col=8&amp;number=&amp;sourceID=34","")</f>
        <v/>
      </c>
      <c r="I88" s="4" t="str">
        <f>HYPERLINK("http://141.218.60.56/~jnz1568/getInfo.php?workbook=08_02.xlsx&amp;sheet=A0&amp;row=88&amp;col=9&amp;number=&amp;sourceID=34","")</f>
        <v/>
      </c>
      <c r="J88" s="4" t="str">
        <f>HYPERLINK("http://141.218.60.56/~jnz1568/getInfo.php?workbook=08_02.xlsx&amp;sheet=A0&amp;row=88&amp;col=10&amp;number=&amp;sourceID=34","")</f>
        <v/>
      </c>
      <c r="K88" s="4" t="str">
        <f>HYPERLINK("http://141.218.60.56/~jnz1568/getInfo.php?workbook=08_02.xlsx&amp;sheet=A0&amp;row=88&amp;col=11&amp;number=161100000000&amp;sourceID=30","161100000000")</f>
        <v>161100000000</v>
      </c>
      <c r="L88" s="4" t="str">
        <f>HYPERLINK("http://141.218.60.56/~jnz1568/getInfo.php?workbook=08_02.xlsx&amp;sheet=A0&amp;row=88&amp;col=12&amp;number=&amp;sourceID=30","")</f>
        <v/>
      </c>
      <c r="M88" s="4" t="str">
        <f>HYPERLINK("http://141.218.60.56/~jnz1568/getInfo.php?workbook=08_02.xlsx&amp;sheet=A0&amp;row=88&amp;col=13&amp;number=&amp;sourceID=30","")</f>
        <v/>
      </c>
      <c r="N88" s="4" t="str">
        <f>HYPERLINK("http://141.218.60.56/~jnz1568/getInfo.php?workbook=08_02.xlsx&amp;sheet=A0&amp;row=88&amp;col=14&amp;number=1192&amp;sourceID=30","1192")</f>
        <v>1192</v>
      </c>
      <c r="O88" s="4" t="str">
        <f>HYPERLINK("http://141.218.60.56/~jnz1568/getInfo.php?workbook=08_02.xlsx&amp;sheet=A0&amp;row=88&amp;col=15&amp;number=161300000000&amp;sourceID=32","161300000000")</f>
        <v>161300000000</v>
      </c>
      <c r="P88" s="4" t="str">
        <f>HYPERLINK("http://141.218.60.56/~jnz1568/getInfo.php?workbook=08_02.xlsx&amp;sheet=A0&amp;row=88&amp;col=16&amp;number=&amp;sourceID=32","")</f>
        <v/>
      </c>
      <c r="Q88" s="4" t="str">
        <f>HYPERLINK("http://141.218.60.56/~jnz1568/getInfo.php?workbook=08_02.xlsx&amp;sheet=A0&amp;row=88&amp;col=17&amp;number=&amp;sourceID=32","")</f>
        <v/>
      </c>
      <c r="R88" s="4" t="str">
        <f>HYPERLINK("http://141.218.60.56/~jnz1568/getInfo.php?workbook=08_02.xlsx&amp;sheet=A0&amp;row=88&amp;col=18&amp;number=1199&amp;sourceID=32","1199")</f>
        <v>1199</v>
      </c>
      <c r="S88" s="4" t="str">
        <f>HYPERLINK("http://141.218.60.56/~jnz1568/getInfo.php?workbook=08_02.xlsx&amp;sheet=A0&amp;row=88&amp;col=19&amp;number=&amp;sourceID=1","")</f>
        <v/>
      </c>
      <c r="T88" s="4" t="str">
        <f>HYPERLINK("http://141.218.60.56/~jnz1568/getInfo.php?workbook=08_02.xlsx&amp;sheet=A0&amp;row=88&amp;col=20&amp;number=&amp;sourceID=1","")</f>
        <v/>
      </c>
    </row>
    <row r="89" spans="1:20">
      <c r="A89" s="3">
        <v>8</v>
      </c>
      <c r="B89" s="3">
        <v>2</v>
      </c>
      <c r="C89" s="3">
        <v>15</v>
      </c>
      <c r="D89" s="3">
        <v>7</v>
      </c>
      <c r="E89" s="3">
        <f>((1/(INDEX(E0!J$4:J$52,C89,1)-INDEX(E0!J$4:J$52,D89,1))))*100000000</f>
        <v>0</v>
      </c>
      <c r="F89" s="4" t="str">
        <f>HYPERLINK("http://141.218.60.56/~jnz1568/getInfo.php?workbook=08_02.xlsx&amp;sheet=A0&amp;row=89&amp;col=6&amp;number=&amp;sourceID=27","")</f>
        <v/>
      </c>
      <c r="G89" s="4" t="str">
        <f>HYPERLINK("http://141.218.60.56/~jnz1568/getInfo.php?workbook=08_02.xlsx&amp;sheet=A0&amp;row=89&amp;col=7&amp;number=&amp;sourceID=34","")</f>
        <v/>
      </c>
      <c r="H89" s="4" t="str">
        <f>HYPERLINK("http://141.218.60.56/~jnz1568/getInfo.php?workbook=08_02.xlsx&amp;sheet=A0&amp;row=89&amp;col=8&amp;number=&amp;sourceID=34","")</f>
        <v/>
      </c>
      <c r="I89" s="4" t="str">
        <f>HYPERLINK("http://141.218.60.56/~jnz1568/getInfo.php?workbook=08_02.xlsx&amp;sheet=A0&amp;row=89&amp;col=9&amp;number=&amp;sourceID=34","")</f>
        <v/>
      </c>
      <c r="J89" s="4" t="str">
        <f>HYPERLINK("http://141.218.60.56/~jnz1568/getInfo.php?workbook=08_02.xlsx&amp;sheet=A0&amp;row=89&amp;col=10&amp;number=&amp;sourceID=34","")</f>
        <v/>
      </c>
      <c r="K89" s="4" t="str">
        <f>HYPERLINK("http://141.218.60.56/~jnz1568/getInfo.php?workbook=08_02.xlsx&amp;sheet=A0&amp;row=89&amp;col=11&amp;number=&amp;sourceID=30","")</f>
        <v/>
      </c>
      <c r="L89" s="4" t="str">
        <f>HYPERLINK("http://141.218.60.56/~jnz1568/getInfo.php?workbook=08_02.xlsx&amp;sheet=A0&amp;row=89&amp;col=12&amp;number=&amp;sourceID=30","")</f>
        <v/>
      </c>
      <c r="M89" s="4" t="str">
        <f>HYPERLINK("http://141.218.60.56/~jnz1568/getInfo.php?workbook=08_02.xlsx&amp;sheet=A0&amp;row=89&amp;col=13&amp;number=&amp;sourceID=30","")</f>
        <v/>
      </c>
      <c r="N89" s="4" t="str">
        <f>HYPERLINK("http://141.218.60.56/~jnz1568/getInfo.php?workbook=08_02.xlsx&amp;sheet=A0&amp;row=89&amp;col=14&amp;number=360.8&amp;sourceID=30","360.8")</f>
        <v>360.8</v>
      </c>
      <c r="O89" s="4" t="str">
        <f>HYPERLINK("http://141.218.60.56/~jnz1568/getInfo.php?workbook=08_02.xlsx&amp;sheet=A0&amp;row=89&amp;col=15&amp;number=&amp;sourceID=32","")</f>
        <v/>
      </c>
      <c r="P89" s="4" t="str">
        <f>HYPERLINK("http://141.218.60.56/~jnz1568/getInfo.php?workbook=08_02.xlsx&amp;sheet=A0&amp;row=89&amp;col=16&amp;number=&amp;sourceID=32","")</f>
        <v/>
      </c>
      <c r="Q89" s="4" t="str">
        <f>HYPERLINK("http://141.218.60.56/~jnz1568/getInfo.php?workbook=08_02.xlsx&amp;sheet=A0&amp;row=89&amp;col=17&amp;number=&amp;sourceID=32","")</f>
        <v/>
      </c>
      <c r="R89" s="4" t="str">
        <f>HYPERLINK("http://141.218.60.56/~jnz1568/getInfo.php?workbook=08_02.xlsx&amp;sheet=A0&amp;row=89&amp;col=18&amp;number=364.5&amp;sourceID=32","364.5")</f>
        <v>364.5</v>
      </c>
      <c r="S89" s="4" t="str">
        <f>HYPERLINK("http://141.218.60.56/~jnz1568/getInfo.php?workbook=08_02.xlsx&amp;sheet=A0&amp;row=89&amp;col=19&amp;number=&amp;sourceID=1","")</f>
        <v/>
      </c>
      <c r="T89" s="4" t="str">
        <f>HYPERLINK("http://141.218.60.56/~jnz1568/getInfo.php?workbook=08_02.xlsx&amp;sheet=A0&amp;row=89&amp;col=20&amp;number=&amp;sourceID=1","")</f>
        <v/>
      </c>
    </row>
    <row r="90" spans="1:20">
      <c r="A90" s="3">
        <v>8</v>
      </c>
      <c r="B90" s="3">
        <v>2</v>
      </c>
      <c r="C90" s="3">
        <v>15</v>
      </c>
      <c r="D90" s="3">
        <v>8</v>
      </c>
      <c r="E90" s="3">
        <f>((1/(INDEX(E0!J$4:J$52,C90,1)-INDEX(E0!J$4:J$52,D90,1))))*100000000</f>
        <v>0</v>
      </c>
      <c r="F90" s="4" t="str">
        <f>HYPERLINK("http://141.218.60.56/~jnz1568/getInfo.php?workbook=08_02.xlsx&amp;sheet=A0&amp;row=90&amp;col=6&amp;number=&amp;sourceID=27","")</f>
        <v/>
      </c>
      <c r="G90" s="4" t="str">
        <f>HYPERLINK("http://141.218.60.56/~jnz1568/getInfo.php?workbook=08_02.xlsx&amp;sheet=A0&amp;row=90&amp;col=7&amp;number=&amp;sourceID=34","")</f>
        <v/>
      </c>
      <c r="H90" s="4" t="str">
        <f>HYPERLINK("http://141.218.60.56/~jnz1568/getInfo.php?workbook=08_02.xlsx&amp;sheet=A0&amp;row=90&amp;col=8&amp;number=&amp;sourceID=34","")</f>
        <v/>
      </c>
      <c r="I90" s="4" t="str">
        <f>HYPERLINK("http://141.218.60.56/~jnz1568/getInfo.php?workbook=08_02.xlsx&amp;sheet=A0&amp;row=90&amp;col=9&amp;number=&amp;sourceID=34","")</f>
        <v/>
      </c>
      <c r="J90" s="4" t="str">
        <f>HYPERLINK("http://141.218.60.56/~jnz1568/getInfo.php?workbook=08_02.xlsx&amp;sheet=A0&amp;row=90&amp;col=10&amp;number=&amp;sourceID=34","")</f>
        <v/>
      </c>
      <c r="K90" s="4" t="str">
        <f>HYPERLINK("http://141.218.60.56/~jnz1568/getInfo.php?workbook=08_02.xlsx&amp;sheet=A0&amp;row=90&amp;col=11&amp;number=&amp;sourceID=30","")</f>
        <v/>
      </c>
      <c r="L90" s="4" t="str">
        <f>HYPERLINK("http://141.218.60.56/~jnz1568/getInfo.php?workbook=08_02.xlsx&amp;sheet=A0&amp;row=90&amp;col=12&amp;number=1.968&amp;sourceID=30","1.968")</f>
        <v>1.968</v>
      </c>
      <c r="M90" s="4" t="str">
        <f>HYPERLINK("http://141.218.60.56/~jnz1568/getInfo.php?workbook=08_02.xlsx&amp;sheet=A0&amp;row=90&amp;col=13&amp;number=&amp;sourceID=30","")</f>
        <v/>
      </c>
      <c r="N90" s="4" t="str">
        <f>HYPERLINK("http://141.218.60.56/~jnz1568/getInfo.php?workbook=08_02.xlsx&amp;sheet=A0&amp;row=90&amp;col=14&amp;number=&amp;sourceID=30","")</f>
        <v/>
      </c>
      <c r="O90" s="4" t="str">
        <f>HYPERLINK("http://141.218.60.56/~jnz1568/getInfo.php?workbook=08_02.xlsx&amp;sheet=A0&amp;row=90&amp;col=15&amp;number=&amp;sourceID=32","")</f>
        <v/>
      </c>
      <c r="P90" s="4" t="str">
        <f>HYPERLINK("http://141.218.60.56/~jnz1568/getInfo.php?workbook=08_02.xlsx&amp;sheet=A0&amp;row=90&amp;col=16&amp;number=2.009&amp;sourceID=32","2.009")</f>
        <v>2.009</v>
      </c>
      <c r="Q90" s="4" t="str">
        <f>HYPERLINK("http://141.218.60.56/~jnz1568/getInfo.php?workbook=08_02.xlsx&amp;sheet=A0&amp;row=90&amp;col=17&amp;number=&amp;sourceID=32","")</f>
        <v/>
      </c>
      <c r="R90" s="4" t="str">
        <f>HYPERLINK("http://141.218.60.56/~jnz1568/getInfo.php?workbook=08_02.xlsx&amp;sheet=A0&amp;row=90&amp;col=18&amp;number=&amp;sourceID=32","")</f>
        <v/>
      </c>
      <c r="S90" s="4" t="str">
        <f>HYPERLINK("http://141.218.60.56/~jnz1568/getInfo.php?workbook=08_02.xlsx&amp;sheet=A0&amp;row=90&amp;col=19&amp;number=&amp;sourceID=1","")</f>
        <v/>
      </c>
      <c r="T90" s="4" t="str">
        <f>HYPERLINK("http://141.218.60.56/~jnz1568/getInfo.php?workbook=08_02.xlsx&amp;sheet=A0&amp;row=90&amp;col=20&amp;number=&amp;sourceID=1","")</f>
        <v/>
      </c>
    </row>
    <row r="91" spans="1:20">
      <c r="A91" s="3">
        <v>8</v>
      </c>
      <c r="B91" s="3">
        <v>2</v>
      </c>
      <c r="C91" s="3">
        <v>15</v>
      </c>
      <c r="D91" s="3">
        <v>10</v>
      </c>
      <c r="E91" s="3">
        <f>((1/(INDEX(E0!J$4:J$52,C91,1)-INDEX(E0!J$4:J$52,D91,1))))*100000000</f>
        <v>0</v>
      </c>
      <c r="F91" s="4" t="str">
        <f>HYPERLINK("http://141.218.60.56/~jnz1568/getInfo.php?workbook=08_02.xlsx&amp;sheet=A0&amp;row=91&amp;col=6&amp;number=&amp;sourceID=27","")</f>
        <v/>
      </c>
      <c r="G91" s="4" t="str">
        <f>HYPERLINK("http://141.218.60.56/~jnz1568/getInfo.php?workbook=08_02.xlsx&amp;sheet=A0&amp;row=91&amp;col=7&amp;number=&amp;sourceID=34","")</f>
        <v/>
      </c>
      <c r="H91" s="4" t="str">
        <f>HYPERLINK("http://141.218.60.56/~jnz1568/getInfo.php?workbook=08_02.xlsx&amp;sheet=A0&amp;row=91&amp;col=8&amp;number=&amp;sourceID=34","")</f>
        <v/>
      </c>
      <c r="I91" s="4" t="str">
        <f>HYPERLINK("http://141.218.60.56/~jnz1568/getInfo.php?workbook=08_02.xlsx&amp;sheet=A0&amp;row=91&amp;col=9&amp;number=&amp;sourceID=34","")</f>
        <v/>
      </c>
      <c r="J91" s="4" t="str">
        <f>HYPERLINK("http://141.218.60.56/~jnz1568/getInfo.php?workbook=08_02.xlsx&amp;sheet=A0&amp;row=91&amp;col=10&amp;number=&amp;sourceID=34","")</f>
        <v/>
      </c>
      <c r="K91" s="4" t="str">
        <f>HYPERLINK("http://141.218.60.56/~jnz1568/getInfo.php?workbook=08_02.xlsx&amp;sheet=A0&amp;row=91&amp;col=11&amp;number=&amp;sourceID=30","")</f>
        <v/>
      </c>
      <c r="L91" s="4" t="str">
        <f>HYPERLINK("http://141.218.60.56/~jnz1568/getInfo.php?workbook=08_02.xlsx&amp;sheet=A0&amp;row=91&amp;col=12&amp;number=&amp;sourceID=30","")</f>
        <v/>
      </c>
      <c r="M91" s="4" t="str">
        <f>HYPERLINK("http://141.218.60.56/~jnz1568/getInfo.php?workbook=08_02.xlsx&amp;sheet=A0&amp;row=91&amp;col=13&amp;number=&amp;sourceID=30","")</f>
        <v/>
      </c>
      <c r="N91" s="4" t="str">
        <f>HYPERLINK("http://141.218.60.56/~jnz1568/getInfo.php?workbook=08_02.xlsx&amp;sheet=A0&amp;row=91&amp;col=14&amp;number=2.225e-08&amp;sourceID=30","2.225e-08")</f>
        <v>2.225e-08</v>
      </c>
      <c r="O91" s="4" t="str">
        <f>HYPERLINK("http://141.218.60.56/~jnz1568/getInfo.php?workbook=08_02.xlsx&amp;sheet=A0&amp;row=91&amp;col=15&amp;number=&amp;sourceID=32","")</f>
        <v/>
      </c>
      <c r="P91" s="4" t="str">
        <f>HYPERLINK("http://141.218.60.56/~jnz1568/getInfo.php?workbook=08_02.xlsx&amp;sheet=A0&amp;row=91&amp;col=16&amp;number=&amp;sourceID=32","")</f>
        <v/>
      </c>
      <c r="Q91" s="4" t="str">
        <f>HYPERLINK("http://141.218.60.56/~jnz1568/getInfo.php?workbook=08_02.xlsx&amp;sheet=A0&amp;row=91&amp;col=17&amp;number=&amp;sourceID=32","")</f>
        <v/>
      </c>
      <c r="R91" s="4" t="str">
        <f>HYPERLINK("http://141.218.60.56/~jnz1568/getInfo.php?workbook=08_02.xlsx&amp;sheet=A0&amp;row=91&amp;col=18&amp;number=2.569e-08&amp;sourceID=32","2.569e-08")</f>
        <v>2.569e-08</v>
      </c>
      <c r="S91" s="4" t="str">
        <f>HYPERLINK("http://141.218.60.56/~jnz1568/getInfo.php?workbook=08_02.xlsx&amp;sheet=A0&amp;row=91&amp;col=19&amp;number=&amp;sourceID=1","")</f>
        <v/>
      </c>
      <c r="T91" s="4" t="str">
        <f>HYPERLINK("http://141.218.60.56/~jnz1568/getInfo.php?workbook=08_02.xlsx&amp;sheet=A0&amp;row=91&amp;col=20&amp;number=&amp;sourceID=1","")</f>
        <v/>
      </c>
    </row>
    <row r="92" spans="1:20">
      <c r="A92" s="3">
        <v>8</v>
      </c>
      <c r="B92" s="3">
        <v>2</v>
      </c>
      <c r="C92" s="3">
        <v>15</v>
      </c>
      <c r="D92" s="3">
        <v>11</v>
      </c>
      <c r="E92" s="3">
        <f>((1/(INDEX(E0!J$4:J$52,C92,1)-INDEX(E0!J$4:J$52,D92,1))))*100000000</f>
        <v>0</v>
      </c>
      <c r="F92" s="4" t="str">
        <f>HYPERLINK("http://141.218.60.56/~jnz1568/getInfo.php?workbook=08_02.xlsx&amp;sheet=A0&amp;row=92&amp;col=6&amp;number=&amp;sourceID=27","")</f>
        <v/>
      </c>
      <c r="G92" s="4" t="str">
        <f>HYPERLINK("http://141.218.60.56/~jnz1568/getInfo.php?workbook=08_02.xlsx&amp;sheet=A0&amp;row=92&amp;col=7&amp;number=1127000&amp;sourceID=34","1127000")</f>
        <v>1127000</v>
      </c>
      <c r="H92" s="4" t="str">
        <f>HYPERLINK("http://141.218.60.56/~jnz1568/getInfo.php?workbook=08_02.xlsx&amp;sheet=A0&amp;row=92&amp;col=8&amp;number=&amp;sourceID=34","")</f>
        <v/>
      </c>
      <c r="I92" s="4" t="str">
        <f>HYPERLINK("http://141.218.60.56/~jnz1568/getInfo.php?workbook=08_02.xlsx&amp;sheet=A0&amp;row=92&amp;col=9&amp;number=&amp;sourceID=34","")</f>
        <v/>
      </c>
      <c r="J92" s="4" t="str">
        <f>HYPERLINK("http://141.218.60.56/~jnz1568/getInfo.php?workbook=08_02.xlsx&amp;sheet=A0&amp;row=92&amp;col=10&amp;number=&amp;sourceID=34","")</f>
        <v/>
      </c>
      <c r="K92" s="4" t="str">
        <f>HYPERLINK("http://141.218.60.56/~jnz1568/getInfo.php?workbook=08_02.xlsx&amp;sheet=A0&amp;row=92&amp;col=11&amp;number=1033000&amp;sourceID=30","1033000")</f>
        <v>1033000</v>
      </c>
      <c r="L92" s="4" t="str">
        <f>HYPERLINK("http://141.218.60.56/~jnz1568/getInfo.php?workbook=08_02.xlsx&amp;sheet=A0&amp;row=92&amp;col=12&amp;number=&amp;sourceID=30","")</f>
        <v/>
      </c>
      <c r="M92" s="4" t="str">
        <f>HYPERLINK("http://141.218.60.56/~jnz1568/getInfo.php?workbook=08_02.xlsx&amp;sheet=A0&amp;row=92&amp;col=13&amp;number=&amp;sourceID=30","")</f>
        <v/>
      </c>
      <c r="N92" s="4" t="str">
        <f>HYPERLINK("http://141.218.60.56/~jnz1568/getInfo.php?workbook=08_02.xlsx&amp;sheet=A0&amp;row=92&amp;col=14&amp;number=9.119e-07&amp;sourceID=30","9.119e-07")</f>
        <v>9.119e-07</v>
      </c>
      <c r="O92" s="4" t="str">
        <f>HYPERLINK("http://141.218.60.56/~jnz1568/getInfo.php?workbook=08_02.xlsx&amp;sheet=A0&amp;row=92&amp;col=15&amp;number=1125000&amp;sourceID=32","1125000")</f>
        <v>1125000</v>
      </c>
      <c r="P92" s="4" t="str">
        <f>HYPERLINK("http://141.218.60.56/~jnz1568/getInfo.php?workbook=08_02.xlsx&amp;sheet=A0&amp;row=92&amp;col=16&amp;number=&amp;sourceID=32","")</f>
        <v/>
      </c>
      <c r="Q92" s="4" t="str">
        <f>HYPERLINK("http://141.218.60.56/~jnz1568/getInfo.php?workbook=08_02.xlsx&amp;sheet=A0&amp;row=92&amp;col=17&amp;number=&amp;sourceID=32","")</f>
        <v/>
      </c>
      <c r="R92" s="4" t="str">
        <f>HYPERLINK("http://141.218.60.56/~jnz1568/getInfo.php?workbook=08_02.xlsx&amp;sheet=A0&amp;row=92&amp;col=18&amp;number=1.053e-06&amp;sourceID=32","1.053e-06")</f>
        <v>1.053e-06</v>
      </c>
      <c r="S92" s="4" t="str">
        <f>HYPERLINK("http://141.218.60.56/~jnz1568/getInfo.php?workbook=08_02.xlsx&amp;sheet=A0&amp;row=92&amp;col=19&amp;number=&amp;sourceID=1","")</f>
        <v/>
      </c>
      <c r="T92" s="4" t="str">
        <f>HYPERLINK("http://141.218.60.56/~jnz1568/getInfo.php?workbook=08_02.xlsx&amp;sheet=A0&amp;row=92&amp;col=20&amp;number=&amp;sourceID=1","")</f>
        <v/>
      </c>
    </row>
    <row r="93" spans="1:20">
      <c r="A93" s="3">
        <v>8</v>
      </c>
      <c r="B93" s="3">
        <v>2</v>
      </c>
      <c r="C93" s="3">
        <v>15</v>
      </c>
      <c r="D93" s="3">
        <v>13</v>
      </c>
      <c r="E93" s="3">
        <f>((1/(INDEX(E0!J$4:J$52,C93,1)-INDEX(E0!J$4:J$52,D93,1))))*100000000</f>
        <v>0</v>
      </c>
      <c r="F93" s="4" t="str">
        <f>HYPERLINK("http://141.218.60.56/~jnz1568/getInfo.php?workbook=08_02.xlsx&amp;sheet=A0&amp;row=93&amp;col=6&amp;number=&amp;sourceID=27","")</f>
        <v/>
      </c>
      <c r="G93" s="4" t="str">
        <f>HYPERLINK("http://141.218.60.56/~jnz1568/getInfo.php?workbook=08_02.xlsx&amp;sheet=A0&amp;row=93&amp;col=7&amp;number=&amp;sourceID=34","")</f>
        <v/>
      </c>
      <c r="H93" s="4" t="str">
        <f>HYPERLINK("http://141.218.60.56/~jnz1568/getInfo.php?workbook=08_02.xlsx&amp;sheet=A0&amp;row=93&amp;col=8&amp;number=&amp;sourceID=34","")</f>
        <v/>
      </c>
      <c r="I93" s="4" t="str">
        <f>HYPERLINK("http://141.218.60.56/~jnz1568/getInfo.php?workbook=08_02.xlsx&amp;sheet=A0&amp;row=93&amp;col=9&amp;number=&amp;sourceID=34","")</f>
        <v/>
      </c>
      <c r="J93" s="4" t="str">
        <f>HYPERLINK("http://141.218.60.56/~jnz1568/getInfo.php?workbook=08_02.xlsx&amp;sheet=A0&amp;row=93&amp;col=10&amp;number=&amp;sourceID=34","")</f>
        <v/>
      </c>
      <c r="K93" s="4" t="str">
        <f>HYPERLINK("http://141.218.60.56/~jnz1568/getInfo.php?workbook=08_02.xlsx&amp;sheet=A0&amp;row=93&amp;col=11&amp;number=&amp;sourceID=30","")</f>
        <v/>
      </c>
      <c r="L93" s="4" t="str">
        <f>HYPERLINK("http://141.218.60.56/~jnz1568/getInfo.php?workbook=08_02.xlsx&amp;sheet=A0&amp;row=93&amp;col=12&amp;number=4e-15&amp;sourceID=30","4e-15")</f>
        <v>4e-15</v>
      </c>
      <c r="M93" s="4" t="str">
        <f>HYPERLINK("http://141.218.60.56/~jnz1568/getInfo.php?workbook=08_02.xlsx&amp;sheet=A0&amp;row=93&amp;col=13&amp;number=&amp;sourceID=30","")</f>
        <v/>
      </c>
      <c r="N93" s="4" t="str">
        <f>HYPERLINK("http://141.218.60.56/~jnz1568/getInfo.php?workbook=08_02.xlsx&amp;sheet=A0&amp;row=93&amp;col=14&amp;number=&amp;sourceID=30","")</f>
        <v/>
      </c>
      <c r="O93" s="4" t="str">
        <f>HYPERLINK("http://141.218.60.56/~jnz1568/getInfo.php?workbook=08_02.xlsx&amp;sheet=A0&amp;row=93&amp;col=15&amp;number=&amp;sourceID=32","")</f>
        <v/>
      </c>
      <c r="P93" s="4" t="str">
        <f>HYPERLINK("http://141.218.60.56/~jnz1568/getInfo.php?workbook=08_02.xlsx&amp;sheet=A0&amp;row=93&amp;col=16&amp;number=&amp;sourceID=32","")</f>
        <v/>
      </c>
      <c r="Q93" s="4" t="str">
        <f>HYPERLINK("http://141.218.60.56/~jnz1568/getInfo.php?workbook=08_02.xlsx&amp;sheet=A0&amp;row=93&amp;col=17&amp;number=&amp;sourceID=32","")</f>
        <v/>
      </c>
      <c r="R93" s="4" t="str">
        <f>HYPERLINK("http://141.218.60.56/~jnz1568/getInfo.php?workbook=08_02.xlsx&amp;sheet=A0&amp;row=93&amp;col=18&amp;number=&amp;sourceID=32","")</f>
        <v/>
      </c>
      <c r="S93" s="4" t="str">
        <f>HYPERLINK("http://141.218.60.56/~jnz1568/getInfo.php?workbook=08_02.xlsx&amp;sheet=A0&amp;row=93&amp;col=19&amp;number=&amp;sourceID=1","")</f>
        <v/>
      </c>
      <c r="T93" s="4" t="str">
        <f>HYPERLINK("http://141.218.60.56/~jnz1568/getInfo.php?workbook=08_02.xlsx&amp;sheet=A0&amp;row=93&amp;col=20&amp;number=&amp;sourceID=1","")</f>
        <v/>
      </c>
    </row>
    <row r="94" spans="1:20">
      <c r="A94" s="3">
        <v>8</v>
      </c>
      <c r="B94" s="3">
        <v>2</v>
      </c>
      <c r="C94" s="3">
        <v>15</v>
      </c>
      <c r="D94" s="3">
        <v>14</v>
      </c>
      <c r="E94" s="3">
        <f>((1/(INDEX(E0!J$4:J$52,C94,1)-INDEX(E0!J$4:J$52,D94,1))))*100000000</f>
        <v>0</v>
      </c>
      <c r="F94" s="4" t="str">
        <f>HYPERLINK("http://141.218.60.56/~jnz1568/getInfo.php?workbook=08_02.xlsx&amp;sheet=A0&amp;row=94&amp;col=6&amp;number=&amp;sourceID=27","")</f>
        <v/>
      </c>
      <c r="G94" s="4" t="str">
        <f>HYPERLINK("http://141.218.60.56/~jnz1568/getInfo.php?workbook=08_02.xlsx&amp;sheet=A0&amp;row=94&amp;col=7&amp;number=&amp;sourceID=34","")</f>
        <v/>
      </c>
      <c r="H94" s="4" t="str">
        <f>HYPERLINK("http://141.218.60.56/~jnz1568/getInfo.php?workbook=08_02.xlsx&amp;sheet=A0&amp;row=94&amp;col=8&amp;number=&amp;sourceID=34","")</f>
        <v/>
      </c>
      <c r="I94" s="4" t="str">
        <f>HYPERLINK("http://141.218.60.56/~jnz1568/getInfo.php?workbook=08_02.xlsx&amp;sheet=A0&amp;row=94&amp;col=9&amp;number=&amp;sourceID=34","")</f>
        <v/>
      </c>
      <c r="J94" s="4" t="str">
        <f>HYPERLINK("http://141.218.60.56/~jnz1568/getInfo.php?workbook=08_02.xlsx&amp;sheet=A0&amp;row=94&amp;col=10&amp;number=&amp;sourceID=34","")</f>
        <v/>
      </c>
      <c r="K94" s="4" t="str">
        <f>HYPERLINK("http://141.218.60.56/~jnz1568/getInfo.php?workbook=08_02.xlsx&amp;sheet=A0&amp;row=94&amp;col=11&amp;number=&amp;sourceID=30","")</f>
        <v/>
      </c>
      <c r="L94" s="4" t="str">
        <f>HYPERLINK("http://141.218.60.56/~jnz1568/getInfo.php?workbook=08_02.xlsx&amp;sheet=A0&amp;row=94&amp;col=12&amp;number=1.7e-14&amp;sourceID=30","1.7e-14")</f>
        <v>1.7e-14</v>
      </c>
      <c r="M94" s="4" t="str">
        <f>HYPERLINK("http://141.218.60.56/~jnz1568/getInfo.php?workbook=08_02.xlsx&amp;sheet=A0&amp;row=94&amp;col=13&amp;number=2.118e-06&amp;sourceID=30","2.118e-06")</f>
        <v>2.118e-06</v>
      </c>
      <c r="N94" s="4" t="str">
        <f>HYPERLINK("http://141.218.60.56/~jnz1568/getInfo.php?workbook=08_02.xlsx&amp;sheet=A0&amp;row=94&amp;col=14&amp;number=&amp;sourceID=30","")</f>
        <v/>
      </c>
      <c r="O94" s="4" t="str">
        <f>HYPERLINK("http://141.218.60.56/~jnz1568/getInfo.php?workbook=08_02.xlsx&amp;sheet=A0&amp;row=94&amp;col=15&amp;number=&amp;sourceID=32","")</f>
        <v/>
      </c>
      <c r="P94" s="4" t="str">
        <f>HYPERLINK("http://141.218.60.56/~jnz1568/getInfo.php?workbook=08_02.xlsx&amp;sheet=A0&amp;row=94&amp;col=16&amp;number=&amp;sourceID=32","")</f>
        <v/>
      </c>
      <c r="Q94" s="4" t="str">
        <f>HYPERLINK("http://141.218.60.56/~jnz1568/getInfo.php?workbook=08_02.xlsx&amp;sheet=A0&amp;row=94&amp;col=17&amp;number=&amp;sourceID=32","")</f>
        <v/>
      </c>
      <c r="R94" s="4" t="str">
        <f>HYPERLINK("http://141.218.60.56/~jnz1568/getInfo.php?workbook=08_02.xlsx&amp;sheet=A0&amp;row=94&amp;col=18&amp;number=&amp;sourceID=32","")</f>
        <v/>
      </c>
      <c r="S94" s="4" t="str">
        <f>HYPERLINK("http://141.218.60.56/~jnz1568/getInfo.php?workbook=08_02.xlsx&amp;sheet=A0&amp;row=94&amp;col=19&amp;number=&amp;sourceID=1","")</f>
        <v/>
      </c>
      <c r="T94" s="4" t="str">
        <f>HYPERLINK("http://141.218.60.56/~jnz1568/getInfo.php?workbook=08_02.xlsx&amp;sheet=A0&amp;row=94&amp;col=20&amp;number=&amp;sourceID=1","")</f>
        <v/>
      </c>
    </row>
    <row r="95" spans="1:20">
      <c r="A95" s="3">
        <v>8</v>
      </c>
      <c r="B95" s="3">
        <v>2</v>
      </c>
      <c r="C95" s="3">
        <v>16</v>
      </c>
      <c r="D95" s="3">
        <v>1</v>
      </c>
      <c r="E95" s="3">
        <f>((1/(INDEX(E0!J$4:J$52,C95,1)-INDEX(E0!J$4:J$52,D95,1))))*100000000</f>
        <v>0</v>
      </c>
      <c r="F95" s="4" t="str">
        <f>HYPERLINK("http://141.218.60.56/~jnz1568/getInfo.php?workbook=08_02.xlsx&amp;sheet=A0&amp;row=95&amp;col=6&amp;number=&amp;sourceID=27","")</f>
        <v/>
      </c>
      <c r="G95" s="4" t="str">
        <f>HYPERLINK("http://141.218.60.56/~jnz1568/getInfo.php?workbook=08_02.xlsx&amp;sheet=A0&amp;row=95&amp;col=7&amp;number=&amp;sourceID=34","")</f>
        <v/>
      </c>
      <c r="H95" s="4" t="str">
        <f>HYPERLINK("http://141.218.60.56/~jnz1568/getInfo.php?workbook=08_02.xlsx&amp;sheet=A0&amp;row=95&amp;col=8&amp;number=96560000&amp;sourceID=34","96560000")</f>
        <v>96560000</v>
      </c>
      <c r="I95" s="4" t="str">
        <f>HYPERLINK("http://141.218.60.56/~jnz1568/getInfo.php?workbook=08_02.xlsx&amp;sheet=A0&amp;row=95&amp;col=9&amp;number=&amp;sourceID=34","")</f>
        <v/>
      </c>
      <c r="J95" s="4" t="str">
        <f>HYPERLINK("http://141.218.60.56/~jnz1568/getInfo.php?workbook=08_02.xlsx&amp;sheet=A0&amp;row=95&amp;col=10&amp;number=&amp;sourceID=34","")</f>
        <v/>
      </c>
      <c r="K95" s="4" t="str">
        <f>HYPERLINK("http://141.218.60.56/~jnz1568/getInfo.php?workbook=08_02.xlsx&amp;sheet=A0&amp;row=95&amp;col=11&amp;number=&amp;sourceID=30","")</f>
        <v/>
      </c>
      <c r="L95" s="4" t="str">
        <f>HYPERLINK("http://141.218.60.56/~jnz1568/getInfo.php?workbook=08_02.xlsx&amp;sheet=A0&amp;row=95&amp;col=12&amp;number=105700000&amp;sourceID=30","105700000")</f>
        <v>105700000</v>
      </c>
      <c r="M95" s="4" t="str">
        <f>HYPERLINK("http://141.218.60.56/~jnz1568/getInfo.php?workbook=08_02.xlsx&amp;sheet=A0&amp;row=95&amp;col=13&amp;number=&amp;sourceID=30","")</f>
        <v/>
      </c>
      <c r="N95" s="4" t="str">
        <f>HYPERLINK("http://141.218.60.56/~jnz1568/getInfo.php?workbook=08_02.xlsx&amp;sheet=A0&amp;row=95&amp;col=14&amp;number=&amp;sourceID=30","")</f>
        <v/>
      </c>
      <c r="O95" s="4" t="str">
        <f>HYPERLINK("http://141.218.60.56/~jnz1568/getInfo.php?workbook=08_02.xlsx&amp;sheet=A0&amp;row=95&amp;col=15&amp;number=&amp;sourceID=32","")</f>
        <v/>
      </c>
      <c r="P95" s="4" t="str">
        <f>HYPERLINK("http://141.218.60.56/~jnz1568/getInfo.php?workbook=08_02.xlsx&amp;sheet=A0&amp;row=95&amp;col=16&amp;number=142300000&amp;sourceID=32","142300000")</f>
        <v>142300000</v>
      </c>
      <c r="Q95" s="4" t="str">
        <f>HYPERLINK("http://141.218.60.56/~jnz1568/getInfo.php?workbook=08_02.xlsx&amp;sheet=A0&amp;row=95&amp;col=17&amp;number=&amp;sourceID=32","")</f>
        <v/>
      </c>
      <c r="R95" s="4" t="str">
        <f>HYPERLINK("http://141.218.60.56/~jnz1568/getInfo.php?workbook=08_02.xlsx&amp;sheet=A0&amp;row=95&amp;col=18&amp;number=&amp;sourceID=32","")</f>
        <v/>
      </c>
      <c r="S95" s="4" t="str">
        <f>HYPERLINK("http://141.218.60.56/~jnz1568/getInfo.php?workbook=08_02.xlsx&amp;sheet=A0&amp;row=95&amp;col=19&amp;number=&amp;sourceID=1","")</f>
        <v/>
      </c>
      <c r="T95" s="4" t="str">
        <f>HYPERLINK("http://141.218.60.56/~jnz1568/getInfo.php?workbook=08_02.xlsx&amp;sheet=A0&amp;row=95&amp;col=20&amp;number=&amp;sourceID=1","")</f>
        <v/>
      </c>
    </row>
    <row r="96" spans="1:20">
      <c r="A96" s="3">
        <v>8</v>
      </c>
      <c r="B96" s="3">
        <v>2</v>
      </c>
      <c r="C96" s="3">
        <v>16</v>
      </c>
      <c r="D96" s="3">
        <v>2</v>
      </c>
      <c r="E96" s="3">
        <f>((1/(INDEX(E0!J$4:J$52,C96,1)-INDEX(E0!J$4:J$52,D96,1))))*100000000</f>
        <v>0</v>
      </c>
      <c r="F96" s="4" t="str">
        <f>HYPERLINK("http://141.218.60.56/~jnz1568/getInfo.php?workbook=08_02.xlsx&amp;sheet=A0&amp;row=96&amp;col=6&amp;number=&amp;sourceID=27","")</f>
        <v/>
      </c>
      <c r="G96" s="4" t="str">
        <f>HYPERLINK("http://141.218.60.56/~jnz1568/getInfo.php?workbook=08_02.xlsx&amp;sheet=A0&amp;row=96&amp;col=7&amp;number=&amp;sourceID=34","")</f>
        <v/>
      </c>
      <c r="H96" s="4" t="str">
        <f>HYPERLINK("http://141.218.60.56/~jnz1568/getInfo.php?workbook=08_02.xlsx&amp;sheet=A0&amp;row=96&amp;col=8&amp;number=&amp;sourceID=34","")</f>
        <v/>
      </c>
      <c r="I96" s="4" t="str">
        <f>HYPERLINK("http://141.218.60.56/~jnz1568/getInfo.php?workbook=08_02.xlsx&amp;sheet=A0&amp;row=96&amp;col=9&amp;number=&amp;sourceID=34","")</f>
        <v/>
      </c>
      <c r="J96" s="4" t="str">
        <f>HYPERLINK("http://141.218.60.56/~jnz1568/getInfo.php?workbook=08_02.xlsx&amp;sheet=A0&amp;row=96&amp;col=10&amp;number=&amp;sourceID=34","")</f>
        <v/>
      </c>
      <c r="K96" s="4" t="str">
        <f>HYPERLINK("http://141.218.60.56/~jnz1568/getInfo.php?workbook=08_02.xlsx&amp;sheet=A0&amp;row=96&amp;col=11&amp;number=&amp;sourceID=30","")</f>
        <v/>
      </c>
      <c r="L96" s="4" t="str">
        <f>HYPERLINK("http://141.218.60.56/~jnz1568/getInfo.php?workbook=08_02.xlsx&amp;sheet=A0&amp;row=96&amp;col=12&amp;number=105100&amp;sourceID=30","105100")</f>
        <v>105100</v>
      </c>
      <c r="M96" s="4" t="str">
        <f>HYPERLINK("http://141.218.60.56/~jnz1568/getInfo.php?workbook=08_02.xlsx&amp;sheet=A0&amp;row=96&amp;col=13&amp;number=0.01438&amp;sourceID=30","0.01438")</f>
        <v>0.01438</v>
      </c>
      <c r="N96" s="4" t="str">
        <f>HYPERLINK("http://141.218.60.56/~jnz1568/getInfo.php?workbook=08_02.xlsx&amp;sheet=A0&amp;row=96&amp;col=14&amp;number=&amp;sourceID=30","")</f>
        <v/>
      </c>
      <c r="O96" s="4" t="str">
        <f>HYPERLINK("http://141.218.60.56/~jnz1568/getInfo.php?workbook=08_02.xlsx&amp;sheet=A0&amp;row=96&amp;col=15&amp;number=&amp;sourceID=32","")</f>
        <v/>
      </c>
      <c r="P96" s="4" t="str">
        <f>HYPERLINK("http://141.218.60.56/~jnz1568/getInfo.php?workbook=08_02.xlsx&amp;sheet=A0&amp;row=96&amp;col=16&amp;number=131800&amp;sourceID=32","131800")</f>
        <v>131800</v>
      </c>
      <c r="Q96" s="4" t="str">
        <f>HYPERLINK("http://141.218.60.56/~jnz1568/getInfo.php?workbook=08_02.xlsx&amp;sheet=A0&amp;row=96&amp;col=17&amp;number=0.02093&amp;sourceID=32","0.02093")</f>
        <v>0.02093</v>
      </c>
      <c r="R96" s="4" t="str">
        <f>HYPERLINK("http://141.218.60.56/~jnz1568/getInfo.php?workbook=08_02.xlsx&amp;sheet=A0&amp;row=96&amp;col=18&amp;number=&amp;sourceID=32","")</f>
        <v/>
      </c>
      <c r="S96" s="4" t="str">
        <f>HYPERLINK("http://141.218.60.56/~jnz1568/getInfo.php?workbook=08_02.xlsx&amp;sheet=A0&amp;row=96&amp;col=19&amp;number=&amp;sourceID=1","")</f>
        <v/>
      </c>
      <c r="T96" s="4" t="str">
        <f>HYPERLINK("http://141.218.60.56/~jnz1568/getInfo.php?workbook=08_02.xlsx&amp;sheet=A0&amp;row=96&amp;col=20&amp;number=&amp;sourceID=1","")</f>
        <v/>
      </c>
    </row>
    <row r="97" spans="1:20">
      <c r="A97" s="3">
        <v>8</v>
      </c>
      <c r="B97" s="3">
        <v>2</v>
      </c>
      <c r="C97" s="3">
        <v>16</v>
      </c>
      <c r="D97" s="3">
        <v>3</v>
      </c>
      <c r="E97" s="3">
        <f>((1/(INDEX(E0!J$4:J$52,C97,1)-INDEX(E0!J$4:J$52,D97,1))))*100000000</f>
        <v>0</v>
      </c>
      <c r="F97" s="4" t="str">
        <f>HYPERLINK("http://141.218.60.56/~jnz1568/getInfo.php?workbook=08_02.xlsx&amp;sheet=A0&amp;row=97&amp;col=6&amp;number=&amp;sourceID=27","")</f>
        <v/>
      </c>
      <c r="G97" s="4" t="str">
        <f>HYPERLINK("http://141.218.60.56/~jnz1568/getInfo.php?workbook=08_02.xlsx&amp;sheet=A0&amp;row=97&amp;col=7&amp;number=&amp;sourceID=34","")</f>
        <v/>
      </c>
      <c r="H97" s="4" t="str">
        <f>HYPERLINK("http://141.218.60.56/~jnz1568/getInfo.php?workbook=08_02.xlsx&amp;sheet=A0&amp;row=97&amp;col=8&amp;number=&amp;sourceID=34","")</f>
        <v/>
      </c>
      <c r="I97" s="4" t="str">
        <f>HYPERLINK("http://141.218.60.56/~jnz1568/getInfo.php?workbook=08_02.xlsx&amp;sheet=A0&amp;row=97&amp;col=9&amp;number=&amp;sourceID=34","")</f>
        <v/>
      </c>
      <c r="J97" s="4" t="str">
        <f>HYPERLINK("http://141.218.60.56/~jnz1568/getInfo.php?workbook=08_02.xlsx&amp;sheet=A0&amp;row=97&amp;col=10&amp;number=&amp;sourceID=34","")</f>
        <v/>
      </c>
      <c r="K97" s="4" t="str">
        <f>HYPERLINK("http://141.218.60.56/~jnz1568/getInfo.php?workbook=08_02.xlsx&amp;sheet=A0&amp;row=97&amp;col=11&amp;number=&amp;sourceID=30","")</f>
        <v/>
      </c>
      <c r="L97" s="4" t="str">
        <f>HYPERLINK("http://141.218.60.56/~jnz1568/getInfo.php?workbook=08_02.xlsx&amp;sheet=A0&amp;row=97&amp;col=12&amp;number=&amp;sourceID=30","")</f>
        <v/>
      </c>
      <c r="M97" s="4" t="str">
        <f>HYPERLINK("http://141.218.60.56/~jnz1568/getInfo.php?workbook=08_02.xlsx&amp;sheet=A0&amp;row=97&amp;col=13&amp;number=&amp;sourceID=30","")</f>
        <v/>
      </c>
      <c r="N97" s="4" t="str">
        <f>HYPERLINK("http://141.218.60.56/~jnz1568/getInfo.php?workbook=08_02.xlsx&amp;sheet=A0&amp;row=97&amp;col=14&amp;number=155.3&amp;sourceID=30","155.3")</f>
        <v>155.3</v>
      </c>
      <c r="O97" s="4" t="str">
        <f>HYPERLINK("http://141.218.60.56/~jnz1568/getInfo.php?workbook=08_02.xlsx&amp;sheet=A0&amp;row=97&amp;col=15&amp;number=&amp;sourceID=32","")</f>
        <v/>
      </c>
      <c r="P97" s="4" t="str">
        <f>HYPERLINK("http://141.218.60.56/~jnz1568/getInfo.php?workbook=08_02.xlsx&amp;sheet=A0&amp;row=97&amp;col=16&amp;number=&amp;sourceID=32","")</f>
        <v/>
      </c>
      <c r="Q97" s="4" t="str">
        <f>HYPERLINK("http://141.218.60.56/~jnz1568/getInfo.php?workbook=08_02.xlsx&amp;sheet=A0&amp;row=97&amp;col=17&amp;number=&amp;sourceID=32","")</f>
        <v/>
      </c>
      <c r="R97" s="4" t="str">
        <f>HYPERLINK("http://141.218.60.56/~jnz1568/getInfo.php?workbook=08_02.xlsx&amp;sheet=A0&amp;row=97&amp;col=18&amp;number=157.9&amp;sourceID=32","157.9")</f>
        <v>157.9</v>
      </c>
      <c r="S97" s="4" t="str">
        <f>HYPERLINK("http://141.218.60.56/~jnz1568/getInfo.php?workbook=08_02.xlsx&amp;sheet=A0&amp;row=97&amp;col=19&amp;number=&amp;sourceID=1","")</f>
        <v/>
      </c>
      <c r="T97" s="4" t="str">
        <f>HYPERLINK("http://141.218.60.56/~jnz1568/getInfo.php?workbook=08_02.xlsx&amp;sheet=A0&amp;row=97&amp;col=20&amp;number=&amp;sourceID=1","")</f>
        <v/>
      </c>
    </row>
    <row r="98" spans="1:20">
      <c r="A98" s="3">
        <v>8</v>
      </c>
      <c r="B98" s="3">
        <v>2</v>
      </c>
      <c r="C98" s="3">
        <v>16</v>
      </c>
      <c r="D98" s="3">
        <v>4</v>
      </c>
      <c r="E98" s="3">
        <f>((1/(INDEX(E0!J$4:J$52,C98,1)-INDEX(E0!J$4:J$52,D98,1))))*100000000</f>
        <v>0</v>
      </c>
      <c r="F98" s="4" t="str">
        <f>HYPERLINK("http://141.218.60.56/~jnz1568/getInfo.php?workbook=08_02.xlsx&amp;sheet=A0&amp;row=98&amp;col=6&amp;number=&amp;sourceID=27","")</f>
        <v/>
      </c>
      <c r="G98" s="4" t="str">
        <f>HYPERLINK("http://141.218.60.56/~jnz1568/getInfo.php?workbook=08_02.xlsx&amp;sheet=A0&amp;row=98&amp;col=7&amp;number=&amp;sourceID=34","")</f>
        <v/>
      </c>
      <c r="H98" s="4" t="str">
        <f>HYPERLINK("http://141.218.60.56/~jnz1568/getInfo.php?workbook=08_02.xlsx&amp;sheet=A0&amp;row=98&amp;col=8&amp;number=&amp;sourceID=34","")</f>
        <v/>
      </c>
      <c r="I98" s="4" t="str">
        <f>HYPERLINK("http://141.218.60.56/~jnz1568/getInfo.php?workbook=08_02.xlsx&amp;sheet=A0&amp;row=98&amp;col=9&amp;number=&amp;sourceID=34","")</f>
        <v/>
      </c>
      <c r="J98" s="4" t="str">
        <f>HYPERLINK("http://141.218.60.56/~jnz1568/getInfo.php?workbook=08_02.xlsx&amp;sheet=A0&amp;row=98&amp;col=10&amp;number=&amp;sourceID=34","")</f>
        <v/>
      </c>
      <c r="K98" s="4" t="str">
        <f>HYPERLINK("http://141.218.60.56/~jnz1568/getInfo.php?workbook=08_02.xlsx&amp;sheet=A0&amp;row=98&amp;col=11&amp;number=1177000000&amp;sourceID=30","1177000000")</f>
        <v>1177000000</v>
      </c>
      <c r="L98" s="4" t="str">
        <f>HYPERLINK("http://141.218.60.56/~jnz1568/getInfo.php?workbook=08_02.xlsx&amp;sheet=A0&amp;row=98&amp;col=12&amp;number=&amp;sourceID=30","")</f>
        <v/>
      </c>
      <c r="M98" s="4" t="str">
        <f>HYPERLINK("http://141.218.60.56/~jnz1568/getInfo.php?workbook=08_02.xlsx&amp;sheet=A0&amp;row=98&amp;col=13&amp;number=&amp;sourceID=30","")</f>
        <v/>
      </c>
      <c r="N98" s="4" t="str">
        <f>HYPERLINK("http://141.218.60.56/~jnz1568/getInfo.php?workbook=08_02.xlsx&amp;sheet=A0&amp;row=98&amp;col=14&amp;number=393.9&amp;sourceID=30","393.9")</f>
        <v>393.9</v>
      </c>
      <c r="O98" s="4" t="str">
        <f>HYPERLINK("http://141.218.60.56/~jnz1568/getInfo.php?workbook=08_02.xlsx&amp;sheet=A0&amp;row=98&amp;col=15&amp;number=&amp;sourceID=32","")</f>
        <v/>
      </c>
      <c r="P98" s="4" t="str">
        <f>HYPERLINK("http://141.218.60.56/~jnz1568/getInfo.php?workbook=08_02.xlsx&amp;sheet=A0&amp;row=98&amp;col=16&amp;number=&amp;sourceID=32","")</f>
        <v/>
      </c>
      <c r="Q98" s="4" t="str">
        <f>HYPERLINK("http://141.218.60.56/~jnz1568/getInfo.php?workbook=08_02.xlsx&amp;sheet=A0&amp;row=98&amp;col=17&amp;number=&amp;sourceID=32","")</f>
        <v/>
      </c>
      <c r="R98" s="4" t="str">
        <f>HYPERLINK("http://141.218.60.56/~jnz1568/getInfo.php?workbook=08_02.xlsx&amp;sheet=A0&amp;row=98&amp;col=18&amp;number=&amp;sourceID=32","")</f>
        <v/>
      </c>
      <c r="S98" s="4" t="str">
        <f>HYPERLINK("http://141.218.60.56/~jnz1568/getInfo.php?workbook=08_02.xlsx&amp;sheet=A0&amp;row=98&amp;col=19&amp;number=&amp;sourceID=1","")</f>
        <v/>
      </c>
      <c r="T98" s="4" t="str">
        <f>HYPERLINK("http://141.218.60.56/~jnz1568/getInfo.php?workbook=08_02.xlsx&amp;sheet=A0&amp;row=98&amp;col=20&amp;number=&amp;sourceID=1","")</f>
        <v/>
      </c>
    </row>
    <row r="99" spans="1:20">
      <c r="A99" s="3">
        <v>8</v>
      </c>
      <c r="B99" s="3">
        <v>2</v>
      </c>
      <c r="C99" s="3">
        <v>16</v>
      </c>
      <c r="D99" s="3">
        <v>5</v>
      </c>
      <c r="E99" s="3">
        <f>((1/(INDEX(E0!J$4:J$52,C99,1)-INDEX(E0!J$4:J$52,D99,1))))*100000000</f>
        <v>0</v>
      </c>
      <c r="F99" s="4" t="str">
        <f>HYPERLINK("http://141.218.60.56/~jnz1568/getInfo.php?workbook=08_02.xlsx&amp;sheet=A0&amp;row=99&amp;col=6&amp;number=&amp;sourceID=27","")</f>
        <v/>
      </c>
      <c r="G99" s="4" t="str">
        <f>HYPERLINK("http://141.218.60.56/~jnz1568/getInfo.php?workbook=08_02.xlsx&amp;sheet=A0&amp;row=99&amp;col=7&amp;number=&amp;sourceID=34","")</f>
        <v/>
      </c>
      <c r="H99" s="4" t="str">
        <f>HYPERLINK("http://141.218.60.56/~jnz1568/getInfo.php?workbook=08_02.xlsx&amp;sheet=A0&amp;row=99&amp;col=8&amp;number=&amp;sourceID=34","")</f>
        <v/>
      </c>
      <c r="I99" s="4" t="str">
        <f>HYPERLINK("http://141.218.60.56/~jnz1568/getInfo.php?workbook=08_02.xlsx&amp;sheet=A0&amp;row=99&amp;col=9&amp;number=&amp;sourceID=34","")</f>
        <v/>
      </c>
      <c r="J99" s="4" t="str">
        <f>HYPERLINK("http://141.218.60.56/~jnz1568/getInfo.php?workbook=08_02.xlsx&amp;sheet=A0&amp;row=99&amp;col=10&amp;number=&amp;sourceID=34","")</f>
        <v/>
      </c>
      <c r="K99" s="4" t="str">
        <f>HYPERLINK("http://141.218.60.56/~jnz1568/getInfo.php?workbook=08_02.xlsx&amp;sheet=A0&amp;row=99&amp;col=11&amp;number=511500000&amp;sourceID=30","511500000")</f>
        <v>511500000</v>
      </c>
      <c r="L99" s="4" t="str">
        <f>HYPERLINK("http://141.218.60.56/~jnz1568/getInfo.php?workbook=08_02.xlsx&amp;sheet=A0&amp;row=99&amp;col=12&amp;number=&amp;sourceID=30","")</f>
        <v/>
      </c>
      <c r="M99" s="4" t="str">
        <f>HYPERLINK("http://141.218.60.56/~jnz1568/getInfo.php?workbook=08_02.xlsx&amp;sheet=A0&amp;row=99&amp;col=13&amp;number=&amp;sourceID=30","")</f>
        <v/>
      </c>
      <c r="N99" s="4" t="str">
        <f>HYPERLINK("http://141.218.60.56/~jnz1568/getInfo.php?workbook=08_02.xlsx&amp;sheet=A0&amp;row=99&amp;col=14&amp;number=295.6&amp;sourceID=30","295.6")</f>
        <v>295.6</v>
      </c>
      <c r="O99" s="4" t="str">
        <f>HYPERLINK("http://141.218.60.56/~jnz1568/getInfo.php?workbook=08_02.xlsx&amp;sheet=A0&amp;row=99&amp;col=15&amp;number=&amp;sourceID=32","")</f>
        <v/>
      </c>
      <c r="P99" s="4" t="str">
        <f>HYPERLINK("http://141.218.60.56/~jnz1568/getInfo.php?workbook=08_02.xlsx&amp;sheet=A0&amp;row=99&amp;col=16&amp;number=&amp;sourceID=32","")</f>
        <v/>
      </c>
      <c r="Q99" s="4" t="str">
        <f>HYPERLINK("http://141.218.60.56/~jnz1568/getInfo.php?workbook=08_02.xlsx&amp;sheet=A0&amp;row=99&amp;col=17&amp;number=&amp;sourceID=32","")</f>
        <v/>
      </c>
      <c r="R99" s="4" t="str">
        <f>HYPERLINK("http://141.218.60.56/~jnz1568/getInfo.php?workbook=08_02.xlsx&amp;sheet=A0&amp;row=99&amp;col=18&amp;number=&amp;sourceID=32","")</f>
        <v/>
      </c>
      <c r="S99" s="4" t="str">
        <f>HYPERLINK("http://141.218.60.56/~jnz1568/getInfo.php?workbook=08_02.xlsx&amp;sheet=A0&amp;row=99&amp;col=19&amp;number=&amp;sourceID=1","")</f>
        <v/>
      </c>
      <c r="T99" s="4" t="str">
        <f>HYPERLINK("http://141.218.60.56/~jnz1568/getInfo.php?workbook=08_02.xlsx&amp;sheet=A0&amp;row=99&amp;col=20&amp;number=&amp;sourceID=1","")</f>
        <v/>
      </c>
    </row>
    <row r="100" spans="1:20">
      <c r="A100" s="3">
        <v>8</v>
      </c>
      <c r="B100" s="3">
        <v>2</v>
      </c>
      <c r="C100" s="3">
        <v>16</v>
      </c>
      <c r="D100" s="3">
        <v>6</v>
      </c>
      <c r="E100" s="3">
        <f>((1/(INDEX(E0!J$4:J$52,C100,1)-INDEX(E0!J$4:J$52,D100,1))))*100000000</f>
        <v>0</v>
      </c>
      <c r="F100" s="4" t="str">
        <f>HYPERLINK("http://141.218.60.56/~jnz1568/getInfo.php?workbook=08_02.xlsx&amp;sheet=A0&amp;row=100&amp;col=6&amp;number=&amp;sourceID=27","")</f>
        <v/>
      </c>
      <c r="G100" s="4" t="str">
        <f>HYPERLINK("http://141.218.60.56/~jnz1568/getInfo.php?workbook=08_02.xlsx&amp;sheet=A0&amp;row=100&amp;col=7&amp;number=&amp;sourceID=34","")</f>
        <v/>
      </c>
      <c r="H100" s="4" t="str">
        <f>HYPERLINK("http://141.218.60.56/~jnz1568/getInfo.php?workbook=08_02.xlsx&amp;sheet=A0&amp;row=100&amp;col=8&amp;number=4463000&amp;sourceID=34","4463000")</f>
        <v>4463000</v>
      </c>
      <c r="I100" s="4" t="str">
        <f>HYPERLINK("http://141.218.60.56/~jnz1568/getInfo.php?workbook=08_02.xlsx&amp;sheet=A0&amp;row=100&amp;col=9&amp;number=&amp;sourceID=34","")</f>
        <v/>
      </c>
      <c r="J100" s="4" t="str">
        <f>HYPERLINK("http://141.218.60.56/~jnz1568/getInfo.php?workbook=08_02.xlsx&amp;sheet=A0&amp;row=100&amp;col=10&amp;number=&amp;sourceID=34","")</f>
        <v/>
      </c>
      <c r="K100" s="4" t="str">
        <f>HYPERLINK("http://141.218.60.56/~jnz1568/getInfo.php?workbook=08_02.xlsx&amp;sheet=A0&amp;row=100&amp;col=11&amp;number=&amp;sourceID=30","")</f>
        <v/>
      </c>
      <c r="L100" s="4" t="str">
        <f>HYPERLINK("http://141.218.60.56/~jnz1568/getInfo.php?workbook=08_02.xlsx&amp;sheet=A0&amp;row=100&amp;col=12&amp;number=6585000&amp;sourceID=30","6585000")</f>
        <v>6585000</v>
      </c>
      <c r="M100" s="4" t="str">
        <f>HYPERLINK("http://141.218.60.56/~jnz1568/getInfo.php?workbook=08_02.xlsx&amp;sheet=A0&amp;row=100&amp;col=13&amp;number=&amp;sourceID=30","")</f>
        <v/>
      </c>
      <c r="N100" s="4" t="str">
        <f>HYPERLINK("http://141.218.60.56/~jnz1568/getInfo.php?workbook=08_02.xlsx&amp;sheet=A0&amp;row=100&amp;col=14&amp;number=&amp;sourceID=30","")</f>
        <v/>
      </c>
      <c r="O100" s="4" t="str">
        <f>HYPERLINK("http://141.218.60.56/~jnz1568/getInfo.php?workbook=08_02.xlsx&amp;sheet=A0&amp;row=100&amp;col=15&amp;number=&amp;sourceID=32","")</f>
        <v/>
      </c>
      <c r="P100" s="4" t="str">
        <f>HYPERLINK("http://141.218.60.56/~jnz1568/getInfo.php?workbook=08_02.xlsx&amp;sheet=A0&amp;row=100&amp;col=16&amp;number=6594000&amp;sourceID=32","6594000")</f>
        <v>6594000</v>
      </c>
      <c r="Q100" s="4" t="str">
        <f>HYPERLINK("http://141.218.60.56/~jnz1568/getInfo.php?workbook=08_02.xlsx&amp;sheet=A0&amp;row=100&amp;col=17&amp;number=&amp;sourceID=32","")</f>
        <v/>
      </c>
      <c r="R100" s="4" t="str">
        <f>HYPERLINK("http://141.218.60.56/~jnz1568/getInfo.php?workbook=08_02.xlsx&amp;sheet=A0&amp;row=100&amp;col=18&amp;number=&amp;sourceID=32","")</f>
        <v/>
      </c>
      <c r="S100" s="4" t="str">
        <f>HYPERLINK("http://141.218.60.56/~jnz1568/getInfo.php?workbook=08_02.xlsx&amp;sheet=A0&amp;row=100&amp;col=19&amp;number=&amp;sourceID=1","")</f>
        <v/>
      </c>
      <c r="T100" s="4" t="str">
        <f>HYPERLINK("http://141.218.60.56/~jnz1568/getInfo.php?workbook=08_02.xlsx&amp;sheet=A0&amp;row=100&amp;col=20&amp;number=&amp;sourceID=1","")</f>
        <v/>
      </c>
    </row>
    <row r="101" spans="1:20">
      <c r="A101" s="3">
        <v>8</v>
      </c>
      <c r="B101" s="3">
        <v>2</v>
      </c>
      <c r="C101" s="3">
        <v>16</v>
      </c>
      <c r="D101" s="3">
        <v>7</v>
      </c>
      <c r="E101" s="3">
        <f>((1/(INDEX(E0!J$4:J$52,C101,1)-INDEX(E0!J$4:J$52,D101,1))))*100000000</f>
        <v>0</v>
      </c>
      <c r="F101" s="4" t="str">
        <f>HYPERLINK("http://141.218.60.56/~jnz1568/getInfo.php?workbook=08_02.xlsx&amp;sheet=A0&amp;row=101&amp;col=6&amp;number=&amp;sourceID=27","")</f>
        <v/>
      </c>
      <c r="G101" s="4" t="str">
        <f>HYPERLINK("http://141.218.60.56/~jnz1568/getInfo.php?workbook=08_02.xlsx&amp;sheet=A0&amp;row=101&amp;col=7&amp;number=152300000000&amp;sourceID=34","152300000000")</f>
        <v>152300000000</v>
      </c>
      <c r="H101" s="4" t="str">
        <f>HYPERLINK("http://141.218.60.56/~jnz1568/getInfo.php?workbook=08_02.xlsx&amp;sheet=A0&amp;row=101&amp;col=8&amp;number=&amp;sourceID=34","")</f>
        <v/>
      </c>
      <c r="I101" s="4" t="str">
        <f>HYPERLINK("http://141.218.60.56/~jnz1568/getInfo.php?workbook=08_02.xlsx&amp;sheet=A0&amp;row=101&amp;col=9&amp;number=&amp;sourceID=34","")</f>
        <v/>
      </c>
      <c r="J101" s="4" t="str">
        <f>HYPERLINK("http://141.218.60.56/~jnz1568/getInfo.php?workbook=08_02.xlsx&amp;sheet=A0&amp;row=101&amp;col=10&amp;number=&amp;sourceID=34","")</f>
        <v/>
      </c>
      <c r="K101" s="4" t="str">
        <f>HYPERLINK("http://141.218.60.56/~jnz1568/getInfo.php?workbook=08_02.xlsx&amp;sheet=A0&amp;row=101&amp;col=11&amp;number=151400000000&amp;sourceID=30","151400000000")</f>
        <v>151400000000</v>
      </c>
      <c r="L101" s="4" t="str">
        <f>HYPERLINK("http://141.218.60.56/~jnz1568/getInfo.php?workbook=08_02.xlsx&amp;sheet=A0&amp;row=101&amp;col=12&amp;number=&amp;sourceID=30","")</f>
        <v/>
      </c>
      <c r="M101" s="4" t="str">
        <f>HYPERLINK("http://141.218.60.56/~jnz1568/getInfo.php?workbook=08_02.xlsx&amp;sheet=A0&amp;row=101&amp;col=13&amp;number=&amp;sourceID=30","")</f>
        <v/>
      </c>
      <c r="N101" s="4" t="str">
        <f>HYPERLINK("http://141.218.60.56/~jnz1568/getInfo.php?workbook=08_02.xlsx&amp;sheet=A0&amp;row=101&amp;col=14&amp;number=281.1&amp;sourceID=30","281.1")</f>
        <v>281.1</v>
      </c>
      <c r="O101" s="4" t="str">
        <f>HYPERLINK("http://141.218.60.56/~jnz1568/getInfo.php?workbook=08_02.xlsx&amp;sheet=A0&amp;row=101&amp;col=15&amp;number=&amp;sourceID=32","")</f>
        <v/>
      </c>
      <c r="P101" s="4" t="str">
        <f>HYPERLINK("http://141.218.60.56/~jnz1568/getInfo.php?workbook=08_02.xlsx&amp;sheet=A0&amp;row=101&amp;col=16&amp;number=&amp;sourceID=32","")</f>
        <v/>
      </c>
      <c r="Q101" s="4" t="str">
        <f>HYPERLINK("http://141.218.60.56/~jnz1568/getInfo.php?workbook=08_02.xlsx&amp;sheet=A0&amp;row=101&amp;col=17&amp;number=&amp;sourceID=32","")</f>
        <v/>
      </c>
      <c r="R101" s="4" t="str">
        <f>HYPERLINK("http://141.218.60.56/~jnz1568/getInfo.php?workbook=08_02.xlsx&amp;sheet=A0&amp;row=101&amp;col=18&amp;number=&amp;sourceID=32","")</f>
        <v/>
      </c>
      <c r="S101" s="4" t="str">
        <f>HYPERLINK("http://141.218.60.56/~jnz1568/getInfo.php?workbook=08_02.xlsx&amp;sheet=A0&amp;row=101&amp;col=19&amp;number=&amp;sourceID=1","")</f>
        <v/>
      </c>
      <c r="T101" s="4" t="str">
        <f>HYPERLINK("http://141.218.60.56/~jnz1568/getInfo.php?workbook=08_02.xlsx&amp;sheet=A0&amp;row=101&amp;col=20&amp;number=&amp;sourceID=1","")</f>
        <v/>
      </c>
    </row>
    <row r="102" spans="1:20">
      <c r="A102" s="3">
        <v>8</v>
      </c>
      <c r="B102" s="3">
        <v>2</v>
      </c>
      <c r="C102" s="3">
        <v>16</v>
      </c>
      <c r="D102" s="3">
        <v>8</v>
      </c>
      <c r="E102" s="3">
        <f>((1/(INDEX(E0!J$4:J$52,C102,1)-INDEX(E0!J$4:J$52,D102,1))))*100000000</f>
        <v>0</v>
      </c>
      <c r="F102" s="4" t="str">
        <f>HYPERLINK("http://141.218.60.56/~jnz1568/getInfo.php?workbook=08_02.xlsx&amp;sheet=A0&amp;row=102&amp;col=6&amp;number=&amp;sourceID=27","")</f>
        <v/>
      </c>
      <c r="G102" s="4" t="str">
        <f>HYPERLINK("http://141.218.60.56/~jnz1568/getInfo.php?workbook=08_02.xlsx&amp;sheet=A0&amp;row=102&amp;col=7&amp;number=&amp;sourceID=34","")</f>
        <v/>
      </c>
      <c r="H102" s="4" t="str">
        <f>HYPERLINK("http://141.218.60.56/~jnz1568/getInfo.php?workbook=08_02.xlsx&amp;sheet=A0&amp;row=102&amp;col=8&amp;number=&amp;sourceID=34","")</f>
        <v/>
      </c>
      <c r="I102" s="4" t="str">
        <f>HYPERLINK("http://141.218.60.56/~jnz1568/getInfo.php?workbook=08_02.xlsx&amp;sheet=A0&amp;row=102&amp;col=9&amp;number=&amp;sourceID=34","")</f>
        <v/>
      </c>
      <c r="J102" s="4" t="str">
        <f>HYPERLINK("http://141.218.60.56/~jnz1568/getInfo.php?workbook=08_02.xlsx&amp;sheet=A0&amp;row=102&amp;col=10&amp;number=&amp;sourceID=34","")</f>
        <v/>
      </c>
      <c r="K102" s="4" t="str">
        <f>HYPERLINK("http://141.218.60.56/~jnz1568/getInfo.php?workbook=08_02.xlsx&amp;sheet=A0&amp;row=102&amp;col=11&amp;number=&amp;sourceID=30","")</f>
        <v/>
      </c>
      <c r="L102" s="4" t="str">
        <f>HYPERLINK("http://141.218.60.56/~jnz1568/getInfo.php?workbook=08_02.xlsx&amp;sheet=A0&amp;row=102&amp;col=12&amp;number=0.02729&amp;sourceID=30","0.02729")</f>
        <v>0.02729</v>
      </c>
      <c r="M102" s="4" t="str">
        <f>HYPERLINK("http://141.218.60.56/~jnz1568/getInfo.php?workbook=08_02.xlsx&amp;sheet=A0&amp;row=102&amp;col=13&amp;number=2.055e-08&amp;sourceID=30","2.055e-08")</f>
        <v>2.055e-08</v>
      </c>
      <c r="N102" s="4" t="str">
        <f>HYPERLINK("http://141.218.60.56/~jnz1568/getInfo.php?workbook=08_02.xlsx&amp;sheet=A0&amp;row=102&amp;col=14&amp;number=&amp;sourceID=30","")</f>
        <v/>
      </c>
      <c r="O102" s="4" t="str">
        <f>HYPERLINK("http://141.218.60.56/~jnz1568/getInfo.php?workbook=08_02.xlsx&amp;sheet=A0&amp;row=102&amp;col=15&amp;number=&amp;sourceID=32","")</f>
        <v/>
      </c>
      <c r="P102" s="4" t="str">
        <f>HYPERLINK("http://141.218.60.56/~jnz1568/getInfo.php?workbook=08_02.xlsx&amp;sheet=A0&amp;row=102&amp;col=16&amp;number=0.03436&amp;sourceID=32","0.03436")</f>
        <v>0.03436</v>
      </c>
      <c r="Q102" s="4" t="str">
        <f>HYPERLINK("http://141.218.60.56/~jnz1568/getInfo.php?workbook=08_02.xlsx&amp;sheet=A0&amp;row=102&amp;col=17&amp;number=1.871e-08&amp;sourceID=32","1.871e-08")</f>
        <v>1.871e-08</v>
      </c>
      <c r="R102" s="4" t="str">
        <f>HYPERLINK("http://141.218.60.56/~jnz1568/getInfo.php?workbook=08_02.xlsx&amp;sheet=A0&amp;row=102&amp;col=18&amp;number=&amp;sourceID=32","")</f>
        <v/>
      </c>
      <c r="S102" s="4" t="str">
        <f>HYPERLINK("http://141.218.60.56/~jnz1568/getInfo.php?workbook=08_02.xlsx&amp;sheet=A0&amp;row=102&amp;col=19&amp;number=&amp;sourceID=1","")</f>
        <v/>
      </c>
      <c r="T102" s="4" t="str">
        <f>HYPERLINK("http://141.218.60.56/~jnz1568/getInfo.php?workbook=08_02.xlsx&amp;sheet=A0&amp;row=102&amp;col=20&amp;number=&amp;sourceID=1","")</f>
        <v/>
      </c>
    </row>
    <row r="103" spans="1:20">
      <c r="A103" s="3">
        <v>8</v>
      </c>
      <c r="B103" s="3">
        <v>2</v>
      </c>
      <c r="C103" s="3">
        <v>16</v>
      </c>
      <c r="D103" s="3">
        <v>9</v>
      </c>
      <c r="E103" s="3">
        <f>((1/(INDEX(E0!J$4:J$52,C103,1)-INDEX(E0!J$4:J$52,D103,1))))*100000000</f>
        <v>0</v>
      </c>
      <c r="F103" s="4" t="str">
        <f>HYPERLINK("http://141.218.60.56/~jnz1568/getInfo.php?workbook=08_02.xlsx&amp;sheet=A0&amp;row=103&amp;col=6&amp;number=&amp;sourceID=27","")</f>
        <v/>
      </c>
      <c r="G103" s="4" t="str">
        <f>HYPERLINK("http://141.218.60.56/~jnz1568/getInfo.php?workbook=08_02.xlsx&amp;sheet=A0&amp;row=103&amp;col=7&amp;number=&amp;sourceID=34","")</f>
        <v/>
      </c>
      <c r="H103" s="4" t="str">
        <f>HYPERLINK("http://141.218.60.56/~jnz1568/getInfo.php?workbook=08_02.xlsx&amp;sheet=A0&amp;row=103&amp;col=8&amp;number=&amp;sourceID=34","")</f>
        <v/>
      </c>
      <c r="I103" s="4" t="str">
        <f>HYPERLINK("http://141.218.60.56/~jnz1568/getInfo.php?workbook=08_02.xlsx&amp;sheet=A0&amp;row=103&amp;col=9&amp;number=&amp;sourceID=34","")</f>
        <v/>
      </c>
      <c r="J103" s="4" t="str">
        <f>HYPERLINK("http://141.218.60.56/~jnz1568/getInfo.php?workbook=08_02.xlsx&amp;sheet=A0&amp;row=103&amp;col=10&amp;number=&amp;sourceID=34","")</f>
        <v/>
      </c>
      <c r="K103" s="4" t="str">
        <f>HYPERLINK("http://141.218.60.56/~jnz1568/getInfo.php?workbook=08_02.xlsx&amp;sheet=A0&amp;row=103&amp;col=11&amp;number=&amp;sourceID=30","")</f>
        <v/>
      </c>
      <c r="L103" s="4" t="str">
        <f>HYPERLINK("http://141.218.60.56/~jnz1568/getInfo.php?workbook=08_02.xlsx&amp;sheet=A0&amp;row=103&amp;col=12&amp;number=&amp;sourceID=30","")</f>
        <v/>
      </c>
      <c r="M103" s="4" t="str">
        <f>HYPERLINK("http://141.218.60.56/~jnz1568/getInfo.php?workbook=08_02.xlsx&amp;sheet=A0&amp;row=103&amp;col=13&amp;number=&amp;sourceID=30","")</f>
        <v/>
      </c>
      <c r="N103" s="4" t="str">
        <f>HYPERLINK("http://141.218.60.56/~jnz1568/getInfo.php?workbook=08_02.xlsx&amp;sheet=A0&amp;row=103&amp;col=14&amp;number=1.689e-07&amp;sourceID=30","1.689e-07")</f>
        <v>1.689e-07</v>
      </c>
      <c r="O103" s="4" t="str">
        <f>HYPERLINK("http://141.218.60.56/~jnz1568/getInfo.php?workbook=08_02.xlsx&amp;sheet=A0&amp;row=103&amp;col=15&amp;number=&amp;sourceID=32","")</f>
        <v/>
      </c>
      <c r="P103" s="4" t="str">
        <f>HYPERLINK("http://141.218.60.56/~jnz1568/getInfo.php?workbook=08_02.xlsx&amp;sheet=A0&amp;row=103&amp;col=16&amp;number=&amp;sourceID=32","")</f>
        <v/>
      </c>
      <c r="Q103" s="4" t="str">
        <f>HYPERLINK("http://141.218.60.56/~jnz1568/getInfo.php?workbook=08_02.xlsx&amp;sheet=A0&amp;row=103&amp;col=17&amp;number=&amp;sourceID=32","")</f>
        <v/>
      </c>
      <c r="R103" s="4" t="str">
        <f>HYPERLINK("http://141.218.60.56/~jnz1568/getInfo.php?workbook=08_02.xlsx&amp;sheet=A0&amp;row=103&amp;col=18&amp;number=1.888e-07&amp;sourceID=32","1.888e-07")</f>
        <v>1.888e-07</v>
      </c>
      <c r="S103" s="4" t="str">
        <f>HYPERLINK("http://141.218.60.56/~jnz1568/getInfo.php?workbook=08_02.xlsx&amp;sheet=A0&amp;row=103&amp;col=19&amp;number=&amp;sourceID=1","")</f>
        <v/>
      </c>
      <c r="T103" s="4" t="str">
        <f>HYPERLINK("http://141.218.60.56/~jnz1568/getInfo.php?workbook=08_02.xlsx&amp;sheet=A0&amp;row=103&amp;col=20&amp;number=&amp;sourceID=1","")</f>
        <v/>
      </c>
    </row>
    <row r="104" spans="1:20">
      <c r="A104" s="3">
        <v>8</v>
      </c>
      <c r="B104" s="3">
        <v>2</v>
      </c>
      <c r="C104" s="3">
        <v>16</v>
      </c>
      <c r="D104" s="3">
        <v>10</v>
      </c>
      <c r="E104" s="3">
        <f>((1/(INDEX(E0!J$4:J$52,C104,1)-INDEX(E0!J$4:J$52,D104,1))))*100000000</f>
        <v>0</v>
      </c>
      <c r="F104" s="4" t="str">
        <f>HYPERLINK("http://141.218.60.56/~jnz1568/getInfo.php?workbook=08_02.xlsx&amp;sheet=A0&amp;row=104&amp;col=6&amp;number=&amp;sourceID=27","")</f>
        <v/>
      </c>
      <c r="G104" s="4" t="str">
        <f>HYPERLINK("http://141.218.60.56/~jnz1568/getInfo.php?workbook=08_02.xlsx&amp;sheet=A0&amp;row=104&amp;col=7&amp;number=&amp;sourceID=34","")</f>
        <v/>
      </c>
      <c r="H104" s="4" t="str">
        <f>HYPERLINK("http://141.218.60.56/~jnz1568/getInfo.php?workbook=08_02.xlsx&amp;sheet=A0&amp;row=104&amp;col=8&amp;number=&amp;sourceID=34","")</f>
        <v/>
      </c>
      <c r="I104" s="4" t="str">
        <f>HYPERLINK("http://141.218.60.56/~jnz1568/getInfo.php?workbook=08_02.xlsx&amp;sheet=A0&amp;row=104&amp;col=9&amp;number=&amp;sourceID=34","")</f>
        <v/>
      </c>
      <c r="J104" s="4" t="str">
        <f>HYPERLINK("http://141.218.60.56/~jnz1568/getInfo.php?workbook=08_02.xlsx&amp;sheet=A0&amp;row=104&amp;col=10&amp;number=&amp;sourceID=34","")</f>
        <v/>
      </c>
      <c r="K104" s="4" t="str">
        <f>HYPERLINK("http://141.218.60.56/~jnz1568/getInfo.php?workbook=08_02.xlsx&amp;sheet=A0&amp;row=104&amp;col=11&amp;number=9184&amp;sourceID=30","9184")</f>
        <v>9184</v>
      </c>
      <c r="L104" s="4" t="str">
        <f>HYPERLINK("http://141.218.60.56/~jnz1568/getInfo.php?workbook=08_02.xlsx&amp;sheet=A0&amp;row=104&amp;col=12&amp;number=&amp;sourceID=30","")</f>
        <v/>
      </c>
      <c r="M104" s="4" t="str">
        <f>HYPERLINK("http://141.218.60.56/~jnz1568/getInfo.php?workbook=08_02.xlsx&amp;sheet=A0&amp;row=104&amp;col=13&amp;number=&amp;sourceID=30","")</f>
        <v/>
      </c>
      <c r="N104" s="4" t="str">
        <f>HYPERLINK("http://141.218.60.56/~jnz1568/getInfo.php?workbook=08_02.xlsx&amp;sheet=A0&amp;row=104&amp;col=14&amp;number=4.228e-07&amp;sourceID=30","4.228e-07")</f>
        <v>4.228e-07</v>
      </c>
      <c r="O104" s="4" t="str">
        <f>HYPERLINK("http://141.218.60.56/~jnz1568/getInfo.php?workbook=08_02.xlsx&amp;sheet=A0&amp;row=104&amp;col=15&amp;number=&amp;sourceID=32","")</f>
        <v/>
      </c>
      <c r="P104" s="4" t="str">
        <f>HYPERLINK("http://141.218.60.56/~jnz1568/getInfo.php?workbook=08_02.xlsx&amp;sheet=A0&amp;row=104&amp;col=16&amp;number=&amp;sourceID=32","")</f>
        <v/>
      </c>
      <c r="Q104" s="4" t="str">
        <f>HYPERLINK("http://141.218.60.56/~jnz1568/getInfo.php?workbook=08_02.xlsx&amp;sheet=A0&amp;row=104&amp;col=17&amp;number=&amp;sourceID=32","")</f>
        <v/>
      </c>
      <c r="R104" s="4" t="str">
        <f>HYPERLINK("http://141.218.60.56/~jnz1568/getInfo.php?workbook=08_02.xlsx&amp;sheet=A0&amp;row=104&amp;col=18&amp;number=&amp;sourceID=32","")</f>
        <v/>
      </c>
      <c r="S104" s="4" t="str">
        <f>HYPERLINK("http://141.218.60.56/~jnz1568/getInfo.php?workbook=08_02.xlsx&amp;sheet=A0&amp;row=104&amp;col=19&amp;number=&amp;sourceID=1","")</f>
        <v/>
      </c>
      <c r="T104" s="4" t="str">
        <f>HYPERLINK("http://141.218.60.56/~jnz1568/getInfo.php?workbook=08_02.xlsx&amp;sheet=A0&amp;row=104&amp;col=20&amp;number=&amp;sourceID=1","")</f>
        <v/>
      </c>
    </row>
    <row r="105" spans="1:20">
      <c r="A105" s="3">
        <v>8</v>
      </c>
      <c r="B105" s="3">
        <v>2</v>
      </c>
      <c r="C105" s="3">
        <v>16</v>
      </c>
      <c r="D105" s="3">
        <v>11</v>
      </c>
      <c r="E105" s="3">
        <f>((1/(INDEX(E0!J$4:J$52,C105,1)-INDEX(E0!J$4:J$52,D105,1))))*100000000</f>
        <v>0</v>
      </c>
      <c r="F105" s="4" t="str">
        <f>HYPERLINK("http://141.218.60.56/~jnz1568/getInfo.php?workbook=08_02.xlsx&amp;sheet=A0&amp;row=105&amp;col=6&amp;number=&amp;sourceID=27","")</f>
        <v/>
      </c>
      <c r="G105" s="4" t="str">
        <f>HYPERLINK("http://141.218.60.56/~jnz1568/getInfo.php?workbook=08_02.xlsx&amp;sheet=A0&amp;row=105&amp;col=7&amp;number=&amp;sourceID=34","")</f>
        <v/>
      </c>
      <c r="H105" s="4" t="str">
        <f>HYPERLINK("http://141.218.60.56/~jnz1568/getInfo.php?workbook=08_02.xlsx&amp;sheet=A0&amp;row=105&amp;col=8&amp;number=&amp;sourceID=34","")</f>
        <v/>
      </c>
      <c r="I105" s="4" t="str">
        <f>HYPERLINK("http://141.218.60.56/~jnz1568/getInfo.php?workbook=08_02.xlsx&amp;sheet=A0&amp;row=105&amp;col=9&amp;number=&amp;sourceID=34","")</f>
        <v/>
      </c>
      <c r="J105" s="4" t="str">
        <f>HYPERLINK("http://141.218.60.56/~jnz1568/getInfo.php?workbook=08_02.xlsx&amp;sheet=A0&amp;row=105&amp;col=10&amp;number=&amp;sourceID=34","")</f>
        <v/>
      </c>
      <c r="K105" s="4" t="str">
        <f>HYPERLINK("http://141.218.60.56/~jnz1568/getInfo.php?workbook=08_02.xlsx&amp;sheet=A0&amp;row=105&amp;col=11&amp;number=3820&amp;sourceID=30","3820")</f>
        <v>3820</v>
      </c>
      <c r="L105" s="4" t="str">
        <f>HYPERLINK("http://141.218.60.56/~jnz1568/getInfo.php?workbook=08_02.xlsx&amp;sheet=A0&amp;row=105&amp;col=12&amp;number=&amp;sourceID=30","")</f>
        <v/>
      </c>
      <c r="M105" s="4" t="str">
        <f>HYPERLINK("http://141.218.60.56/~jnz1568/getInfo.php?workbook=08_02.xlsx&amp;sheet=A0&amp;row=105&amp;col=13&amp;number=&amp;sourceID=30","")</f>
        <v/>
      </c>
      <c r="N105" s="4" t="str">
        <f>HYPERLINK("http://141.218.60.56/~jnz1568/getInfo.php?workbook=08_02.xlsx&amp;sheet=A0&amp;row=105&amp;col=14&amp;number=2.909e-07&amp;sourceID=30","2.909e-07")</f>
        <v>2.909e-07</v>
      </c>
      <c r="O105" s="4" t="str">
        <f>HYPERLINK("http://141.218.60.56/~jnz1568/getInfo.php?workbook=08_02.xlsx&amp;sheet=A0&amp;row=105&amp;col=15&amp;number=&amp;sourceID=32","")</f>
        <v/>
      </c>
      <c r="P105" s="4" t="str">
        <f>HYPERLINK("http://141.218.60.56/~jnz1568/getInfo.php?workbook=08_02.xlsx&amp;sheet=A0&amp;row=105&amp;col=16&amp;number=&amp;sourceID=32","")</f>
        <v/>
      </c>
      <c r="Q105" s="4" t="str">
        <f>HYPERLINK("http://141.218.60.56/~jnz1568/getInfo.php?workbook=08_02.xlsx&amp;sheet=A0&amp;row=105&amp;col=17&amp;number=&amp;sourceID=32","")</f>
        <v/>
      </c>
      <c r="R105" s="4" t="str">
        <f>HYPERLINK("http://141.218.60.56/~jnz1568/getInfo.php?workbook=08_02.xlsx&amp;sheet=A0&amp;row=105&amp;col=18&amp;number=&amp;sourceID=32","")</f>
        <v/>
      </c>
      <c r="S105" s="4" t="str">
        <f>HYPERLINK("http://141.218.60.56/~jnz1568/getInfo.php?workbook=08_02.xlsx&amp;sheet=A0&amp;row=105&amp;col=19&amp;number=&amp;sourceID=1","")</f>
        <v/>
      </c>
      <c r="T105" s="4" t="str">
        <f>HYPERLINK("http://141.218.60.56/~jnz1568/getInfo.php?workbook=08_02.xlsx&amp;sheet=A0&amp;row=105&amp;col=20&amp;number=&amp;sourceID=1","")</f>
        <v/>
      </c>
    </row>
    <row r="106" spans="1:20">
      <c r="A106" s="3">
        <v>8</v>
      </c>
      <c r="B106" s="3">
        <v>2</v>
      </c>
      <c r="C106" s="3">
        <v>16</v>
      </c>
      <c r="D106" s="3">
        <v>12</v>
      </c>
      <c r="E106" s="3">
        <f>((1/(INDEX(E0!J$4:J$52,C106,1)-INDEX(E0!J$4:J$52,D106,1))))*100000000</f>
        <v>0</v>
      </c>
      <c r="F106" s="4" t="str">
        <f>HYPERLINK("http://141.218.60.56/~jnz1568/getInfo.php?workbook=08_02.xlsx&amp;sheet=A0&amp;row=106&amp;col=6&amp;number=&amp;sourceID=27","")</f>
        <v/>
      </c>
      <c r="G106" s="4" t="str">
        <f>HYPERLINK("http://141.218.60.56/~jnz1568/getInfo.php?workbook=08_02.xlsx&amp;sheet=A0&amp;row=106&amp;col=7&amp;number=&amp;sourceID=34","")</f>
        <v/>
      </c>
      <c r="H106" s="4" t="str">
        <f>HYPERLINK("http://141.218.60.56/~jnz1568/getInfo.php?workbook=08_02.xlsx&amp;sheet=A0&amp;row=106&amp;col=8&amp;number=&amp;sourceID=34","")</f>
        <v/>
      </c>
      <c r="I106" s="4" t="str">
        <f>HYPERLINK("http://141.218.60.56/~jnz1568/getInfo.php?workbook=08_02.xlsx&amp;sheet=A0&amp;row=106&amp;col=9&amp;number=&amp;sourceID=34","")</f>
        <v/>
      </c>
      <c r="J106" s="4" t="str">
        <f>HYPERLINK("http://141.218.60.56/~jnz1568/getInfo.php?workbook=08_02.xlsx&amp;sheet=A0&amp;row=106&amp;col=10&amp;number=&amp;sourceID=34","")</f>
        <v/>
      </c>
      <c r="K106" s="4" t="str">
        <f>HYPERLINK("http://141.218.60.56/~jnz1568/getInfo.php?workbook=08_02.xlsx&amp;sheet=A0&amp;row=106&amp;col=11&amp;number=&amp;sourceID=30","")</f>
        <v/>
      </c>
      <c r="L106" s="4" t="str">
        <f>HYPERLINK("http://141.218.60.56/~jnz1568/getInfo.php?workbook=08_02.xlsx&amp;sheet=A0&amp;row=106&amp;col=12&amp;number=0.004686&amp;sourceID=30","0.004686")</f>
        <v>0.004686</v>
      </c>
      <c r="M106" s="4" t="str">
        <f>HYPERLINK("http://141.218.60.56/~jnz1568/getInfo.php?workbook=08_02.xlsx&amp;sheet=A0&amp;row=106&amp;col=13&amp;number=&amp;sourceID=30","")</f>
        <v/>
      </c>
      <c r="N106" s="4" t="str">
        <f>HYPERLINK("http://141.218.60.56/~jnz1568/getInfo.php?workbook=08_02.xlsx&amp;sheet=A0&amp;row=106&amp;col=14&amp;number=&amp;sourceID=30","")</f>
        <v/>
      </c>
      <c r="O106" s="4" t="str">
        <f>HYPERLINK("http://141.218.60.56/~jnz1568/getInfo.php?workbook=08_02.xlsx&amp;sheet=A0&amp;row=106&amp;col=15&amp;number=&amp;sourceID=32","")</f>
        <v/>
      </c>
      <c r="P106" s="4" t="str">
        <f>HYPERLINK("http://141.218.60.56/~jnz1568/getInfo.php?workbook=08_02.xlsx&amp;sheet=A0&amp;row=106&amp;col=16&amp;number=0.01213&amp;sourceID=32","0.01213")</f>
        <v>0.01213</v>
      </c>
      <c r="Q106" s="4" t="str">
        <f>HYPERLINK("http://141.218.60.56/~jnz1568/getInfo.php?workbook=08_02.xlsx&amp;sheet=A0&amp;row=106&amp;col=17&amp;number=&amp;sourceID=32","")</f>
        <v/>
      </c>
      <c r="R106" s="4" t="str">
        <f>HYPERLINK("http://141.218.60.56/~jnz1568/getInfo.php?workbook=08_02.xlsx&amp;sheet=A0&amp;row=106&amp;col=18&amp;number=&amp;sourceID=32","")</f>
        <v/>
      </c>
      <c r="S106" s="4" t="str">
        <f>HYPERLINK("http://141.218.60.56/~jnz1568/getInfo.php?workbook=08_02.xlsx&amp;sheet=A0&amp;row=106&amp;col=19&amp;number=&amp;sourceID=1","")</f>
        <v/>
      </c>
      <c r="T106" s="4" t="str">
        <f>HYPERLINK("http://141.218.60.56/~jnz1568/getInfo.php?workbook=08_02.xlsx&amp;sheet=A0&amp;row=106&amp;col=20&amp;number=&amp;sourceID=1","")</f>
        <v/>
      </c>
    </row>
    <row r="107" spans="1:20">
      <c r="A107" s="3">
        <v>8</v>
      </c>
      <c r="B107" s="3">
        <v>2</v>
      </c>
      <c r="C107" s="3">
        <v>16</v>
      </c>
      <c r="D107" s="3">
        <v>13</v>
      </c>
      <c r="E107" s="3">
        <f>((1/(INDEX(E0!J$4:J$52,C107,1)-INDEX(E0!J$4:J$52,D107,1))))*100000000</f>
        <v>0</v>
      </c>
      <c r="F107" s="4" t="str">
        <f>HYPERLINK("http://141.218.60.56/~jnz1568/getInfo.php?workbook=08_02.xlsx&amp;sheet=A0&amp;row=107&amp;col=6&amp;number=&amp;sourceID=27","")</f>
        <v/>
      </c>
      <c r="G107" s="4" t="str">
        <f>HYPERLINK("http://141.218.60.56/~jnz1568/getInfo.php?workbook=08_02.xlsx&amp;sheet=A0&amp;row=107&amp;col=7&amp;number=&amp;sourceID=34","")</f>
        <v/>
      </c>
      <c r="H107" s="4" t="str">
        <f>HYPERLINK("http://141.218.60.56/~jnz1568/getInfo.php?workbook=08_02.xlsx&amp;sheet=A0&amp;row=107&amp;col=8&amp;number=&amp;sourceID=34","")</f>
        <v/>
      </c>
      <c r="I107" s="4" t="str">
        <f>HYPERLINK("http://141.218.60.56/~jnz1568/getInfo.php?workbook=08_02.xlsx&amp;sheet=A0&amp;row=107&amp;col=9&amp;number=&amp;sourceID=34","")</f>
        <v/>
      </c>
      <c r="J107" s="4" t="str">
        <f>HYPERLINK("http://141.218.60.56/~jnz1568/getInfo.php?workbook=08_02.xlsx&amp;sheet=A0&amp;row=107&amp;col=10&amp;number=&amp;sourceID=34","")</f>
        <v/>
      </c>
      <c r="K107" s="4" t="str">
        <f>HYPERLINK("http://141.218.60.56/~jnz1568/getInfo.php?workbook=08_02.xlsx&amp;sheet=A0&amp;row=107&amp;col=11&amp;number=&amp;sourceID=30","")</f>
        <v/>
      </c>
      <c r="L107" s="4" t="str">
        <f>HYPERLINK("http://141.218.60.56/~jnz1568/getInfo.php?workbook=08_02.xlsx&amp;sheet=A0&amp;row=107&amp;col=12&amp;number=2.811e-11&amp;sourceID=30","2.811e-11")</f>
        <v>2.811e-11</v>
      </c>
      <c r="M107" s="4" t="str">
        <f>HYPERLINK("http://141.218.60.56/~jnz1568/getInfo.php?workbook=08_02.xlsx&amp;sheet=A0&amp;row=107&amp;col=13&amp;number=3.804e-05&amp;sourceID=30","3.804e-05")</f>
        <v>3.804e-05</v>
      </c>
      <c r="N107" s="4" t="str">
        <f>HYPERLINK("http://141.218.60.56/~jnz1568/getInfo.php?workbook=08_02.xlsx&amp;sheet=A0&amp;row=107&amp;col=14&amp;number=&amp;sourceID=30","")</f>
        <v/>
      </c>
      <c r="O107" s="4" t="str">
        <f>HYPERLINK("http://141.218.60.56/~jnz1568/getInfo.php?workbook=08_02.xlsx&amp;sheet=A0&amp;row=107&amp;col=15&amp;number=&amp;sourceID=32","")</f>
        <v/>
      </c>
      <c r="P107" s="4" t="str">
        <f>HYPERLINK("http://141.218.60.56/~jnz1568/getInfo.php?workbook=08_02.xlsx&amp;sheet=A0&amp;row=107&amp;col=16&amp;number=1.911e-11&amp;sourceID=32","1.911e-11")</f>
        <v>1.911e-11</v>
      </c>
      <c r="Q107" s="4" t="str">
        <f>HYPERLINK("http://141.218.60.56/~jnz1568/getInfo.php?workbook=08_02.xlsx&amp;sheet=A0&amp;row=107&amp;col=17&amp;number=3.295e-05&amp;sourceID=32","3.295e-05")</f>
        <v>3.295e-05</v>
      </c>
      <c r="R107" s="4" t="str">
        <f>HYPERLINK("http://141.218.60.56/~jnz1568/getInfo.php?workbook=08_02.xlsx&amp;sheet=A0&amp;row=107&amp;col=18&amp;number=&amp;sourceID=32","")</f>
        <v/>
      </c>
      <c r="S107" s="4" t="str">
        <f>HYPERLINK("http://141.218.60.56/~jnz1568/getInfo.php?workbook=08_02.xlsx&amp;sheet=A0&amp;row=107&amp;col=19&amp;number=&amp;sourceID=1","")</f>
        <v/>
      </c>
      <c r="T107" s="4" t="str">
        <f>HYPERLINK("http://141.218.60.56/~jnz1568/getInfo.php?workbook=08_02.xlsx&amp;sheet=A0&amp;row=107&amp;col=20&amp;number=&amp;sourceID=1","")</f>
        <v/>
      </c>
    </row>
    <row r="108" spans="1:20">
      <c r="A108" s="3">
        <v>8</v>
      </c>
      <c r="B108" s="3">
        <v>2</v>
      </c>
      <c r="C108" s="3">
        <v>16</v>
      </c>
      <c r="D108" s="3">
        <v>14</v>
      </c>
      <c r="E108" s="3">
        <f>((1/(INDEX(E0!J$4:J$52,C108,1)-INDEX(E0!J$4:J$52,D108,1))))*100000000</f>
        <v>0</v>
      </c>
      <c r="F108" s="4" t="str">
        <f>HYPERLINK("http://141.218.60.56/~jnz1568/getInfo.php?workbook=08_02.xlsx&amp;sheet=A0&amp;row=108&amp;col=6&amp;number=&amp;sourceID=27","")</f>
        <v/>
      </c>
      <c r="G108" s="4" t="str">
        <f>HYPERLINK("http://141.218.60.56/~jnz1568/getInfo.php?workbook=08_02.xlsx&amp;sheet=A0&amp;row=108&amp;col=7&amp;number=&amp;sourceID=34","")</f>
        <v/>
      </c>
      <c r="H108" s="4" t="str">
        <f>HYPERLINK("http://141.218.60.56/~jnz1568/getInfo.php?workbook=08_02.xlsx&amp;sheet=A0&amp;row=108&amp;col=8&amp;number=&amp;sourceID=34","")</f>
        <v/>
      </c>
      <c r="I108" s="4" t="str">
        <f>HYPERLINK("http://141.218.60.56/~jnz1568/getInfo.php?workbook=08_02.xlsx&amp;sheet=A0&amp;row=108&amp;col=9&amp;number=&amp;sourceID=34","")</f>
        <v/>
      </c>
      <c r="J108" s="4" t="str">
        <f>HYPERLINK("http://141.218.60.56/~jnz1568/getInfo.php?workbook=08_02.xlsx&amp;sheet=A0&amp;row=108&amp;col=10&amp;number=&amp;sourceID=34","")</f>
        <v/>
      </c>
      <c r="K108" s="4" t="str">
        <f>HYPERLINK("http://141.218.60.56/~jnz1568/getInfo.php?workbook=08_02.xlsx&amp;sheet=A0&amp;row=108&amp;col=11&amp;number=&amp;sourceID=30","")</f>
        <v/>
      </c>
      <c r="L108" s="4" t="str">
        <f>HYPERLINK("http://141.218.60.56/~jnz1568/getInfo.php?workbook=08_02.xlsx&amp;sheet=A0&amp;row=108&amp;col=12&amp;number=1.815e-11&amp;sourceID=30","1.815e-11")</f>
        <v>1.815e-11</v>
      </c>
      <c r="M108" s="4" t="str">
        <f>HYPERLINK("http://141.218.60.56/~jnz1568/getInfo.php?workbook=08_02.xlsx&amp;sheet=A0&amp;row=108&amp;col=13&amp;number=6.797e-06&amp;sourceID=30","6.797e-06")</f>
        <v>6.797e-06</v>
      </c>
      <c r="N108" s="4" t="str">
        <f>HYPERLINK("http://141.218.60.56/~jnz1568/getInfo.php?workbook=08_02.xlsx&amp;sheet=A0&amp;row=108&amp;col=14&amp;number=&amp;sourceID=30","")</f>
        <v/>
      </c>
      <c r="O108" s="4" t="str">
        <f>HYPERLINK("http://141.218.60.56/~jnz1568/getInfo.php?workbook=08_02.xlsx&amp;sheet=A0&amp;row=108&amp;col=15&amp;number=&amp;sourceID=32","")</f>
        <v/>
      </c>
      <c r="P108" s="4" t="str">
        <f>HYPERLINK("http://141.218.60.56/~jnz1568/getInfo.php?workbook=08_02.xlsx&amp;sheet=A0&amp;row=108&amp;col=16&amp;number=1.228e-11&amp;sourceID=32","1.228e-11")</f>
        <v>1.228e-11</v>
      </c>
      <c r="Q108" s="4" t="str">
        <f>HYPERLINK("http://141.218.60.56/~jnz1568/getInfo.php?workbook=08_02.xlsx&amp;sheet=A0&amp;row=108&amp;col=17&amp;number=5.845e-06&amp;sourceID=32","5.845e-06")</f>
        <v>5.845e-06</v>
      </c>
      <c r="R108" s="4" t="str">
        <f>HYPERLINK("http://141.218.60.56/~jnz1568/getInfo.php?workbook=08_02.xlsx&amp;sheet=A0&amp;row=108&amp;col=18&amp;number=&amp;sourceID=32","")</f>
        <v/>
      </c>
      <c r="S108" s="4" t="str">
        <f>HYPERLINK("http://141.218.60.56/~jnz1568/getInfo.php?workbook=08_02.xlsx&amp;sheet=A0&amp;row=108&amp;col=19&amp;number=&amp;sourceID=1","")</f>
        <v/>
      </c>
      <c r="T108" s="4" t="str">
        <f>HYPERLINK("http://141.218.60.56/~jnz1568/getInfo.php?workbook=08_02.xlsx&amp;sheet=A0&amp;row=108&amp;col=20&amp;number=&amp;sourceID=1","")</f>
        <v/>
      </c>
    </row>
    <row r="109" spans="1:20">
      <c r="A109" s="3">
        <v>8</v>
      </c>
      <c r="B109" s="3">
        <v>2</v>
      </c>
      <c r="C109" s="3">
        <v>16</v>
      </c>
      <c r="D109" s="3">
        <v>15</v>
      </c>
      <c r="E109" s="3">
        <f>((1/(INDEX(E0!J$4:J$52,C109,1)-INDEX(E0!J$4:J$52,D109,1))))*100000000</f>
        <v>0</v>
      </c>
      <c r="F109" s="4" t="str">
        <f>HYPERLINK("http://141.218.60.56/~jnz1568/getInfo.php?workbook=08_02.xlsx&amp;sheet=A0&amp;row=109&amp;col=6&amp;number=&amp;sourceID=27","")</f>
        <v/>
      </c>
      <c r="G109" s="4" t="str">
        <f>HYPERLINK("http://141.218.60.56/~jnz1568/getInfo.php?workbook=08_02.xlsx&amp;sheet=A0&amp;row=109&amp;col=7&amp;number=&amp;sourceID=34","")</f>
        <v/>
      </c>
      <c r="H109" s="4" t="str">
        <f>HYPERLINK("http://141.218.60.56/~jnz1568/getInfo.php?workbook=08_02.xlsx&amp;sheet=A0&amp;row=109&amp;col=8&amp;number=&amp;sourceID=34","")</f>
        <v/>
      </c>
      <c r="I109" s="4" t="str">
        <f>HYPERLINK("http://141.218.60.56/~jnz1568/getInfo.php?workbook=08_02.xlsx&amp;sheet=A0&amp;row=109&amp;col=9&amp;number=&amp;sourceID=34","")</f>
        <v/>
      </c>
      <c r="J109" s="4" t="str">
        <f>HYPERLINK("http://141.218.60.56/~jnz1568/getInfo.php?workbook=08_02.xlsx&amp;sheet=A0&amp;row=109&amp;col=10&amp;number=&amp;sourceID=34","")</f>
        <v/>
      </c>
      <c r="K109" s="4" t="str">
        <f>HYPERLINK("http://141.218.60.56/~jnz1568/getInfo.php?workbook=08_02.xlsx&amp;sheet=A0&amp;row=109&amp;col=11&amp;number=&amp;sourceID=30","")</f>
        <v/>
      </c>
      <c r="L109" s="4" t="str">
        <f>HYPERLINK("http://141.218.60.56/~jnz1568/getInfo.php?workbook=08_02.xlsx&amp;sheet=A0&amp;row=109&amp;col=12&amp;number=1.727e-11&amp;sourceID=30","1.727e-11")</f>
        <v>1.727e-11</v>
      </c>
      <c r="M109" s="4" t="str">
        <f>HYPERLINK("http://141.218.60.56/~jnz1568/getInfo.php?workbook=08_02.xlsx&amp;sheet=A0&amp;row=109&amp;col=13&amp;number=2.618e-05&amp;sourceID=30","2.618e-05")</f>
        <v>2.618e-05</v>
      </c>
      <c r="N109" s="4" t="str">
        <f>HYPERLINK("http://141.218.60.56/~jnz1568/getInfo.php?workbook=08_02.xlsx&amp;sheet=A0&amp;row=109&amp;col=14&amp;number=&amp;sourceID=30","")</f>
        <v/>
      </c>
      <c r="O109" s="4" t="str">
        <f>HYPERLINK("http://141.218.60.56/~jnz1568/getInfo.php?workbook=08_02.xlsx&amp;sheet=A0&amp;row=109&amp;col=15&amp;number=&amp;sourceID=32","")</f>
        <v/>
      </c>
      <c r="P109" s="4" t="str">
        <f>HYPERLINK("http://141.218.60.56/~jnz1568/getInfo.php?workbook=08_02.xlsx&amp;sheet=A0&amp;row=109&amp;col=16&amp;number=1.074e-11&amp;sourceID=32","1.074e-11")</f>
        <v>1.074e-11</v>
      </c>
      <c r="Q109" s="4" t="str">
        <f>HYPERLINK("http://141.218.60.56/~jnz1568/getInfo.php?workbook=08_02.xlsx&amp;sheet=A0&amp;row=109&amp;col=17&amp;number=2.157e-05&amp;sourceID=32","2.157e-05")</f>
        <v>2.157e-05</v>
      </c>
      <c r="R109" s="4" t="str">
        <f>HYPERLINK("http://141.218.60.56/~jnz1568/getInfo.php?workbook=08_02.xlsx&amp;sheet=A0&amp;row=109&amp;col=18&amp;number=&amp;sourceID=32","")</f>
        <v/>
      </c>
      <c r="S109" s="4" t="str">
        <f>HYPERLINK("http://141.218.60.56/~jnz1568/getInfo.php?workbook=08_02.xlsx&amp;sheet=A0&amp;row=109&amp;col=19&amp;number=&amp;sourceID=1","")</f>
        <v/>
      </c>
      <c r="T109" s="4" t="str">
        <f>HYPERLINK("http://141.218.60.56/~jnz1568/getInfo.php?workbook=08_02.xlsx&amp;sheet=A0&amp;row=109&amp;col=20&amp;number=&amp;sourceID=1","")</f>
        <v/>
      </c>
    </row>
    <row r="110" spans="1:20">
      <c r="A110" s="3">
        <v>8</v>
      </c>
      <c r="B110" s="3">
        <v>2</v>
      </c>
      <c r="C110" s="3">
        <v>17</v>
      </c>
      <c r="D110" s="3">
        <v>1</v>
      </c>
      <c r="E110" s="3">
        <f>((1/(INDEX(E0!J$4:J$52,C110,1)-INDEX(E0!J$4:J$52,D110,1))))*100000000</f>
        <v>0</v>
      </c>
      <c r="F110" s="4" t="str">
        <f>HYPERLINK("http://141.218.60.56/~jnz1568/getInfo.php?workbook=08_02.xlsx&amp;sheet=A0&amp;row=110&amp;col=6&amp;number=&amp;sourceID=27","")</f>
        <v/>
      </c>
      <c r="G110" s="4" t="str">
        <f>HYPERLINK("http://141.218.60.56/~jnz1568/getInfo.php?workbook=08_02.xlsx&amp;sheet=A0&amp;row=110&amp;col=7&amp;number=936666666667&amp;sourceID=34","936666666667")</f>
        <v>936666666667</v>
      </c>
      <c r="H110" s="4" t="str">
        <f>HYPERLINK("http://141.218.60.56/~jnz1568/getInfo.php?workbook=08_02.xlsx&amp;sheet=A0&amp;row=110&amp;col=8&amp;number=&amp;sourceID=34","")</f>
        <v/>
      </c>
      <c r="I110" s="4" t="str">
        <f>HYPERLINK("http://141.218.60.56/~jnz1568/getInfo.php?workbook=08_02.xlsx&amp;sheet=A0&amp;row=110&amp;col=9&amp;number=&amp;sourceID=34","")</f>
        <v/>
      </c>
      <c r="J110" s="4" t="str">
        <f>HYPERLINK("http://141.218.60.56/~jnz1568/getInfo.php?workbook=08_02.xlsx&amp;sheet=A0&amp;row=110&amp;col=10&amp;number=&amp;sourceID=34","")</f>
        <v/>
      </c>
      <c r="K110" s="4" t="str">
        <f>HYPERLINK("http://141.218.60.56/~jnz1568/getInfo.php?workbook=08_02.xlsx&amp;sheet=A0&amp;row=110&amp;col=11&amp;number=1103000000000&amp;sourceID=30","1103000000000")</f>
        <v>1103000000000</v>
      </c>
      <c r="L110" s="4" t="str">
        <f>HYPERLINK("http://141.218.60.56/~jnz1568/getInfo.php?workbook=08_02.xlsx&amp;sheet=A0&amp;row=110&amp;col=12&amp;number=&amp;sourceID=30","")</f>
        <v/>
      </c>
      <c r="M110" s="4" t="str">
        <f>HYPERLINK("http://141.218.60.56/~jnz1568/getInfo.php?workbook=08_02.xlsx&amp;sheet=A0&amp;row=110&amp;col=13&amp;number=&amp;sourceID=30","")</f>
        <v/>
      </c>
      <c r="N110" s="4" t="str">
        <f>HYPERLINK("http://141.218.60.56/~jnz1568/getInfo.php?workbook=08_02.xlsx&amp;sheet=A0&amp;row=110&amp;col=14&amp;number=&amp;sourceID=30","")</f>
        <v/>
      </c>
      <c r="O110" s="4" t="str">
        <f>HYPERLINK("http://141.218.60.56/~jnz1568/getInfo.php?workbook=08_02.xlsx&amp;sheet=A0&amp;row=110&amp;col=15&amp;number=&amp;sourceID=32","")</f>
        <v/>
      </c>
      <c r="P110" s="4" t="str">
        <f>HYPERLINK("http://141.218.60.56/~jnz1568/getInfo.php?workbook=08_02.xlsx&amp;sheet=A0&amp;row=110&amp;col=16&amp;number=&amp;sourceID=32","")</f>
        <v/>
      </c>
      <c r="Q110" s="4" t="str">
        <f>HYPERLINK("http://141.218.60.56/~jnz1568/getInfo.php?workbook=08_02.xlsx&amp;sheet=A0&amp;row=110&amp;col=17&amp;number=&amp;sourceID=32","")</f>
        <v/>
      </c>
      <c r="R110" s="4" t="str">
        <f>HYPERLINK("http://141.218.60.56/~jnz1568/getInfo.php?workbook=08_02.xlsx&amp;sheet=A0&amp;row=110&amp;col=18&amp;number=&amp;sourceID=32","")</f>
        <v/>
      </c>
      <c r="S110" s="4" t="str">
        <f>HYPERLINK("http://141.218.60.56/~jnz1568/getInfo.php?workbook=08_02.xlsx&amp;sheet=A0&amp;row=110&amp;col=19&amp;number=&amp;sourceID=1","")</f>
        <v/>
      </c>
      <c r="T110" s="4" t="str">
        <f>HYPERLINK("http://141.218.60.56/~jnz1568/getInfo.php?workbook=08_02.xlsx&amp;sheet=A0&amp;row=110&amp;col=20&amp;number=&amp;sourceID=1","")</f>
        <v/>
      </c>
    </row>
    <row r="111" spans="1:20">
      <c r="A111" s="3">
        <v>8</v>
      </c>
      <c r="B111" s="3">
        <v>2</v>
      </c>
      <c r="C111" s="3">
        <v>17</v>
      </c>
      <c r="D111" s="3">
        <v>2</v>
      </c>
      <c r="E111" s="3">
        <f>((1/(INDEX(E0!J$4:J$52,C111,1)-INDEX(E0!J$4:J$52,D111,1))))*100000000</f>
        <v>0</v>
      </c>
      <c r="F111" s="4" t="str">
        <f>HYPERLINK("http://141.218.60.56/~jnz1568/getInfo.php?workbook=08_02.xlsx&amp;sheet=A0&amp;row=111&amp;col=6&amp;number=&amp;sourceID=27","")</f>
        <v/>
      </c>
      <c r="G111" s="4" t="str">
        <f>HYPERLINK("http://141.218.60.56/~jnz1568/getInfo.php?workbook=08_02.xlsx&amp;sheet=A0&amp;row=111&amp;col=7&amp;number=&amp;sourceID=34","")</f>
        <v/>
      </c>
      <c r="H111" s="4" t="str">
        <f>HYPERLINK("http://141.218.60.56/~jnz1568/getInfo.php?workbook=08_02.xlsx&amp;sheet=A0&amp;row=111&amp;col=8&amp;number=&amp;sourceID=34","")</f>
        <v/>
      </c>
      <c r="I111" s="4" t="str">
        <f>HYPERLINK("http://141.218.60.56/~jnz1568/getInfo.php?workbook=08_02.xlsx&amp;sheet=A0&amp;row=111&amp;col=9&amp;number=&amp;sourceID=34","")</f>
        <v/>
      </c>
      <c r="J111" s="4" t="str">
        <f>HYPERLINK("http://141.218.60.56/~jnz1568/getInfo.php?workbook=08_02.xlsx&amp;sheet=A0&amp;row=111&amp;col=10&amp;number=&amp;sourceID=34","")</f>
        <v/>
      </c>
      <c r="K111" s="4" t="str">
        <f>HYPERLINK("http://141.218.60.56/~jnz1568/getInfo.php?workbook=08_02.xlsx&amp;sheet=A0&amp;row=111&amp;col=11&amp;number=7177000&amp;sourceID=30","7177000")</f>
        <v>7177000</v>
      </c>
      <c r="L111" s="4" t="str">
        <f>HYPERLINK("http://141.218.60.56/~jnz1568/getInfo.php?workbook=08_02.xlsx&amp;sheet=A0&amp;row=111&amp;col=12&amp;number=&amp;sourceID=30","")</f>
        <v/>
      </c>
      <c r="M111" s="4" t="str">
        <f>HYPERLINK("http://141.218.60.56/~jnz1568/getInfo.php?workbook=08_02.xlsx&amp;sheet=A0&amp;row=111&amp;col=13&amp;number=&amp;sourceID=30","")</f>
        <v/>
      </c>
      <c r="N111" s="4" t="str">
        <f>HYPERLINK("http://141.218.60.56/~jnz1568/getInfo.php?workbook=08_02.xlsx&amp;sheet=A0&amp;row=111&amp;col=14&amp;number=245.1&amp;sourceID=30","245.1")</f>
        <v>245.1</v>
      </c>
      <c r="O111" s="4" t="str">
        <f>HYPERLINK("http://141.218.60.56/~jnz1568/getInfo.php?workbook=08_02.xlsx&amp;sheet=A0&amp;row=111&amp;col=15&amp;number=&amp;sourceID=32","")</f>
        <v/>
      </c>
      <c r="P111" s="4" t="str">
        <f>HYPERLINK("http://141.218.60.56/~jnz1568/getInfo.php?workbook=08_02.xlsx&amp;sheet=A0&amp;row=111&amp;col=16&amp;number=&amp;sourceID=32","")</f>
        <v/>
      </c>
      <c r="Q111" s="4" t="str">
        <f>HYPERLINK("http://141.218.60.56/~jnz1568/getInfo.php?workbook=08_02.xlsx&amp;sheet=A0&amp;row=111&amp;col=17&amp;number=&amp;sourceID=32","")</f>
        <v/>
      </c>
      <c r="R111" s="4" t="str">
        <f>HYPERLINK("http://141.218.60.56/~jnz1568/getInfo.php?workbook=08_02.xlsx&amp;sheet=A0&amp;row=111&amp;col=18&amp;number=&amp;sourceID=32","")</f>
        <v/>
      </c>
      <c r="S111" s="4" t="str">
        <f>HYPERLINK("http://141.218.60.56/~jnz1568/getInfo.php?workbook=08_02.xlsx&amp;sheet=A0&amp;row=111&amp;col=19&amp;number=&amp;sourceID=1","")</f>
        <v/>
      </c>
      <c r="T111" s="4" t="str">
        <f>HYPERLINK("http://141.218.60.56/~jnz1568/getInfo.php?workbook=08_02.xlsx&amp;sheet=A0&amp;row=111&amp;col=20&amp;number=&amp;sourceID=1","")</f>
        <v/>
      </c>
    </row>
    <row r="112" spans="1:20">
      <c r="A112" s="3">
        <v>8</v>
      </c>
      <c r="B112" s="3">
        <v>2</v>
      </c>
      <c r="C112" s="3">
        <v>17</v>
      </c>
      <c r="D112" s="3">
        <v>3</v>
      </c>
      <c r="E112" s="3">
        <f>((1/(INDEX(E0!J$4:J$52,C112,1)-INDEX(E0!J$4:J$52,D112,1))))*100000000</f>
        <v>0</v>
      </c>
      <c r="F112" s="4" t="str">
        <f>HYPERLINK("http://141.218.60.56/~jnz1568/getInfo.php?workbook=08_02.xlsx&amp;sheet=A0&amp;row=112&amp;col=6&amp;number=&amp;sourceID=27","")</f>
        <v/>
      </c>
      <c r="G112" s="4" t="str">
        <f>HYPERLINK("http://141.218.60.56/~jnz1568/getInfo.php?workbook=08_02.xlsx&amp;sheet=A0&amp;row=112&amp;col=7&amp;number=&amp;sourceID=34","")</f>
        <v/>
      </c>
      <c r="H112" s="4" t="str">
        <f>HYPERLINK("http://141.218.60.56/~jnz1568/getInfo.php?workbook=08_02.xlsx&amp;sheet=A0&amp;row=112&amp;col=8&amp;number=&amp;sourceID=34","")</f>
        <v/>
      </c>
      <c r="I112" s="4" t="str">
        <f>HYPERLINK("http://141.218.60.56/~jnz1568/getInfo.php?workbook=08_02.xlsx&amp;sheet=A0&amp;row=112&amp;col=9&amp;number=&amp;sourceID=34","")</f>
        <v/>
      </c>
      <c r="J112" s="4" t="str">
        <f>HYPERLINK("http://141.218.60.56/~jnz1568/getInfo.php?workbook=08_02.xlsx&amp;sheet=A0&amp;row=112&amp;col=10&amp;number=&amp;sourceID=34","")</f>
        <v/>
      </c>
      <c r="K112" s="4" t="str">
        <f>HYPERLINK("http://141.218.60.56/~jnz1568/getInfo.php?workbook=08_02.xlsx&amp;sheet=A0&amp;row=112&amp;col=11&amp;number=&amp;sourceID=30","")</f>
        <v/>
      </c>
      <c r="L112" s="4" t="str">
        <f>HYPERLINK("http://141.218.60.56/~jnz1568/getInfo.php?workbook=08_02.xlsx&amp;sheet=A0&amp;row=112&amp;col=12&amp;number=&amp;sourceID=30","")</f>
        <v/>
      </c>
      <c r="M112" s="4" t="str">
        <f>HYPERLINK("http://141.218.60.56/~jnz1568/getInfo.php?workbook=08_02.xlsx&amp;sheet=A0&amp;row=112&amp;col=13&amp;number=0.738&amp;sourceID=30","0.738")</f>
        <v>0.738</v>
      </c>
      <c r="N112" s="4" t="str">
        <f>HYPERLINK("http://141.218.60.56/~jnz1568/getInfo.php?workbook=08_02.xlsx&amp;sheet=A0&amp;row=112&amp;col=14&amp;number=&amp;sourceID=30","")</f>
        <v/>
      </c>
      <c r="O112" s="4" t="str">
        <f>HYPERLINK("http://141.218.60.56/~jnz1568/getInfo.php?workbook=08_02.xlsx&amp;sheet=A0&amp;row=112&amp;col=15&amp;number=&amp;sourceID=32","")</f>
        <v/>
      </c>
      <c r="P112" s="4" t="str">
        <f>HYPERLINK("http://141.218.60.56/~jnz1568/getInfo.php?workbook=08_02.xlsx&amp;sheet=A0&amp;row=112&amp;col=16&amp;number=&amp;sourceID=32","")</f>
        <v/>
      </c>
      <c r="Q112" s="4" t="str">
        <f>HYPERLINK("http://141.218.60.56/~jnz1568/getInfo.php?workbook=08_02.xlsx&amp;sheet=A0&amp;row=112&amp;col=17&amp;number=0.6724&amp;sourceID=32","0.6724")</f>
        <v>0.6724</v>
      </c>
      <c r="R112" s="4" t="str">
        <f>HYPERLINK("http://141.218.60.56/~jnz1568/getInfo.php?workbook=08_02.xlsx&amp;sheet=A0&amp;row=112&amp;col=18&amp;number=&amp;sourceID=32","")</f>
        <v/>
      </c>
      <c r="S112" s="4" t="str">
        <f>HYPERLINK("http://141.218.60.56/~jnz1568/getInfo.php?workbook=08_02.xlsx&amp;sheet=A0&amp;row=112&amp;col=19&amp;number=&amp;sourceID=1","")</f>
        <v/>
      </c>
      <c r="T112" s="4" t="str">
        <f>HYPERLINK("http://141.218.60.56/~jnz1568/getInfo.php?workbook=08_02.xlsx&amp;sheet=A0&amp;row=112&amp;col=20&amp;number=&amp;sourceID=1","")</f>
        <v/>
      </c>
    </row>
    <row r="113" spans="1:20">
      <c r="A113" s="3">
        <v>8</v>
      </c>
      <c r="B113" s="3">
        <v>2</v>
      </c>
      <c r="C113" s="3">
        <v>17</v>
      </c>
      <c r="D113" s="3">
        <v>4</v>
      </c>
      <c r="E113" s="3">
        <f>((1/(INDEX(E0!J$4:J$52,C113,1)-INDEX(E0!J$4:J$52,D113,1))))*100000000</f>
        <v>0</v>
      </c>
      <c r="F113" s="4" t="str">
        <f>HYPERLINK("http://141.218.60.56/~jnz1568/getInfo.php?workbook=08_02.xlsx&amp;sheet=A0&amp;row=113&amp;col=6&amp;number=&amp;sourceID=27","")</f>
        <v/>
      </c>
      <c r="G113" s="4" t="str">
        <f>HYPERLINK("http://141.218.60.56/~jnz1568/getInfo.php?workbook=08_02.xlsx&amp;sheet=A0&amp;row=113&amp;col=7&amp;number=&amp;sourceID=34","")</f>
        <v/>
      </c>
      <c r="H113" s="4" t="str">
        <f>HYPERLINK("http://141.218.60.56/~jnz1568/getInfo.php?workbook=08_02.xlsx&amp;sheet=A0&amp;row=113&amp;col=8&amp;number=&amp;sourceID=34","")</f>
        <v/>
      </c>
      <c r="I113" s="4" t="str">
        <f>HYPERLINK("http://141.218.60.56/~jnz1568/getInfo.php?workbook=08_02.xlsx&amp;sheet=A0&amp;row=113&amp;col=9&amp;number=&amp;sourceID=34","")</f>
        <v/>
      </c>
      <c r="J113" s="4" t="str">
        <f>HYPERLINK("http://141.218.60.56/~jnz1568/getInfo.php?workbook=08_02.xlsx&amp;sheet=A0&amp;row=113&amp;col=10&amp;number=&amp;sourceID=34","")</f>
        <v/>
      </c>
      <c r="K113" s="4" t="str">
        <f>HYPERLINK("http://141.218.60.56/~jnz1568/getInfo.php?workbook=08_02.xlsx&amp;sheet=A0&amp;row=113&amp;col=11&amp;number=&amp;sourceID=30","")</f>
        <v/>
      </c>
      <c r="L113" s="4" t="str">
        <f>HYPERLINK("http://141.218.60.56/~jnz1568/getInfo.php?workbook=08_02.xlsx&amp;sheet=A0&amp;row=113&amp;col=12&amp;number=1009&amp;sourceID=30","1009")</f>
        <v>1009</v>
      </c>
      <c r="M113" s="4" t="str">
        <f>HYPERLINK("http://141.218.60.56/~jnz1568/getInfo.php?workbook=08_02.xlsx&amp;sheet=A0&amp;row=113&amp;col=13&amp;number=0.4646&amp;sourceID=30","0.4646")</f>
        <v>0.4646</v>
      </c>
      <c r="N113" s="4" t="str">
        <f>HYPERLINK("http://141.218.60.56/~jnz1568/getInfo.php?workbook=08_02.xlsx&amp;sheet=A0&amp;row=113&amp;col=14&amp;number=&amp;sourceID=30","")</f>
        <v/>
      </c>
      <c r="O113" s="4" t="str">
        <f>HYPERLINK("http://141.218.60.56/~jnz1568/getInfo.php?workbook=08_02.xlsx&amp;sheet=A0&amp;row=113&amp;col=15&amp;number=&amp;sourceID=32","")</f>
        <v/>
      </c>
      <c r="P113" s="4" t="str">
        <f>HYPERLINK("http://141.218.60.56/~jnz1568/getInfo.php?workbook=08_02.xlsx&amp;sheet=A0&amp;row=113&amp;col=16&amp;number=1043&amp;sourceID=32","1043")</f>
        <v>1043</v>
      </c>
      <c r="Q113" s="4" t="str">
        <f>HYPERLINK("http://141.218.60.56/~jnz1568/getInfo.php?workbook=08_02.xlsx&amp;sheet=A0&amp;row=113&amp;col=17&amp;number=0.4711&amp;sourceID=32","0.4711")</f>
        <v>0.4711</v>
      </c>
      <c r="R113" s="4" t="str">
        <f>HYPERLINK("http://141.218.60.56/~jnz1568/getInfo.php?workbook=08_02.xlsx&amp;sheet=A0&amp;row=113&amp;col=18&amp;number=&amp;sourceID=32","")</f>
        <v/>
      </c>
      <c r="S113" s="4" t="str">
        <f>HYPERLINK("http://141.218.60.56/~jnz1568/getInfo.php?workbook=08_02.xlsx&amp;sheet=A0&amp;row=113&amp;col=19&amp;number=&amp;sourceID=1","")</f>
        <v/>
      </c>
      <c r="T113" s="4" t="str">
        <f>HYPERLINK("http://141.218.60.56/~jnz1568/getInfo.php?workbook=08_02.xlsx&amp;sheet=A0&amp;row=113&amp;col=20&amp;number=&amp;sourceID=1","")</f>
        <v/>
      </c>
    </row>
    <row r="114" spans="1:20">
      <c r="A114" s="3">
        <v>8</v>
      </c>
      <c r="B114" s="3">
        <v>2</v>
      </c>
      <c r="C114" s="3">
        <v>17</v>
      </c>
      <c r="D114" s="3">
        <v>5</v>
      </c>
      <c r="E114" s="3">
        <f>((1/(INDEX(E0!J$4:J$52,C114,1)-INDEX(E0!J$4:J$52,D114,1))))*100000000</f>
        <v>0</v>
      </c>
      <c r="F114" s="4" t="str">
        <f>HYPERLINK("http://141.218.60.56/~jnz1568/getInfo.php?workbook=08_02.xlsx&amp;sheet=A0&amp;row=114&amp;col=6&amp;number=&amp;sourceID=27","")</f>
        <v/>
      </c>
      <c r="G114" s="4" t="str">
        <f>HYPERLINK("http://141.218.60.56/~jnz1568/getInfo.php?workbook=08_02.xlsx&amp;sheet=A0&amp;row=114&amp;col=7&amp;number=&amp;sourceID=34","")</f>
        <v/>
      </c>
      <c r="H114" s="4" t="str">
        <f>HYPERLINK("http://141.218.60.56/~jnz1568/getInfo.php?workbook=08_02.xlsx&amp;sheet=A0&amp;row=114&amp;col=8&amp;number=&amp;sourceID=34","")</f>
        <v/>
      </c>
      <c r="I114" s="4" t="str">
        <f>HYPERLINK("http://141.218.60.56/~jnz1568/getInfo.php?workbook=08_02.xlsx&amp;sheet=A0&amp;row=114&amp;col=9&amp;number=&amp;sourceID=34","")</f>
        <v/>
      </c>
      <c r="J114" s="4" t="str">
        <f>HYPERLINK("http://141.218.60.56/~jnz1568/getInfo.php?workbook=08_02.xlsx&amp;sheet=A0&amp;row=114&amp;col=10&amp;number=&amp;sourceID=34","")</f>
        <v/>
      </c>
      <c r="K114" s="4" t="str">
        <f>HYPERLINK("http://141.218.60.56/~jnz1568/getInfo.php?workbook=08_02.xlsx&amp;sheet=A0&amp;row=114&amp;col=11&amp;number=&amp;sourceID=30","")</f>
        <v/>
      </c>
      <c r="L114" s="4" t="str">
        <f>HYPERLINK("http://141.218.60.56/~jnz1568/getInfo.php?workbook=08_02.xlsx&amp;sheet=A0&amp;row=114&amp;col=12&amp;number=342.5&amp;sourceID=30","342.5")</f>
        <v>342.5</v>
      </c>
      <c r="M114" s="4" t="str">
        <f>HYPERLINK("http://141.218.60.56/~jnz1568/getInfo.php?workbook=08_02.xlsx&amp;sheet=A0&amp;row=114&amp;col=13&amp;number=2.491&amp;sourceID=30","2.491")</f>
        <v>2.491</v>
      </c>
      <c r="N114" s="4" t="str">
        <f>HYPERLINK("http://141.218.60.56/~jnz1568/getInfo.php?workbook=08_02.xlsx&amp;sheet=A0&amp;row=114&amp;col=14&amp;number=&amp;sourceID=30","")</f>
        <v/>
      </c>
      <c r="O114" s="4" t="str">
        <f>HYPERLINK("http://141.218.60.56/~jnz1568/getInfo.php?workbook=08_02.xlsx&amp;sheet=A0&amp;row=114&amp;col=15&amp;number=&amp;sourceID=32","")</f>
        <v/>
      </c>
      <c r="P114" s="4" t="str">
        <f>HYPERLINK("http://141.218.60.56/~jnz1568/getInfo.php?workbook=08_02.xlsx&amp;sheet=A0&amp;row=114&amp;col=16&amp;number=371.5&amp;sourceID=32","371.5")</f>
        <v>371.5</v>
      </c>
      <c r="Q114" s="4" t="str">
        <f>HYPERLINK("http://141.218.60.56/~jnz1568/getInfo.php?workbook=08_02.xlsx&amp;sheet=A0&amp;row=114&amp;col=17&amp;number=2.296&amp;sourceID=32","2.296")</f>
        <v>2.296</v>
      </c>
      <c r="R114" s="4" t="str">
        <f>HYPERLINK("http://141.218.60.56/~jnz1568/getInfo.php?workbook=08_02.xlsx&amp;sheet=A0&amp;row=114&amp;col=18&amp;number=&amp;sourceID=32","")</f>
        <v/>
      </c>
      <c r="S114" s="4" t="str">
        <f>HYPERLINK("http://141.218.60.56/~jnz1568/getInfo.php?workbook=08_02.xlsx&amp;sheet=A0&amp;row=114&amp;col=19&amp;number=&amp;sourceID=1","")</f>
        <v/>
      </c>
      <c r="T114" s="4" t="str">
        <f>HYPERLINK("http://141.218.60.56/~jnz1568/getInfo.php?workbook=08_02.xlsx&amp;sheet=A0&amp;row=114&amp;col=20&amp;number=&amp;sourceID=1","")</f>
        <v/>
      </c>
    </row>
    <row r="115" spans="1:20">
      <c r="A115" s="3">
        <v>8</v>
      </c>
      <c r="B115" s="3">
        <v>2</v>
      </c>
      <c r="C115" s="3">
        <v>17</v>
      </c>
      <c r="D115" s="3">
        <v>6</v>
      </c>
      <c r="E115" s="3">
        <f>((1/(INDEX(E0!J$4:J$52,C115,1)-INDEX(E0!J$4:J$52,D115,1))))*100000000</f>
        <v>0</v>
      </c>
      <c r="F115" s="4" t="str">
        <f>HYPERLINK("http://141.218.60.56/~jnz1568/getInfo.php?workbook=08_02.xlsx&amp;sheet=A0&amp;row=115&amp;col=6&amp;number=&amp;sourceID=27","")</f>
        <v/>
      </c>
      <c r="G115" s="4" t="str">
        <f>HYPERLINK("http://141.218.60.56/~jnz1568/getInfo.php?workbook=08_02.xlsx&amp;sheet=A0&amp;row=115&amp;col=7&amp;number=50533333333.3&amp;sourceID=34","50533333333.3")</f>
        <v>50533333333.3</v>
      </c>
      <c r="H115" s="4" t="str">
        <f>HYPERLINK("http://141.218.60.56/~jnz1568/getInfo.php?workbook=08_02.xlsx&amp;sheet=A0&amp;row=115&amp;col=8&amp;number=&amp;sourceID=34","")</f>
        <v/>
      </c>
      <c r="I115" s="4" t="str">
        <f>HYPERLINK("http://141.218.60.56/~jnz1568/getInfo.php?workbook=08_02.xlsx&amp;sheet=A0&amp;row=115&amp;col=9&amp;number=&amp;sourceID=34","")</f>
        <v/>
      </c>
      <c r="J115" s="4" t="str">
        <f>HYPERLINK("http://141.218.60.56/~jnz1568/getInfo.php?workbook=08_02.xlsx&amp;sheet=A0&amp;row=115&amp;col=10&amp;number=&amp;sourceID=34","")</f>
        <v/>
      </c>
      <c r="K115" s="4" t="str">
        <f>HYPERLINK("http://141.218.60.56/~jnz1568/getInfo.php?workbook=08_02.xlsx&amp;sheet=A0&amp;row=115&amp;col=11&amp;number=52790000000&amp;sourceID=30","52790000000")</f>
        <v>52790000000</v>
      </c>
      <c r="L115" s="4" t="str">
        <f>HYPERLINK("http://141.218.60.56/~jnz1568/getInfo.php?workbook=08_02.xlsx&amp;sheet=A0&amp;row=115&amp;col=12&amp;number=&amp;sourceID=30","")</f>
        <v/>
      </c>
      <c r="M115" s="4" t="str">
        <f>HYPERLINK("http://141.218.60.56/~jnz1568/getInfo.php?workbook=08_02.xlsx&amp;sheet=A0&amp;row=115&amp;col=13&amp;number=&amp;sourceID=30","")</f>
        <v/>
      </c>
      <c r="N115" s="4" t="str">
        <f>HYPERLINK("http://141.218.60.56/~jnz1568/getInfo.php?workbook=08_02.xlsx&amp;sheet=A0&amp;row=115&amp;col=14&amp;number=&amp;sourceID=30","")</f>
        <v/>
      </c>
      <c r="O115" s="4" t="str">
        <f>HYPERLINK("http://141.218.60.56/~jnz1568/getInfo.php?workbook=08_02.xlsx&amp;sheet=A0&amp;row=115&amp;col=15&amp;number=&amp;sourceID=32","")</f>
        <v/>
      </c>
      <c r="P115" s="4" t="str">
        <f>HYPERLINK("http://141.218.60.56/~jnz1568/getInfo.php?workbook=08_02.xlsx&amp;sheet=A0&amp;row=115&amp;col=16&amp;number=&amp;sourceID=32","")</f>
        <v/>
      </c>
      <c r="Q115" s="4" t="str">
        <f>HYPERLINK("http://141.218.60.56/~jnz1568/getInfo.php?workbook=08_02.xlsx&amp;sheet=A0&amp;row=115&amp;col=17&amp;number=&amp;sourceID=32","")</f>
        <v/>
      </c>
      <c r="R115" s="4" t="str">
        <f>HYPERLINK("http://141.218.60.56/~jnz1568/getInfo.php?workbook=08_02.xlsx&amp;sheet=A0&amp;row=115&amp;col=18&amp;number=&amp;sourceID=32","")</f>
        <v/>
      </c>
      <c r="S115" s="4" t="str">
        <f>HYPERLINK("http://141.218.60.56/~jnz1568/getInfo.php?workbook=08_02.xlsx&amp;sheet=A0&amp;row=115&amp;col=19&amp;number=&amp;sourceID=1","")</f>
        <v/>
      </c>
      <c r="T115" s="4" t="str">
        <f>HYPERLINK("http://141.218.60.56/~jnz1568/getInfo.php?workbook=08_02.xlsx&amp;sheet=A0&amp;row=115&amp;col=20&amp;number=&amp;sourceID=1","")</f>
        <v/>
      </c>
    </row>
    <row r="116" spans="1:20">
      <c r="A116" s="3">
        <v>8</v>
      </c>
      <c r="B116" s="3">
        <v>2</v>
      </c>
      <c r="C116" s="3">
        <v>17</v>
      </c>
      <c r="D116" s="3">
        <v>7</v>
      </c>
      <c r="E116" s="3">
        <f>((1/(INDEX(E0!J$4:J$52,C116,1)-INDEX(E0!J$4:J$52,D116,1))))*100000000</f>
        <v>0</v>
      </c>
      <c r="F116" s="4" t="str">
        <f>HYPERLINK("http://141.218.60.56/~jnz1568/getInfo.php?workbook=08_02.xlsx&amp;sheet=A0&amp;row=116&amp;col=6&amp;number=&amp;sourceID=27","")</f>
        <v/>
      </c>
      <c r="G116" s="4" t="str">
        <f>HYPERLINK("http://141.218.60.56/~jnz1568/getInfo.php?workbook=08_02.xlsx&amp;sheet=A0&amp;row=116&amp;col=7&amp;number=&amp;sourceID=34","")</f>
        <v/>
      </c>
      <c r="H116" s="4" t="str">
        <f>HYPERLINK("http://141.218.60.56/~jnz1568/getInfo.php?workbook=08_02.xlsx&amp;sheet=A0&amp;row=116&amp;col=8&amp;number=&amp;sourceID=34","")</f>
        <v/>
      </c>
      <c r="I116" s="4" t="str">
        <f>HYPERLINK("http://141.218.60.56/~jnz1568/getInfo.php?workbook=08_02.xlsx&amp;sheet=A0&amp;row=116&amp;col=9&amp;number=&amp;sourceID=34","")</f>
        <v/>
      </c>
      <c r="J116" s="4" t="str">
        <f>HYPERLINK("http://141.218.60.56/~jnz1568/getInfo.php?workbook=08_02.xlsx&amp;sheet=A0&amp;row=116&amp;col=10&amp;number=&amp;sourceID=34","")</f>
        <v/>
      </c>
      <c r="K116" s="4" t="str">
        <f>HYPERLINK("http://141.218.60.56/~jnz1568/getInfo.php?workbook=08_02.xlsx&amp;sheet=A0&amp;row=116&amp;col=11&amp;number=&amp;sourceID=30","")</f>
        <v/>
      </c>
      <c r="L116" s="4" t="str">
        <f>HYPERLINK("http://141.218.60.56/~jnz1568/getInfo.php?workbook=08_02.xlsx&amp;sheet=A0&amp;row=116&amp;col=12&amp;number=2836000&amp;sourceID=30","2836000")</f>
        <v>2836000</v>
      </c>
      <c r="M116" s="4" t="str">
        <f>HYPERLINK("http://141.218.60.56/~jnz1568/getInfo.php?workbook=08_02.xlsx&amp;sheet=A0&amp;row=116&amp;col=13&amp;number=0.397&amp;sourceID=30","0.397")</f>
        <v>0.397</v>
      </c>
      <c r="N116" s="4" t="str">
        <f>HYPERLINK("http://141.218.60.56/~jnz1568/getInfo.php?workbook=08_02.xlsx&amp;sheet=A0&amp;row=116&amp;col=14&amp;number=&amp;sourceID=30","")</f>
        <v/>
      </c>
      <c r="O116" s="4" t="str">
        <f>HYPERLINK("http://141.218.60.56/~jnz1568/getInfo.php?workbook=08_02.xlsx&amp;sheet=A0&amp;row=116&amp;col=15&amp;number=&amp;sourceID=32","")</f>
        <v/>
      </c>
      <c r="P116" s="4" t="str">
        <f>HYPERLINK("http://141.218.60.56/~jnz1568/getInfo.php?workbook=08_02.xlsx&amp;sheet=A0&amp;row=116&amp;col=16&amp;number=2754000&amp;sourceID=32","2754000")</f>
        <v>2754000</v>
      </c>
      <c r="Q116" s="4" t="str">
        <f>HYPERLINK("http://141.218.60.56/~jnz1568/getInfo.php?workbook=08_02.xlsx&amp;sheet=A0&amp;row=116&amp;col=17&amp;number=0.3551&amp;sourceID=32","0.3551")</f>
        <v>0.3551</v>
      </c>
      <c r="R116" s="4" t="str">
        <f>HYPERLINK("http://141.218.60.56/~jnz1568/getInfo.php?workbook=08_02.xlsx&amp;sheet=A0&amp;row=116&amp;col=18&amp;number=&amp;sourceID=32","")</f>
        <v/>
      </c>
      <c r="S116" s="4" t="str">
        <f>HYPERLINK("http://141.218.60.56/~jnz1568/getInfo.php?workbook=08_02.xlsx&amp;sheet=A0&amp;row=116&amp;col=19&amp;number=&amp;sourceID=1","")</f>
        <v/>
      </c>
      <c r="T116" s="4" t="str">
        <f>HYPERLINK("http://141.218.60.56/~jnz1568/getInfo.php?workbook=08_02.xlsx&amp;sheet=A0&amp;row=116&amp;col=20&amp;number=&amp;sourceID=1","")</f>
        <v/>
      </c>
    </row>
    <row r="117" spans="1:20">
      <c r="A117" s="3">
        <v>8</v>
      </c>
      <c r="B117" s="3">
        <v>2</v>
      </c>
      <c r="C117" s="3">
        <v>17</v>
      </c>
      <c r="D117" s="3">
        <v>8</v>
      </c>
      <c r="E117" s="3">
        <f>((1/(INDEX(E0!J$4:J$52,C117,1)-INDEX(E0!J$4:J$52,D117,1))))*100000000</f>
        <v>0</v>
      </c>
      <c r="F117" s="4" t="str">
        <f>HYPERLINK("http://141.218.60.56/~jnz1568/getInfo.php?workbook=08_02.xlsx&amp;sheet=A0&amp;row=117&amp;col=6&amp;number=&amp;sourceID=27","")</f>
        <v/>
      </c>
      <c r="G117" s="4" t="str">
        <f>HYPERLINK("http://141.218.60.56/~jnz1568/getInfo.php?workbook=08_02.xlsx&amp;sheet=A0&amp;row=117&amp;col=7&amp;number=&amp;sourceID=34","")</f>
        <v/>
      </c>
      <c r="H117" s="4" t="str">
        <f>HYPERLINK("http://141.218.60.56/~jnz1568/getInfo.php?workbook=08_02.xlsx&amp;sheet=A0&amp;row=117&amp;col=8&amp;number=&amp;sourceID=34","")</f>
        <v/>
      </c>
      <c r="I117" s="4" t="str">
        <f>HYPERLINK("http://141.218.60.56/~jnz1568/getInfo.php?workbook=08_02.xlsx&amp;sheet=A0&amp;row=117&amp;col=9&amp;number=&amp;sourceID=34","")</f>
        <v/>
      </c>
      <c r="J117" s="4" t="str">
        <f>HYPERLINK("http://141.218.60.56/~jnz1568/getInfo.php?workbook=08_02.xlsx&amp;sheet=A0&amp;row=117&amp;col=10&amp;number=&amp;sourceID=34","")</f>
        <v/>
      </c>
      <c r="K117" s="4" t="str">
        <f>HYPERLINK("http://141.218.60.56/~jnz1568/getInfo.php?workbook=08_02.xlsx&amp;sheet=A0&amp;row=117&amp;col=11&amp;number=8984&amp;sourceID=30","8984")</f>
        <v>8984</v>
      </c>
      <c r="L117" s="4" t="str">
        <f>HYPERLINK("http://141.218.60.56/~jnz1568/getInfo.php?workbook=08_02.xlsx&amp;sheet=A0&amp;row=117&amp;col=12&amp;number=&amp;sourceID=30","")</f>
        <v/>
      </c>
      <c r="M117" s="4" t="str">
        <f>HYPERLINK("http://141.218.60.56/~jnz1568/getInfo.php?workbook=08_02.xlsx&amp;sheet=A0&amp;row=117&amp;col=13&amp;number=&amp;sourceID=30","")</f>
        <v/>
      </c>
      <c r="N117" s="4" t="str">
        <f>HYPERLINK("http://141.218.60.56/~jnz1568/getInfo.php?workbook=08_02.xlsx&amp;sheet=A0&amp;row=117&amp;col=14&amp;number=0.0003575&amp;sourceID=30","0.0003575")</f>
        <v>0.0003575</v>
      </c>
      <c r="O117" s="4" t="str">
        <f>HYPERLINK("http://141.218.60.56/~jnz1568/getInfo.php?workbook=08_02.xlsx&amp;sheet=A0&amp;row=117&amp;col=15&amp;number=&amp;sourceID=32","")</f>
        <v/>
      </c>
      <c r="P117" s="4" t="str">
        <f>HYPERLINK("http://141.218.60.56/~jnz1568/getInfo.php?workbook=08_02.xlsx&amp;sheet=A0&amp;row=117&amp;col=16&amp;number=&amp;sourceID=32","")</f>
        <v/>
      </c>
      <c r="Q117" s="4" t="str">
        <f>HYPERLINK("http://141.218.60.56/~jnz1568/getInfo.php?workbook=08_02.xlsx&amp;sheet=A0&amp;row=117&amp;col=17&amp;number=&amp;sourceID=32","")</f>
        <v/>
      </c>
      <c r="R117" s="4" t="str">
        <f>HYPERLINK("http://141.218.60.56/~jnz1568/getInfo.php?workbook=08_02.xlsx&amp;sheet=A0&amp;row=117&amp;col=18&amp;number=&amp;sourceID=32","")</f>
        <v/>
      </c>
      <c r="S117" s="4" t="str">
        <f>HYPERLINK("http://141.218.60.56/~jnz1568/getInfo.php?workbook=08_02.xlsx&amp;sheet=A0&amp;row=117&amp;col=19&amp;number=&amp;sourceID=1","")</f>
        <v/>
      </c>
      <c r="T117" s="4" t="str">
        <f>HYPERLINK("http://141.218.60.56/~jnz1568/getInfo.php?workbook=08_02.xlsx&amp;sheet=A0&amp;row=117&amp;col=20&amp;number=&amp;sourceID=1","")</f>
        <v/>
      </c>
    </row>
    <row r="118" spans="1:20">
      <c r="A118" s="3">
        <v>8</v>
      </c>
      <c r="B118" s="3">
        <v>2</v>
      </c>
      <c r="C118" s="3">
        <v>17</v>
      </c>
      <c r="D118" s="3">
        <v>9</v>
      </c>
      <c r="E118" s="3">
        <f>((1/(INDEX(E0!J$4:J$52,C118,1)-INDEX(E0!J$4:J$52,D118,1))))*100000000</f>
        <v>0</v>
      </c>
      <c r="F118" s="4" t="str">
        <f>HYPERLINK("http://141.218.60.56/~jnz1568/getInfo.php?workbook=08_02.xlsx&amp;sheet=A0&amp;row=118&amp;col=6&amp;number=&amp;sourceID=27","")</f>
        <v/>
      </c>
      <c r="G118" s="4" t="str">
        <f>HYPERLINK("http://141.218.60.56/~jnz1568/getInfo.php?workbook=08_02.xlsx&amp;sheet=A0&amp;row=118&amp;col=7&amp;number=&amp;sourceID=34","")</f>
        <v/>
      </c>
      <c r="H118" s="4" t="str">
        <f>HYPERLINK("http://141.218.60.56/~jnz1568/getInfo.php?workbook=08_02.xlsx&amp;sheet=A0&amp;row=118&amp;col=8&amp;number=&amp;sourceID=34","")</f>
        <v/>
      </c>
      <c r="I118" s="4" t="str">
        <f>HYPERLINK("http://141.218.60.56/~jnz1568/getInfo.php?workbook=08_02.xlsx&amp;sheet=A0&amp;row=118&amp;col=9&amp;number=&amp;sourceID=34","")</f>
        <v/>
      </c>
      <c r="J118" s="4" t="str">
        <f>HYPERLINK("http://141.218.60.56/~jnz1568/getInfo.php?workbook=08_02.xlsx&amp;sheet=A0&amp;row=118&amp;col=10&amp;number=&amp;sourceID=34","")</f>
        <v/>
      </c>
      <c r="K118" s="4" t="str">
        <f>HYPERLINK("http://141.218.60.56/~jnz1568/getInfo.php?workbook=08_02.xlsx&amp;sheet=A0&amp;row=118&amp;col=11&amp;number=&amp;sourceID=30","")</f>
        <v/>
      </c>
      <c r="L118" s="4" t="str">
        <f>HYPERLINK("http://141.218.60.56/~jnz1568/getInfo.php?workbook=08_02.xlsx&amp;sheet=A0&amp;row=118&amp;col=12&amp;number=&amp;sourceID=30","")</f>
        <v/>
      </c>
      <c r="M118" s="4" t="str">
        <f>HYPERLINK("http://141.218.60.56/~jnz1568/getInfo.php?workbook=08_02.xlsx&amp;sheet=A0&amp;row=118&amp;col=13&amp;number=0.006352&amp;sourceID=30","0.006352")</f>
        <v>0.006352</v>
      </c>
      <c r="N118" s="4" t="str">
        <f>HYPERLINK("http://141.218.60.56/~jnz1568/getInfo.php?workbook=08_02.xlsx&amp;sheet=A0&amp;row=118&amp;col=14&amp;number=&amp;sourceID=30","")</f>
        <v/>
      </c>
      <c r="O118" s="4" t="str">
        <f>HYPERLINK("http://141.218.60.56/~jnz1568/getInfo.php?workbook=08_02.xlsx&amp;sheet=A0&amp;row=118&amp;col=15&amp;number=&amp;sourceID=32","")</f>
        <v/>
      </c>
      <c r="P118" s="4" t="str">
        <f>HYPERLINK("http://141.218.60.56/~jnz1568/getInfo.php?workbook=08_02.xlsx&amp;sheet=A0&amp;row=118&amp;col=16&amp;number=&amp;sourceID=32","")</f>
        <v/>
      </c>
      <c r="Q118" s="4" t="str">
        <f>HYPERLINK("http://141.218.60.56/~jnz1568/getInfo.php?workbook=08_02.xlsx&amp;sheet=A0&amp;row=118&amp;col=17&amp;number=0.005826&amp;sourceID=32","0.005826")</f>
        <v>0.005826</v>
      </c>
      <c r="R118" s="4" t="str">
        <f>HYPERLINK("http://141.218.60.56/~jnz1568/getInfo.php?workbook=08_02.xlsx&amp;sheet=A0&amp;row=118&amp;col=18&amp;number=&amp;sourceID=32","")</f>
        <v/>
      </c>
      <c r="S118" s="4" t="str">
        <f>HYPERLINK("http://141.218.60.56/~jnz1568/getInfo.php?workbook=08_02.xlsx&amp;sheet=A0&amp;row=118&amp;col=19&amp;number=&amp;sourceID=1","")</f>
        <v/>
      </c>
      <c r="T118" s="4" t="str">
        <f>HYPERLINK("http://141.218.60.56/~jnz1568/getInfo.php?workbook=08_02.xlsx&amp;sheet=A0&amp;row=118&amp;col=20&amp;number=&amp;sourceID=1","")</f>
        <v/>
      </c>
    </row>
    <row r="119" spans="1:20">
      <c r="A119" s="3">
        <v>8</v>
      </c>
      <c r="B119" s="3">
        <v>2</v>
      </c>
      <c r="C119" s="3">
        <v>17</v>
      </c>
      <c r="D119" s="3">
        <v>10</v>
      </c>
      <c r="E119" s="3">
        <f>((1/(INDEX(E0!J$4:J$52,C119,1)-INDEX(E0!J$4:J$52,D119,1))))*100000000</f>
        <v>0</v>
      </c>
      <c r="F119" s="4" t="str">
        <f>HYPERLINK("http://141.218.60.56/~jnz1568/getInfo.php?workbook=08_02.xlsx&amp;sheet=A0&amp;row=119&amp;col=6&amp;number=&amp;sourceID=27","")</f>
        <v/>
      </c>
      <c r="G119" s="4" t="str">
        <f>HYPERLINK("http://141.218.60.56/~jnz1568/getInfo.php?workbook=08_02.xlsx&amp;sheet=A0&amp;row=119&amp;col=7&amp;number=&amp;sourceID=34","")</f>
        <v/>
      </c>
      <c r="H119" s="4" t="str">
        <f>HYPERLINK("http://141.218.60.56/~jnz1568/getInfo.php?workbook=08_02.xlsx&amp;sheet=A0&amp;row=119&amp;col=8&amp;number=&amp;sourceID=34","")</f>
        <v/>
      </c>
      <c r="I119" s="4" t="str">
        <f>HYPERLINK("http://141.218.60.56/~jnz1568/getInfo.php?workbook=08_02.xlsx&amp;sheet=A0&amp;row=119&amp;col=9&amp;number=&amp;sourceID=34","")</f>
        <v/>
      </c>
      <c r="J119" s="4" t="str">
        <f>HYPERLINK("http://141.218.60.56/~jnz1568/getInfo.php?workbook=08_02.xlsx&amp;sheet=A0&amp;row=119&amp;col=10&amp;number=&amp;sourceID=34","")</f>
        <v/>
      </c>
      <c r="K119" s="4" t="str">
        <f>HYPERLINK("http://141.218.60.56/~jnz1568/getInfo.php?workbook=08_02.xlsx&amp;sheet=A0&amp;row=119&amp;col=11&amp;number=&amp;sourceID=30","")</f>
        <v/>
      </c>
      <c r="L119" s="4" t="str">
        <f>HYPERLINK("http://141.218.60.56/~jnz1568/getInfo.php?workbook=08_02.xlsx&amp;sheet=A0&amp;row=119&amp;col=12&amp;number=6.602e-05&amp;sourceID=30","6.602e-05")</f>
        <v>6.602e-05</v>
      </c>
      <c r="M119" s="4" t="str">
        <f>HYPERLINK("http://141.218.60.56/~jnz1568/getInfo.php?workbook=08_02.xlsx&amp;sheet=A0&amp;row=119&amp;col=13&amp;number=0.005323&amp;sourceID=30","0.005323")</f>
        <v>0.005323</v>
      </c>
      <c r="N119" s="4" t="str">
        <f>HYPERLINK("http://141.218.60.56/~jnz1568/getInfo.php?workbook=08_02.xlsx&amp;sheet=A0&amp;row=119&amp;col=14&amp;number=&amp;sourceID=30","")</f>
        <v/>
      </c>
      <c r="O119" s="4" t="str">
        <f>HYPERLINK("http://141.218.60.56/~jnz1568/getInfo.php?workbook=08_02.xlsx&amp;sheet=A0&amp;row=119&amp;col=15&amp;number=&amp;sourceID=32","")</f>
        <v/>
      </c>
      <c r="P119" s="4" t="str">
        <f>HYPERLINK("http://141.218.60.56/~jnz1568/getInfo.php?workbook=08_02.xlsx&amp;sheet=A0&amp;row=119&amp;col=16&amp;number=5.516e-05&amp;sourceID=32","5.516e-05")</f>
        <v>5.516e-05</v>
      </c>
      <c r="Q119" s="4" t="str">
        <f>HYPERLINK("http://141.218.60.56/~jnz1568/getInfo.php?workbook=08_02.xlsx&amp;sheet=A0&amp;row=119&amp;col=17&amp;number=0.004883&amp;sourceID=32","0.004883")</f>
        <v>0.004883</v>
      </c>
      <c r="R119" s="4" t="str">
        <f>HYPERLINK("http://141.218.60.56/~jnz1568/getInfo.php?workbook=08_02.xlsx&amp;sheet=A0&amp;row=119&amp;col=18&amp;number=&amp;sourceID=32","")</f>
        <v/>
      </c>
      <c r="S119" s="4" t="str">
        <f>HYPERLINK("http://141.218.60.56/~jnz1568/getInfo.php?workbook=08_02.xlsx&amp;sheet=A0&amp;row=119&amp;col=19&amp;number=&amp;sourceID=1","")</f>
        <v/>
      </c>
      <c r="T119" s="4" t="str">
        <f>HYPERLINK("http://141.218.60.56/~jnz1568/getInfo.php?workbook=08_02.xlsx&amp;sheet=A0&amp;row=119&amp;col=20&amp;number=&amp;sourceID=1","")</f>
        <v/>
      </c>
    </row>
    <row r="120" spans="1:20">
      <c r="A120" s="3">
        <v>8</v>
      </c>
      <c r="B120" s="3">
        <v>2</v>
      </c>
      <c r="C120" s="3">
        <v>17</v>
      </c>
      <c r="D120" s="3">
        <v>11</v>
      </c>
      <c r="E120" s="3">
        <f>((1/(INDEX(E0!J$4:J$52,C120,1)-INDEX(E0!J$4:J$52,D120,1))))*100000000</f>
        <v>0</v>
      </c>
      <c r="F120" s="4" t="str">
        <f>HYPERLINK("http://141.218.60.56/~jnz1568/getInfo.php?workbook=08_02.xlsx&amp;sheet=A0&amp;row=120&amp;col=6&amp;number=&amp;sourceID=27","")</f>
        <v/>
      </c>
      <c r="G120" s="4" t="str">
        <f>HYPERLINK("http://141.218.60.56/~jnz1568/getInfo.php?workbook=08_02.xlsx&amp;sheet=A0&amp;row=120&amp;col=7&amp;number=&amp;sourceID=34","")</f>
        <v/>
      </c>
      <c r="H120" s="4" t="str">
        <f>HYPERLINK("http://141.218.60.56/~jnz1568/getInfo.php?workbook=08_02.xlsx&amp;sheet=A0&amp;row=120&amp;col=8&amp;number=&amp;sourceID=34","")</f>
        <v/>
      </c>
      <c r="I120" s="4" t="str">
        <f>HYPERLINK("http://141.218.60.56/~jnz1568/getInfo.php?workbook=08_02.xlsx&amp;sheet=A0&amp;row=120&amp;col=9&amp;number=&amp;sourceID=34","")</f>
        <v/>
      </c>
      <c r="J120" s="4" t="str">
        <f>HYPERLINK("http://141.218.60.56/~jnz1568/getInfo.php?workbook=08_02.xlsx&amp;sheet=A0&amp;row=120&amp;col=10&amp;number=&amp;sourceID=34","")</f>
        <v/>
      </c>
      <c r="K120" s="4" t="str">
        <f>HYPERLINK("http://141.218.60.56/~jnz1568/getInfo.php?workbook=08_02.xlsx&amp;sheet=A0&amp;row=120&amp;col=11&amp;number=&amp;sourceID=30","")</f>
        <v/>
      </c>
      <c r="L120" s="4" t="str">
        <f>HYPERLINK("http://141.218.60.56/~jnz1568/getInfo.php?workbook=08_02.xlsx&amp;sheet=A0&amp;row=120&amp;col=12&amp;number=2.086e-05&amp;sourceID=30","2.086e-05")</f>
        <v>2.086e-05</v>
      </c>
      <c r="M120" s="4" t="str">
        <f>HYPERLINK("http://141.218.60.56/~jnz1568/getInfo.php?workbook=08_02.xlsx&amp;sheet=A0&amp;row=120&amp;col=13&amp;number=0.005341&amp;sourceID=30","0.005341")</f>
        <v>0.005341</v>
      </c>
      <c r="N120" s="4" t="str">
        <f>HYPERLINK("http://141.218.60.56/~jnz1568/getInfo.php?workbook=08_02.xlsx&amp;sheet=A0&amp;row=120&amp;col=14&amp;number=&amp;sourceID=30","")</f>
        <v/>
      </c>
      <c r="O120" s="4" t="str">
        <f>HYPERLINK("http://141.218.60.56/~jnz1568/getInfo.php?workbook=08_02.xlsx&amp;sheet=A0&amp;row=120&amp;col=15&amp;number=&amp;sourceID=32","")</f>
        <v/>
      </c>
      <c r="P120" s="4" t="str">
        <f>HYPERLINK("http://141.218.60.56/~jnz1568/getInfo.php?workbook=08_02.xlsx&amp;sheet=A0&amp;row=120&amp;col=16&amp;number=1.724e-05&amp;sourceID=32","1.724e-05")</f>
        <v>1.724e-05</v>
      </c>
      <c r="Q120" s="4" t="str">
        <f>HYPERLINK("http://141.218.60.56/~jnz1568/getInfo.php?workbook=08_02.xlsx&amp;sheet=A0&amp;row=120&amp;col=17&amp;number=0.004926&amp;sourceID=32","0.004926")</f>
        <v>0.004926</v>
      </c>
      <c r="R120" s="4" t="str">
        <f>HYPERLINK("http://141.218.60.56/~jnz1568/getInfo.php?workbook=08_02.xlsx&amp;sheet=A0&amp;row=120&amp;col=18&amp;number=&amp;sourceID=32","")</f>
        <v/>
      </c>
      <c r="S120" s="4" t="str">
        <f>HYPERLINK("http://141.218.60.56/~jnz1568/getInfo.php?workbook=08_02.xlsx&amp;sheet=A0&amp;row=120&amp;col=19&amp;number=&amp;sourceID=1","")</f>
        <v/>
      </c>
      <c r="T120" s="4" t="str">
        <f>HYPERLINK("http://141.218.60.56/~jnz1568/getInfo.php?workbook=08_02.xlsx&amp;sheet=A0&amp;row=120&amp;col=20&amp;number=&amp;sourceID=1","")</f>
        <v/>
      </c>
    </row>
    <row r="121" spans="1:20">
      <c r="A121" s="3">
        <v>8</v>
      </c>
      <c r="B121" s="3">
        <v>2</v>
      </c>
      <c r="C121" s="3">
        <v>17</v>
      </c>
      <c r="D121" s="3">
        <v>12</v>
      </c>
      <c r="E121" s="3">
        <f>((1/(INDEX(E0!J$4:J$52,C121,1)-INDEX(E0!J$4:J$52,D121,1))))*100000000</f>
        <v>0</v>
      </c>
      <c r="F121" s="4" t="str">
        <f>HYPERLINK("http://141.218.60.56/~jnz1568/getInfo.php?workbook=08_02.xlsx&amp;sheet=A0&amp;row=121&amp;col=6&amp;number=&amp;sourceID=27","")</f>
        <v/>
      </c>
      <c r="G121" s="4" t="str">
        <f>HYPERLINK("http://141.218.60.56/~jnz1568/getInfo.php?workbook=08_02.xlsx&amp;sheet=A0&amp;row=121&amp;col=7&amp;number=3863333.33333&amp;sourceID=34","3863333.33333")</f>
        <v>3863333.33333</v>
      </c>
      <c r="H121" s="4" t="str">
        <f>HYPERLINK("http://141.218.60.56/~jnz1568/getInfo.php?workbook=08_02.xlsx&amp;sheet=A0&amp;row=121&amp;col=8&amp;number=&amp;sourceID=34","")</f>
        <v/>
      </c>
      <c r="I121" s="4" t="str">
        <f>HYPERLINK("http://141.218.60.56/~jnz1568/getInfo.php?workbook=08_02.xlsx&amp;sheet=A0&amp;row=121&amp;col=9&amp;number=&amp;sourceID=34","")</f>
        <v/>
      </c>
      <c r="J121" s="4" t="str">
        <f>HYPERLINK("http://141.218.60.56/~jnz1568/getInfo.php?workbook=08_02.xlsx&amp;sheet=A0&amp;row=121&amp;col=10&amp;number=&amp;sourceID=34","")</f>
        <v/>
      </c>
      <c r="K121" s="4" t="str">
        <f>HYPERLINK("http://141.218.60.56/~jnz1568/getInfo.php?workbook=08_02.xlsx&amp;sheet=A0&amp;row=121&amp;col=11&amp;number=3002000&amp;sourceID=30","3002000")</f>
        <v>3002000</v>
      </c>
      <c r="L121" s="4" t="str">
        <f>HYPERLINK("http://141.218.60.56/~jnz1568/getInfo.php?workbook=08_02.xlsx&amp;sheet=A0&amp;row=121&amp;col=12&amp;number=&amp;sourceID=30","")</f>
        <v/>
      </c>
      <c r="M121" s="4" t="str">
        <f>HYPERLINK("http://141.218.60.56/~jnz1568/getInfo.php?workbook=08_02.xlsx&amp;sheet=A0&amp;row=121&amp;col=13&amp;number=&amp;sourceID=30","")</f>
        <v/>
      </c>
      <c r="N121" s="4" t="str">
        <f>HYPERLINK("http://141.218.60.56/~jnz1568/getInfo.php?workbook=08_02.xlsx&amp;sheet=A0&amp;row=121&amp;col=14&amp;number=&amp;sourceID=30","")</f>
        <v/>
      </c>
      <c r="O121" s="4" t="str">
        <f>HYPERLINK("http://141.218.60.56/~jnz1568/getInfo.php?workbook=08_02.xlsx&amp;sheet=A0&amp;row=121&amp;col=15&amp;number=&amp;sourceID=32","")</f>
        <v/>
      </c>
      <c r="P121" s="4" t="str">
        <f>HYPERLINK("http://141.218.60.56/~jnz1568/getInfo.php?workbook=08_02.xlsx&amp;sheet=A0&amp;row=121&amp;col=16&amp;number=&amp;sourceID=32","")</f>
        <v/>
      </c>
      <c r="Q121" s="4" t="str">
        <f>HYPERLINK("http://141.218.60.56/~jnz1568/getInfo.php?workbook=08_02.xlsx&amp;sheet=A0&amp;row=121&amp;col=17&amp;number=&amp;sourceID=32","")</f>
        <v/>
      </c>
      <c r="R121" s="4" t="str">
        <f>HYPERLINK("http://141.218.60.56/~jnz1568/getInfo.php?workbook=08_02.xlsx&amp;sheet=A0&amp;row=121&amp;col=18&amp;number=&amp;sourceID=32","")</f>
        <v/>
      </c>
      <c r="S121" s="4" t="str">
        <f>HYPERLINK("http://141.218.60.56/~jnz1568/getInfo.php?workbook=08_02.xlsx&amp;sheet=A0&amp;row=121&amp;col=19&amp;number=&amp;sourceID=1","")</f>
        <v/>
      </c>
      <c r="T121" s="4" t="str">
        <f>HYPERLINK("http://141.218.60.56/~jnz1568/getInfo.php?workbook=08_02.xlsx&amp;sheet=A0&amp;row=121&amp;col=20&amp;number=&amp;sourceID=1","")</f>
        <v/>
      </c>
    </row>
    <row r="122" spans="1:20">
      <c r="A122" s="3">
        <v>8</v>
      </c>
      <c r="B122" s="3">
        <v>2</v>
      </c>
      <c r="C122" s="3">
        <v>17</v>
      </c>
      <c r="D122" s="3">
        <v>13</v>
      </c>
      <c r="E122" s="3">
        <f>((1/(INDEX(E0!J$4:J$52,C122,1)-INDEX(E0!J$4:J$52,D122,1))))*100000000</f>
        <v>0</v>
      </c>
      <c r="F122" s="4" t="str">
        <f>HYPERLINK("http://141.218.60.56/~jnz1568/getInfo.php?workbook=08_02.xlsx&amp;sheet=A0&amp;row=122&amp;col=6&amp;number=&amp;sourceID=27","")</f>
        <v/>
      </c>
      <c r="G122" s="4" t="str">
        <f>HYPERLINK("http://141.218.60.56/~jnz1568/getInfo.php?workbook=08_02.xlsx&amp;sheet=A0&amp;row=122&amp;col=7&amp;number=&amp;sourceID=34","")</f>
        <v/>
      </c>
      <c r="H122" s="4" t="str">
        <f>HYPERLINK("http://141.218.60.56/~jnz1568/getInfo.php?workbook=08_02.xlsx&amp;sheet=A0&amp;row=122&amp;col=8&amp;number=&amp;sourceID=34","")</f>
        <v/>
      </c>
      <c r="I122" s="4" t="str">
        <f>HYPERLINK("http://141.218.60.56/~jnz1568/getInfo.php?workbook=08_02.xlsx&amp;sheet=A0&amp;row=122&amp;col=9&amp;number=&amp;sourceID=34","")</f>
        <v/>
      </c>
      <c r="J122" s="4" t="str">
        <f>HYPERLINK("http://141.218.60.56/~jnz1568/getInfo.php?workbook=08_02.xlsx&amp;sheet=A0&amp;row=122&amp;col=10&amp;number=&amp;sourceID=34","")</f>
        <v/>
      </c>
      <c r="K122" s="4" t="str">
        <f>HYPERLINK("http://141.218.60.56/~jnz1568/getInfo.php?workbook=08_02.xlsx&amp;sheet=A0&amp;row=122&amp;col=11&amp;number=6.918&amp;sourceID=30","6.918")</f>
        <v>6.918</v>
      </c>
      <c r="L122" s="4" t="str">
        <f>HYPERLINK("http://141.218.60.56/~jnz1568/getInfo.php?workbook=08_02.xlsx&amp;sheet=A0&amp;row=122&amp;col=12&amp;number=&amp;sourceID=30","")</f>
        <v/>
      </c>
      <c r="M122" s="4" t="str">
        <f>HYPERLINK("http://141.218.60.56/~jnz1568/getInfo.php?workbook=08_02.xlsx&amp;sheet=A0&amp;row=122&amp;col=13&amp;number=&amp;sourceID=30","")</f>
        <v/>
      </c>
      <c r="N122" s="4" t="str">
        <f>HYPERLINK("http://141.218.60.56/~jnz1568/getInfo.php?workbook=08_02.xlsx&amp;sheet=A0&amp;row=122&amp;col=14&amp;number=1.91e-10&amp;sourceID=30","1.91e-10")</f>
        <v>1.91e-10</v>
      </c>
      <c r="O122" s="4" t="str">
        <f>HYPERLINK("http://141.218.60.56/~jnz1568/getInfo.php?workbook=08_02.xlsx&amp;sheet=A0&amp;row=122&amp;col=15&amp;number=&amp;sourceID=32","")</f>
        <v/>
      </c>
      <c r="P122" s="4" t="str">
        <f>HYPERLINK("http://141.218.60.56/~jnz1568/getInfo.php?workbook=08_02.xlsx&amp;sheet=A0&amp;row=122&amp;col=16&amp;number=&amp;sourceID=32","")</f>
        <v/>
      </c>
      <c r="Q122" s="4" t="str">
        <f>HYPERLINK("http://141.218.60.56/~jnz1568/getInfo.php?workbook=08_02.xlsx&amp;sheet=A0&amp;row=122&amp;col=17&amp;number=&amp;sourceID=32","")</f>
        <v/>
      </c>
      <c r="R122" s="4" t="str">
        <f>HYPERLINK("http://141.218.60.56/~jnz1568/getInfo.php?workbook=08_02.xlsx&amp;sheet=A0&amp;row=122&amp;col=18&amp;number=&amp;sourceID=32","")</f>
        <v/>
      </c>
      <c r="S122" s="4" t="str">
        <f>HYPERLINK("http://141.218.60.56/~jnz1568/getInfo.php?workbook=08_02.xlsx&amp;sheet=A0&amp;row=122&amp;col=19&amp;number=&amp;sourceID=1","")</f>
        <v/>
      </c>
      <c r="T122" s="4" t="str">
        <f>HYPERLINK("http://141.218.60.56/~jnz1568/getInfo.php?workbook=08_02.xlsx&amp;sheet=A0&amp;row=122&amp;col=20&amp;number=&amp;sourceID=1","")</f>
        <v/>
      </c>
    </row>
    <row r="123" spans="1:20">
      <c r="A123" s="3">
        <v>8</v>
      </c>
      <c r="B123" s="3">
        <v>2</v>
      </c>
      <c r="C123" s="3">
        <v>17</v>
      </c>
      <c r="D123" s="3">
        <v>14</v>
      </c>
      <c r="E123" s="3">
        <f>((1/(INDEX(E0!J$4:J$52,C123,1)-INDEX(E0!J$4:J$52,D123,1))))*100000000</f>
        <v>0</v>
      </c>
      <c r="F123" s="4" t="str">
        <f>HYPERLINK("http://141.218.60.56/~jnz1568/getInfo.php?workbook=08_02.xlsx&amp;sheet=A0&amp;row=123&amp;col=6&amp;number=&amp;sourceID=27","")</f>
        <v/>
      </c>
      <c r="G123" s="4" t="str">
        <f>HYPERLINK("http://141.218.60.56/~jnz1568/getInfo.php?workbook=08_02.xlsx&amp;sheet=A0&amp;row=123&amp;col=7&amp;number=&amp;sourceID=34","")</f>
        <v/>
      </c>
      <c r="H123" s="4" t="str">
        <f>HYPERLINK("http://141.218.60.56/~jnz1568/getInfo.php?workbook=08_02.xlsx&amp;sheet=A0&amp;row=123&amp;col=8&amp;number=&amp;sourceID=34","")</f>
        <v/>
      </c>
      <c r="I123" s="4" t="str">
        <f>HYPERLINK("http://141.218.60.56/~jnz1568/getInfo.php?workbook=08_02.xlsx&amp;sheet=A0&amp;row=123&amp;col=9&amp;number=&amp;sourceID=34","")</f>
        <v/>
      </c>
      <c r="J123" s="4" t="str">
        <f>HYPERLINK("http://141.218.60.56/~jnz1568/getInfo.php?workbook=08_02.xlsx&amp;sheet=A0&amp;row=123&amp;col=10&amp;number=&amp;sourceID=34","")</f>
        <v/>
      </c>
      <c r="K123" s="4" t="str">
        <f>HYPERLINK("http://141.218.60.56/~jnz1568/getInfo.php?workbook=08_02.xlsx&amp;sheet=A0&amp;row=123&amp;col=11&amp;number=1769&amp;sourceID=30","1769")</f>
        <v>1769</v>
      </c>
      <c r="L123" s="4" t="str">
        <f>HYPERLINK("http://141.218.60.56/~jnz1568/getInfo.php?workbook=08_02.xlsx&amp;sheet=A0&amp;row=123&amp;col=12&amp;number=&amp;sourceID=30","")</f>
        <v/>
      </c>
      <c r="M123" s="4" t="str">
        <f>HYPERLINK("http://141.218.60.56/~jnz1568/getInfo.php?workbook=08_02.xlsx&amp;sheet=A0&amp;row=123&amp;col=13&amp;number=&amp;sourceID=30","")</f>
        <v/>
      </c>
      <c r="N123" s="4" t="str">
        <f>HYPERLINK("http://141.218.60.56/~jnz1568/getInfo.php?workbook=08_02.xlsx&amp;sheet=A0&amp;row=123&amp;col=14&amp;number=2.035e-09&amp;sourceID=30","2.035e-09")</f>
        <v>2.035e-09</v>
      </c>
      <c r="O123" s="4" t="str">
        <f>HYPERLINK("http://141.218.60.56/~jnz1568/getInfo.php?workbook=08_02.xlsx&amp;sheet=A0&amp;row=123&amp;col=15&amp;number=&amp;sourceID=32","")</f>
        <v/>
      </c>
      <c r="P123" s="4" t="str">
        <f>HYPERLINK("http://141.218.60.56/~jnz1568/getInfo.php?workbook=08_02.xlsx&amp;sheet=A0&amp;row=123&amp;col=16&amp;number=&amp;sourceID=32","")</f>
        <v/>
      </c>
      <c r="Q123" s="4" t="str">
        <f>HYPERLINK("http://141.218.60.56/~jnz1568/getInfo.php?workbook=08_02.xlsx&amp;sheet=A0&amp;row=123&amp;col=17&amp;number=&amp;sourceID=32","")</f>
        <v/>
      </c>
      <c r="R123" s="4" t="str">
        <f>HYPERLINK("http://141.218.60.56/~jnz1568/getInfo.php?workbook=08_02.xlsx&amp;sheet=A0&amp;row=123&amp;col=18&amp;number=&amp;sourceID=32","")</f>
        <v/>
      </c>
      <c r="S123" s="4" t="str">
        <f>HYPERLINK("http://141.218.60.56/~jnz1568/getInfo.php?workbook=08_02.xlsx&amp;sheet=A0&amp;row=123&amp;col=19&amp;number=&amp;sourceID=1","")</f>
        <v/>
      </c>
      <c r="T123" s="4" t="str">
        <f>HYPERLINK("http://141.218.60.56/~jnz1568/getInfo.php?workbook=08_02.xlsx&amp;sheet=A0&amp;row=123&amp;col=20&amp;number=&amp;sourceID=1","")</f>
        <v/>
      </c>
    </row>
    <row r="124" spans="1:20">
      <c r="A124" s="3">
        <v>8</v>
      </c>
      <c r="B124" s="3">
        <v>2</v>
      </c>
      <c r="C124" s="3">
        <v>17</v>
      </c>
      <c r="D124" s="3">
        <v>15</v>
      </c>
      <c r="E124" s="3">
        <f>((1/(INDEX(E0!J$4:J$52,C124,1)-INDEX(E0!J$4:J$52,D124,1))))*100000000</f>
        <v>0</v>
      </c>
      <c r="F124" s="4" t="str">
        <f>HYPERLINK("http://141.218.60.56/~jnz1568/getInfo.php?workbook=08_02.xlsx&amp;sheet=A0&amp;row=124&amp;col=6&amp;number=&amp;sourceID=27","")</f>
        <v/>
      </c>
      <c r="G124" s="4" t="str">
        <f>HYPERLINK("http://141.218.60.56/~jnz1568/getInfo.php?workbook=08_02.xlsx&amp;sheet=A0&amp;row=124&amp;col=7&amp;number=&amp;sourceID=34","")</f>
        <v/>
      </c>
      <c r="H124" s="4" t="str">
        <f>HYPERLINK("http://141.218.60.56/~jnz1568/getInfo.php?workbook=08_02.xlsx&amp;sheet=A0&amp;row=124&amp;col=8&amp;number=&amp;sourceID=34","")</f>
        <v/>
      </c>
      <c r="I124" s="4" t="str">
        <f>HYPERLINK("http://141.218.60.56/~jnz1568/getInfo.php?workbook=08_02.xlsx&amp;sheet=A0&amp;row=124&amp;col=9&amp;number=&amp;sourceID=34","")</f>
        <v/>
      </c>
      <c r="J124" s="4" t="str">
        <f>HYPERLINK("http://141.218.60.56/~jnz1568/getInfo.php?workbook=08_02.xlsx&amp;sheet=A0&amp;row=124&amp;col=10&amp;number=&amp;sourceID=34","")</f>
        <v/>
      </c>
      <c r="K124" s="4" t="str">
        <f>HYPERLINK("http://141.218.60.56/~jnz1568/getInfo.php?workbook=08_02.xlsx&amp;sheet=A0&amp;row=124&amp;col=11&amp;number=&amp;sourceID=30","")</f>
        <v/>
      </c>
      <c r="L124" s="4" t="str">
        <f>HYPERLINK("http://141.218.60.56/~jnz1568/getInfo.php?workbook=08_02.xlsx&amp;sheet=A0&amp;row=124&amp;col=12&amp;number=&amp;sourceID=30","")</f>
        <v/>
      </c>
      <c r="M124" s="4" t="str">
        <f>HYPERLINK("http://141.218.60.56/~jnz1568/getInfo.php?workbook=08_02.xlsx&amp;sheet=A0&amp;row=124&amp;col=13&amp;number=&amp;sourceID=30","")</f>
        <v/>
      </c>
      <c r="N124" s="4" t="str">
        <f>HYPERLINK("http://141.218.60.56/~jnz1568/getInfo.php?workbook=08_02.xlsx&amp;sheet=A0&amp;row=124&amp;col=14&amp;number=1.541e-08&amp;sourceID=30","1.541e-08")</f>
        <v>1.541e-08</v>
      </c>
      <c r="O124" s="4" t="str">
        <f>HYPERLINK("http://141.218.60.56/~jnz1568/getInfo.php?workbook=08_02.xlsx&amp;sheet=A0&amp;row=124&amp;col=15&amp;number=&amp;sourceID=32","")</f>
        <v/>
      </c>
      <c r="P124" s="4" t="str">
        <f>HYPERLINK("http://141.218.60.56/~jnz1568/getInfo.php?workbook=08_02.xlsx&amp;sheet=A0&amp;row=124&amp;col=16&amp;number=&amp;sourceID=32","")</f>
        <v/>
      </c>
      <c r="Q124" s="4" t="str">
        <f>HYPERLINK("http://141.218.60.56/~jnz1568/getInfo.php?workbook=08_02.xlsx&amp;sheet=A0&amp;row=124&amp;col=17&amp;number=&amp;sourceID=32","")</f>
        <v/>
      </c>
      <c r="R124" s="4" t="str">
        <f>HYPERLINK("http://141.218.60.56/~jnz1568/getInfo.php?workbook=08_02.xlsx&amp;sheet=A0&amp;row=124&amp;col=18&amp;number=&amp;sourceID=32","")</f>
        <v/>
      </c>
      <c r="S124" s="4" t="str">
        <f>HYPERLINK("http://141.218.60.56/~jnz1568/getInfo.php?workbook=08_02.xlsx&amp;sheet=A0&amp;row=124&amp;col=19&amp;number=&amp;sourceID=1","")</f>
        <v/>
      </c>
      <c r="T124" s="4" t="str">
        <f>HYPERLINK("http://141.218.60.56/~jnz1568/getInfo.php?workbook=08_02.xlsx&amp;sheet=A0&amp;row=124&amp;col=20&amp;number=&amp;sourceID=1","")</f>
        <v/>
      </c>
    </row>
    <row r="125" spans="1:20">
      <c r="A125" s="3">
        <v>8</v>
      </c>
      <c r="B125" s="3">
        <v>2</v>
      </c>
      <c r="C125" s="3">
        <v>17</v>
      </c>
      <c r="D125" s="3">
        <v>16</v>
      </c>
      <c r="E125" s="3">
        <f>((1/(INDEX(E0!J$4:J$52,C125,1)-INDEX(E0!J$4:J$52,D125,1))))*100000000</f>
        <v>0</v>
      </c>
      <c r="F125" s="4" t="str">
        <f>HYPERLINK("http://141.218.60.56/~jnz1568/getInfo.php?workbook=08_02.xlsx&amp;sheet=A0&amp;row=125&amp;col=6&amp;number=&amp;sourceID=27","")</f>
        <v/>
      </c>
      <c r="G125" s="4" t="str">
        <f>HYPERLINK("http://141.218.60.56/~jnz1568/getInfo.php?workbook=08_02.xlsx&amp;sheet=A0&amp;row=125&amp;col=7&amp;number=74000&amp;sourceID=34","74000")</f>
        <v>74000</v>
      </c>
      <c r="H125" s="4" t="str">
        <f>HYPERLINK("http://141.218.60.56/~jnz1568/getInfo.php?workbook=08_02.xlsx&amp;sheet=A0&amp;row=125&amp;col=8&amp;number=&amp;sourceID=34","")</f>
        <v/>
      </c>
      <c r="I125" s="4" t="str">
        <f>HYPERLINK("http://141.218.60.56/~jnz1568/getInfo.php?workbook=08_02.xlsx&amp;sheet=A0&amp;row=125&amp;col=9&amp;number=&amp;sourceID=34","")</f>
        <v/>
      </c>
      <c r="J125" s="4" t="str">
        <f>HYPERLINK("http://141.218.60.56/~jnz1568/getInfo.php?workbook=08_02.xlsx&amp;sheet=A0&amp;row=125&amp;col=10&amp;number=&amp;sourceID=34","")</f>
        <v/>
      </c>
      <c r="K125" s="4" t="str">
        <f>HYPERLINK("http://141.218.60.56/~jnz1568/getInfo.php?workbook=08_02.xlsx&amp;sheet=A0&amp;row=125&amp;col=11&amp;number=114200&amp;sourceID=30","114200")</f>
        <v>114200</v>
      </c>
      <c r="L125" s="4" t="str">
        <f>HYPERLINK("http://141.218.60.56/~jnz1568/getInfo.php?workbook=08_02.xlsx&amp;sheet=A0&amp;row=125&amp;col=12&amp;number=&amp;sourceID=30","")</f>
        <v/>
      </c>
      <c r="M125" s="4" t="str">
        <f>HYPERLINK("http://141.218.60.56/~jnz1568/getInfo.php?workbook=08_02.xlsx&amp;sheet=A0&amp;row=125&amp;col=13&amp;number=&amp;sourceID=30","")</f>
        <v/>
      </c>
      <c r="N125" s="4" t="str">
        <f>HYPERLINK("http://141.218.60.56/~jnz1568/getInfo.php?workbook=08_02.xlsx&amp;sheet=A0&amp;row=125&amp;col=14&amp;number=4.742e-09&amp;sourceID=30","4.742e-09")</f>
        <v>4.742e-09</v>
      </c>
      <c r="O125" s="4" t="str">
        <f>HYPERLINK("http://141.218.60.56/~jnz1568/getInfo.php?workbook=08_02.xlsx&amp;sheet=A0&amp;row=125&amp;col=15&amp;number=&amp;sourceID=32","")</f>
        <v/>
      </c>
      <c r="P125" s="4" t="str">
        <f>HYPERLINK("http://141.218.60.56/~jnz1568/getInfo.php?workbook=08_02.xlsx&amp;sheet=A0&amp;row=125&amp;col=16&amp;number=&amp;sourceID=32","")</f>
        <v/>
      </c>
      <c r="Q125" s="4" t="str">
        <f>HYPERLINK("http://141.218.60.56/~jnz1568/getInfo.php?workbook=08_02.xlsx&amp;sheet=A0&amp;row=125&amp;col=17&amp;number=&amp;sourceID=32","")</f>
        <v/>
      </c>
      <c r="R125" s="4" t="str">
        <f>HYPERLINK("http://141.218.60.56/~jnz1568/getInfo.php?workbook=08_02.xlsx&amp;sheet=A0&amp;row=125&amp;col=18&amp;number=&amp;sourceID=32","")</f>
        <v/>
      </c>
      <c r="S125" s="4" t="str">
        <f>HYPERLINK("http://141.218.60.56/~jnz1568/getInfo.php?workbook=08_02.xlsx&amp;sheet=A0&amp;row=125&amp;col=19&amp;number=&amp;sourceID=1","")</f>
        <v/>
      </c>
      <c r="T125" s="4" t="str">
        <f>HYPERLINK("http://141.218.60.56/~jnz1568/getInfo.php?workbook=08_02.xlsx&amp;sheet=A0&amp;row=125&amp;col=20&amp;number=&amp;sourceID=1","")</f>
        <v/>
      </c>
    </row>
    <row r="126" spans="1:20">
      <c r="A126" s="3">
        <v>8</v>
      </c>
      <c r="B126" s="3">
        <v>2</v>
      </c>
      <c r="C126" s="3">
        <v>18</v>
      </c>
      <c r="D126" s="3">
        <v>1</v>
      </c>
      <c r="E126" s="3">
        <f>((1/(INDEX(E0!J$4:J$52,C126,1)-INDEX(E0!J$4:J$52,D126,1))))*100000000</f>
        <v>0</v>
      </c>
      <c r="F126" s="4" t="str">
        <f>HYPERLINK("http://141.218.60.56/~jnz1568/getInfo.php?workbook=08_02.xlsx&amp;sheet=A0&amp;row=126&amp;col=6&amp;number=&amp;sourceID=27","")</f>
        <v/>
      </c>
      <c r="G126" s="4" t="str">
        <f>HYPERLINK("http://141.218.60.56/~jnz1568/getInfo.php?workbook=08_02.xlsx&amp;sheet=A0&amp;row=126&amp;col=7&amp;number=&amp;sourceID=34","")</f>
        <v/>
      </c>
      <c r="H126" s="4" t="str">
        <f>HYPERLINK("http://141.218.60.56/~jnz1568/getInfo.php?workbook=08_02.xlsx&amp;sheet=A0&amp;row=126&amp;col=8&amp;number=&amp;sourceID=34","")</f>
        <v/>
      </c>
      <c r="I126" s="4" t="str">
        <f>HYPERLINK("http://141.218.60.56/~jnz1568/getInfo.php?workbook=08_02.xlsx&amp;sheet=A0&amp;row=126&amp;col=9&amp;number=184&amp;sourceID=34","184")</f>
        <v>184</v>
      </c>
      <c r="J126" s="4" t="str">
        <f>HYPERLINK("http://141.218.60.56/~jnz1568/getInfo.php?workbook=08_02.xlsx&amp;sheet=A0&amp;row=126&amp;col=10&amp;number=&amp;sourceID=34","")</f>
        <v/>
      </c>
      <c r="K126" s="4" t="str">
        <f>HYPERLINK("http://141.218.60.56/~jnz1568/getInfo.php?workbook=08_02.xlsx&amp;sheet=A0&amp;row=126&amp;col=11&amp;number=&amp;sourceID=30","")</f>
        <v/>
      </c>
      <c r="L126" s="4" t="str">
        <f>HYPERLINK("http://141.218.60.56/~jnz1568/getInfo.php?workbook=08_02.xlsx&amp;sheet=A0&amp;row=126&amp;col=12&amp;number=&amp;sourceID=30","")</f>
        <v/>
      </c>
      <c r="M126" s="4" t="str">
        <f>HYPERLINK("http://141.218.60.56/~jnz1568/getInfo.php?workbook=08_02.xlsx&amp;sheet=A0&amp;row=126&amp;col=13&amp;number=0.03272&amp;sourceID=30","0.03272")</f>
        <v>0.03272</v>
      </c>
      <c r="N126" s="4" t="str">
        <f>HYPERLINK("http://141.218.60.56/~jnz1568/getInfo.php?workbook=08_02.xlsx&amp;sheet=A0&amp;row=126&amp;col=14&amp;number=&amp;sourceID=30","")</f>
        <v/>
      </c>
      <c r="O126" s="4" t="str">
        <f>HYPERLINK("http://141.218.60.56/~jnz1568/getInfo.php?workbook=08_02.xlsx&amp;sheet=A0&amp;row=126&amp;col=15&amp;number=&amp;sourceID=32","")</f>
        <v/>
      </c>
      <c r="P126" s="4" t="str">
        <f>HYPERLINK("http://141.218.60.56/~jnz1568/getInfo.php?workbook=08_02.xlsx&amp;sheet=A0&amp;row=126&amp;col=16&amp;number=&amp;sourceID=32","")</f>
        <v/>
      </c>
      <c r="Q126" s="4" t="str">
        <f>HYPERLINK("http://141.218.60.56/~jnz1568/getInfo.php?workbook=08_02.xlsx&amp;sheet=A0&amp;row=126&amp;col=17&amp;number=203&amp;sourceID=32","203")</f>
        <v>203</v>
      </c>
      <c r="R126" s="4" t="str">
        <f>HYPERLINK("http://141.218.60.56/~jnz1568/getInfo.php?workbook=08_02.xlsx&amp;sheet=A0&amp;row=126&amp;col=18&amp;number=&amp;sourceID=32","")</f>
        <v/>
      </c>
      <c r="S126" s="4" t="str">
        <f>HYPERLINK("http://141.218.60.56/~jnz1568/getInfo.php?workbook=08_02.xlsx&amp;sheet=A0&amp;row=126&amp;col=19&amp;number=&amp;sourceID=1","")</f>
        <v/>
      </c>
      <c r="T126" s="4" t="str">
        <f>HYPERLINK("http://141.218.60.56/~jnz1568/getInfo.php?workbook=08_02.xlsx&amp;sheet=A0&amp;row=126&amp;col=20&amp;number=&amp;sourceID=1","")</f>
        <v/>
      </c>
    </row>
    <row r="127" spans="1:20">
      <c r="A127" s="3">
        <v>8</v>
      </c>
      <c r="B127" s="3">
        <v>2</v>
      </c>
      <c r="C127" s="3">
        <v>18</v>
      </c>
      <c r="D127" s="3">
        <v>2</v>
      </c>
      <c r="E127" s="3">
        <f>((1/(INDEX(E0!J$4:J$52,C127,1)-INDEX(E0!J$4:J$52,D127,1))))*100000000</f>
        <v>0</v>
      </c>
      <c r="F127" s="4" t="str">
        <f>HYPERLINK("http://141.218.60.56/~jnz1568/getInfo.php?workbook=08_02.xlsx&amp;sheet=A0&amp;row=127&amp;col=6&amp;number=&amp;sourceID=27","")</f>
        <v/>
      </c>
      <c r="G127" s="4" t="str">
        <f>HYPERLINK("http://141.218.60.56/~jnz1568/getInfo.php?workbook=08_02.xlsx&amp;sheet=A0&amp;row=127&amp;col=7&amp;number=&amp;sourceID=34","")</f>
        <v/>
      </c>
      <c r="H127" s="4" t="str">
        <f>HYPERLINK("http://141.218.60.56/~jnz1568/getInfo.php?workbook=08_02.xlsx&amp;sheet=A0&amp;row=127&amp;col=8&amp;number=&amp;sourceID=34","")</f>
        <v/>
      </c>
      <c r="I127" s="4" t="str">
        <f>HYPERLINK("http://141.218.60.56/~jnz1568/getInfo.php?workbook=08_02.xlsx&amp;sheet=A0&amp;row=127&amp;col=9&amp;number=&amp;sourceID=34","")</f>
        <v/>
      </c>
      <c r="J127" s="4" t="str">
        <f>HYPERLINK("http://141.218.60.56/~jnz1568/getInfo.php?workbook=08_02.xlsx&amp;sheet=A0&amp;row=127&amp;col=10&amp;number=&amp;sourceID=34","")</f>
        <v/>
      </c>
      <c r="K127" s="4" t="str">
        <f>HYPERLINK("http://141.218.60.56/~jnz1568/getInfo.php?workbook=08_02.xlsx&amp;sheet=A0&amp;row=127&amp;col=11&amp;number=&amp;sourceID=30","")</f>
        <v/>
      </c>
      <c r="L127" s="4" t="str">
        <f>HYPERLINK("http://141.218.60.56/~jnz1568/getInfo.php?workbook=08_02.xlsx&amp;sheet=A0&amp;row=127&amp;col=12&amp;number=7.375e-06&amp;sourceID=30","7.375e-06")</f>
        <v>7.375e-06</v>
      </c>
      <c r="M127" s="4" t="str">
        <f>HYPERLINK("http://141.218.60.56/~jnz1568/getInfo.php?workbook=08_02.xlsx&amp;sheet=A0&amp;row=127&amp;col=13&amp;number=0.3903&amp;sourceID=30","0.3903")</f>
        <v>0.3903</v>
      </c>
      <c r="N127" s="4" t="str">
        <f>HYPERLINK("http://141.218.60.56/~jnz1568/getInfo.php?workbook=08_02.xlsx&amp;sheet=A0&amp;row=127&amp;col=14&amp;number=&amp;sourceID=30","")</f>
        <v/>
      </c>
      <c r="O127" s="4" t="str">
        <f>HYPERLINK("http://141.218.60.56/~jnz1568/getInfo.php?workbook=08_02.xlsx&amp;sheet=A0&amp;row=127&amp;col=15&amp;number=&amp;sourceID=32","")</f>
        <v/>
      </c>
      <c r="P127" s="4" t="str">
        <f>HYPERLINK("http://141.218.60.56/~jnz1568/getInfo.php?workbook=08_02.xlsx&amp;sheet=A0&amp;row=127&amp;col=16&amp;number=0.0162&amp;sourceID=32","0.0162")</f>
        <v>0.0162</v>
      </c>
      <c r="Q127" s="4" t="str">
        <f>HYPERLINK("http://141.218.60.56/~jnz1568/getInfo.php?workbook=08_02.xlsx&amp;sheet=A0&amp;row=127&amp;col=17&amp;number=0.3979&amp;sourceID=32","0.3979")</f>
        <v>0.3979</v>
      </c>
      <c r="R127" s="4" t="str">
        <f>HYPERLINK("http://141.218.60.56/~jnz1568/getInfo.php?workbook=08_02.xlsx&amp;sheet=A0&amp;row=127&amp;col=18&amp;number=&amp;sourceID=32","")</f>
        <v/>
      </c>
      <c r="S127" s="4" t="str">
        <f>HYPERLINK("http://141.218.60.56/~jnz1568/getInfo.php?workbook=08_02.xlsx&amp;sheet=A0&amp;row=127&amp;col=19&amp;number=&amp;sourceID=1","")</f>
        <v/>
      </c>
      <c r="T127" s="4" t="str">
        <f>HYPERLINK("http://141.218.60.56/~jnz1568/getInfo.php?workbook=08_02.xlsx&amp;sheet=A0&amp;row=127&amp;col=20&amp;number=&amp;sourceID=1","")</f>
        <v/>
      </c>
    </row>
    <row r="128" spans="1:20">
      <c r="A128" s="3">
        <v>8</v>
      </c>
      <c r="B128" s="3">
        <v>2</v>
      </c>
      <c r="C128" s="3">
        <v>18</v>
      </c>
      <c r="D128" s="3">
        <v>3</v>
      </c>
      <c r="E128" s="3">
        <f>((1/(INDEX(E0!J$4:J$52,C128,1)-INDEX(E0!J$4:J$52,D128,1))))*100000000</f>
        <v>0</v>
      </c>
      <c r="F128" s="4" t="str">
        <f>HYPERLINK("http://141.218.60.56/~jnz1568/getInfo.php?workbook=08_02.xlsx&amp;sheet=A0&amp;row=128&amp;col=6&amp;number=&amp;sourceID=27","")</f>
        <v/>
      </c>
      <c r="G128" s="4" t="str">
        <f>HYPERLINK("http://141.218.60.56/~jnz1568/getInfo.php?workbook=08_02.xlsx&amp;sheet=A0&amp;row=128&amp;col=7&amp;number=987666666.667&amp;sourceID=34","987666666.667")</f>
        <v>987666666.667</v>
      </c>
      <c r="H128" s="4" t="str">
        <f>HYPERLINK("http://141.218.60.56/~jnz1568/getInfo.php?workbook=08_02.xlsx&amp;sheet=A0&amp;row=128&amp;col=8&amp;number=&amp;sourceID=34","")</f>
        <v/>
      </c>
      <c r="I128" s="4" t="str">
        <f>HYPERLINK("http://141.218.60.56/~jnz1568/getInfo.php?workbook=08_02.xlsx&amp;sheet=A0&amp;row=128&amp;col=9&amp;number=&amp;sourceID=34","")</f>
        <v/>
      </c>
      <c r="J128" s="4" t="str">
        <f>HYPERLINK("http://141.218.60.56/~jnz1568/getInfo.php?workbook=08_02.xlsx&amp;sheet=A0&amp;row=128&amp;col=10&amp;number=&amp;sourceID=34","")</f>
        <v/>
      </c>
      <c r="K128" s="4" t="str">
        <f>HYPERLINK("http://141.218.60.56/~jnz1568/getInfo.php?workbook=08_02.xlsx&amp;sheet=A0&amp;row=128&amp;col=11&amp;number=853400000&amp;sourceID=30","853400000")</f>
        <v>853400000</v>
      </c>
      <c r="L128" s="4" t="str">
        <f>HYPERLINK("http://141.218.60.56/~jnz1568/getInfo.php?workbook=08_02.xlsx&amp;sheet=A0&amp;row=128&amp;col=12&amp;number=&amp;sourceID=30","")</f>
        <v/>
      </c>
      <c r="M128" s="4" t="str">
        <f>HYPERLINK("http://141.218.60.56/~jnz1568/getInfo.php?workbook=08_02.xlsx&amp;sheet=A0&amp;row=128&amp;col=13&amp;number=&amp;sourceID=30","")</f>
        <v/>
      </c>
      <c r="N128" s="4" t="str">
        <f>HYPERLINK("http://141.218.60.56/~jnz1568/getInfo.php?workbook=08_02.xlsx&amp;sheet=A0&amp;row=128&amp;col=14&amp;number=&amp;sourceID=30","")</f>
        <v/>
      </c>
      <c r="O128" s="4" t="str">
        <f>HYPERLINK("http://141.218.60.56/~jnz1568/getInfo.php?workbook=08_02.xlsx&amp;sheet=A0&amp;row=128&amp;col=15&amp;number=991300000&amp;sourceID=32","991300000")</f>
        <v>991300000</v>
      </c>
      <c r="P128" s="4" t="str">
        <f>HYPERLINK("http://141.218.60.56/~jnz1568/getInfo.php?workbook=08_02.xlsx&amp;sheet=A0&amp;row=128&amp;col=16&amp;number=&amp;sourceID=32","")</f>
        <v/>
      </c>
      <c r="Q128" s="4" t="str">
        <f>HYPERLINK("http://141.218.60.56/~jnz1568/getInfo.php?workbook=08_02.xlsx&amp;sheet=A0&amp;row=128&amp;col=17&amp;number=&amp;sourceID=32","")</f>
        <v/>
      </c>
      <c r="R128" s="4" t="str">
        <f>HYPERLINK("http://141.218.60.56/~jnz1568/getInfo.php?workbook=08_02.xlsx&amp;sheet=A0&amp;row=128&amp;col=18&amp;number=&amp;sourceID=32","")</f>
        <v/>
      </c>
      <c r="S128" s="4" t="str">
        <f>HYPERLINK("http://141.218.60.56/~jnz1568/getInfo.php?workbook=08_02.xlsx&amp;sheet=A0&amp;row=128&amp;col=19&amp;number=&amp;sourceID=1","")</f>
        <v/>
      </c>
      <c r="T128" s="4" t="str">
        <f>HYPERLINK("http://141.218.60.56/~jnz1568/getInfo.php?workbook=08_02.xlsx&amp;sheet=A0&amp;row=128&amp;col=20&amp;number=&amp;sourceID=1","")</f>
        <v/>
      </c>
    </row>
    <row r="129" spans="1:20">
      <c r="A129" s="3">
        <v>8</v>
      </c>
      <c r="B129" s="3">
        <v>2</v>
      </c>
      <c r="C129" s="3">
        <v>18</v>
      </c>
      <c r="D129" s="3">
        <v>4</v>
      </c>
      <c r="E129" s="3">
        <f>((1/(INDEX(E0!J$4:J$52,C129,1)-INDEX(E0!J$4:J$52,D129,1))))*100000000</f>
        <v>0</v>
      </c>
      <c r="F129" s="4" t="str">
        <f>HYPERLINK("http://141.218.60.56/~jnz1568/getInfo.php?workbook=08_02.xlsx&amp;sheet=A0&amp;row=129&amp;col=6&amp;number=&amp;sourceID=27","")</f>
        <v/>
      </c>
      <c r="G129" s="4" t="str">
        <f>HYPERLINK("http://141.218.60.56/~jnz1568/getInfo.php?workbook=08_02.xlsx&amp;sheet=A0&amp;row=129&amp;col=7&amp;number=2963000000&amp;sourceID=34","2963000000")</f>
        <v>2963000000</v>
      </c>
      <c r="H129" s="4" t="str">
        <f>HYPERLINK("http://141.218.60.56/~jnz1568/getInfo.php?workbook=08_02.xlsx&amp;sheet=A0&amp;row=129&amp;col=8&amp;number=&amp;sourceID=34","")</f>
        <v/>
      </c>
      <c r="I129" s="4" t="str">
        <f>HYPERLINK("http://141.218.60.56/~jnz1568/getInfo.php?workbook=08_02.xlsx&amp;sheet=A0&amp;row=129&amp;col=9&amp;number=&amp;sourceID=34","")</f>
        <v/>
      </c>
      <c r="J129" s="4" t="str">
        <f>HYPERLINK("http://141.218.60.56/~jnz1568/getInfo.php?workbook=08_02.xlsx&amp;sheet=A0&amp;row=129&amp;col=10&amp;number=&amp;sourceID=34","")</f>
        <v/>
      </c>
      <c r="K129" s="4" t="str">
        <f>HYPERLINK("http://141.218.60.56/~jnz1568/getInfo.php?workbook=08_02.xlsx&amp;sheet=A0&amp;row=129&amp;col=11&amp;number=2547000000&amp;sourceID=30","2547000000")</f>
        <v>2547000000</v>
      </c>
      <c r="L129" s="4" t="str">
        <f>HYPERLINK("http://141.218.60.56/~jnz1568/getInfo.php?workbook=08_02.xlsx&amp;sheet=A0&amp;row=129&amp;col=12&amp;number=&amp;sourceID=30","")</f>
        <v/>
      </c>
      <c r="M129" s="4" t="str">
        <f>HYPERLINK("http://141.218.60.56/~jnz1568/getInfo.php?workbook=08_02.xlsx&amp;sheet=A0&amp;row=129&amp;col=13&amp;number=&amp;sourceID=30","")</f>
        <v/>
      </c>
      <c r="N129" s="4" t="str">
        <f>HYPERLINK("http://141.218.60.56/~jnz1568/getInfo.php?workbook=08_02.xlsx&amp;sheet=A0&amp;row=129&amp;col=14&amp;number=9.514&amp;sourceID=30","9.514")</f>
        <v>9.514</v>
      </c>
      <c r="O129" s="4" t="str">
        <f>HYPERLINK("http://141.218.60.56/~jnz1568/getInfo.php?workbook=08_02.xlsx&amp;sheet=A0&amp;row=129&amp;col=15&amp;number=2966000000&amp;sourceID=32","2966000000")</f>
        <v>2966000000</v>
      </c>
      <c r="P129" s="4" t="str">
        <f>HYPERLINK("http://141.218.60.56/~jnz1568/getInfo.php?workbook=08_02.xlsx&amp;sheet=A0&amp;row=129&amp;col=16&amp;number=&amp;sourceID=32","")</f>
        <v/>
      </c>
      <c r="Q129" s="4" t="str">
        <f>HYPERLINK("http://141.218.60.56/~jnz1568/getInfo.php?workbook=08_02.xlsx&amp;sheet=A0&amp;row=129&amp;col=17&amp;number=&amp;sourceID=32","")</f>
        <v/>
      </c>
      <c r="R129" s="4" t="str">
        <f>HYPERLINK("http://141.218.60.56/~jnz1568/getInfo.php?workbook=08_02.xlsx&amp;sheet=A0&amp;row=129&amp;col=18&amp;number=11.19&amp;sourceID=32","11.19")</f>
        <v>11.19</v>
      </c>
      <c r="S129" s="4" t="str">
        <f>HYPERLINK("http://141.218.60.56/~jnz1568/getInfo.php?workbook=08_02.xlsx&amp;sheet=A0&amp;row=129&amp;col=19&amp;number=&amp;sourceID=1","")</f>
        <v/>
      </c>
      <c r="T129" s="4" t="str">
        <f>HYPERLINK("http://141.218.60.56/~jnz1568/getInfo.php?workbook=08_02.xlsx&amp;sheet=A0&amp;row=129&amp;col=20&amp;number=&amp;sourceID=1","")</f>
        <v/>
      </c>
    </row>
    <row r="130" spans="1:20">
      <c r="A130" s="3">
        <v>8</v>
      </c>
      <c r="B130" s="3">
        <v>2</v>
      </c>
      <c r="C130" s="3">
        <v>18</v>
      </c>
      <c r="D130" s="3">
        <v>5</v>
      </c>
      <c r="E130" s="3">
        <f>((1/(INDEX(E0!J$4:J$52,C130,1)-INDEX(E0!J$4:J$52,D130,1))))*100000000</f>
        <v>0</v>
      </c>
      <c r="F130" s="4" t="str">
        <f>HYPERLINK("http://141.218.60.56/~jnz1568/getInfo.php?workbook=08_02.xlsx&amp;sheet=A0&amp;row=130&amp;col=6&amp;number=&amp;sourceID=27","")</f>
        <v/>
      </c>
      <c r="G130" s="4" t="str">
        <f>HYPERLINK("http://141.218.60.56/~jnz1568/getInfo.php?workbook=08_02.xlsx&amp;sheet=A0&amp;row=130&amp;col=7&amp;number=4930000000&amp;sourceID=34","4930000000")</f>
        <v>4930000000</v>
      </c>
      <c r="H130" s="4" t="str">
        <f>HYPERLINK("http://141.218.60.56/~jnz1568/getInfo.php?workbook=08_02.xlsx&amp;sheet=A0&amp;row=130&amp;col=8&amp;number=&amp;sourceID=34","")</f>
        <v/>
      </c>
      <c r="I130" s="4" t="str">
        <f>HYPERLINK("http://141.218.60.56/~jnz1568/getInfo.php?workbook=08_02.xlsx&amp;sheet=A0&amp;row=130&amp;col=9&amp;number=&amp;sourceID=34","")</f>
        <v/>
      </c>
      <c r="J130" s="4" t="str">
        <f>HYPERLINK("http://141.218.60.56/~jnz1568/getInfo.php?workbook=08_02.xlsx&amp;sheet=A0&amp;row=130&amp;col=10&amp;number=&amp;sourceID=34","")</f>
        <v/>
      </c>
      <c r="K130" s="4" t="str">
        <f>HYPERLINK("http://141.218.60.56/~jnz1568/getInfo.php?workbook=08_02.xlsx&amp;sheet=A0&amp;row=130&amp;col=11&amp;number=4256000000&amp;sourceID=30","4256000000")</f>
        <v>4256000000</v>
      </c>
      <c r="L130" s="4" t="str">
        <f>HYPERLINK("http://141.218.60.56/~jnz1568/getInfo.php?workbook=08_02.xlsx&amp;sheet=A0&amp;row=130&amp;col=12&amp;number=&amp;sourceID=30","")</f>
        <v/>
      </c>
      <c r="M130" s="4" t="str">
        <f>HYPERLINK("http://141.218.60.56/~jnz1568/getInfo.php?workbook=08_02.xlsx&amp;sheet=A0&amp;row=130&amp;col=13&amp;number=&amp;sourceID=30","")</f>
        <v/>
      </c>
      <c r="N130" s="4" t="str">
        <f>HYPERLINK("http://141.218.60.56/~jnz1568/getInfo.php?workbook=08_02.xlsx&amp;sheet=A0&amp;row=130&amp;col=14&amp;number=29.8&amp;sourceID=30","29.8")</f>
        <v>29.8</v>
      </c>
      <c r="O130" s="4" t="str">
        <f>HYPERLINK("http://141.218.60.56/~jnz1568/getInfo.php?workbook=08_02.xlsx&amp;sheet=A0&amp;row=130&amp;col=15&amp;number=4961000000&amp;sourceID=32","4961000000")</f>
        <v>4961000000</v>
      </c>
      <c r="P130" s="4" t="str">
        <f>HYPERLINK("http://141.218.60.56/~jnz1568/getInfo.php?workbook=08_02.xlsx&amp;sheet=A0&amp;row=130&amp;col=16&amp;number=&amp;sourceID=32","")</f>
        <v/>
      </c>
      <c r="Q130" s="4" t="str">
        <f>HYPERLINK("http://141.218.60.56/~jnz1568/getInfo.php?workbook=08_02.xlsx&amp;sheet=A0&amp;row=130&amp;col=17&amp;number=&amp;sourceID=32","")</f>
        <v/>
      </c>
      <c r="R130" s="4" t="str">
        <f>HYPERLINK("http://141.218.60.56/~jnz1568/getInfo.php?workbook=08_02.xlsx&amp;sheet=A0&amp;row=130&amp;col=18&amp;number=34.82&amp;sourceID=32","34.82")</f>
        <v>34.82</v>
      </c>
      <c r="S130" s="4" t="str">
        <f>HYPERLINK("http://141.218.60.56/~jnz1568/getInfo.php?workbook=08_02.xlsx&amp;sheet=A0&amp;row=130&amp;col=19&amp;number=&amp;sourceID=1","")</f>
        <v/>
      </c>
      <c r="T130" s="4" t="str">
        <f>HYPERLINK("http://141.218.60.56/~jnz1568/getInfo.php?workbook=08_02.xlsx&amp;sheet=A0&amp;row=130&amp;col=20&amp;number=&amp;sourceID=1","")</f>
        <v/>
      </c>
    </row>
    <row r="131" spans="1:20">
      <c r="A131" s="3">
        <v>8</v>
      </c>
      <c r="B131" s="3">
        <v>2</v>
      </c>
      <c r="C131" s="3">
        <v>18</v>
      </c>
      <c r="D131" s="3">
        <v>6</v>
      </c>
      <c r="E131" s="3">
        <f>((1/(INDEX(E0!J$4:J$52,C131,1)-INDEX(E0!J$4:J$52,D131,1))))*100000000</f>
        <v>0</v>
      </c>
      <c r="F131" s="4" t="str">
        <f>HYPERLINK("http://141.218.60.56/~jnz1568/getInfo.php?workbook=08_02.xlsx&amp;sheet=A0&amp;row=131&amp;col=6&amp;number=&amp;sourceID=27","")</f>
        <v/>
      </c>
      <c r="G131" s="4" t="str">
        <f>HYPERLINK("http://141.218.60.56/~jnz1568/getInfo.php?workbook=08_02.xlsx&amp;sheet=A0&amp;row=131&amp;col=7&amp;number=&amp;sourceID=34","")</f>
        <v/>
      </c>
      <c r="H131" s="4" t="str">
        <f>HYPERLINK("http://141.218.60.56/~jnz1568/getInfo.php?workbook=08_02.xlsx&amp;sheet=A0&amp;row=131&amp;col=8&amp;number=&amp;sourceID=34","")</f>
        <v/>
      </c>
      <c r="I131" s="4" t="str">
        <f>HYPERLINK("http://141.218.60.56/~jnz1568/getInfo.php?workbook=08_02.xlsx&amp;sheet=A0&amp;row=131&amp;col=9&amp;number=&amp;sourceID=34","")</f>
        <v/>
      </c>
      <c r="J131" s="4" t="str">
        <f>HYPERLINK("http://141.218.60.56/~jnz1568/getInfo.php?workbook=08_02.xlsx&amp;sheet=A0&amp;row=131&amp;col=10&amp;number=&amp;sourceID=34","")</f>
        <v/>
      </c>
      <c r="K131" s="4" t="str">
        <f>HYPERLINK("http://141.218.60.56/~jnz1568/getInfo.php?workbook=08_02.xlsx&amp;sheet=A0&amp;row=131&amp;col=11&amp;number=&amp;sourceID=30","")</f>
        <v/>
      </c>
      <c r="L131" s="4" t="str">
        <f>HYPERLINK("http://141.218.60.56/~jnz1568/getInfo.php?workbook=08_02.xlsx&amp;sheet=A0&amp;row=131&amp;col=12&amp;number=&amp;sourceID=30","")</f>
        <v/>
      </c>
      <c r="M131" s="4" t="str">
        <f>HYPERLINK("http://141.218.60.56/~jnz1568/getInfo.php?workbook=08_02.xlsx&amp;sheet=A0&amp;row=131&amp;col=13&amp;number=0.2597&amp;sourceID=30","0.2597")</f>
        <v>0.2597</v>
      </c>
      <c r="N131" s="4" t="str">
        <f>HYPERLINK("http://141.218.60.56/~jnz1568/getInfo.php?workbook=08_02.xlsx&amp;sheet=A0&amp;row=131&amp;col=14&amp;number=&amp;sourceID=30","")</f>
        <v/>
      </c>
      <c r="O131" s="4" t="str">
        <f>HYPERLINK("http://141.218.60.56/~jnz1568/getInfo.php?workbook=08_02.xlsx&amp;sheet=A0&amp;row=131&amp;col=15&amp;number=&amp;sourceID=32","")</f>
        <v/>
      </c>
      <c r="P131" s="4" t="str">
        <f>HYPERLINK("http://141.218.60.56/~jnz1568/getInfo.php?workbook=08_02.xlsx&amp;sheet=A0&amp;row=131&amp;col=16&amp;number=&amp;sourceID=32","")</f>
        <v/>
      </c>
      <c r="Q131" s="4" t="str">
        <f>HYPERLINK("http://141.218.60.56/~jnz1568/getInfo.php?workbook=08_02.xlsx&amp;sheet=A0&amp;row=131&amp;col=17&amp;number=0.2859&amp;sourceID=32","0.2859")</f>
        <v>0.2859</v>
      </c>
      <c r="R131" s="4" t="str">
        <f>HYPERLINK("http://141.218.60.56/~jnz1568/getInfo.php?workbook=08_02.xlsx&amp;sheet=A0&amp;row=131&amp;col=18&amp;number=&amp;sourceID=32","")</f>
        <v/>
      </c>
      <c r="S131" s="4" t="str">
        <f>HYPERLINK("http://141.218.60.56/~jnz1568/getInfo.php?workbook=08_02.xlsx&amp;sheet=A0&amp;row=131&amp;col=19&amp;number=&amp;sourceID=1","")</f>
        <v/>
      </c>
      <c r="T131" s="4" t="str">
        <f>HYPERLINK("http://141.218.60.56/~jnz1568/getInfo.php?workbook=08_02.xlsx&amp;sheet=A0&amp;row=131&amp;col=20&amp;number=&amp;sourceID=1","")</f>
        <v/>
      </c>
    </row>
    <row r="132" spans="1:20">
      <c r="A132" s="3">
        <v>8</v>
      </c>
      <c r="B132" s="3">
        <v>2</v>
      </c>
      <c r="C132" s="3">
        <v>18</v>
      </c>
      <c r="D132" s="3">
        <v>7</v>
      </c>
      <c r="E132" s="3">
        <f>((1/(INDEX(E0!J$4:J$52,C132,1)-INDEX(E0!J$4:J$52,D132,1))))*100000000</f>
        <v>0</v>
      </c>
      <c r="F132" s="4" t="str">
        <f>HYPERLINK("http://141.218.60.56/~jnz1568/getInfo.php?workbook=08_02.xlsx&amp;sheet=A0&amp;row=132&amp;col=6&amp;number=&amp;sourceID=27","")</f>
        <v/>
      </c>
      <c r="G132" s="4" t="str">
        <f>HYPERLINK("http://141.218.60.56/~jnz1568/getInfo.php?workbook=08_02.xlsx&amp;sheet=A0&amp;row=132&amp;col=7&amp;number=&amp;sourceID=34","")</f>
        <v/>
      </c>
      <c r="H132" s="4" t="str">
        <f>HYPERLINK("http://141.218.60.56/~jnz1568/getInfo.php?workbook=08_02.xlsx&amp;sheet=A0&amp;row=132&amp;col=8&amp;number=&amp;sourceID=34","")</f>
        <v/>
      </c>
      <c r="I132" s="4" t="str">
        <f>HYPERLINK("http://141.218.60.56/~jnz1568/getInfo.php?workbook=08_02.xlsx&amp;sheet=A0&amp;row=132&amp;col=9&amp;number=&amp;sourceID=34","")</f>
        <v/>
      </c>
      <c r="J132" s="4" t="str">
        <f>HYPERLINK("http://141.218.60.56/~jnz1568/getInfo.php?workbook=08_02.xlsx&amp;sheet=A0&amp;row=132&amp;col=10&amp;number=&amp;sourceID=34","")</f>
        <v/>
      </c>
      <c r="K132" s="4" t="str">
        <f>HYPERLINK("http://141.218.60.56/~jnz1568/getInfo.php?workbook=08_02.xlsx&amp;sheet=A0&amp;row=132&amp;col=11&amp;number=478100&amp;sourceID=30","478100")</f>
        <v>478100</v>
      </c>
      <c r="L132" s="4" t="str">
        <f>HYPERLINK("http://141.218.60.56/~jnz1568/getInfo.php?workbook=08_02.xlsx&amp;sheet=A0&amp;row=132&amp;col=12&amp;number=&amp;sourceID=30","")</f>
        <v/>
      </c>
      <c r="M132" s="4" t="str">
        <f>HYPERLINK("http://141.218.60.56/~jnz1568/getInfo.php?workbook=08_02.xlsx&amp;sheet=A0&amp;row=132&amp;col=13&amp;number=&amp;sourceID=30","")</f>
        <v/>
      </c>
      <c r="N132" s="4" t="str">
        <f>HYPERLINK("http://141.218.60.56/~jnz1568/getInfo.php?workbook=08_02.xlsx&amp;sheet=A0&amp;row=132&amp;col=14&amp;number=33.2&amp;sourceID=30","33.2")</f>
        <v>33.2</v>
      </c>
      <c r="O132" s="4" t="str">
        <f>HYPERLINK("http://141.218.60.56/~jnz1568/getInfo.php?workbook=08_02.xlsx&amp;sheet=A0&amp;row=132&amp;col=15&amp;number=538600&amp;sourceID=32","538600")</f>
        <v>538600</v>
      </c>
      <c r="P132" s="4" t="str">
        <f>HYPERLINK("http://141.218.60.56/~jnz1568/getInfo.php?workbook=08_02.xlsx&amp;sheet=A0&amp;row=132&amp;col=16&amp;number=&amp;sourceID=32","")</f>
        <v/>
      </c>
      <c r="Q132" s="4" t="str">
        <f>HYPERLINK("http://141.218.60.56/~jnz1568/getInfo.php?workbook=08_02.xlsx&amp;sheet=A0&amp;row=132&amp;col=17&amp;number=&amp;sourceID=32","")</f>
        <v/>
      </c>
      <c r="R132" s="4" t="str">
        <f>HYPERLINK("http://141.218.60.56/~jnz1568/getInfo.php?workbook=08_02.xlsx&amp;sheet=A0&amp;row=132&amp;col=18&amp;number=25.64&amp;sourceID=32","25.64")</f>
        <v>25.64</v>
      </c>
      <c r="S132" s="4" t="str">
        <f>HYPERLINK("http://141.218.60.56/~jnz1568/getInfo.php?workbook=08_02.xlsx&amp;sheet=A0&amp;row=132&amp;col=19&amp;number=&amp;sourceID=1","")</f>
        <v/>
      </c>
      <c r="T132" s="4" t="str">
        <f>HYPERLINK("http://141.218.60.56/~jnz1568/getInfo.php?workbook=08_02.xlsx&amp;sheet=A0&amp;row=132&amp;col=20&amp;number=&amp;sourceID=1","")</f>
        <v/>
      </c>
    </row>
    <row r="133" spans="1:20">
      <c r="A133" s="3">
        <v>8</v>
      </c>
      <c r="B133" s="3">
        <v>2</v>
      </c>
      <c r="C133" s="3">
        <v>18</v>
      </c>
      <c r="D133" s="3">
        <v>8</v>
      </c>
      <c r="E133" s="3">
        <f>((1/(INDEX(E0!J$4:J$52,C133,1)-INDEX(E0!J$4:J$52,D133,1))))*100000000</f>
        <v>0</v>
      </c>
      <c r="F133" s="4" t="str">
        <f>HYPERLINK("http://141.218.60.56/~jnz1568/getInfo.php?workbook=08_02.xlsx&amp;sheet=A0&amp;row=133&amp;col=6&amp;number=&amp;sourceID=27","")</f>
        <v/>
      </c>
      <c r="G133" s="4" t="str">
        <f>HYPERLINK("http://141.218.60.56/~jnz1568/getInfo.php?workbook=08_02.xlsx&amp;sheet=A0&amp;row=133&amp;col=7&amp;number=&amp;sourceID=34","")</f>
        <v/>
      </c>
      <c r="H133" s="4" t="str">
        <f>HYPERLINK("http://141.218.60.56/~jnz1568/getInfo.php?workbook=08_02.xlsx&amp;sheet=A0&amp;row=133&amp;col=8&amp;number=&amp;sourceID=34","")</f>
        <v/>
      </c>
      <c r="I133" s="4" t="str">
        <f>HYPERLINK("http://141.218.60.56/~jnz1568/getInfo.php?workbook=08_02.xlsx&amp;sheet=A0&amp;row=133&amp;col=9&amp;number=&amp;sourceID=34","")</f>
        <v/>
      </c>
      <c r="J133" s="4" t="str">
        <f>HYPERLINK("http://141.218.60.56/~jnz1568/getInfo.php?workbook=08_02.xlsx&amp;sheet=A0&amp;row=133&amp;col=10&amp;number=&amp;sourceID=34","")</f>
        <v/>
      </c>
      <c r="K133" s="4" t="str">
        <f>HYPERLINK("http://141.218.60.56/~jnz1568/getInfo.php?workbook=08_02.xlsx&amp;sheet=A0&amp;row=133&amp;col=11&amp;number=&amp;sourceID=30","")</f>
        <v/>
      </c>
      <c r="L133" s="4" t="str">
        <f>HYPERLINK("http://141.218.60.56/~jnz1568/getInfo.php?workbook=08_02.xlsx&amp;sheet=A0&amp;row=133&amp;col=12&amp;number=0.01819&amp;sourceID=30","0.01819")</f>
        <v>0.01819</v>
      </c>
      <c r="M133" s="4" t="str">
        <f>HYPERLINK("http://141.218.60.56/~jnz1568/getInfo.php?workbook=08_02.xlsx&amp;sheet=A0&amp;row=133&amp;col=13&amp;number=0.004342&amp;sourceID=30","0.004342")</f>
        <v>0.004342</v>
      </c>
      <c r="N133" s="4" t="str">
        <f>HYPERLINK("http://141.218.60.56/~jnz1568/getInfo.php?workbook=08_02.xlsx&amp;sheet=A0&amp;row=133&amp;col=14&amp;number=&amp;sourceID=30","")</f>
        <v/>
      </c>
      <c r="O133" s="4" t="str">
        <f>HYPERLINK("http://141.218.60.56/~jnz1568/getInfo.php?workbook=08_02.xlsx&amp;sheet=A0&amp;row=133&amp;col=15&amp;number=&amp;sourceID=32","")</f>
        <v/>
      </c>
      <c r="P133" s="4" t="str">
        <f>HYPERLINK("http://141.218.60.56/~jnz1568/getInfo.php?workbook=08_02.xlsx&amp;sheet=A0&amp;row=133&amp;col=16&amp;number=0.02027&amp;sourceID=32","0.02027")</f>
        <v>0.02027</v>
      </c>
      <c r="Q133" s="4" t="str">
        <f>HYPERLINK("http://141.218.60.56/~jnz1568/getInfo.php?workbook=08_02.xlsx&amp;sheet=A0&amp;row=133&amp;col=17&amp;number=0.004453&amp;sourceID=32","0.004453")</f>
        <v>0.004453</v>
      </c>
      <c r="R133" s="4" t="str">
        <f>HYPERLINK("http://141.218.60.56/~jnz1568/getInfo.php?workbook=08_02.xlsx&amp;sheet=A0&amp;row=133&amp;col=18&amp;number=&amp;sourceID=32","")</f>
        <v/>
      </c>
      <c r="S133" s="4" t="str">
        <f>HYPERLINK("http://141.218.60.56/~jnz1568/getInfo.php?workbook=08_02.xlsx&amp;sheet=A0&amp;row=133&amp;col=19&amp;number=&amp;sourceID=1","")</f>
        <v/>
      </c>
      <c r="T133" s="4" t="str">
        <f>HYPERLINK("http://141.218.60.56/~jnz1568/getInfo.php?workbook=08_02.xlsx&amp;sheet=A0&amp;row=133&amp;col=20&amp;number=&amp;sourceID=1","")</f>
        <v/>
      </c>
    </row>
    <row r="134" spans="1:20">
      <c r="A134" s="3">
        <v>8</v>
      </c>
      <c r="B134" s="3">
        <v>2</v>
      </c>
      <c r="C134" s="3">
        <v>18</v>
      </c>
      <c r="D134" s="3">
        <v>9</v>
      </c>
      <c r="E134" s="3">
        <f>((1/(INDEX(E0!J$4:J$52,C134,1)-INDEX(E0!J$4:J$52,D134,1))))*100000000</f>
        <v>0</v>
      </c>
      <c r="F134" s="4" t="str">
        <f>HYPERLINK("http://141.218.60.56/~jnz1568/getInfo.php?workbook=08_02.xlsx&amp;sheet=A0&amp;row=134&amp;col=6&amp;number=&amp;sourceID=27","")</f>
        <v/>
      </c>
      <c r="G134" s="4" t="str">
        <f>HYPERLINK("http://141.218.60.56/~jnz1568/getInfo.php?workbook=08_02.xlsx&amp;sheet=A0&amp;row=134&amp;col=7&amp;number=&amp;sourceID=34","")</f>
        <v/>
      </c>
      <c r="H134" s="4" t="str">
        <f>HYPERLINK("http://141.218.60.56/~jnz1568/getInfo.php?workbook=08_02.xlsx&amp;sheet=A0&amp;row=134&amp;col=8&amp;number=&amp;sourceID=34","")</f>
        <v/>
      </c>
      <c r="I134" s="4" t="str">
        <f>HYPERLINK("http://141.218.60.56/~jnz1568/getInfo.php?workbook=08_02.xlsx&amp;sheet=A0&amp;row=134&amp;col=9&amp;number=&amp;sourceID=34","")</f>
        <v/>
      </c>
      <c r="J134" s="4" t="str">
        <f>HYPERLINK("http://141.218.60.56/~jnz1568/getInfo.php?workbook=08_02.xlsx&amp;sheet=A0&amp;row=134&amp;col=10&amp;number=&amp;sourceID=34","")</f>
        <v/>
      </c>
      <c r="K134" s="4" t="str">
        <f>HYPERLINK("http://141.218.60.56/~jnz1568/getInfo.php?workbook=08_02.xlsx&amp;sheet=A0&amp;row=134&amp;col=11&amp;number=670800000&amp;sourceID=30","670800000")</f>
        <v>670800000</v>
      </c>
      <c r="L134" s="4" t="str">
        <f>HYPERLINK("http://141.218.60.56/~jnz1568/getInfo.php?workbook=08_02.xlsx&amp;sheet=A0&amp;row=134&amp;col=12&amp;number=&amp;sourceID=30","")</f>
        <v/>
      </c>
      <c r="M134" s="4" t="str">
        <f>HYPERLINK("http://141.218.60.56/~jnz1568/getInfo.php?workbook=08_02.xlsx&amp;sheet=A0&amp;row=134&amp;col=13&amp;number=&amp;sourceID=30","")</f>
        <v/>
      </c>
      <c r="N134" s="4" t="str">
        <f>HYPERLINK("http://141.218.60.56/~jnz1568/getInfo.php?workbook=08_02.xlsx&amp;sheet=A0&amp;row=134&amp;col=14&amp;number=&amp;sourceID=30","")</f>
        <v/>
      </c>
      <c r="O134" s="4" t="str">
        <f>HYPERLINK("http://141.218.60.56/~jnz1568/getInfo.php?workbook=08_02.xlsx&amp;sheet=A0&amp;row=134&amp;col=15&amp;number=689600000&amp;sourceID=32","689600000")</f>
        <v>689600000</v>
      </c>
      <c r="P134" s="4" t="str">
        <f>HYPERLINK("http://141.218.60.56/~jnz1568/getInfo.php?workbook=08_02.xlsx&amp;sheet=A0&amp;row=134&amp;col=16&amp;number=&amp;sourceID=32","")</f>
        <v/>
      </c>
      <c r="Q134" s="4" t="str">
        <f>HYPERLINK("http://141.218.60.56/~jnz1568/getInfo.php?workbook=08_02.xlsx&amp;sheet=A0&amp;row=134&amp;col=17&amp;number=&amp;sourceID=32","")</f>
        <v/>
      </c>
      <c r="R134" s="4" t="str">
        <f>HYPERLINK("http://141.218.60.56/~jnz1568/getInfo.php?workbook=08_02.xlsx&amp;sheet=A0&amp;row=134&amp;col=18&amp;number=&amp;sourceID=32","")</f>
        <v/>
      </c>
      <c r="S134" s="4" t="str">
        <f>HYPERLINK("http://141.218.60.56/~jnz1568/getInfo.php?workbook=08_02.xlsx&amp;sheet=A0&amp;row=134&amp;col=19&amp;number=&amp;sourceID=1","")</f>
        <v/>
      </c>
      <c r="T134" s="4" t="str">
        <f>HYPERLINK("http://141.218.60.56/~jnz1568/getInfo.php?workbook=08_02.xlsx&amp;sheet=A0&amp;row=134&amp;col=20&amp;number=&amp;sourceID=1","")</f>
        <v/>
      </c>
    </row>
    <row r="135" spans="1:20">
      <c r="A135" s="3">
        <v>8</v>
      </c>
      <c r="B135" s="3">
        <v>2</v>
      </c>
      <c r="C135" s="3">
        <v>18</v>
      </c>
      <c r="D135" s="3">
        <v>10</v>
      </c>
      <c r="E135" s="3">
        <f>((1/(INDEX(E0!J$4:J$52,C135,1)-INDEX(E0!J$4:J$52,D135,1))))*100000000</f>
        <v>0</v>
      </c>
      <c r="F135" s="4" t="str">
        <f>HYPERLINK("http://141.218.60.56/~jnz1568/getInfo.php?workbook=08_02.xlsx&amp;sheet=A0&amp;row=135&amp;col=6&amp;number=&amp;sourceID=27","")</f>
        <v/>
      </c>
      <c r="G135" s="4" t="str">
        <f>HYPERLINK("http://141.218.60.56/~jnz1568/getInfo.php?workbook=08_02.xlsx&amp;sheet=A0&amp;row=135&amp;col=7&amp;number=&amp;sourceID=34","")</f>
        <v/>
      </c>
      <c r="H135" s="4" t="str">
        <f>HYPERLINK("http://141.218.60.56/~jnz1568/getInfo.php?workbook=08_02.xlsx&amp;sheet=A0&amp;row=135&amp;col=8&amp;number=&amp;sourceID=34","")</f>
        <v/>
      </c>
      <c r="I135" s="4" t="str">
        <f>HYPERLINK("http://141.218.60.56/~jnz1568/getInfo.php?workbook=08_02.xlsx&amp;sheet=A0&amp;row=135&amp;col=9&amp;number=&amp;sourceID=34","")</f>
        <v/>
      </c>
      <c r="J135" s="4" t="str">
        <f>HYPERLINK("http://141.218.60.56/~jnz1568/getInfo.php?workbook=08_02.xlsx&amp;sheet=A0&amp;row=135&amp;col=10&amp;number=&amp;sourceID=34","")</f>
        <v/>
      </c>
      <c r="K135" s="4" t="str">
        <f>HYPERLINK("http://141.218.60.56/~jnz1568/getInfo.php?workbook=08_02.xlsx&amp;sheet=A0&amp;row=135&amp;col=11&amp;number=2008000000&amp;sourceID=30","2008000000")</f>
        <v>2008000000</v>
      </c>
      <c r="L135" s="4" t="str">
        <f>HYPERLINK("http://141.218.60.56/~jnz1568/getInfo.php?workbook=08_02.xlsx&amp;sheet=A0&amp;row=135&amp;col=12&amp;number=&amp;sourceID=30","")</f>
        <v/>
      </c>
      <c r="M135" s="4" t="str">
        <f>HYPERLINK("http://141.218.60.56/~jnz1568/getInfo.php?workbook=08_02.xlsx&amp;sheet=A0&amp;row=135&amp;col=13&amp;number=&amp;sourceID=30","")</f>
        <v/>
      </c>
      <c r="N135" s="4" t="str">
        <f>HYPERLINK("http://141.218.60.56/~jnz1568/getInfo.php?workbook=08_02.xlsx&amp;sheet=A0&amp;row=135&amp;col=14&amp;number=0.4805&amp;sourceID=30","0.4805")</f>
        <v>0.4805</v>
      </c>
      <c r="O135" s="4" t="str">
        <f>HYPERLINK("http://141.218.60.56/~jnz1568/getInfo.php?workbook=08_02.xlsx&amp;sheet=A0&amp;row=135&amp;col=15&amp;number=2065000000&amp;sourceID=32","2065000000")</f>
        <v>2065000000</v>
      </c>
      <c r="P135" s="4" t="str">
        <f>HYPERLINK("http://141.218.60.56/~jnz1568/getInfo.php?workbook=08_02.xlsx&amp;sheet=A0&amp;row=135&amp;col=16&amp;number=&amp;sourceID=32","")</f>
        <v/>
      </c>
      <c r="Q135" s="4" t="str">
        <f>HYPERLINK("http://141.218.60.56/~jnz1568/getInfo.php?workbook=08_02.xlsx&amp;sheet=A0&amp;row=135&amp;col=17&amp;number=&amp;sourceID=32","")</f>
        <v/>
      </c>
      <c r="R135" s="4" t="str">
        <f>HYPERLINK("http://141.218.60.56/~jnz1568/getInfo.php?workbook=08_02.xlsx&amp;sheet=A0&amp;row=135&amp;col=18&amp;number=0.4951&amp;sourceID=32","0.4951")</f>
        <v>0.4951</v>
      </c>
      <c r="S135" s="4" t="str">
        <f>HYPERLINK("http://141.218.60.56/~jnz1568/getInfo.php?workbook=08_02.xlsx&amp;sheet=A0&amp;row=135&amp;col=19&amp;number=&amp;sourceID=1","")</f>
        <v/>
      </c>
      <c r="T135" s="4" t="str">
        <f>HYPERLINK("http://141.218.60.56/~jnz1568/getInfo.php?workbook=08_02.xlsx&amp;sheet=A0&amp;row=135&amp;col=20&amp;number=&amp;sourceID=1","")</f>
        <v/>
      </c>
    </row>
    <row r="136" spans="1:20">
      <c r="A136" s="3">
        <v>8</v>
      </c>
      <c r="B136" s="3">
        <v>2</v>
      </c>
      <c r="C136" s="3">
        <v>18</v>
      </c>
      <c r="D136" s="3">
        <v>11</v>
      </c>
      <c r="E136" s="3">
        <f>((1/(INDEX(E0!J$4:J$52,C136,1)-INDEX(E0!J$4:J$52,D136,1))))*100000000</f>
        <v>0</v>
      </c>
      <c r="F136" s="4" t="str">
        <f>HYPERLINK("http://141.218.60.56/~jnz1568/getInfo.php?workbook=08_02.xlsx&amp;sheet=A0&amp;row=136&amp;col=6&amp;number=&amp;sourceID=27","")</f>
        <v/>
      </c>
      <c r="G136" s="4" t="str">
        <f>HYPERLINK("http://141.218.60.56/~jnz1568/getInfo.php?workbook=08_02.xlsx&amp;sheet=A0&amp;row=136&amp;col=7&amp;number=&amp;sourceID=34","")</f>
        <v/>
      </c>
      <c r="H136" s="4" t="str">
        <f>HYPERLINK("http://141.218.60.56/~jnz1568/getInfo.php?workbook=08_02.xlsx&amp;sheet=A0&amp;row=136&amp;col=8&amp;number=&amp;sourceID=34","")</f>
        <v/>
      </c>
      <c r="I136" s="4" t="str">
        <f>HYPERLINK("http://141.218.60.56/~jnz1568/getInfo.php?workbook=08_02.xlsx&amp;sheet=A0&amp;row=136&amp;col=9&amp;number=&amp;sourceID=34","")</f>
        <v/>
      </c>
      <c r="J136" s="4" t="str">
        <f>HYPERLINK("http://141.218.60.56/~jnz1568/getInfo.php?workbook=08_02.xlsx&amp;sheet=A0&amp;row=136&amp;col=10&amp;number=&amp;sourceID=34","")</f>
        <v/>
      </c>
      <c r="K136" s="4" t="str">
        <f>HYPERLINK("http://141.218.60.56/~jnz1568/getInfo.php?workbook=08_02.xlsx&amp;sheet=A0&amp;row=136&amp;col=11&amp;number=3357000000&amp;sourceID=30","3357000000")</f>
        <v>3357000000</v>
      </c>
      <c r="L136" s="4" t="str">
        <f>HYPERLINK("http://141.218.60.56/~jnz1568/getInfo.php?workbook=08_02.xlsx&amp;sheet=A0&amp;row=136&amp;col=12&amp;number=&amp;sourceID=30","")</f>
        <v/>
      </c>
      <c r="M136" s="4" t="str">
        <f>HYPERLINK("http://141.218.60.56/~jnz1568/getInfo.php?workbook=08_02.xlsx&amp;sheet=A0&amp;row=136&amp;col=13&amp;number=&amp;sourceID=30","")</f>
        <v/>
      </c>
      <c r="N136" s="4" t="str">
        <f>HYPERLINK("http://141.218.60.56/~jnz1568/getInfo.php?workbook=08_02.xlsx&amp;sheet=A0&amp;row=136&amp;col=14&amp;number=1.498&amp;sourceID=30","1.498")</f>
        <v>1.498</v>
      </c>
      <c r="O136" s="4" t="str">
        <f>HYPERLINK("http://141.218.60.56/~jnz1568/getInfo.php?workbook=08_02.xlsx&amp;sheet=A0&amp;row=136&amp;col=15&amp;number=3453000000&amp;sourceID=32","3453000000")</f>
        <v>3453000000</v>
      </c>
      <c r="P136" s="4" t="str">
        <f>HYPERLINK("http://141.218.60.56/~jnz1568/getInfo.php?workbook=08_02.xlsx&amp;sheet=A0&amp;row=136&amp;col=16&amp;number=&amp;sourceID=32","")</f>
        <v/>
      </c>
      <c r="Q136" s="4" t="str">
        <f>HYPERLINK("http://141.218.60.56/~jnz1568/getInfo.php?workbook=08_02.xlsx&amp;sheet=A0&amp;row=136&amp;col=17&amp;number=&amp;sourceID=32","")</f>
        <v/>
      </c>
      <c r="R136" s="4" t="str">
        <f>HYPERLINK("http://141.218.60.56/~jnz1568/getInfo.php?workbook=08_02.xlsx&amp;sheet=A0&amp;row=136&amp;col=18&amp;number=1.544&amp;sourceID=32","1.544")</f>
        <v>1.544</v>
      </c>
      <c r="S136" s="4" t="str">
        <f>HYPERLINK("http://141.218.60.56/~jnz1568/getInfo.php?workbook=08_02.xlsx&amp;sheet=A0&amp;row=136&amp;col=19&amp;number=&amp;sourceID=1","")</f>
        <v/>
      </c>
      <c r="T136" s="4" t="str">
        <f>HYPERLINK("http://141.218.60.56/~jnz1568/getInfo.php?workbook=08_02.xlsx&amp;sheet=A0&amp;row=136&amp;col=20&amp;number=&amp;sourceID=1","")</f>
        <v/>
      </c>
    </row>
    <row r="137" spans="1:20">
      <c r="A137" s="3">
        <v>8</v>
      </c>
      <c r="B137" s="3">
        <v>2</v>
      </c>
      <c r="C137" s="3">
        <v>18</v>
      </c>
      <c r="D137" s="3">
        <v>12</v>
      </c>
      <c r="E137" s="3">
        <f>((1/(INDEX(E0!J$4:J$52,C137,1)-INDEX(E0!J$4:J$52,D137,1))))*100000000</f>
        <v>0</v>
      </c>
      <c r="F137" s="4" t="str">
        <f>HYPERLINK("http://141.218.60.56/~jnz1568/getInfo.php?workbook=08_02.xlsx&amp;sheet=A0&amp;row=137&amp;col=6&amp;number=&amp;sourceID=27","")</f>
        <v/>
      </c>
      <c r="G137" s="4" t="str">
        <f>HYPERLINK("http://141.218.60.56/~jnz1568/getInfo.php?workbook=08_02.xlsx&amp;sheet=A0&amp;row=137&amp;col=7&amp;number=&amp;sourceID=34","")</f>
        <v/>
      </c>
      <c r="H137" s="4" t="str">
        <f>HYPERLINK("http://141.218.60.56/~jnz1568/getInfo.php?workbook=08_02.xlsx&amp;sheet=A0&amp;row=137&amp;col=8&amp;number=&amp;sourceID=34","")</f>
        <v/>
      </c>
      <c r="I137" s="4" t="str">
        <f>HYPERLINK("http://141.218.60.56/~jnz1568/getInfo.php?workbook=08_02.xlsx&amp;sheet=A0&amp;row=137&amp;col=9&amp;number=&amp;sourceID=34","")</f>
        <v/>
      </c>
      <c r="J137" s="4" t="str">
        <f>HYPERLINK("http://141.218.60.56/~jnz1568/getInfo.php?workbook=08_02.xlsx&amp;sheet=A0&amp;row=137&amp;col=10&amp;number=&amp;sourceID=34","")</f>
        <v/>
      </c>
      <c r="K137" s="4" t="str">
        <f>HYPERLINK("http://141.218.60.56/~jnz1568/getInfo.php?workbook=08_02.xlsx&amp;sheet=A0&amp;row=137&amp;col=11&amp;number=&amp;sourceID=30","")</f>
        <v/>
      </c>
      <c r="L137" s="4" t="str">
        <f>HYPERLINK("http://141.218.60.56/~jnz1568/getInfo.php?workbook=08_02.xlsx&amp;sheet=A0&amp;row=137&amp;col=12&amp;number=&amp;sourceID=30","")</f>
        <v/>
      </c>
      <c r="M137" s="4" t="str">
        <f>HYPERLINK("http://141.218.60.56/~jnz1568/getInfo.php?workbook=08_02.xlsx&amp;sheet=A0&amp;row=137&amp;col=13&amp;number=0.006427&amp;sourceID=30","0.006427")</f>
        <v>0.006427</v>
      </c>
      <c r="N137" s="4" t="str">
        <f>HYPERLINK("http://141.218.60.56/~jnz1568/getInfo.php?workbook=08_02.xlsx&amp;sheet=A0&amp;row=137&amp;col=14&amp;number=&amp;sourceID=30","")</f>
        <v/>
      </c>
      <c r="O137" s="4" t="str">
        <f>HYPERLINK("http://141.218.60.56/~jnz1568/getInfo.php?workbook=08_02.xlsx&amp;sheet=A0&amp;row=137&amp;col=15&amp;number=&amp;sourceID=32","")</f>
        <v/>
      </c>
      <c r="P137" s="4" t="str">
        <f>HYPERLINK("http://141.218.60.56/~jnz1568/getInfo.php?workbook=08_02.xlsx&amp;sheet=A0&amp;row=137&amp;col=16&amp;number=&amp;sourceID=32","")</f>
        <v/>
      </c>
      <c r="Q137" s="4" t="str">
        <f>HYPERLINK("http://141.218.60.56/~jnz1568/getInfo.php?workbook=08_02.xlsx&amp;sheet=A0&amp;row=137&amp;col=17&amp;number=0.005704&amp;sourceID=32","0.005704")</f>
        <v>0.005704</v>
      </c>
      <c r="R137" s="4" t="str">
        <f>HYPERLINK("http://141.218.60.56/~jnz1568/getInfo.php?workbook=08_02.xlsx&amp;sheet=A0&amp;row=137&amp;col=18&amp;number=&amp;sourceID=32","")</f>
        <v/>
      </c>
      <c r="S137" s="4" t="str">
        <f>HYPERLINK("http://141.218.60.56/~jnz1568/getInfo.php?workbook=08_02.xlsx&amp;sheet=A0&amp;row=137&amp;col=19&amp;number=&amp;sourceID=1","")</f>
        <v/>
      </c>
      <c r="T137" s="4" t="str">
        <f>HYPERLINK("http://141.218.60.56/~jnz1568/getInfo.php?workbook=08_02.xlsx&amp;sheet=A0&amp;row=137&amp;col=20&amp;number=&amp;sourceID=1","")</f>
        <v/>
      </c>
    </row>
    <row r="138" spans="1:20">
      <c r="A138" s="3">
        <v>8</v>
      </c>
      <c r="B138" s="3">
        <v>2</v>
      </c>
      <c r="C138" s="3">
        <v>18</v>
      </c>
      <c r="D138" s="3">
        <v>13</v>
      </c>
      <c r="E138" s="3">
        <f>((1/(INDEX(E0!J$4:J$52,C138,1)-INDEX(E0!J$4:J$52,D138,1))))*100000000</f>
        <v>0</v>
      </c>
      <c r="F138" s="4" t="str">
        <f>HYPERLINK("http://141.218.60.56/~jnz1568/getInfo.php?workbook=08_02.xlsx&amp;sheet=A0&amp;row=138&amp;col=6&amp;number=&amp;sourceID=27","")</f>
        <v/>
      </c>
      <c r="G138" s="4" t="str">
        <f>HYPERLINK("http://141.218.60.56/~jnz1568/getInfo.php?workbook=08_02.xlsx&amp;sheet=A0&amp;row=138&amp;col=7&amp;number=&amp;sourceID=34","")</f>
        <v/>
      </c>
      <c r="H138" s="4" t="str">
        <f>HYPERLINK("http://141.218.60.56/~jnz1568/getInfo.php?workbook=08_02.xlsx&amp;sheet=A0&amp;row=138&amp;col=8&amp;number=&amp;sourceID=34","")</f>
        <v/>
      </c>
      <c r="I138" s="4" t="str">
        <f>HYPERLINK("http://141.218.60.56/~jnz1568/getInfo.php?workbook=08_02.xlsx&amp;sheet=A0&amp;row=138&amp;col=9&amp;number=&amp;sourceID=34","")</f>
        <v/>
      </c>
      <c r="J138" s="4" t="str">
        <f>HYPERLINK("http://141.218.60.56/~jnz1568/getInfo.php?workbook=08_02.xlsx&amp;sheet=A0&amp;row=138&amp;col=10&amp;number=&amp;sourceID=34","")</f>
        <v/>
      </c>
      <c r="K138" s="4" t="str">
        <f>HYPERLINK("http://141.218.60.56/~jnz1568/getInfo.php?workbook=08_02.xlsx&amp;sheet=A0&amp;row=138&amp;col=11&amp;number=&amp;sourceID=30","")</f>
        <v/>
      </c>
      <c r="L138" s="4" t="str">
        <f>HYPERLINK("http://141.218.60.56/~jnz1568/getInfo.php?workbook=08_02.xlsx&amp;sheet=A0&amp;row=138&amp;col=12&amp;number=27900&amp;sourceID=30","27900")</f>
        <v>27900</v>
      </c>
      <c r="M138" s="4" t="str">
        <f>HYPERLINK("http://141.218.60.56/~jnz1568/getInfo.php?workbook=08_02.xlsx&amp;sheet=A0&amp;row=138&amp;col=13&amp;number=0.0001655&amp;sourceID=30","0.0001655")</f>
        <v>0.0001655</v>
      </c>
      <c r="N138" s="4" t="str">
        <f>HYPERLINK("http://141.218.60.56/~jnz1568/getInfo.php?workbook=08_02.xlsx&amp;sheet=A0&amp;row=138&amp;col=14&amp;number=&amp;sourceID=30","")</f>
        <v/>
      </c>
      <c r="O138" s="4" t="str">
        <f>HYPERLINK("http://141.218.60.56/~jnz1568/getInfo.php?workbook=08_02.xlsx&amp;sheet=A0&amp;row=138&amp;col=15&amp;number=&amp;sourceID=32","")</f>
        <v/>
      </c>
      <c r="P138" s="4" t="str">
        <f>HYPERLINK("http://141.218.60.56/~jnz1568/getInfo.php?workbook=08_02.xlsx&amp;sheet=A0&amp;row=138&amp;col=16&amp;number=28050&amp;sourceID=32","28050")</f>
        <v>28050</v>
      </c>
      <c r="Q138" s="4" t="str">
        <f>HYPERLINK("http://141.218.60.56/~jnz1568/getInfo.php?workbook=08_02.xlsx&amp;sheet=A0&amp;row=138&amp;col=17&amp;number=0.0001779&amp;sourceID=32","0.0001779")</f>
        <v>0.0001779</v>
      </c>
      <c r="R138" s="4" t="str">
        <f>HYPERLINK("http://141.218.60.56/~jnz1568/getInfo.php?workbook=08_02.xlsx&amp;sheet=A0&amp;row=138&amp;col=18&amp;number=&amp;sourceID=32","")</f>
        <v/>
      </c>
      <c r="S138" s="4" t="str">
        <f>HYPERLINK("http://141.218.60.56/~jnz1568/getInfo.php?workbook=08_02.xlsx&amp;sheet=A0&amp;row=138&amp;col=19&amp;number=&amp;sourceID=1","")</f>
        <v/>
      </c>
      <c r="T138" s="4" t="str">
        <f>HYPERLINK("http://141.218.60.56/~jnz1568/getInfo.php?workbook=08_02.xlsx&amp;sheet=A0&amp;row=138&amp;col=20&amp;number=&amp;sourceID=1","")</f>
        <v/>
      </c>
    </row>
    <row r="139" spans="1:20">
      <c r="A139" s="3">
        <v>8</v>
      </c>
      <c r="B139" s="3">
        <v>2</v>
      </c>
      <c r="C139" s="3">
        <v>18</v>
      </c>
      <c r="D139" s="3">
        <v>14</v>
      </c>
      <c r="E139" s="3">
        <f>((1/(INDEX(E0!J$4:J$52,C139,1)-INDEX(E0!J$4:J$52,D139,1))))*100000000</f>
        <v>0</v>
      </c>
      <c r="F139" s="4" t="str">
        <f>HYPERLINK("http://141.218.60.56/~jnz1568/getInfo.php?workbook=08_02.xlsx&amp;sheet=A0&amp;row=139&amp;col=6&amp;number=&amp;sourceID=27","")</f>
        <v/>
      </c>
      <c r="G139" s="4" t="str">
        <f>HYPERLINK("http://141.218.60.56/~jnz1568/getInfo.php?workbook=08_02.xlsx&amp;sheet=A0&amp;row=139&amp;col=7&amp;number=&amp;sourceID=34","")</f>
        <v/>
      </c>
      <c r="H139" s="4" t="str">
        <f>HYPERLINK("http://141.218.60.56/~jnz1568/getInfo.php?workbook=08_02.xlsx&amp;sheet=A0&amp;row=139&amp;col=8&amp;number=&amp;sourceID=34","")</f>
        <v/>
      </c>
      <c r="I139" s="4" t="str">
        <f>HYPERLINK("http://141.218.60.56/~jnz1568/getInfo.php?workbook=08_02.xlsx&amp;sheet=A0&amp;row=139&amp;col=9&amp;number=&amp;sourceID=34","")</f>
        <v/>
      </c>
      <c r="J139" s="4" t="str">
        <f>HYPERLINK("http://141.218.60.56/~jnz1568/getInfo.php?workbook=08_02.xlsx&amp;sheet=A0&amp;row=139&amp;col=10&amp;number=&amp;sourceID=34","")</f>
        <v/>
      </c>
      <c r="K139" s="4" t="str">
        <f>HYPERLINK("http://141.218.60.56/~jnz1568/getInfo.php?workbook=08_02.xlsx&amp;sheet=A0&amp;row=139&amp;col=11&amp;number=&amp;sourceID=30","")</f>
        <v/>
      </c>
      <c r="L139" s="4" t="str">
        <f>HYPERLINK("http://141.218.60.56/~jnz1568/getInfo.php?workbook=08_02.xlsx&amp;sheet=A0&amp;row=139&amp;col=12&amp;number=45860&amp;sourceID=30","45860")</f>
        <v>45860</v>
      </c>
      <c r="M139" s="4" t="str">
        <f>HYPERLINK("http://141.218.60.56/~jnz1568/getInfo.php?workbook=08_02.xlsx&amp;sheet=A0&amp;row=139&amp;col=13&amp;number=3.423e-05&amp;sourceID=30","3.423e-05")</f>
        <v>3.423e-05</v>
      </c>
      <c r="N139" s="4" t="str">
        <f>HYPERLINK("http://141.218.60.56/~jnz1568/getInfo.php?workbook=08_02.xlsx&amp;sheet=A0&amp;row=139&amp;col=14&amp;number=&amp;sourceID=30","")</f>
        <v/>
      </c>
      <c r="O139" s="4" t="str">
        <f>HYPERLINK("http://141.218.60.56/~jnz1568/getInfo.php?workbook=08_02.xlsx&amp;sheet=A0&amp;row=139&amp;col=15&amp;number=&amp;sourceID=32","")</f>
        <v/>
      </c>
      <c r="P139" s="4" t="str">
        <f>HYPERLINK("http://141.218.60.56/~jnz1568/getInfo.php?workbook=08_02.xlsx&amp;sheet=A0&amp;row=139&amp;col=16&amp;number=45970&amp;sourceID=32","45970")</f>
        <v>45970</v>
      </c>
      <c r="Q139" s="4" t="str">
        <f>HYPERLINK("http://141.218.60.56/~jnz1568/getInfo.php?workbook=08_02.xlsx&amp;sheet=A0&amp;row=139&amp;col=17&amp;number=2.911e-05&amp;sourceID=32","2.911e-05")</f>
        <v>2.911e-05</v>
      </c>
      <c r="R139" s="4" t="str">
        <f>HYPERLINK("http://141.218.60.56/~jnz1568/getInfo.php?workbook=08_02.xlsx&amp;sheet=A0&amp;row=139&amp;col=18&amp;number=&amp;sourceID=32","")</f>
        <v/>
      </c>
      <c r="S139" s="4" t="str">
        <f>HYPERLINK("http://141.218.60.56/~jnz1568/getInfo.php?workbook=08_02.xlsx&amp;sheet=A0&amp;row=139&amp;col=19&amp;number=&amp;sourceID=1","")</f>
        <v/>
      </c>
      <c r="T139" s="4" t="str">
        <f>HYPERLINK("http://141.218.60.56/~jnz1568/getInfo.php?workbook=08_02.xlsx&amp;sheet=A0&amp;row=139&amp;col=20&amp;number=&amp;sourceID=1","")</f>
        <v/>
      </c>
    </row>
    <row r="140" spans="1:20">
      <c r="A140" s="3">
        <v>8</v>
      </c>
      <c r="B140" s="3">
        <v>2</v>
      </c>
      <c r="C140" s="3">
        <v>18</v>
      </c>
      <c r="D140" s="3">
        <v>15</v>
      </c>
      <c r="E140" s="3">
        <f>((1/(INDEX(E0!J$4:J$52,C140,1)-INDEX(E0!J$4:J$52,D140,1))))*100000000</f>
        <v>0</v>
      </c>
      <c r="F140" s="4" t="str">
        <f>HYPERLINK("http://141.218.60.56/~jnz1568/getInfo.php?workbook=08_02.xlsx&amp;sheet=A0&amp;row=140&amp;col=6&amp;number=&amp;sourceID=27","")</f>
        <v/>
      </c>
      <c r="G140" s="4" t="str">
        <f>HYPERLINK("http://141.218.60.56/~jnz1568/getInfo.php?workbook=08_02.xlsx&amp;sheet=A0&amp;row=140&amp;col=7&amp;number=&amp;sourceID=34","")</f>
        <v/>
      </c>
      <c r="H140" s="4" t="str">
        <f>HYPERLINK("http://141.218.60.56/~jnz1568/getInfo.php?workbook=08_02.xlsx&amp;sheet=A0&amp;row=140&amp;col=8&amp;number=&amp;sourceID=34","")</f>
        <v/>
      </c>
      <c r="I140" s="4" t="str">
        <f>HYPERLINK("http://141.218.60.56/~jnz1568/getInfo.php?workbook=08_02.xlsx&amp;sheet=A0&amp;row=140&amp;col=9&amp;number=&amp;sourceID=34","")</f>
        <v/>
      </c>
      <c r="J140" s="4" t="str">
        <f>HYPERLINK("http://141.218.60.56/~jnz1568/getInfo.php?workbook=08_02.xlsx&amp;sheet=A0&amp;row=140&amp;col=10&amp;number=&amp;sourceID=34","")</f>
        <v/>
      </c>
      <c r="K140" s="4" t="str">
        <f>HYPERLINK("http://141.218.60.56/~jnz1568/getInfo.php?workbook=08_02.xlsx&amp;sheet=A0&amp;row=140&amp;col=11&amp;number=&amp;sourceID=30","")</f>
        <v/>
      </c>
      <c r="L140" s="4" t="str">
        <f>HYPERLINK("http://141.218.60.56/~jnz1568/getInfo.php?workbook=08_02.xlsx&amp;sheet=A0&amp;row=140&amp;col=12&amp;number=65060&amp;sourceID=30","65060")</f>
        <v>65060</v>
      </c>
      <c r="M140" s="4" t="str">
        <f>HYPERLINK("http://141.218.60.56/~jnz1568/getInfo.php?workbook=08_02.xlsx&amp;sheet=A0&amp;row=140&amp;col=13&amp;number=&amp;sourceID=30","")</f>
        <v/>
      </c>
      <c r="N140" s="4" t="str">
        <f>HYPERLINK("http://141.218.60.56/~jnz1568/getInfo.php?workbook=08_02.xlsx&amp;sheet=A0&amp;row=140&amp;col=14&amp;number=&amp;sourceID=30","")</f>
        <v/>
      </c>
      <c r="O140" s="4" t="str">
        <f>HYPERLINK("http://141.218.60.56/~jnz1568/getInfo.php?workbook=08_02.xlsx&amp;sheet=A0&amp;row=140&amp;col=15&amp;number=&amp;sourceID=32","")</f>
        <v/>
      </c>
      <c r="P140" s="4" t="str">
        <f>HYPERLINK("http://141.218.60.56/~jnz1568/getInfo.php?workbook=08_02.xlsx&amp;sheet=A0&amp;row=140&amp;col=16&amp;number=65430&amp;sourceID=32","65430")</f>
        <v>65430</v>
      </c>
      <c r="Q140" s="4" t="str">
        <f>HYPERLINK("http://141.218.60.56/~jnz1568/getInfo.php?workbook=08_02.xlsx&amp;sheet=A0&amp;row=140&amp;col=17&amp;number=&amp;sourceID=32","")</f>
        <v/>
      </c>
      <c r="R140" s="4" t="str">
        <f>HYPERLINK("http://141.218.60.56/~jnz1568/getInfo.php?workbook=08_02.xlsx&amp;sheet=A0&amp;row=140&amp;col=18&amp;number=&amp;sourceID=32","")</f>
        <v/>
      </c>
      <c r="S140" s="4" t="str">
        <f>HYPERLINK("http://141.218.60.56/~jnz1568/getInfo.php?workbook=08_02.xlsx&amp;sheet=A0&amp;row=140&amp;col=19&amp;number=&amp;sourceID=1","")</f>
        <v/>
      </c>
      <c r="T140" s="4" t="str">
        <f>HYPERLINK("http://141.218.60.56/~jnz1568/getInfo.php?workbook=08_02.xlsx&amp;sheet=A0&amp;row=140&amp;col=20&amp;number=&amp;sourceID=1","")</f>
        <v/>
      </c>
    </row>
    <row r="141" spans="1:20">
      <c r="A141" s="3">
        <v>8</v>
      </c>
      <c r="B141" s="3">
        <v>2</v>
      </c>
      <c r="C141" s="3">
        <v>18</v>
      </c>
      <c r="D141" s="3">
        <v>16</v>
      </c>
      <c r="E141" s="3">
        <f>((1/(INDEX(E0!J$4:J$52,C141,1)-INDEX(E0!J$4:J$52,D141,1))))*100000000</f>
        <v>0</v>
      </c>
      <c r="F141" s="4" t="str">
        <f>HYPERLINK("http://141.218.60.56/~jnz1568/getInfo.php?workbook=08_02.xlsx&amp;sheet=A0&amp;row=141&amp;col=6&amp;number=&amp;sourceID=27","")</f>
        <v/>
      </c>
      <c r="G141" s="4" t="str">
        <f>HYPERLINK("http://141.218.60.56/~jnz1568/getInfo.php?workbook=08_02.xlsx&amp;sheet=A0&amp;row=141&amp;col=7&amp;number=&amp;sourceID=34","")</f>
        <v/>
      </c>
      <c r="H141" s="4" t="str">
        <f>HYPERLINK("http://141.218.60.56/~jnz1568/getInfo.php?workbook=08_02.xlsx&amp;sheet=A0&amp;row=141&amp;col=8&amp;number=&amp;sourceID=34","")</f>
        <v/>
      </c>
      <c r="I141" s="4" t="str">
        <f>HYPERLINK("http://141.218.60.56/~jnz1568/getInfo.php?workbook=08_02.xlsx&amp;sheet=A0&amp;row=141&amp;col=9&amp;number=&amp;sourceID=34","")</f>
        <v/>
      </c>
      <c r="J141" s="4" t="str">
        <f>HYPERLINK("http://141.218.60.56/~jnz1568/getInfo.php?workbook=08_02.xlsx&amp;sheet=A0&amp;row=141&amp;col=10&amp;number=&amp;sourceID=34","")</f>
        <v/>
      </c>
      <c r="K141" s="4" t="str">
        <f>HYPERLINK("http://141.218.60.56/~jnz1568/getInfo.php?workbook=08_02.xlsx&amp;sheet=A0&amp;row=141&amp;col=11&amp;number=&amp;sourceID=30","")</f>
        <v/>
      </c>
      <c r="L141" s="4" t="str">
        <f>HYPERLINK("http://141.218.60.56/~jnz1568/getInfo.php?workbook=08_02.xlsx&amp;sheet=A0&amp;row=141&amp;col=12&amp;number=590.2&amp;sourceID=30","590.2")</f>
        <v>590.2</v>
      </c>
      <c r="M141" s="4" t="str">
        <f>HYPERLINK("http://141.218.60.56/~jnz1568/getInfo.php?workbook=08_02.xlsx&amp;sheet=A0&amp;row=141&amp;col=13&amp;number=2.495e-06&amp;sourceID=30","2.495e-06")</f>
        <v>2.495e-06</v>
      </c>
      <c r="N141" s="4" t="str">
        <f>HYPERLINK("http://141.218.60.56/~jnz1568/getInfo.php?workbook=08_02.xlsx&amp;sheet=A0&amp;row=141&amp;col=14&amp;number=&amp;sourceID=30","")</f>
        <v/>
      </c>
      <c r="O141" s="4" t="str">
        <f>HYPERLINK("http://141.218.60.56/~jnz1568/getInfo.php?workbook=08_02.xlsx&amp;sheet=A0&amp;row=141&amp;col=15&amp;number=&amp;sourceID=32","")</f>
        <v/>
      </c>
      <c r="P141" s="4" t="str">
        <f>HYPERLINK("http://141.218.60.56/~jnz1568/getInfo.php?workbook=08_02.xlsx&amp;sheet=A0&amp;row=141&amp;col=16&amp;number=740.3&amp;sourceID=32","740.3")</f>
        <v>740.3</v>
      </c>
      <c r="Q141" s="4" t="str">
        <f>HYPERLINK("http://141.218.60.56/~jnz1568/getInfo.php?workbook=08_02.xlsx&amp;sheet=A0&amp;row=141&amp;col=17&amp;number=3.937e-06&amp;sourceID=32","3.937e-06")</f>
        <v>3.937e-06</v>
      </c>
      <c r="R141" s="4" t="str">
        <f>HYPERLINK("http://141.218.60.56/~jnz1568/getInfo.php?workbook=08_02.xlsx&amp;sheet=A0&amp;row=141&amp;col=18&amp;number=&amp;sourceID=32","")</f>
        <v/>
      </c>
      <c r="S141" s="4" t="str">
        <f>HYPERLINK("http://141.218.60.56/~jnz1568/getInfo.php?workbook=08_02.xlsx&amp;sheet=A0&amp;row=141&amp;col=19&amp;number=&amp;sourceID=1","")</f>
        <v/>
      </c>
      <c r="T141" s="4" t="str">
        <f>HYPERLINK("http://141.218.60.56/~jnz1568/getInfo.php?workbook=08_02.xlsx&amp;sheet=A0&amp;row=141&amp;col=20&amp;number=&amp;sourceID=1","")</f>
        <v/>
      </c>
    </row>
    <row r="142" spans="1:20">
      <c r="A142" s="3">
        <v>8</v>
      </c>
      <c r="B142" s="3">
        <v>2</v>
      </c>
      <c r="C142" s="3">
        <v>18</v>
      </c>
      <c r="D142" s="3">
        <v>17</v>
      </c>
      <c r="E142" s="3">
        <f>((1/(INDEX(E0!J$4:J$52,C142,1)-INDEX(E0!J$4:J$52,D142,1))))*100000000</f>
        <v>0</v>
      </c>
      <c r="F142" s="4" t="str">
        <f>HYPERLINK("http://141.218.60.56/~jnz1568/getInfo.php?workbook=08_02.xlsx&amp;sheet=A0&amp;row=142&amp;col=6&amp;number=&amp;sourceID=27","")</f>
        <v/>
      </c>
      <c r="G142" s="4" t="str">
        <f>HYPERLINK("http://141.218.60.56/~jnz1568/getInfo.php?workbook=08_02.xlsx&amp;sheet=A0&amp;row=142&amp;col=7&amp;number=&amp;sourceID=34","")</f>
        <v/>
      </c>
      <c r="H142" s="4" t="str">
        <f>HYPERLINK("http://141.218.60.56/~jnz1568/getInfo.php?workbook=08_02.xlsx&amp;sheet=A0&amp;row=142&amp;col=8&amp;number=&amp;sourceID=34","")</f>
        <v/>
      </c>
      <c r="I142" s="4" t="str">
        <f>HYPERLINK("http://141.218.60.56/~jnz1568/getInfo.php?workbook=08_02.xlsx&amp;sheet=A0&amp;row=142&amp;col=9&amp;number=&amp;sourceID=34","")</f>
        <v/>
      </c>
      <c r="J142" s="4" t="str">
        <f>HYPERLINK("http://141.218.60.56/~jnz1568/getInfo.php?workbook=08_02.xlsx&amp;sheet=A0&amp;row=142&amp;col=10&amp;number=&amp;sourceID=34","")</f>
        <v/>
      </c>
      <c r="K142" s="4" t="str">
        <f>HYPERLINK("http://141.218.60.56/~jnz1568/getInfo.php?workbook=08_02.xlsx&amp;sheet=A0&amp;row=142&amp;col=11&amp;number=383800&amp;sourceID=30","383800")</f>
        <v>383800</v>
      </c>
      <c r="L142" s="4" t="str">
        <f>HYPERLINK("http://141.218.60.56/~jnz1568/getInfo.php?workbook=08_02.xlsx&amp;sheet=A0&amp;row=142&amp;col=12&amp;number=&amp;sourceID=30","")</f>
        <v/>
      </c>
      <c r="M142" s="4" t="str">
        <f>HYPERLINK("http://141.218.60.56/~jnz1568/getInfo.php?workbook=08_02.xlsx&amp;sheet=A0&amp;row=142&amp;col=13&amp;number=&amp;sourceID=30","")</f>
        <v/>
      </c>
      <c r="N142" s="4" t="str">
        <f>HYPERLINK("http://141.218.60.56/~jnz1568/getInfo.php?workbook=08_02.xlsx&amp;sheet=A0&amp;row=142&amp;col=14&amp;number=1.172&amp;sourceID=30","1.172")</f>
        <v>1.172</v>
      </c>
      <c r="O142" s="4" t="str">
        <f>HYPERLINK("http://141.218.60.56/~jnz1568/getInfo.php?workbook=08_02.xlsx&amp;sheet=A0&amp;row=142&amp;col=15&amp;number=414000&amp;sourceID=32","414000")</f>
        <v>414000</v>
      </c>
      <c r="P142" s="4" t="str">
        <f>HYPERLINK("http://141.218.60.56/~jnz1568/getInfo.php?workbook=08_02.xlsx&amp;sheet=A0&amp;row=142&amp;col=16&amp;number=&amp;sourceID=32","")</f>
        <v/>
      </c>
      <c r="Q142" s="4" t="str">
        <f>HYPERLINK("http://141.218.60.56/~jnz1568/getInfo.php?workbook=08_02.xlsx&amp;sheet=A0&amp;row=142&amp;col=17&amp;number=&amp;sourceID=32","")</f>
        <v/>
      </c>
      <c r="R142" s="4" t="str">
        <f>HYPERLINK("http://141.218.60.56/~jnz1568/getInfo.php?workbook=08_02.xlsx&amp;sheet=A0&amp;row=142&amp;col=18&amp;number=1.12&amp;sourceID=32","1.12")</f>
        <v>1.12</v>
      </c>
      <c r="S142" s="4" t="str">
        <f>HYPERLINK("http://141.218.60.56/~jnz1568/getInfo.php?workbook=08_02.xlsx&amp;sheet=A0&amp;row=142&amp;col=19&amp;number=&amp;sourceID=1","")</f>
        <v/>
      </c>
      <c r="T142" s="4" t="str">
        <f>HYPERLINK("http://141.218.60.56/~jnz1568/getInfo.php?workbook=08_02.xlsx&amp;sheet=A0&amp;row=142&amp;col=20&amp;number=&amp;sourceID=1","")</f>
        <v/>
      </c>
    </row>
    <row r="143" spans="1:20">
      <c r="A143" s="3">
        <v>8</v>
      </c>
      <c r="B143" s="3">
        <v>2</v>
      </c>
      <c r="C143" s="3">
        <v>19</v>
      </c>
      <c r="D143" s="3">
        <v>2</v>
      </c>
      <c r="E143" s="3">
        <f>((1/(INDEX(E0!J$4:J$52,C143,1)-INDEX(E0!J$4:J$52,D143,1))))*100000000</f>
        <v>0</v>
      </c>
      <c r="F143" s="4" t="str">
        <f>HYPERLINK("http://141.218.60.56/~jnz1568/getInfo.php?workbook=08_02.xlsx&amp;sheet=A0&amp;row=143&amp;col=6&amp;number=&amp;sourceID=27","")</f>
        <v/>
      </c>
      <c r="G143" s="4" t="str">
        <f>HYPERLINK("http://141.218.60.56/~jnz1568/getInfo.php?workbook=08_02.xlsx&amp;sheet=A0&amp;row=143&amp;col=7&amp;number=&amp;sourceID=34","")</f>
        <v/>
      </c>
      <c r="H143" s="4" t="str">
        <f>HYPERLINK("http://141.218.60.56/~jnz1568/getInfo.php?workbook=08_02.xlsx&amp;sheet=A0&amp;row=143&amp;col=8&amp;number=&amp;sourceID=34","")</f>
        <v/>
      </c>
      <c r="I143" s="4" t="str">
        <f>HYPERLINK("http://141.218.60.56/~jnz1568/getInfo.php?workbook=08_02.xlsx&amp;sheet=A0&amp;row=143&amp;col=9&amp;number=&amp;sourceID=34","")</f>
        <v/>
      </c>
      <c r="J143" s="4" t="str">
        <f>HYPERLINK("http://141.218.60.56/~jnz1568/getInfo.php?workbook=08_02.xlsx&amp;sheet=A0&amp;row=143&amp;col=10&amp;number=&amp;sourceID=34","")</f>
        <v/>
      </c>
      <c r="K143" s="4" t="str">
        <f>HYPERLINK("http://141.218.60.56/~jnz1568/getInfo.php?workbook=08_02.xlsx&amp;sheet=A0&amp;row=143&amp;col=11&amp;number=22470000000&amp;sourceID=30","22470000000")</f>
        <v>22470000000</v>
      </c>
      <c r="L143" s="4" t="str">
        <f>HYPERLINK("http://141.218.60.56/~jnz1568/getInfo.php?workbook=08_02.xlsx&amp;sheet=A0&amp;row=143&amp;col=12&amp;number=&amp;sourceID=30","")</f>
        <v/>
      </c>
      <c r="M143" s="4" t="str">
        <f>HYPERLINK("http://141.218.60.56/~jnz1568/getInfo.php?workbook=08_02.xlsx&amp;sheet=A0&amp;row=143&amp;col=13&amp;number=&amp;sourceID=30","")</f>
        <v/>
      </c>
      <c r="N143" s="4" t="str">
        <f>HYPERLINK("http://141.218.60.56/~jnz1568/getInfo.php?workbook=08_02.xlsx&amp;sheet=A0&amp;row=143&amp;col=14&amp;number=&amp;sourceID=30","")</f>
        <v/>
      </c>
      <c r="O143" s="4" t="str">
        <f>HYPERLINK("http://141.218.60.56/~jnz1568/getInfo.php?workbook=08_02.xlsx&amp;sheet=A0&amp;row=143&amp;col=15&amp;number=23830000000&amp;sourceID=32","23830000000")</f>
        <v>23830000000</v>
      </c>
      <c r="P143" s="4" t="str">
        <f>HYPERLINK("http://141.218.60.56/~jnz1568/getInfo.php?workbook=08_02.xlsx&amp;sheet=A0&amp;row=143&amp;col=16&amp;number=&amp;sourceID=32","")</f>
        <v/>
      </c>
      <c r="Q143" s="4" t="str">
        <f>HYPERLINK("http://141.218.60.56/~jnz1568/getInfo.php?workbook=08_02.xlsx&amp;sheet=A0&amp;row=143&amp;col=17&amp;number=&amp;sourceID=32","")</f>
        <v/>
      </c>
      <c r="R143" s="4" t="str">
        <f>HYPERLINK("http://141.218.60.56/~jnz1568/getInfo.php?workbook=08_02.xlsx&amp;sheet=A0&amp;row=143&amp;col=18&amp;number=&amp;sourceID=32","")</f>
        <v/>
      </c>
      <c r="S143" s="4" t="str">
        <f>HYPERLINK("http://141.218.60.56/~jnz1568/getInfo.php?workbook=08_02.xlsx&amp;sheet=A0&amp;row=143&amp;col=19&amp;number=&amp;sourceID=1","")</f>
        <v/>
      </c>
      <c r="T143" s="4" t="str">
        <f>HYPERLINK("http://141.218.60.56/~jnz1568/getInfo.php?workbook=08_02.xlsx&amp;sheet=A0&amp;row=143&amp;col=20&amp;number=&amp;sourceID=1","")</f>
        <v/>
      </c>
    </row>
    <row r="144" spans="1:20">
      <c r="A144" s="3">
        <v>8</v>
      </c>
      <c r="B144" s="3">
        <v>2</v>
      </c>
      <c r="C144" s="3">
        <v>19</v>
      </c>
      <c r="D144" s="3">
        <v>4</v>
      </c>
      <c r="E144" s="3">
        <f>((1/(INDEX(E0!J$4:J$52,C144,1)-INDEX(E0!J$4:J$52,D144,1))))*100000000</f>
        <v>0</v>
      </c>
      <c r="F144" s="4" t="str">
        <f>HYPERLINK("http://141.218.60.56/~jnz1568/getInfo.php?workbook=08_02.xlsx&amp;sheet=A0&amp;row=144&amp;col=6&amp;number=&amp;sourceID=27","")</f>
        <v/>
      </c>
      <c r="G144" s="4" t="str">
        <f>HYPERLINK("http://141.218.60.56/~jnz1568/getInfo.php?workbook=08_02.xlsx&amp;sheet=A0&amp;row=144&amp;col=7&amp;number=&amp;sourceID=34","")</f>
        <v/>
      </c>
      <c r="H144" s="4" t="str">
        <f>HYPERLINK("http://141.218.60.56/~jnz1568/getInfo.php?workbook=08_02.xlsx&amp;sheet=A0&amp;row=144&amp;col=8&amp;number=&amp;sourceID=34","")</f>
        <v/>
      </c>
      <c r="I144" s="4" t="str">
        <f>HYPERLINK("http://141.218.60.56/~jnz1568/getInfo.php?workbook=08_02.xlsx&amp;sheet=A0&amp;row=144&amp;col=9&amp;number=&amp;sourceID=34","")</f>
        <v/>
      </c>
      <c r="J144" s="4" t="str">
        <f>HYPERLINK("http://141.218.60.56/~jnz1568/getInfo.php?workbook=08_02.xlsx&amp;sheet=A0&amp;row=144&amp;col=10&amp;number=&amp;sourceID=34","")</f>
        <v/>
      </c>
      <c r="K144" s="4" t="str">
        <f>HYPERLINK("http://141.218.60.56/~jnz1568/getInfo.php?workbook=08_02.xlsx&amp;sheet=A0&amp;row=144&amp;col=11&amp;number=&amp;sourceID=30","")</f>
        <v/>
      </c>
      <c r="L144" s="4" t="str">
        <f>HYPERLINK("http://141.218.60.56/~jnz1568/getInfo.php?workbook=08_02.xlsx&amp;sheet=A0&amp;row=144&amp;col=12&amp;number=&amp;sourceID=30","")</f>
        <v/>
      </c>
      <c r="M144" s="4" t="str">
        <f>HYPERLINK("http://141.218.60.56/~jnz1568/getInfo.php?workbook=08_02.xlsx&amp;sheet=A0&amp;row=144&amp;col=13&amp;number=0.003516&amp;sourceID=30","0.003516")</f>
        <v>0.003516</v>
      </c>
      <c r="N144" s="4" t="str">
        <f>HYPERLINK("http://141.218.60.56/~jnz1568/getInfo.php?workbook=08_02.xlsx&amp;sheet=A0&amp;row=144&amp;col=14&amp;number=&amp;sourceID=30","")</f>
        <v/>
      </c>
      <c r="O144" s="4" t="str">
        <f>HYPERLINK("http://141.218.60.56/~jnz1568/getInfo.php?workbook=08_02.xlsx&amp;sheet=A0&amp;row=144&amp;col=15&amp;number=&amp;sourceID=32","")</f>
        <v/>
      </c>
      <c r="P144" s="4" t="str">
        <f>HYPERLINK("http://141.218.60.56/~jnz1568/getInfo.php?workbook=08_02.xlsx&amp;sheet=A0&amp;row=144&amp;col=16&amp;number=&amp;sourceID=32","")</f>
        <v/>
      </c>
      <c r="Q144" s="4" t="str">
        <f>HYPERLINK("http://141.218.60.56/~jnz1568/getInfo.php?workbook=08_02.xlsx&amp;sheet=A0&amp;row=144&amp;col=17&amp;number=0.001637&amp;sourceID=32","0.001637")</f>
        <v>0.001637</v>
      </c>
      <c r="R144" s="4" t="str">
        <f>HYPERLINK("http://141.218.60.56/~jnz1568/getInfo.php?workbook=08_02.xlsx&amp;sheet=A0&amp;row=144&amp;col=18&amp;number=&amp;sourceID=32","")</f>
        <v/>
      </c>
      <c r="S144" s="4" t="str">
        <f>HYPERLINK("http://141.218.60.56/~jnz1568/getInfo.php?workbook=08_02.xlsx&amp;sheet=A0&amp;row=144&amp;col=19&amp;number=&amp;sourceID=1","")</f>
        <v/>
      </c>
      <c r="T144" s="4" t="str">
        <f>HYPERLINK("http://141.218.60.56/~jnz1568/getInfo.php?workbook=08_02.xlsx&amp;sheet=A0&amp;row=144&amp;col=20&amp;number=&amp;sourceID=1","")</f>
        <v/>
      </c>
    </row>
    <row r="145" spans="1:20">
      <c r="A145" s="3">
        <v>8</v>
      </c>
      <c r="B145" s="3">
        <v>2</v>
      </c>
      <c r="C145" s="3">
        <v>19</v>
      </c>
      <c r="D145" s="3">
        <v>5</v>
      </c>
      <c r="E145" s="3">
        <f>((1/(INDEX(E0!J$4:J$52,C145,1)-INDEX(E0!J$4:J$52,D145,1))))*100000000</f>
        <v>0</v>
      </c>
      <c r="F145" s="4" t="str">
        <f>HYPERLINK("http://141.218.60.56/~jnz1568/getInfo.php?workbook=08_02.xlsx&amp;sheet=A0&amp;row=145&amp;col=6&amp;number=&amp;sourceID=27","")</f>
        <v/>
      </c>
      <c r="G145" s="4" t="str">
        <f>HYPERLINK("http://141.218.60.56/~jnz1568/getInfo.php?workbook=08_02.xlsx&amp;sheet=A0&amp;row=145&amp;col=7&amp;number=&amp;sourceID=34","")</f>
        <v/>
      </c>
      <c r="H145" s="4" t="str">
        <f>HYPERLINK("http://141.218.60.56/~jnz1568/getInfo.php?workbook=08_02.xlsx&amp;sheet=A0&amp;row=145&amp;col=8&amp;number=&amp;sourceID=34","")</f>
        <v/>
      </c>
      <c r="I145" s="4" t="str">
        <f>HYPERLINK("http://141.218.60.56/~jnz1568/getInfo.php?workbook=08_02.xlsx&amp;sheet=A0&amp;row=145&amp;col=9&amp;number=&amp;sourceID=34","")</f>
        <v/>
      </c>
      <c r="J145" s="4" t="str">
        <f>HYPERLINK("http://141.218.60.56/~jnz1568/getInfo.php?workbook=08_02.xlsx&amp;sheet=A0&amp;row=145&amp;col=10&amp;number=&amp;sourceID=34","")</f>
        <v/>
      </c>
      <c r="K145" s="4" t="str">
        <f>HYPERLINK("http://141.218.60.56/~jnz1568/getInfo.php?workbook=08_02.xlsx&amp;sheet=A0&amp;row=145&amp;col=11&amp;number=&amp;sourceID=30","")</f>
        <v/>
      </c>
      <c r="L145" s="4" t="str">
        <f>HYPERLINK("http://141.218.60.56/~jnz1568/getInfo.php?workbook=08_02.xlsx&amp;sheet=A0&amp;row=145&amp;col=12&amp;number=1121000&amp;sourceID=30","1121000")</f>
        <v>1121000</v>
      </c>
      <c r="M145" s="4" t="str">
        <f>HYPERLINK("http://141.218.60.56/~jnz1568/getInfo.php?workbook=08_02.xlsx&amp;sheet=A0&amp;row=145&amp;col=13&amp;number=&amp;sourceID=30","")</f>
        <v/>
      </c>
      <c r="N145" s="4" t="str">
        <f>HYPERLINK("http://141.218.60.56/~jnz1568/getInfo.php?workbook=08_02.xlsx&amp;sheet=A0&amp;row=145&amp;col=14&amp;number=&amp;sourceID=30","")</f>
        <v/>
      </c>
      <c r="O145" s="4" t="str">
        <f>HYPERLINK("http://141.218.60.56/~jnz1568/getInfo.php?workbook=08_02.xlsx&amp;sheet=A0&amp;row=145&amp;col=15&amp;number=&amp;sourceID=32","")</f>
        <v/>
      </c>
      <c r="P145" s="4" t="str">
        <f>HYPERLINK("http://141.218.60.56/~jnz1568/getInfo.php?workbook=08_02.xlsx&amp;sheet=A0&amp;row=145&amp;col=16&amp;number=1279000&amp;sourceID=32","1279000")</f>
        <v>1279000</v>
      </c>
      <c r="Q145" s="4" t="str">
        <f>HYPERLINK("http://141.218.60.56/~jnz1568/getInfo.php?workbook=08_02.xlsx&amp;sheet=A0&amp;row=145&amp;col=17&amp;number=&amp;sourceID=32","")</f>
        <v/>
      </c>
      <c r="R145" s="4" t="str">
        <f>HYPERLINK("http://141.218.60.56/~jnz1568/getInfo.php?workbook=08_02.xlsx&amp;sheet=A0&amp;row=145&amp;col=18&amp;number=&amp;sourceID=32","")</f>
        <v/>
      </c>
      <c r="S145" s="4" t="str">
        <f>HYPERLINK("http://141.218.60.56/~jnz1568/getInfo.php?workbook=08_02.xlsx&amp;sheet=A0&amp;row=145&amp;col=19&amp;number=&amp;sourceID=1","")</f>
        <v/>
      </c>
      <c r="T145" s="4" t="str">
        <f>HYPERLINK("http://141.218.60.56/~jnz1568/getInfo.php?workbook=08_02.xlsx&amp;sheet=A0&amp;row=145&amp;col=20&amp;number=&amp;sourceID=1","")</f>
        <v/>
      </c>
    </row>
    <row r="146" spans="1:20">
      <c r="A146" s="3">
        <v>8</v>
      </c>
      <c r="B146" s="3">
        <v>2</v>
      </c>
      <c r="C146" s="3">
        <v>19</v>
      </c>
      <c r="D146" s="3">
        <v>7</v>
      </c>
      <c r="E146" s="3">
        <f>((1/(INDEX(E0!J$4:J$52,C146,1)-INDEX(E0!J$4:J$52,D146,1))))*100000000</f>
        <v>0</v>
      </c>
      <c r="F146" s="4" t="str">
        <f>HYPERLINK("http://141.218.60.56/~jnz1568/getInfo.php?workbook=08_02.xlsx&amp;sheet=A0&amp;row=146&amp;col=6&amp;number=&amp;sourceID=27","")</f>
        <v/>
      </c>
      <c r="G146" s="4" t="str">
        <f>HYPERLINK("http://141.218.60.56/~jnz1568/getInfo.php?workbook=08_02.xlsx&amp;sheet=A0&amp;row=146&amp;col=7&amp;number=&amp;sourceID=34","")</f>
        <v/>
      </c>
      <c r="H146" s="4" t="str">
        <f>HYPERLINK("http://141.218.60.56/~jnz1568/getInfo.php?workbook=08_02.xlsx&amp;sheet=A0&amp;row=146&amp;col=8&amp;number=&amp;sourceID=34","")</f>
        <v/>
      </c>
      <c r="I146" s="4" t="str">
        <f>HYPERLINK("http://141.218.60.56/~jnz1568/getInfo.php?workbook=08_02.xlsx&amp;sheet=A0&amp;row=146&amp;col=9&amp;number=&amp;sourceID=34","")</f>
        <v/>
      </c>
      <c r="J146" s="4" t="str">
        <f>HYPERLINK("http://141.218.60.56/~jnz1568/getInfo.php?workbook=08_02.xlsx&amp;sheet=A0&amp;row=146&amp;col=10&amp;number=&amp;sourceID=34","")</f>
        <v/>
      </c>
      <c r="K146" s="4" t="str">
        <f>HYPERLINK("http://141.218.60.56/~jnz1568/getInfo.php?workbook=08_02.xlsx&amp;sheet=A0&amp;row=146&amp;col=11&amp;number=&amp;sourceID=30","")</f>
        <v/>
      </c>
      <c r="L146" s="4" t="str">
        <f>HYPERLINK("http://141.218.60.56/~jnz1568/getInfo.php?workbook=08_02.xlsx&amp;sheet=A0&amp;row=146&amp;col=12&amp;number=&amp;sourceID=30","")</f>
        <v/>
      </c>
      <c r="M146" s="4" t="str">
        <f>HYPERLINK("http://141.218.60.56/~jnz1568/getInfo.php?workbook=08_02.xlsx&amp;sheet=A0&amp;row=146&amp;col=13&amp;number=2.636&amp;sourceID=30","2.636")</f>
        <v>2.636</v>
      </c>
      <c r="N146" s="4" t="str">
        <f>HYPERLINK("http://141.218.60.56/~jnz1568/getInfo.php?workbook=08_02.xlsx&amp;sheet=A0&amp;row=146&amp;col=14&amp;number=&amp;sourceID=30","")</f>
        <v/>
      </c>
      <c r="O146" s="4" t="str">
        <f>HYPERLINK("http://141.218.60.56/~jnz1568/getInfo.php?workbook=08_02.xlsx&amp;sheet=A0&amp;row=146&amp;col=15&amp;number=&amp;sourceID=32","")</f>
        <v/>
      </c>
      <c r="P146" s="4" t="str">
        <f>HYPERLINK("http://141.218.60.56/~jnz1568/getInfo.php?workbook=08_02.xlsx&amp;sheet=A0&amp;row=146&amp;col=16&amp;number=&amp;sourceID=32","")</f>
        <v/>
      </c>
      <c r="Q146" s="4" t="str">
        <f>HYPERLINK("http://141.218.60.56/~jnz1568/getInfo.php?workbook=08_02.xlsx&amp;sheet=A0&amp;row=146&amp;col=17&amp;number=2.882&amp;sourceID=32","2.882")</f>
        <v>2.882</v>
      </c>
      <c r="R146" s="4" t="str">
        <f>HYPERLINK("http://141.218.60.56/~jnz1568/getInfo.php?workbook=08_02.xlsx&amp;sheet=A0&amp;row=146&amp;col=18&amp;number=&amp;sourceID=32","")</f>
        <v/>
      </c>
      <c r="S146" s="4" t="str">
        <f>HYPERLINK("http://141.218.60.56/~jnz1568/getInfo.php?workbook=08_02.xlsx&amp;sheet=A0&amp;row=146&amp;col=19&amp;number=&amp;sourceID=1","")</f>
        <v/>
      </c>
      <c r="T146" s="4" t="str">
        <f>HYPERLINK("http://141.218.60.56/~jnz1568/getInfo.php?workbook=08_02.xlsx&amp;sheet=A0&amp;row=146&amp;col=20&amp;number=&amp;sourceID=1","")</f>
        <v/>
      </c>
    </row>
    <row r="147" spans="1:20">
      <c r="A147" s="3">
        <v>8</v>
      </c>
      <c r="B147" s="3">
        <v>2</v>
      </c>
      <c r="C147" s="3">
        <v>19</v>
      </c>
      <c r="D147" s="3">
        <v>8</v>
      </c>
      <c r="E147" s="3">
        <f>((1/(INDEX(E0!J$4:J$52,C147,1)-INDEX(E0!J$4:J$52,D147,1))))*100000000</f>
        <v>0</v>
      </c>
      <c r="F147" s="4" t="str">
        <f>HYPERLINK("http://141.218.60.56/~jnz1568/getInfo.php?workbook=08_02.xlsx&amp;sheet=A0&amp;row=147&amp;col=6&amp;number=&amp;sourceID=27","")</f>
        <v/>
      </c>
      <c r="G147" s="4" t="str">
        <f>HYPERLINK("http://141.218.60.56/~jnz1568/getInfo.php?workbook=08_02.xlsx&amp;sheet=A0&amp;row=147&amp;col=7&amp;number=&amp;sourceID=34","")</f>
        <v/>
      </c>
      <c r="H147" s="4" t="str">
        <f>HYPERLINK("http://141.218.60.56/~jnz1568/getInfo.php?workbook=08_02.xlsx&amp;sheet=A0&amp;row=147&amp;col=8&amp;number=&amp;sourceID=34","")</f>
        <v/>
      </c>
      <c r="I147" s="4" t="str">
        <f>HYPERLINK("http://141.218.60.56/~jnz1568/getInfo.php?workbook=08_02.xlsx&amp;sheet=A0&amp;row=147&amp;col=9&amp;number=&amp;sourceID=34","")</f>
        <v/>
      </c>
      <c r="J147" s="4" t="str">
        <f>HYPERLINK("http://141.218.60.56/~jnz1568/getInfo.php?workbook=08_02.xlsx&amp;sheet=A0&amp;row=147&amp;col=10&amp;number=&amp;sourceID=34","")</f>
        <v/>
      </c>
      <c r="K147" s="4" t="str">
        <f>HYPERLINK("http://141.218.60.56/~jnz1568/getInfo.php?workbook=08_02.xlsx&amp;sheet=A0&amp;row=147&amp;col=11&amp;number=6596000000&amp;sourceID=30","6596000000")</f>
        <v>6596000000</v>
      </c>
      <c r="L147" s="4" t="str">
        <f>HYPERLINK("http://141.218.60.56/~jnz1568/getInfo.php?workbook=08_02.xlsx&amp;sheet=A0&amp;row=147&amp;col=12&amp;number=&amp;sourceID=30","")</f>
        <v/>
      </c>
      <c r="M147" s="4" t="str">
        <f>HYPERLINK("http://141.218.60.56/~jnz1568/getInfo.php?workbook=08_02.xlsx&amp;sheet=A0&amp;row=147&amp;col=13&amp;number=&amp;sourceID=30","")</f>
        <v/>
      </c>
      <c r="N147" s="4" t="str">
        <f>HYPERLINK("http://141.218.60.56/~jnz1568/getInfo.php?workbook=08_02.xlsx&amp;sheet=A0&amp;row=147&amp;col=14&amp;number=&amp;sourceID=30","")</f>
        <v/>
      </c>
      <c r="O147" s="4" t="str">
        <f>HYPERLINK("http://141.218.60.56/~jnz1568/getInfo.php?workbook=08_02.xlsx&amp;sheet=A0&amp;row=147&amp;col=15&amp;number=6735000000&amp;sourceID=32","6735000000")</f>
        <v>6735000000</v>
      </c>
      <c r="P147" s="4" t="str">
        <f>HYPERLINK("http://141.218.60.56/~jnz1568/getInfo.php?workbook=08_02.xlsx&amp;sheet=A0&amp;row=147&amp;col=16&amp;number=&amp;sourceID=32","")</f>
        <v/>
      </c>
      <c r="Q147" s="4" t="str">
        <f>HYPERLINK("http://141.218.60.56/~jnz1568/getInfo.php?workbook=08_02.xlsx&amp;sheet=A0&amp;row=147&amp;col=17&amp;number=&amp;sourceID=32","")</f>
        <v/>
      </c>
      <c r="R147" s="4" t="str">
        <f>HYPERLINK("http://141.218.60.56/~jnz1568/getInfo.php?workbook=08_02.xlsx&amp;sheet=A0&amp;row=147&amp;col=18&amp;number=&amp;sourceID=32","")</f>
        <v/>
      </c>
      <c r="S147" s="4" t="str">
        <f>HYPERLINK("http://141.218.60.56/~jnz1568/getInfo.php?workbook=08_02.xlsx&amp;sheet=A0&amp;row=147&amp;col=19&amp;number=&amp;sourceID=1","")</f>
        <v/>
      </c>
      <c r="T147" s="4" t="str">
        <f>HYPERLINK("http://141.218.60.56/~jnz1568/getInfo.php?workbook=08_02.xlsx&amp;sheet=A0&amp;row=147&amp;col=20&amp;number=&amp;sourceID=1","")</f>
        <v/>
      </c>
    </row>
    <row r="148" spans="1:20">
      <c r="A148" s="3">
        <v>8</v>
      </c>
      <c r="B148" s="3">
        <v>2</v>
      </c>
      <c r="C148" s="3">
        <v>19</v>
      </c>
      <c r="D148" s="3">
        <v>10</v>
      </c>
      <c r="E148" s="3">
        <f>((1/(INDEX(E0!J$4:J$52,C148,1)-INDEX(E0!J$4:J$52,D148,1))))*100000000</f>
        <v>0</v>
      </c>
      <c r="F148" s="4" t="str">
        <f>HYPERLINK("http://141.218.60.56/~jnz1568/getInfo.php?workbook=08_02.xlsx&amp;sheet=A0&amp;row=148&amp;col=6&amp;number=&amp;sourceID=27","")</f>
        <v/>
      </c>
      <c r="G148" s="4" t="str">
        <f>HYPERLINK("http://141.218.60.56/~jnz1568/getInfo.php?workbook=08_02.xlsx&amp;sheet=A0&amp;row=148&amp;col=7&amp;number=&amp;sourceID=34","")</f>
        <v/>
      </c>
      <c r="H148" s="4" t="str">
        <f>HYPERLINK("http://141.218.60.56/~jnz1568/getInfo.php?workbook=08_02.xlsx&amp;sheet=A0&amp;row=148&amp;col=8&amp;number=&amp;sourceID=34","")</f>
        <v/>
      </c>
      <c r="I148" s="4" t="str">
        <f>HYPERLINK("http://141.218.60.56/~jnz1568/getInfo.php?workbook=08_02.xlsx&amp;sheet=A0&amp;row=148&amp;col=9&amp;number=&amp;sourceID=34","")</f>
        <v/>
      </c>
      <c r="J148" s="4" t="str">
        <f>HYPERLINK("http://141.218.60.56/~jnz1568/getInfo.php?workbook=08_02.xlsx&amp;sheet=A0&amp;row=148&amp;col=10&amp;number=&amp;sourceID=34","")</f>
        <v/>
      </c>
      <c r="K148" s="4" t="str">
        <f>HYPERLINK("http://141.218.60.56/~jnz1568/getInfo.php?workbook=08_02.xlsx&amp;sheet=A0&amp;row=148&amp;col=11&amp;number=&amp;sourceID=30","")</f>
        <v/>
      </c>
      <c r="L148" s="4" t="str">
        <f>HYPERLINK("http://141.218.60.56/~jnz1568/getInfo.php?workbook=08_02.xlsx&amp;sheet=A0&amp;row=148&amp;col=12&amp;number=&amp;sourceID=30","")</f>
        <v/>
      </c>
      <c r="M148" s="4" t="str">
        <f>HYPERLINK("http://141.218.60.56/~jnz1568/getInfo.php?workbook=08_02.xlsx&amp;sheet=A0&amp;row=148&amp;col=13&amp;number=0.001682&amp;sourceID=30","0.001682")</f>
        <v>0.001682</v>
      </c>
      <c r="N148" s="4" t="str">
        <f>HYPERLINK("http://141.218.60.56/~jnz1568/getInfo.php?workbook=08_02.xlsx&amp;sheet=A0&amp;row=148&amp;col=14&amp;number=&amp;sourceID=30","")</f>
        <v/>
      </c>
      <c r="O148" s="4" t="str">
        <f>HYPERLINK("http://141.218.60.56/~jnz1568/getInfo.php?workbook=08_02.xlsx&amp;sheet=A0&amp;row=148&amp;col=15&amp;number=&amp;sourceID=32","")</f>
        <v/>
      </c>
      <c r="P148" s="4" t="str">
        <f>HYPERLINK("http://141.218.60.56/~jnz1568/getInfo.php?workbook=08_02.xlsx&amp;sheet=A0&amp;row=148&amp;col=16&amp;number=&amp;sourceID=32","")</f>
        <v/>
      </c>
      <c r="Q148" s="4" t="str">
        <f>HYPERLINK("http://141.218.60.56/~jnz1568/getInfo.php?workbook=08_02.xlsx&amp;sheet=A0&amp;row=148&amp;col=17&amp;number=0.0009044&amp;sourceID=32","0.0009044")</f>
        <v>0.0009044</v>
      </c>
      <c r="R148" s="4" t="str">
        <f>HYPERLINK("http://141.218.60.56/~jnz1568/getInfo.php?workbook=08_02.xlsx&amp;sheet=A0&amp;row=148&amp;col=18&amp;number=&amp;sourceID=32","")</f>
        <v/>
      </c>
      <c r="S148" s="4" t="str">
        <f>HYPERLINK("http://141.218.60.56/~jnz1568/getInfo.php?workbook=08_02.xlsx&amp;sheet=A0&amp;row=148&amp;col=19&amp;number=&amp;sourceID=1","")</f>
        <v/>
      </c>
      <c r="T148" s="4" t="str">
        <f>HYPERLINK("http://141.218.60.56/~jnz1568/getInfo.php?workbook=08_02.xlsx&amp;sheet=A0&amp;row=148&amp;col=20&amp;number=&amp;sourceID=1","")</f>
        <v/>
      </c>
    </row>
    <row r="149" spans="1:20">
      <c r="A149" s="3">
        <v>8</v>
      </c>
      <c r="B149" s="3">
        <v>2</v>
      </c>
      <c r="C149" s="3">
        <v>19</v>
      </c>
      <c r="D149" s="3">
        <v>11</v>
      </c>
      <c r="E149" s="3">
        <f>((1/(INDEX(E0!J$4:J$52,C149,1)-INDEX(E0!J$4:J$52,D149,1))))*100000000</f>
        <v>0</v>
      </c>
      <c r="F149" s="4" t="str">
        <f>HYPERLINK("http://141.218.60.56/~jnz1568/getInfo.php?workbook=08_02.xlsx&amp;sheet=A0&amp;row=149&amp;col=6&amp;number=&amp;sourceID=27","")</f>
        <v/>
      </c>
      <c r="G149" s="4" t="str">
        <f>HYPERLINK("http://141.218.60.56/~jnz1568/getInfo.php?workbook=08_02.xlsx&amp;sheet=A0&amp;row=149&amp;col=7&amp;number=&amp;sourceID=34","")</f>
        <v/>
      </c>
      <c r="H149" s="4" t="str">
        <f>HYPERLINK("http://141.218.60.56/~jnz1568/getInfo.php?workbook=08_02.xlsx&amp;sheet=A0&amp;row=149&amp;col=8&amp;number=&amp;sourceID=34","")</f>
        <v/>
      </c>
      <c r="I149" s="4" t="str">
        <f>HYPERLINK("http://141.218.60.56/~jnz1568/getInfo.php?workbook=08_02.xlsx&amp;sheet=A0&amp;row=149&amp;col=9&amp;number=&amp;sourceID=34","")</f>
        <v/>
      </c>
      <c r="J149" s="4" t="str">
        <f>HYPERLINK("http://141.218.60.56/~jnz1568/getInfo.php?workbook=08_02.xlsx&amp;sheet=A0&amp;row=149&amp;col=10&amp;number=&amp;sourceID=34","")</f>
        <v/>
      </c>
      <c r="K149" s="4" t="str">
        <f>HYPERLINK("http://141.218.60.56/~jnz1568/getInfo.php?workbook=08_02.xlsx&amp;sheet=A0&amp;row=149&amp;col=11&amp;number=&amp;sourceID=30","")</f>
        <v/>
      </c>
      <c r="L149" s="4" t="str">
        <f>HYPERLINK("http://141.218.60.56/~jnz1568/getInfo.php?workbook=08_02.xlsx&amp;sheet=A0&amp;row=149&amp;col=12&amp;number=309300&amp;sourceID=30","309300")</f>
        <v>309300</v>
      </c>
      <c r="M149" s="4" t="str">
        <f>HYPERLINK("http://141.218.60.56/~jnz1568/getInfo.php?workbook=08_02.xlsx&amp;sheet=A0&amp;row=149&amp;col=13&amp;number=&amp;sourceID=30","")</f>
        <v/>
      </c>
      <c r="N149" s="4" t="str">
        <f>HYPERLINK("http://141.218.60.56/~jnz1568/getInfo.php?workbook=08_02.xlsx&amp;sheet=A0&amp;row=149&amp;col=14&amp;number=&amp;sourceID=30","")</f>
        <v/>
      </c>
      <c r="O149" s="4" t="str">
        <f>HYPERLINK("http://141.218.60.56/~jnz1568/getInfo.php?workbook=08_02.xlsx&amp;sheet=A0&amp;row=149&amp;col=15&amp;number=&amp;sourceID=32","")</f>
        <v/>
      </c>
      <c r="P149" s="4" t="str">
        <f>HYPERLINK("http://141.218.60.56/~jnz1568/getInfo.php?workbook=08_02.xlsx&amp;sheet=A0&amp;row=149&amp;col=16&amp;number=313900&amp;sourceID=32","313900")</f>
        <v>313900</v>
      </c>
      <c r="Q149" s="4" t="str">
        <f>HYPERLINK("http://141.218.60.56/~jnz1568/getInfo.php?workbook=08_02.xlsx&amp;sheet=A0&amp;row=149&amp;col=17&amp;number=&amp;sourceID=32","")</f>
        <v/>
      </c>
      <c r="R149" s="4" t="str">
        <f>HYPERLINK("http://141.218.60.56/~jnz1568/getInfo.php?workbook=08_02.xlsx&amp;sheet=A0&amp;row=149&amp;col=18&amp;number=&amp;sourceID=32","")</f>
        <v/>
      </c>
      <c r="S149" s="4" t="str">
        <f>HYPERLINK("http://141.218.60.56/~jnz1568/getInfo.php?workbook=08_02.xlsx&amp;sheet=A0&amp;row=149&amp;col=19&amp;number=&amp;sourceID=1","")</f>
        <v/>
      </c>
      <c r="T149" s="4" t="str">
        <f>HYPERLINK("http://141.218.60.56/~jnz1568/getInfo.php?workbook=08_02.xlsx&amp;sheet=A0&amp;row=149&amp;col=20&amp;number=&amp;sourceID=1","")</f>
        <v/>
      </c>
    </row>
    <row r="150" spans="1:20">
      <c r="A150" s="3">
        <v>8</v>
      </c>
      <c r="B150" s="3">
        <v>2</v>
      </c>
      <c r="C150" s="3">
        <v>19</v>
      </c>
      <c r="D150" s="3">
        <v>13</v>
      </c>
      <c r="E150" s="3">
        <f>((1/(INDEX(E0!J$4:J$52,C150,1)-INDEX(E0!J$4:J$52,D150,1))))*100000000</f>
        <v>0</v>
      </c>
      <c r="F150" s="4" t="str">
        <f>HYPERLINK("http://141.218.60.56/~jnz1568/getInfo.php?workbook=08_02.xlsx&amp;sheet=A0&amp;row=150&amp;col=6&amp;number=&amp;sourceID=27","")</f>
        <v/>
      </c>
      <c r="G150" s="4" t="str">
        <f>HYPERLINK("http://141.218.60.56/~jnz1568/getInfo.php?workbook=08_02.xlsx&amp;sheet=A0&amp;row=150&amp;col=7&amp;number=1053000000&amp;sourceID=34","1053000000")</f>
        <v>1053000000</v>
      </c>
      <c r="H150" s="4" t="str">
        <f>HYPERLINK("http://141.218.60.56/~jnz1568/getInfo.php?workbook=08_02.xlsx&amp;sheet=A0&amp;row=150&amp;col=8&amp;number=&amp;sourceID=34","")</f>
        <v/>
      </c>
      <c r="I150" s="4" t="str">
        <f>HYPERLINK("http://141.218.60.56/~jnz1568/getInfo.php?workbook=08_02.xlsx&amp;sheet=A0&amp;row=150&amp;col=9&amp;number=&amp;sourceID=34","")</f>
        <v/>
      </c>
      <c r="J150" s="4" t="str">
        <f>HYPERLINK("http://141.218.60.56/~jnz1568/getInfo.php?workbook=08_02.xlsx&amp;sheet=A0&amp;row=150&amp;col=10&amp;number=&amp;sourceID=34","")</f>
        <v/>
      </c>
      <c r="K150" s="4" t="str">
        <f>HYPERLINK("http://141.218.60.56/~jnz1568/getInfo.php?workbook=08_02.xlsx&amp;sheet=A0&amp;row=150&amp;col=11&amp;number=1040000000&amp;sourceID=30","1040000000")</f>
        <v>1040000000</v>
      </c>
      <c r="L150" s="4" t="str">
        <f>HYPERLINK("http://141.218.60.56/~jnz1568/getInfo.php?workbook=08_02.xlsx&amp;sheet=A0&amp;row=150&amp;col=12&amp;number=&amp;sourceID=30","")</f>
        <v/>
      </c>
      <c r="M150" s="4" t="str">
        <f>HYPERLINK("http://141.218.60.56/~jnz1568/getInfo.php?workbook=08_02.xlsx&amp;sheet=A0&amp;row=150&amp;col=13&amp;number=&amp;sourceID=30","")</f>
        <v/>
      </c>
      <c r="N150" s="4" t="str">
        <f>HYPERLINK("http://141.218.60.56/~jnz1568/getInfo.php?workbook=08_02.xlsx&amp;sheet=A0&amp;row=150&amp;col=14&amp;number=&amp;sourceID=30","")</f>
        <v/>
      </c>
      <c r="O150" s="4" t="str">
        <f>HYPERLINK("http://141.218.60.56/~jnz1568/getInfo.php?workbook=08_02.xlsx&amp;sheet=A0&amp;row=150&amp;col=15&amp;number=1055000000&amp;sourceID=32","1055000000")</f>
        <v>1055000000</v>
      </c>
      <c r="P150" s="4" t="str">
        <f>HYPERLINK("http://141.218.60.56/~jnz1568/getInfo.php?workbook=08_02.xlsx&amp;sheet=A0&amp;row=150&amp;col=16&amp;number=&amp;sourceID=32","")</f>
        <v/>
      </c>
      <c r="Q150" s="4" t="str">
        <f>HYPERLINK("http://141.218.60.56/~jnz1568/getInfo.php?workbook=08_02.xlsx&amp;sheet=A0&amp;row=150&amp;col=17&amp;number=&amp;sourceID=32","")</f>
        <v/>
      </c>
      <c r="R150" s="4" t="str">
        <f>HYPERLINK("http://141.218.60.56/~jnz1568/getInfo.php?workbook=08_02.xlsx&amp;sheet=A0&amp;row=150&amp;col=18&amp;number=&amp;sourceID=32","")</f>
        <v/>
      </c>
      <c r="S150" s="4" t="str">
        <f>HYPERLINK("http://141.218.60.56/~jnz1568/getInfo.php?workbook=08_02.xlsx&amp;sheet=A0&amp;row=150&amp;col=19&amp;number=&amp;sourceID=1","")</f>
        <v/>
      </c>
      <c r="T150" s="4" t="str">
        <f>HYPERLINK("http://141.218.60.56/~jnz1568/getInfo.php?workbook=08_02.xlsx&amp;sheet=A0&amp;row=150&amp;col=20&amp;number=&amp;sourceID=1","")</f>
        <v/>
      </c>
    </row>
    <row r="151" spans="1:20">
      <c r="A151" s="3">
        <v>8</v>
      </c>
      <c r="B151" s="3">
        <v>2</v>
      </c>
      <c r="C151" s="3">
        <v>19</v>
      </c>
      <c r="D151" s="3">
        <v>14</v>
      </c>
      <c r="E151" s="3">
        <f>((1/(INDEX(E0!J$4:J$52,C151,1)-INDEX(E0!J$4:J$52,D151,1))))*100000000</f>
        <v>0</v>
      </c>
      <c r="F151" s="4" t="str">
        <f>HYPERLINK("http://141.218.60.56/~jnz1568/getInfo.php?workbook=08_02.xlsx&amp;sheet=A0&amp;row=151&amp;col=6&amp;number=&amp;sourceID=27","")</f>
        <v/>
      </c>
      <c r="G151" s="4" t="str">
        <f>HYPERLINK("http://141.218.60.56/~jnz1568/getInfo.php?workbook=08_02.xlsx&amp;sheet=A0&amp;row=151&amp;col=7&amp;number=&amp;sourceID=34","")</f>
        <v/>
      </c>
      <c r="H151" s="4" t="str">
        <f>HYPERLINK("http://141.218.60.56/~jnz1568/getInfo.php?workbook=08_02.xlsx&amp;sheet=A0&amp;row=151&amp;col=8&amp;number=&amp;sourceID=34","")</f>
        <v/>
      </c>
      <c r="I151" s="4" t="str">
        <f>HYPERLINK("http://141.218.60.56/~jnz1568/getInfo.php?workbook=08_02.xlsx&amp;sheet=A0&amp;row=151&amp;col=9&amp;number=&amp;sourceID=34","")</f>
        <v/>
      </c>
      <c r="J151" s="4" t="str">
        <f>HYPERLINK("http://141.218.60.56/~jnz1568/getInfo.php?workbook=08_02.xlsx&amp;sheet=A0&amp;row=151&amp;col=10&amp;number=&amp;sourceID=34","")</f>
        <v/>
      </c>
      <c r="K151" s="4" t="str">
        <f>HYPERLINK("http://141.218.60.56/~jnz1568/getInfo.php?workbook=08_02.xlsx&amp;sheet=A0&amp;row=151&amp;col=11&amp;number=&amp;sourceID=30","")</f>
        <v/>
      </c>
      <c r="L151" s="4" t="str">
        <f>HYPERLINK("http://141.218.60.56/~jnz1568/getInfo.php?workbook=08_02.xlsx&amp;sheet=A0&amp;row=151&amp;col=12&amp;number=&amp;sourceID=30","")</f>
        <v/>
      </c>
      <c r="M151" s="4" t="str">
        <f>HYPERLINK("http://141.218.60.56/~jnz1568/getInfo.php?workbook=08_02.xlsx&amp;sheet=A0&amp;row=151&amp;col=13&amp;number=&amp;sourceID=30","")</f>
        <v/>
      </c>
      <c r="N151" s="4" t="str">
        <f>HYPERLINK("http://141.218.60.56/~jnz1568/getInfo.php?workbook=08_02.xlsx&amp;sheet=A0&amp;row=151&amp;col=14&amp;number=0.02616&amp;sourceID=30","0.02616")</f>
        <v>0.02616</v>
      </c>
      <c r="O151" s="4" t="str">
        <f>HYPERLINK("http://141.218.60.56/~jnz1568/getInfo.php?workbook=08_02.xlsx&amp;sheet=A0&amp;row=151&amp;col=15&amp;number=&amp;sourceID=32","")</f>
        <v/>
      </c>
      <c r="P151" s="4" t="str">
        <f>HYPERLINK("http://141.218.60.56/~jnz1568/getInfo.php?workbook=08_02.xlsx&amp;sheet=A0&amp;row=151&amp;col=16&amp;number=&amp;sourceID=32","")</f>
        <v/>
      </c>
      <c r="Q151" s="4" t="str">
        <f>HYPERLINK("http://141.218.60.56/~jnz1568/getInfo.php?workbook=08_02.xlsx&amp;sheet=A0&amp;row=151&amp;col=17&amp;number=&amp;sourceID=32","")</f>
        <v/>
      </c>
      <c r="R151" s="4" t="str">
        <f>HYPERLINK("http://141.218.60.56/~jnz1568/getInfo.php?workbook=08_02.xlsx&amp;sheet=A0&amp;row=151&amp;col=18&amp;number=0.02424&amp;sourceID=32","0.02424")</f>
        <v>0.02424</v>
      </c>
      <c r="S151" s="4" t="str">
        <f>HYPERLINK("http://141.218.60.56/~jnz1568/getInfo.php?workbook=08_02.xlsx&amp;sheet=A0&amp;row=151&amp;col=19&amp;number=&amp;sourceID=1","")</f>
        <v/>
      </c>
      <c r="T151" s="4" t="str">
        <f>HYPERLINK("http://141.218.60.56/~jnz1568/getInfo.php?workbook=08_02.xlsx&amp;sheet=A0&amp;row=151&amp;col=20&amp;number=&amp;sourceID=1","")</f>
        <v/>
      </c>
    </row>
    <row r="152" spans="1:20">
      <c r="A152" s="3">
        <v>8</v>
      </c>
      <c r="B152" s="3">
        <v>2</v>
      </c>
      <c r="C152" s="3">
        <v>19</v>
      </c>
      <c r="D152" s="3">
        <v>16</v>
      </c>
      <c r="E152" s="3">
        <f>((1/(INDEX(E0!J$4:J$52,C152,1)-INDEX(E0!J$4:J$52,D152,1))))*100000000</f>
        <v>0</v>
      </c>
      <c r="F152" s="4" t="str">
        <f>HYPERLINK("http://141.218.60.56/~jnz1568/getInfo.php?workbook=08_02.xlsx&amp;sheet=A0&amp;row=152&amp;col=6&amp;number=&amp;sourceID=27","")</f>
        <v/>
      </c>
      <c r="G152" s="4" t="str">
        <f>HYPERLINK("http://141.218.60.56/~jnz1568/getInfo.php?workbook=08_02.xlsx&amp;sheet=A0&amp;row=152&amp;col=7&amp;number=&amp;sourceID=34","")</f>
        <v/>
      </c>
      <c r="H152" s="4" t="str">
        <f>HYPERLINK("http://141.218.60.56/~jnz1568/getInfo.php?workbook=08_02.xlsx&amp;sheet=A0&amp;row=152&amp;col=8&amp;number=&amp;sourceID=34","")</f>
        <v/>
      </c>
      <c r="I152" s="4" t="str">
        <f>HYPERLINK("http://141.218.60.56/~jnz1568/getInfo.php?workbook=08_02.xlsx&amp;sheet=A0&amp;row=152&amp;col=9&amp;number=&amp;sourceID=34","")</f>
        <v/>
      </c>
      <c r="J152" s="4" t="str">
        <f>HYPERLINK("http://141.218.60.56/~jnz1568/getInfo.php?workbook=08_02.xlsx&amp;sheet=A0&amp;row=152&amp;col=10&amp;number=&amp;sourceID=34","")</f>
        <v/>
      </c>
      <c r="K152" s="4" t="str">
        <f>HYPERLINK("http://141.218.60.56/~jnz1568/getInfo.php?workbook=08_02.xlsx&amp;sheet=A0&amp;row=152&amp;col=11&amp;number=&amp;sourceID=30","")</f>
        <v/>
      </c>
      <c r="L152" s="4" t="str">
        <f>HYPERLINK("http://141.218.60.56/~jnz1568/getInfo.php?workbook=08_02.xlsx&amp;sheet=A0&amp;row=152&amp;col=12&amp;number=&amp;sourceID=30","")</f>
        <v/>
      </c>
      <c r="M152" s="4" t="str">
        <f>HYPERLINK("http://141.218.60.56/~jnz1568/getInfo.php?workbook=08_02.xlsx&amp;sheet=A0&amp;row=152&amp;col=13&amp;number=&amp;sourceID=30","")</f>
        <v/>
      </c>
      <c r="N152" s="4" t="str">
        <f>HYPERLINK("http://141.218.60.56/~jnz1568/getInfo.php?workbook=08_02.xlsx&amp;sheet=A0&amp;row=152&amp;col=14&amp;number=0.3368&amp;sourceID=30","0.3368")</f>
        <v>0.3368</v>
      </c>
      <c r="O152" s="4" t="str">
        <f>HYPERLINK("http://141.218.60.56/~jnz1568/getInfo.php?workbook=08_02.xlsx&amp;sheet=A0&amp;row=152&amp;col=15&amp;number=&amp;sourceID=32","")</f>
        <v/>
      </c>
      <c r="P152" s="4" t="str">
        <f>HYPERLINK("http://141.218.60.56/~jnz1568/getInfo.php?workbook=08_02.xlsx&amp;sheet=A0&amp;row=152&amp;col=16&amp;number=&amp;sourceID=32","")</f>
        <v/>
      </c>
      <c r="Q152" s="4" t="str">
        <f>HYPERLINK("http://141.218.60.56/~jnz1568/getInfo.php?workbook=08_02.xlsx&amp;sheet=A0&amp;row=152&amp;col=17&amp;number=&amp;sourceID=32","")</f>
        <v/>
      </c>
      <c r="R152" s="4" t="str">
        <f>HYPERLINK("http://141.218.60.56/~jnz1568/getInfo.php?workbook=08_02.xlsx&amp;sheet=A0&amp;row=152&amp;col=18&amp;number=0.3403&amp;sourceID=32","0.3403")</f>
        <v>0.3403</v>
      </c>
      <c r="S152" s="4" t="str">
        <f>HYPERLINK("http://141.218.60.56/~jnz1568/getInfo.php?workbook=08_02.xlsx&amp;sheet=A0&amp;row=152&amp;col=19&amp;number=&amp;sourceID=1","")</f>
        <v/>
      </c>
      <c r="T152" s="4" t="str">
        <f>HYPERLINK("http://141.218.60.56/~jnz1568/getInfo.php?workbook=08_02.xlsx&amp;sheet=A0&amp;row=152&amp;col=20&amp;number=&amp;sourceID=1","")</f>
        <v/>
      </c>
    </row>
    <row r="153" spans="1:20">
      <c r="A153" s="3">
        <v>8</v>
      </c>
      <c r="B153" s="3">
        <v>2</v>
      </c>
      <c r="C153" s="3">
        <v>19</v>
      </c>
      <c r="D153" s="3">
        <v>17</v>
      </c>
      <c r="E153" s="3">
        <f>((1/(INDEX(E0!J$4:J$52,C153,1)-INDEX(E0!J$4:J$52,D153,1))))*100000000</f>
        <v>0</v>
      </c>
      <c r="F153" s="4" t="str">
        <f>HYPERLINK("http://141.218.60.56/~jnz1568/getInfo.php?workbook=08_02.xlsx&amp;sheet=A0&amp;row=153&amp;col=6&amp;number=&amp;sourceID=27","")</f>
        <v/>
      </c>
      <c r="G153" s="4" t="str">
        <f>HYPERLINK("http://141.218.60.56/~jnz1568/getInfo.php?workbook=08_02.xlsx&amp;sheet=A0&amp;row=153&amp;col=7&amp;number=&amp;sourceID=34","")</f>
        <v/>
      </c>
      <c r="H153" s="4" t="str">
        <f>HYPERLINK("http://141.218.60.56/~jnz1568/getInfo.php?workbook=08_02.xlsx&amp;sheet=A0&amp;row=153&amp;col=8&amp;number=&amp;sourceID=34","")</f>
        <v/>
      </c>
      <c r="I153" s="4" t="str">
        <f>HYPERLINK("http://141.218.60.56/~jnz1568/getInfo.php?workbook=08_02.xlsx&amp;sheet=A0&amp;row=153&amp;col=9&amp;number=&amp;sourceID=34","")</f>
        <v/>
      </c>
      <c r="J153" s="4" t="str">
        <f>HYPERLINK("http://141.218.60.56/~jnz1568/getInfo.php?workbook=08_02.xlsx&amp;sheet=A0&amp;row=153&amp;col=10&amp;number=&amp;sourceID=34","")</f>
        <v/>
      </c>
      <c r="K153" s="4" t="str">
        <f>HYPERLINK("http://141.218.60.56/~jnz1568/getInfo.php?workbook=08_02.xlsx&amp;sheet=A0&amp;row=153&amp;col=11&amp;number=&amp;sourceID=30","")</f>
        <v/>
      </c>
      <c r="L153" s="4" t="str">
        <f>HYPERLINK("http://141.218.60.56/~jnz1568/getInfo.php?workbook=08_02.xlsx&amp;sheet=A0&amp;row=153&amp;col=12&amp;number=&amp;sourceID=30","")</f>
        <v/>
      </c>
      <c r="M153" s="4" t="str">
        <f>HYPERLINK("http://141.218.60.56/~jnz1568/getInfo.php?workbook=08_02.xlsx&amp;sheet=A0&amp;row=153&amp;col=13&amp;number=0.1879&amp;sourceID=30","0.1879")</f>
        <v>0.1879</v>
      </c>
      <c r="N153" s="4" t="str">
        <f>HYPERLINK("http://141.218.60.56/~jnz1568/getInfo.php?workbook=08_02.xlsx&amp;sheet=A0&amp;row=153&amp;col=14&amp;number=&amp;sourceID=30","")</f>
        <v/>
      </c>
      <c r="O153" s="4" t="str">
        <f>HYPERLINK("http://141.218.60.56/~jnz1568/getInfo.php?workbook=08_02.xlsx&amp;sheet=A0&amp;row=153&amp;col=15&amp;number=&amp;sourceID=32","")</f>
        <v/>
      </c>
      <c r="P153" s="4" t="str">
        <f>HYPERLINK("http://141.218.60.56/~jnz1568/getInfo.php?workbook=08_02.xlsx&amp;sheet=A0&amp;row=153&amp;col=16&amp;number=&amp;sourceID=32","")</f>
        <v/>
      </c>
      <c r="Q153" s="4" t="str">
        <f>HYPERLINK("http://141.218.60.56/~jnz1568/getInfo.php?workbook=08_02.xlsx&amp;sheet=A0&amp;row=153&amp;col=17&amp;number=0.1921&amp;sourceID=32","0.1921")</f>
        <v>0.1921</v>
      </c>
      <c r="R153" s="4" t="str">
        <f>HYPERLINK("http://141.218.60.56/~jnz1568/getInfo.php?workbook=08_02.xlsx&amp;sheet=A0&amp;row=153&amp;col=18&amp;number=&amp;sourceID=32","")</f>
        <v/>
      </c>
      <c r="S153" s="4" t="str">
        <f>HYPERLINK("http://141.218.60.56/~jnz1568/getInfo.php?workbook=08_02.xlsx&amp;sheet=A0&amp;row=153&amp;col=19&amp;number=&amp;sourceID=1","")</f>
        <v/>
      </c>
      <c r="T153" s="4" t="str">
        <f>HYPERLINK("http://141.218.60.56/~jnz1568/getInfo.php?workbook=08_02.xlsx&amp;sheet=A0&amp;row=153&amp;col=20&amp;number=&amp;sourceID=1","")</f>
        <v/>
      </c>
    </row>
    <row r="154" spans="1:20">
      <c r="A154" s="3">
        <v>8</v>
      </c>
      <c r="B154" s="3">
        <v>2</v>
      </c>
      <c r="C154" s="3">
        <v>19</v>
      </c>
      <c r="D154" s="3">
        <v>18</v>
      </c>
      <c r="E154" s="3">
        <f>((1/(INDEX(E0!J$4:J$52,C154,1)-INDEX(E0!J$4:J$52,D154,1))))*100000000</f>
        <v>0</v>
      </c>
      <c r="F154" s="4" t="str">
        <f>HYPERLINK("http://141.218.60.56/~jnz1568/getInfo.php?workbook=08_02.xlsx&amp;sheet=A0&amp;row=154&amp;col=6&amp;number=&amp;sourceID=27","")</f>
        <v/>
      </c>
      <c r="G154" s="4" t="str">
        <f>HYPERLINK("http://141.218.60.56/~jnz1568/getInfo.php?workbook=08_02.xlsx&amp;sheet=A0&amp;row=154&amp;col=7&amp;number=&amp;sourceID=34","")</f>
        <v/>
      </c>
      <c r="H154" s="4" t="str">
        <f>HYPERLINK("http://141.218.60.56/~jnz1568/getInfo.php?workbook=08_02.xlsx&amp;sheet=A0&amp;row=154&amp;col=8&amp;number=&amp;sourceID=34","")</f>
        <v/>
      </c>
      <c r="I154" s="4" t="str">
        <f>HYPERLINK("http://141.218.60.56/~jnz1568/getInfo.php?workbook=08_02.xlsx&amp;sheet=A0&amp;row=154&amp;col=9&amp;number=&amp;sourceID=34","")</f>
        <v/>
      </c>
      <c r="J154" s="4" t="str">
        <f>HYPERLINK("http://141.218.60.56/~jnz1568/getInfo.php?workbook=08_02.xlsx&amp;sheet=A0&amp;row=154&amp;col=10&amp;number=&amp;sourceID=34","")</f>
        <v/>
      </c>
      <c r="K154" s="4" t="str">
        <f>HYPERLINK("http://141.218.60.56/~jnz1568/getInfo.php?workbook=08_02.xlsx&amp;sheet=A0&amp;row=154&amp;col=11&amp;number=2332000&amp;sourceID=30","2332000")</f>
        <v>2332000</v>
      </c>
      <c r="L154" s="4" t="str">
        <f>HYPERLINK("http://141.218.60.56/~jnz1568/getInfo.php?workbook=08_02.xlsx&amp;sheet=A0&amp;row=154&amp;col=12&amp;number=&amp;sourceID=30","")</f>
        <v/>
      </c>
      <c r="M154" s="4" t="str">
        <f>HYPERLINK("http://141.218.60.56/~jnz1568/getInfo.php?workbook=08_02.xlsx&amp;sheet=A0&amp;row=154&amp;col=13&amp;number=&amp;sourceID=30","")</f>
        <v/>
      </c>
      <c r="N154" s="4" t="str">
        <f>HYPERLINK("http://141.218.60.56/~jnz1568/getInfo.php?workbook=08_02.xlsx&amp;sheet=A0&amp;row=154&amp;col=14&amp;number=&amp;sourceID=30","")</f>
        <v/>
      </c>
      <c r="O154" s="4" t="str">
        <f>HYPERLINK("http://141.218.60.56/~jnz1568/getInfo.php?workbook=08_02.xlsx&amp;sheet=A0&amp;row=154&amp;col=15&amp;number=2270000&amp;sourceID=32","2270000")</f>
        <v>2270000</v>
      </c>
      <c r="P154" s="4" t="str">
        <f>HYPERLINK("http://141.218.60.56/~jnz1568/getInfo.php?workbook=08_02.xlsx&amp;sheet=A0&amp;row=154&amp;col=16&amp;number=&amp;sourceID=32","")</f>
        <v/>
      </c>
      <c r="Q154" s="4" t="str">
        <f>HYPERLINK("http://141.218.60.56/~jnz1568/getInfo.php?workbook=08_02.xlsx&amp;sheet=A0&amp;row=154&amp;col=17&amp;number=&amp;sourceID=32","")</f>
        <v/>
      </c>
      <c r="R154" s="4" t="str">
        <f>HYPERLINK("http://141.218.60.56/~jnz1568/getInfo.php?workbook=08_02.xlsx&amp;sheet=A0&amp;row=154&amp;col=18&amp;number=&amp;sourceID=32","")</f>
        <v/>
      </c>
      <c r="S154" s="4" t="str">
        <f>HYPERLINK("http://141.218.60.56/~jnz1568/getInfo.php?workbook=08_02.xlsx&amp;sheet=A0&amp;row=154&amp;col=19&amp;number=&amp;sourceID=1","")</f>
        <v/>
      </c>
      <c r="T154" s="4" t="str">
        <f>HYPERLINK("http://141.218.60.56/~jnz1568/getInfo.php?workbook=08_02.xlsx&amp;sheet=A0&amp;row=154&amp;col=20&amp;number=&amp;sourceID=1","")</f>
        <v/>
      </c>
    </row>
    <row r="155" spans="1:20">
      <c r="A155" s="3">
        <v>8</v>
      </c>
      <c r="B155" s="3">
        <v>2</v>
      </c>
      <c r="C155" s="3">
        <v>20</v>
      </c>
      <c r="D155" s="3">
        <v>1</v>
      </c>
      <c r="E155" s="3">
        <f>((1/(INDEX(E0!J$4:J$52,C155,1)-INDEX(E0!J$4:J$52,D155,1))))*100000000</f>
        <v>0</v>
      </c>
      <c r="F155" s="4" t="str">
        <f>HYPERLINK("http://141.218.60.56/~jnz1568/getInfo.php?workbook=08_02.xlsx&amp;sheet=A0&amp;row=155&amp;col=6&amp;number=&amp;sourceID=27","")</f>
        <v/>
      </c>
      <c r="G155" s="4" t="str">
        <f>HYPERLINK("http://141.218.60.56/~jnz1568/getInfo.php?workbook=08_02.xlsx&amp;sheet=A0&amp;row=155&amp;col=7&amp;number=&amp;sourceID=34","")</f>
        <v/>
      </c>
      <c r="H155" s="4" t="str">
        <f>HYPERLINK("http://141.218.60.56/~jnz1568/getInfo.php?workbook=08_02.xlsx&amp;sheet=A0&amp;row=155&amp;col=8&amp;number=&amp;sourceID=34","")</f>
        <v/>
      </c>
      <c r="I155" s="4" t="str">
        <f>HYPERLINK("http://141.218.60.56/~jnz1568/getInfo.php?workbook=08_02.xlsx&amp;sheet=A0&amp;row=155&amp;col=9&amp;number=&amp;sourceID=34","")</f>
        <v/>
      </c>
      <c r="J155" s="4" t="str">
        <f>HYPERLINK("http://141.218.60.56/~jnz1568/getInfo.php?workbook=08_02.xlsx&amp;sheet=A0&amp;row=155&amp;col=10&amp;number=&amp;sourceID=34","")</f>
        <v/>
      </c>
      <c r="K155" s="4" t="str">
        <f>HYPERLINK("http://141.218.60.56/~jnz1568/getInfo.php?workbook=08_02.xlsx&amp;sheet=A0&amp;row=155&amp;col=11&amp;number=86310000&amp;sourceID=30","86310000")</f>
        <v>86310000</v>
      </c>
      <c r="L155" s="4" t="str">
        <f>HYPERLINK("http://141.218.60.56/~jnz1568/getInfo.php?workbook=08_02.xlsx&amp;sheet=A0&amp;row=155&amp;col=12&amp;number=&amp;sourceID=30","")</f>
        <v/>
      </c>
      <c r="M155" s="4" t="str">
        <f>HYPERLINK("http://141.218.60.56/~jnz1568/getInfo.php?workbook=08_02.xlsx&amp;sheet=A0&amp;row=155&amp;col=13&amp;number=&amp;sourceID=30","")</f>
        <v/>
      </c>
      <c r="N155" s="4" t="str">
        <f>HYPERLINK("http://141.218.60.56/~jnz1568/getInfo.php?workbook=08_02.xlsx&amp;sheet=A0&amp;row=155&amp;col=14&amp;number=&amp;sourceID=30","")</f>
        <v/>
      </c>
      <c r="O155" s="4" t="str">
        <f>HYPERLINK("http://141.218.60.56/~jnz1568/getInfo.php?workbook=08_02.xlsx&amp;sheet=A0&amp;row=155&amp;col=15&amp;number=68170000&amp;sourceID=32","68170000")</f>
        <v>68170000</v>
      </c>
      <c r="P155" s="4" t="str">
        <f>HYPERLINK("http://141.218.60.56/~jnz1568/getInfo.php?workbook=08_02.xlsx&amp;sheet=A0&amp;row=155&amp;col=16&amp;number=&amp;sourceID=32","")</f>
        <v/>
      </c>
      <c r="Q155" s="4" t="str">
        <f>HYPERLINK("http://141.218.60.56/~jnz1568/getInfo.php?workbook=08_02.xlsx&amp;sheet=A0&amp;row=155&amp;col=17&amp;number=&amp;sourceID=32","")</f>
        <v/>
      </c>
      <c r="R155" s="4" t="str">
        <f>HYPERLINK("http://141.218.60.56/~jnz1568/getInfo.php?workbook=08_02.xlsx&amp;sheet=A0&amp;row=155&amp;col=18&amp;number=&amp;sourceID=32","")</f>
        <v/>
      </c>
      <c r="S155" s="4" t="str">
        <f>HYPERLINK("http://141.218.60.56/~jnz1568/getInfo.php?workbook=08_02.xlsx&amp;sheet=A0&amp;row=155&amp;col=19&amp;number=&amp;sourceID=1","")</f>
        <v/>
      </c>
      <c r="T155" s="4" t="str">
        <f>HYPERLINK("http://141.218.60.56/~jnz1568/getInfo.php?workbook=08_02.xlsx&amp;sheet=A0&amp;row=155&amp;col=20&amp;number=&amp;sourceID=1","")</f>
        <v/>
      </c>
    </row>
    <row r="156" spans="1:20">
      <c r="A156" s="3">
        <v>8</v>
      </c>
      <c r="B156" s="3">
        <v>2</v>
      </c>
      <c r="C156" s="3">
        <v>20</v>
      </c>
      <c r="D156" s="3">
        <v>2</v>
      </c>
      <c r="E156" s="3">
        <f>((1/(INDEX(E0!J$4:J$52,C156,1)-INDEX(E0!J$4:J$52,D156,1))))*100000000</f>
        <v>0</v>
      </c>
      <c r="F156" s="4" t="str">
        <f>HYPERLINK("http://141.218.60.56/~jnz1568/getInfo.php?workbook=08_02.xlsx&amp;sheet=A0&amp;row=156&amp;col=6&amp;number=&amp;sourceID=27","")</f>
        <v/>
      </c>
      <c r="G156" s="4" t="str">
        <f>HYPERLINK("http://141.218.60.56/~jnz1568/getInfo.php?workbook=08_02.xlsx&amp;sheet=A0&amp;row=156&amp;col=7&amp;number=&amp;sourceID=34","")</f>
        <v/>
      </c>
      <c r="H156" s="4" t="str">
        <f>HYPERLINK("http://141.218.60.56/~jnz1568/getInfo.php?workbook=08_02.xlsx&amp;sheet=A0&amp;row=156&amp;col=8&amp;number=&amp;sourceID=34","")</f>
        <v/>
      </c>
      <c r="I156" s="4" t="str">
        <f>HYPERLINK("http://141.218.60.56/~jnz1568/getInfo.php?workbook=08_02.xlsx&amp;sheet=A0&amp;row=156&amp;col=9&amp;number=&amp;sourceID=34","")</f>
        <v/>
      </c>
      <c r="J156" s="4" t="str">
        <f>HYPERLINK("http://141.218.60.56/~jnz1568/getInfo.php?workbook=08_02.xlsx&amp;sheet=A0&amp;row=156&amp;col=10&amp;number=&amp;sourceID=34","")</f>
        <v/>
      </c>
      <c r="K156" s="4" t="str">
        <f>HYPERLINK("http://141.218.60.56/~jnz1568/getInfo.php?workbook=08_02.xlsx&amp;sheet=A0&amp;row=156&amp;col=11&amp;number=22450000000&amp;sourceID=30","22450000000")</f>
        <v>22450000000</v>
      </c>
      <c r="L156" s="4" t="str">
        <f>HYPERLINK("http://141.218.60.56/~jnz1568/getInfo.php?workbook=08_02.xlsx&amp;sheet=A0&amp;row=156&amp;col=12&amp;number=&amp;sourceID=30","")</f>
        <v/>
      </c>
      <c r="M156" s="4" t="str">
        <f>HYPERLINK("http://141.218.60.56/~jnz1568/getInfo.php?workbook=08_02.xlsx&amp;sheet=A0&amp;row=156&amp;col=13&amp;number=&amp;sourceID=30","")</f>
        <v/>
      </c>
      <c r="N156" s="4" t="str">
        <f>HYPERLINK("http://141.218.60.56/~jnz1568/getInfo.php?workbook=08_02.xlsx&amp;sheet=A0&amp;row=156&amp;col=14&amp;number=95.78&amp;sourceID=30","95.78")</f>
        <v>95.78</v>
      </c>
      <c r="O156" s="4" t="str">
        <f>HYPERLINK("http://141.218.60.56/~jnz1568/getInfo.php?workbook=08_02.xlsx&amp;sheet=A0&amp;row=156&amp;col=15&amp;number=23820000000&amp;sourceID=32","23820000000")</f>
        <v>23820000000</v>
      </c>
      <c r="P156" s="4" t="str">
        <f>HYPERLINK("http://141.218.60.56/~jnz1568/getInfo.php?workbook=08_02.xlsx&amp;sheet=A0&amp;row=156&amp;col=16&amp;number=&amp;sourceID=32","")</f>
        <v/>
      </c>
      <c r="Q156" s="4" t="str">
        <f>HYPERLINK("http://141.218.60.56/~jnz1568/getInfo.php?workbook=08_02.xlsx&amp;sheet=A0&amp;row=156&amp;col=17&amp;number=&amp;sourceID=32","")</f>
        <v/>
      </c>
      <c r="R156" s="4" t="str">
        <f>HYPERLINK("http://141.218.60.56/~jnz1568/getInfo.php?workbook=08_02.xlsx&amp;sheet=A0&amp;row=156&amp;col=18&amp;number=101.7&amp;sourceID=32","101.7")</f>
        <v>101.7</v>
      </c>
      <c r="S156" s="4" t="str">
        <f>HYPERLINK("http://141.218.60.56/~jnz1568/getInfo.php?workbook=08_02.xlsx&amp;sheet=A0&amp;row=156&amp;col=19&amp;number=&amp;sourceID=1","")</f>
        <v/>
      </c>
      <c r="T156" s="4" t="str">
        <f>HYPERLINK("http://141.218.60.56/~jnz1568/getInfo.php?workbook=08_02.xlsx&amp;sheet=A0&amp;row=156&amp;col=20&amp;number=&amp;sourceID=1","")</f>
        <v/>
      </c>
    </row>
    <row r="157" spans="1:20">
      <c r="A157" s="3">
        <v>8</v>
      </c>
      <c r="B157" s="3">
        <v>2</v>
      </c>
      <c r="C157" s="3">
        <v>20</v>
      </c>
      <c r="D157" s="3">
        <v>3</v>
      </c>
      <c r="E157" s="3">
        <f>((1/(INDEX(E0!J$4:J$52,C157,1)-INDEX(E0!J$4:J$52,D157,1))))*100000000</f>
        <v>0</v>
      </c>
      <c r="F157" s="4" t="str">
        <f>HYPERLINK("http://141.218.60.56/~jnz1568/getInfo.php?workbook=08_02.xlsx&amp;sheet=A0&amp;row=157&amp;col=6&amp;number=&amp;sourceID=27","")</f>
        <v/>
      </c>
      <c r="G157" s="4" t="str">
        <f>HYPERLINK("http://141.218.60.56/~jnz1568/getInfo.php?workbook=08_02.xlsx&amp;sheet=A0&amp;row=157&amp;col=7&amp;number=&amp;sourceID=34","")</f>
        <v/>
      </c>
      <c r="H157" s="4" t="str">
        <f>HYPERLINK("http://141.218.60.56/~jnz1568/getInfo.php?workbook=08_02.xlsx&amp;sheet=A0&amp;row=157&amp;col=8&amp;number=&amp;sourceID=34","")</f>
        <v/>
      </c>
      <c r="I157" s="4" t="str">
        <f>HYPERLINK("http://141.218.60.56/~jnz1568/getInfo.php?workbook=08_02.xlsx&amp;sheet=A0&amp;row=157&amp;col=9&amp;number=&amp;sourceID=34","")</f>
        <v/>
      </c>
      <c r="J157" s="4" t="str">
        <f>HYPERLINK("http://141.218.60.56/~jnz1568/getInfo.php?workbook=08_02.xlsx&amp;sheet=A0&amp;row=157&amp;col=10&amp;number=&amp;sourceID=34","")</f>
        <v/>
      </c>
      <c r="K157" s="4" t="str">
        <f>HYPERLINK("http://141.218.60.56/~jnz1568/getInfo.php?workbook=08_02.xlsx&amp;sheet=A0&amp;row=157&amp;col=11&amp;number=&amp;sourceID=30","")</f>
        <v/>
      </c>
      <c r="L157" s="4" t="str">
        <f>HYPERLINK("http://141.218.60.56/~jnz1568/getInfo.php?workbook=08_02.xlsx&amp;sheet=A0&amp;row=157&amp;col=12&amp;number=&amp;sourceID=30","")</f>
        <v/>
      </c>
      <c r="M157" s="4" t="str">
        <f>HYPERLINK("http://141.218.60.56/~jnz1568/getInfo.php?workbook=08_02.xlsx&amp;sheet=A0&amp;row=157&amp;col=13&amp;number=0.03576&amp;sourceID=30","0.03576")</f>
        <v>0.03576</v>
      </c>
      <c r="N157" s="4" t="str">
        <f>HYPERLINK("http://141.218.60.56/~jnz1568/getInfo.php?workbook=08_02.xlsx&amp;sheet=A0&amp;row=157&amp;col=14&amp;number=&amp;sourceID=30","")</f>
        <v/>
      </c>
      <c r="O157" s="4" t="str">
        <f>HYPERLINK("http://141.218.60.56/~jnz1568/getInfo.php?workbook=08_02.xlsx&amp;sheet=A0&amp;row=157&amp;col=15&amp;number=&amp;sourceID=32","")</f>
        <v/>
      </c>
      <c r="P157" s="4" t="str">
        <f>HYPERLINK("http://141.218.60.56/~jnz1568/getInfo.php?workbook=08_02.xlsx&amp;sheet=A0&amp;row=157&amp;col=16&amp;number=&amp;sourceID=32","")</f>
        <v/>
      </c>
      <c r="Q157" s="4" t="str">
        <f>HYPERLINK("http://141.218.60.56/~jnz1568/getInfo.php?workbook=08_02.xlsx&amp;sheet=A0&amp;row=157&amp;col=17&amp;number=0.0585&amp;sourceID=32","0.0585")</f>
        <v>0.0585</v>
      </c>
      <c r="R157" s="4" t="str">
        <f>HYPERLINK("http://141.218.60.56/~jnz1568/getInfo.php?workbook=08_02.xlsx&amp;sheet=A0&amp;row=157&amp;col=18&amp;number=&amp;sourceID=32","")</f>
        <v/>
      </c>
      <c r="S157" s="4" t="str">
        <f>HYPERLINK("http://141.218.60.56/~jnz1568/getInfo.php?workbook=08_02.xlsx&amp;sheet=A0&amp;row=157&amp;col=19&amp;number=&amp;sourceID=1","")</f>
        <v/>
      </c>
      <c r="T157" s="4" t="str">
        <f>HYPERLINK("http://141.218.60.56/~jnz1568/getInfo.php?workbook=08_02.xlsx&amp;sheet=A0&amp;row=157&amp;col=20&amp;number=&amp;sourceID=1","")</f>
        <v/>
      </c>
    </row>
    <row r="158" spans="1:20">
      <c r="A158" s="3">
        <v>8</v>
      </c>
      <c r="B158" s="3">
        <v>2</v>
      </c>
      <c r="C158" s="3">
        <v>20</v>
      </c>
      <c r="D158" s="3">
        <v>4</v>
      </c>
      <c r="E158" s="3">
        <f>((1/(INDEX(E0!J$4:J$52,C158,1)-INDEX(E0!J$4:J$52,D158,1))))*100000000</f>
        <v>0</v>
      </c>
      <c r="F158" s="4" t="str">
        <f>HYPERLINK("http://141.218.60.56/~jnz1568/getInfo.php?workbook=08_02.xlsx&amp;sheet=A0&amp;row=158&amp;col=6&amp;number=&amp;sourceID=27","")</f>
        <v/>
      </c>
      <c r="G158" s="4" t="str">
        <f>HYPERLINK("http://141.218.60.56/~jnz1568/getInfo.php?workbook=08_02.xlsx&amp;sheet=A0&amp;row=158&amp;col=7&amp;number=&amp;sourceID=34","")</f>
        <v/>
      </c>
      <c r="H158" s="4" t="str">
        <f>HYPERLINK("http://141.218.60.56/~jnz1568/getInfo.php?workbook=08_02.xlsx&amp;sheet=A0&amp;row=158&amp;col=8&amp;number=&amp;sourceID=34","")</f>
        <v/>
      </c>
      <c r="I158" s="4" t="str">
        <f>HYPERLINK("http://141.218.60.56/~jnz1568/getInfo.php?workbook=08_02.xlsx&amp;sheet=A0&amp;row=158&amp;col=9&amp;number=&amp;sourceID=34","")</f>
        <v/>
      </c>
      <c r="J158" s="4" t="str">
        <f>HYPERLINK("http://141.218.60.56/~jnz1568/getInfo.php?workbook=08_02.xlsx&amp;sheet=A0&amp;row=158&amp;col=10&amp;number=&amp;sourceID=34","")</f>
        <v/>
      </c>
      <c r="K158" s="4" t="str">
        <f>HYPERLINK("http://141.218.60.56/~jnz1568/getInfo.php?workbook=08_02.xlsx&amp;sheet=A0&amp;row=158&amp;col=11&amp;number=&amp;sourceID=30","")</f>
        <v/>
      </c>
      <c r="L158" s="4" t="str">
        <f>HYPERLINK("http://141.218.60.56/~jnz1568/getInfo.php?workbook=08_02.xlsx&amp;sheet=A0&amp;row=158&amp;col=12&amp;number=280600&amp;sourceID=30","280600")</f>
        <v>280600</v>
      </c>
      <c r="M158" s="4" t="str">
        <f>HYPERLINK("http://141.218.60.56/~jnz1568/getInfo.php?workbook=08_02.xlsx&amp;sheet=A0&amp;row=158&amp;col=13&amp;number=0.3392&amp;sourceID=30","0.3392")</f>
        <v>0.3392</v>
      </c>
      <c r="N158" s="4" t="str">
        <f>HYPERLINK("http://141.218.60.56/~jnz1568/getInfo.php?workbook=08_02.xlsx&amp;sheet=A0&amp;row=158&amp;col=14&amp;number=&amp;sourceID=30","")</f>
        <v/>
      </c>
      <c r="O158" s="4" t="str">
        <f>HYPERLINK("http://141.218.60.56/~jnz1568/getInfo.php?workbook=08_02.xlsx&amp;sheet=A0&amp;row=158&amp;col=15&amp;number=&amp;sourceID=32","")</f>
        <v/>
      </c>
      <c r="P158" s="4" t="str">
        <f>HYPERLINK("http://141.218.60.56/~jnz1568/getInfo.php?workbook=08_02.xlsx&amp;sheet=A0&amp;row=158&amp;col=16&amp;number=319800&amp;sourceID=32","319800")</f>
        <v>319800</v>
      </c>
      <c r="Q158" s="4" t="str">
        <f>HYPERLINK("http://141.218.60.56/~jnz1568/getInfo.php?workbook=08_02.xlsx&amp;sheet=A0&amp;row=158&amp;col=17&amp;number=0.3422&amp;sourceID=32","0.3422")</f>
        <v>0.3422</v>
      </c>
      <c r="R158" s="4" t="str">
        <f>HYPERLINK("http://141.218.60.56/~jnz1568/getInfo.php?workbook=08_02.xlsx&amp;sheet=A0&amp;row=158&amp;col=18&amp;number=&amp;sourceID=32","")</f>
        <v/>
      </c>
      <c r="S158" s="4" t="str">
        <f>HYPERLINK("http://141.218.60.56/~jnz1568/getInfo.php?workbook=08_02.xlsx&amp;sheet=A0&amp;row=158&amp;col=19&amp;number=&amp;sourceID=1","")</f>
        <v/>
      </c>
      <c r="T158" s="4" t="str">
        <f>HYPERLINK("http://141.218.60.56/~jnz1568/getInfo.php?workbook=08_02.xlsx&amp;sheet=A0&amp;row=158&amp;col=20&amp;number=&amp;sourceID=1","")</f>
        <v/>
      </c>
    </row>
    <row r="159" spans="1:20">
      <c r="A159" s="3">
        <v>8</v>
      </c>
      <c r="B159" s="3">
        <v>2</v>
      </c>
      <c r="C159" s="3">
        <v>20</v>
      </c>
      <c r="D159" s="3">
        <v>5</v>
      </c>
      <c r="E159" s="3">
        <f>((1/(INDEX(E0!J$4:J$52,C159,1)-INDEX(E0!J$4:J$52,D159,1))))*100000000</f>
        <v>0</v>
      </c>
      <c r="F159" s="4" t="str">
        <f>HYPERLINK("http://141.218.60.56/~jnz1568/getInfo.php?workbook=08_02.xlsx&amp;sheet=A0&amp;row=159&amp;col=6&amp;number=&amp;sourceID=27","")</f>
        <v/>
      </c>
      <c r="G159" s="4" t="str">
        <f>HYPERLINK("http://141.218.60.56/~jnz1568/getInfo.php?workbook=08_02.xlsx&amp;sheet=A0&amp;row=159&amp;col=7&amp;number=&amp;sourceID=34","")</f>
        <v/>
      </c>
      <c r="H159" s="4" t="str">
        <f>HYPERLINK("http://141.218.60.56/~jnz1568/getInfo.php?workbook=08_02.xlsx&amp;sheet=A0&amp;row=159&amp;col=8&amp;number=&amp;sourceID=34","")</f>
        <v/>
      </c>
      <c r="I159" s="4" t="str">
        <f>HYPERLINK("http://141.218.60.56/~jnz1568/getInfo.php?workbook=08_02.xlsx&amp;sheet=A0&amp;row=159&amp;col=9&amp;number=&amp;sourceID=34","")</f>
        <v/>
      </c>
      <c r="J159" s="4" t="str">
        <f>HYPERLINK("http://141.218.60.56/~jnz1568/getInfo.php?workbook=08_02.xlsx&amp;sheet=A0&amp;row=159&amp;col=10&amp;number=&amp;sourceID=34","")</f>
        <v/>
      </c>
      <c r="K159" s="4" t="str">
        <f>HYPERLINK("http://141.218.60.56/~jnz1568/getInfo.php?workbook=08_02.xlsx&amp;sheet=A0&amp;row=159&amp;col=11&amp;number=&amp;sourceID=30","")</f>
        <v/>
      </c>
      <c r="L159" s="4" t="str">
        <f>HYPERLINK("http://141.218.60.56/~jnz1568/getInfo.php?workbook=08_02.xlsx&amp;sheet=A0&amp;row=159&amp;col=12&amp;number=840300&amp;sourceID=30","840300")</f>
        <v>840300</v>
      </c>
      <c r="M159" s="4" t="str">
        <f>HYPERLINK("http://141.218.60.56/~jnz1568/getInfo.php?workbook=08_02.xlsx&amp;sheet=A0&amp;row=159&amp;col=13&amp;number=0.6961&amp;sourceID=30","0.6961")</f>
        <v>0.6961</v>
      </c>
      <c r="N159" s="4" t="str">
        <f>HYPERLINK("http://141.218.60.56/~jnz1568/getInfo.php?workbook=08_02.xlsx&amp;sheet=A0&amp;row=159&amp;col=14&amp;number=&amp;sourceID=30","")</f>
        <v/>
      </c>
      <c r="O159" s="4" t="str">
        <f>HYPERLINK("http://141.218.60.56/~jnz1568/getInfo.php?workbook=08_02.xlsx&amp;sheet=A0&amp;row=159&amp;col=15&amp;number=&amp;sourceID=32","")</f>
        <v/>
      </c>
      <c r="P159" s="4" t="str">
        <f>HYPERLINK("http://141.218.60.56/~jnz1568/getInfo.php?workbook=08_02.xlsx&amp;sheet=A0&amp;row=159&amp;col=16&amp;number=959000&amp;sourceID=32","959000")</f>
        <v>959000</v>
      </c>
      <c r="Q159" s="4" t="str">
        <f>HYPERLINK("http://141.218.60.56/~jnz1568/getInfo.php?workbook=08_02.xlsx&amp;sheet=A0&amp;row=159&amp;col=17&amp;number=0.6338&amp;sourceID=32","0.6338")</f>
        <v>0.6338</v>
      </c>
      <c r="R159" s="4" t="str">
        <f>HYPERLINK("http://141.218.60.56/~jnz1568/getInfo.php?workbook=08_02.xlsx&amp;sheet=A0&amp;row=159&amp;col=18&amp;number=&amp;sourceID=32","")</f>
        <v/>
      </c>
      <c r="S159" s="4" t="str">
        <f>HYPERLINK("http://141.218.60.56/~jnz1568/getInfo.php?workbook=08_02.xlsx&amp;sheet=A0&amp;row=159&amp;col=19&amp;number=&amp;sourceID=1","")</f>
        <v/>
      </c>
      <c r="T159" s="4" t="str">
        <f>HYPERLINK("http://141.218.60.56/~jnz1568/getInfo.php?workbook=08_02.xlsx&amp;sheet=A0&amp;row=159&amp;col=20&amp;number=&amp;sourceID=1","")</f>
        <v/>
      </c>
    </row>
    <row r="160" spans="1:20">
      <c r="A160" s="3">
        <v>8</v>
      </c>
      <c r="B160" s="3">
        <v>2</v>
      </c>
      <c r="C160" s="3">
        <v>20</v>
      </c>
      <c r="D160" s="3">
        <v>6</v>
      </c>
      <c r="E160" s="3">
        <f>((1/(INDEX(E0!J$4:J$52,C160,1)-INDEX(E0!J$4:J$52,D160,1))))*100000000</f>
        <v>0</v>
      </c>
      <c r="F160" s="4" t="str">
        <f>HYPERLINK("http://141.218.60.56/~jnz1568/getInfo.php?workbook=08_02.xlsx&amp;sheet=A0&amp;row=160&amp;col=6&amp;number=&amp;sourceID=27","")</f>
        <v/>
      </c>
      <c r="G160" s="4" t="str">
        <f>HYPERLINK("http://141.218.60.56/~jnz1568/getInfo.php?workbook=08_02.xlsx&amp;sheet=A0&amp;row=160&amp;col=7&amp;number=&amp;sourceID=34","")</f>
        <v/>
      </c>
      <c r="H160" s="4" t="str">
        <f>HYPERLINK("http://141.218.60.56/~jnz1568/getInfo.php?workbook=08_02.xlsx&amp;sheet=A0&amp;row=160&amp;col=8&amp;number=&amp;sourceID=34","")</f>
        <v/>
      </c>
      <c r="I160" s="4" t="str">
        <f>HYPERLINK("http://141.218.60.56/~jnz1568/getInfo.php?workbook=08_02.xlsx&amp;sheet=A0&amp;row=160&amp;col=9&amp;number=&amp;sourceID=34","")</f>
        <v/>
      </c>
      <c r="J160" s="4" t="str">
        <f>HYPERLINK("http://141.218.60.56/~jnz1568/getInfo.php?workbook=08_02.xlsx&amp;sheet=A0&amp;row=160&amp;col=10&amp;number=&amp;sourceID=34","")</f>
        <v/>
      </c>
      <c r="K160" s="4" t="str">
        <f>HYPERLINK("http://141.218.60.56/~jnz1568/getInfo.php?workbook=08_02.xlsx&amp;sheet=A0&amp;row=160&amp;col=11&amp;number=4493000&amp;sourceID=30","4493000")</f>
        <v>4493000</v>
      </c>
      <c r="L160" s="4" t="str">
        <f>HYPERLINK("http://141.218.60.56/~jnz1568/getInfo.php?workbook=08_02.xlsx&amp;sheet=A0&amp;row=160&amp;col=12&amp;number=&amp;sourceID=30","")</f>
        <v/>
      </c>
      <c r="M160" s="4" t="str">
        <f>HYPERLINK("http://141.218.60.56/~jnz1568/getInfo.php?workbook=08_02.xlsx&amp;sheet=A0&amp;row=160&amp;col=13&amp;number=&amp;sourceID=30","")</f>
        <v/>
      </c>
      <c r="N160" s="4" t="str">
        <f>HYPERLINK("http://141.218.60.56/~jnz1568/getInfo.php?workbook=08_02.xlsx&amp;sheet=A0&amp;row=160&amp;col=14&amp;number=&amp;sourceID=30","")</f>
        <v/>
      </c>
      <c r="O160" s="4" t="str">
        <f>HYPERLINK("http://141.218.60.56/~jnz1568/getInfo.php?workbook=08_02.xlsx&amp;sheet=A0&amp;row=160&amp;col=15&amp;number=4293000&amp;sourceID=32","4293000")</f>
        <v>4293000</v>
      </c>
      <c r="P160" s="4" t="str">
        <f>HYPERLINK("http://141.218.60.56/~jnz1568/getInfo.php?workbook=08_02.xlsx&amp;sheet=A0&amp;row=160&amp;col=16&amp;number=&amp;sourceID=32","")</f>
        <v/>
      </c>
      <c r="Q160" s="4" t="str">
        <f>HYPERLINK("http://141.218.60.56/~jnz1568/getInfo.php?workbook=08_02.xlsx&amp;sheet=A0&amp;row=160&amp;col=17&amp;number=&amp;sourceID=32","")</f>
        <v/>
      </c>
      <c r="R160" s="4" t="str">
        <f>HYPERLINK("http://141.218.60.56/~jnz1568/getInfo.php?workbook=08_02.xlsx&amp;sheet=A0&amp;row=160&amp;col=18&amp;number=&amp;sourceID=32","")</f>
        <v/>
      </c>
      <c r="S160" s="4" t="str">
        <f>HYPERLINK("http://141.218.60.56/~jnz1568/getInfo.php?workbook=08_02.xlsx&amp;sheet=A0&amp;row=160&amp;col=19&amp;number=&amp;sourceID=1","")</f>
        <v/>
      </c>
      <c r="T160" s="4" t="str">
        <f>HYPERLINK("http://141.218.60.56/~jnz1568/getInfo.php?workbook=08_02.xlsx&amp;sheet=A0&amp;row=160&amp;col=20&amp;number=&amp;sourceID=1","")</f>
        <v/>
      </c>
    </row>
    <row r="161" spans="1:20">
      <c r="A161" s="3">
        <v>8</v>
      </c>
      <c r="B161" s="3">
        <v>2</v>
      </c>
      <c r="C161" s="3">
        <v>20</v>
      </c>
      <c r="D161" s="3">
        <v>7</v>
      </c>
      <c r="E161" s="3">
        <f>((1/(INDEX(E0!J$4:J$52,C161,1)-INDEX(E0!J$4:J$52,D161,1))))*100000000</f>
        <v>0</v>
      </c>
      <c r="F161" s="4" t="str">
        <f>HYPERLINK("http://141.218.60.56/~jnz1568/getInfo.php?workbook=08_02.xlsx&amp;sheet=A0&amp;row=161&amp;col=6&amp;number=&amp;sourceID=27","")</f>
        <v/>
      </c>
      <c r="G161" s="4" t="str">
        <f>HYPERLINK("http://141.218.60.56/~jnz1568/getInfo.php?workbook=08_02.xlsx&amp;sheet=A0&amp;row=161&amp;col=7&amp;number=&amp;sourceID=34","")</f>
        <v/>
      </c>
      <c r="H161" s="4" t="str">
        <f>HYPERLINK("http://141.218.60.56/~jnz1568/getInfo.php?workbook=08_02.xlsx&amp;sheet=A0&amp;row=161&amp;col=8&amp;number=&amp;sourceID=34","")</f>
        <v/>
      </c>
      <c r="I161" s="4" t="str">
        <f>HYPERLINK("http://141.218.60.56/~jnz1568/getInfo.php?workbook=08_02.xlsx&amp;sheet=A0&amp;row=161&amp;col=9&amp;number=&amp;sourceID=34","")</f>
        <v/>
      </c>
      <c r="J161" s="4" t="str">
        <f>HYPERLINK("http://141.218.60.56/~jnz1568/getInfo.php?workbook=08_02.xlsx&amp;sheet=A0&amp;row=161&amp;col=10&amp;number=&amp;sourceID=34","")</f>
        <v/>
      </c>
      <c r="K161" s="4" t="str">
        <f>HYPERLINK("http://141.218.60.56/~jnz1568/getInfo.php?workbook=08_02.xlsx&amp;sheet=A0&amp;row=161&amp;col=11&amp;number=&amp;sourceID=30","")</f>
        <v/>
      </c>
      <c r="L161" s="4" t="str">
        <f>HYPERLINK("http://141.218.60.56/~jnz1568/getInfo.php?workbook=08_02.xlsx&amp;sheet=A0&amp;row=161&amp;col=12&amp;number=489&amp;sourceID=30","489")</f>
        <v>489</v>
      </c>
      <c r="M161" s="4" t="str">
        <f>HYPERLINK("http://141.218.60.56/~jnz1568/getInfo.php?workbook=08_02.xlsx&amp;sheet=A0&amp;row=161&amp;col=13&amp;number=0.8609&amp;sourceID=30","0.8609")</f>
        <v>0.8609</v>
      </c>
      <c r="N161" s="4" t="str">
        <f>HYPERLINK("http://141.218.60.56/~jnz1568/getInfo.php?workbook=08_02.xlsx&amp;sheet=A0&amp;row=161&amp;col=14&amp;number=&amp;sourceID=30","")</f>
        <v/>
      </c>
      <c r="O161" s="4" t="str">
        <f>HYPERLINK("http://141.218.60.56/~jnz1568/getInfo.php?workbook=08_02.xlsx&amp;sheet=A0&amp;row=161&amp;col=15&amp;number=&amp;sourceID=32","")</f>
        <v/>
      </c>
      <c r="P161" s="4" t="str">
        <f>HYPERLINK("http://141.218.60.56/~jnz1568/getInfo.php?workbook=08_02.xlsx&amp;sheet=A0&amp;row=161&amp;col=16&amp;number=436.1&amp;sourceID=32","436.1")</f>
        <v>436.1</v>
      </c>
      <c r="Q161" s="4" t="str">
        <f>HYPERLINK("http://141.218.60.56/~jnz1568/getInfo.php?workbook=08_02.xlsx&amp;sheet=A0&amp;row=161&amp;col=17&amp;number=0.9255&amp;sourceID=32","0.9255")</f>
        <v>0.9255</v>
      </c>
      <c r="R161" s="4" t="str">
        <f>HYPERLINK("http://141.218.60.56/~jnz1568/getInfo.php?workbook=08_02.xlsx&amp;sheet=A0&amp;row=161&amp;col=18&amp;number=&amp;sourceID=32","")</f>
        <v/>
      </c>
      <c r="S161" s="4" t="str">
        <f>HYPERLINK("http://141.218.60.56/~jnz1568/getInfo.php?workbook=08_02.xlsx&amp;sheet=A0&amp;row=161&amp;col=19&amp;number=&amp;sourceID=1","")</f>
        <v/>
      </c>
      <c r="T161" s="4" t="str">
        <f>HYPERLINK("http://141.218.60.56/~jnz1568/getInfo.php?workbook=08_02.xlsx&amp;sheet=A0&amp;row=161&amp;col=20&amp;number=&amp;sourceID=1","")</f>
        <v/>
      </c>
    </row>
    <row r="162" spans="1:20">
      <c r="A162" s="3">
        <v>8</v>
      </c>
      <c r="B162" s="3">
        <v>2</v>
      </c>
      <c r="C162" s="3">
        <v>20</v>
      </c>
      <c r="D162" s="3">
        <v>8</v>
      </c>
      <c r="E162" s="3">
        <f>((1/(INDEX(E0!J$4:J$52,C162,1)-INDEX(E0!J$4:J$52,D162,1))))*100000000</f>
        <v>0</v>
      </c>
      <c r="F162" s="4" t="str">
        <f>HYPERLINK("http://141.218.60.56/~jnz1568/getInfo.php?workbook=08_02.xlsx&amp;sheet=A0&amp;row=162&amp;col=6&amp;number=&amp;sourceID=27","")</f>
        <v/>
      </c>
      <c r="G162" s="4" t="str">
        <f>HYPERLINK("http://141.218.60.56/~jnz1568/getInfo.php?workbook=08_02.xlsx&amp;sheet=A0&amp;row=162&amp;col=7&amp;number=&amp;sourceID=34","")</f>
        <v/>
      </c>
      <c r="H162" s="4" t="str">
        <f>HYPERLINK("http://141.218.60.56/~jnz1568/getInfo.php?workbook=08_02.xlsx&amp;sheet=A0&amp;row=162&amp;col=8&amp;number=&amp;sourceID=34","")</f>
        <v/>
      </c>
      <c r="I162" s="4" t="str">
        <f>HYPERLINK("http://141.218.60.56/~jnz1568/getInfo.php?workbook=08_02.xlsx&amp;sheet=A0&amp;row=162&amp;col=9&amp;number=&amp;sourceID=34","")</f>
        <v/>
      </c>
      <c r="J162" s="4" t="str">
        <f>HYPERLINK("http://141.218.60.56/~jnz1568/getInfo.php?workbook=08_02.xlsx&amp;sheet=A0&amp;row=162&amp;col=10&amp;number=&amp;sourceID=34","")</f>
        <v/>
      </c>
      <c r="K162" s="4" t="str">
        <f>HYPERLINK("http://141.218.60.56/~jnz1568/getInfo.php?workbook=08_02.xlsx&amp;sheet=A0&amp;row=162&amp;col=11&amp;number=6591000000&amp;sourceID=30","6591000000")</f>
        <v>6591000000</v>
      </c>
      <c r="L162" s="4" t="str">
        <f>HYPERLINK("http://141.218.60.56/~jnz1568/getInfo.php?workbook=08_02.xlsx&amp;sheet=A0&amp;row=162&amp;col=12&amp;number=&amp;sourceID=30","")</f>
        <v/>
      </c>
      <c r="M162" s="4" t="str">
        <f>HYPERLINK("http://141.218.60.56/~jnz1568/getInfo.php?workbook=08_02.xlsx&amp;sheet=A0&amp;row=162&amp;col=13&amp;number=&amp;sourceID=30","")</f>
        <v/>
      </c>
      <c r="N162" s="4" t="str">
        <f>HYPERLINK("http://141.218.60.56/~jnz1568/getInfo.php?workbook=08_02.xlsx&amp;sheet=A0&amp;row=162&amp;col=14&amp;number=1.877&amp;sourceID=30","1.877")</f>
        <v>1.877</v>
      </c>
      <c r="O162" s="4" t="str">
        <f>HYPERLINK("http://141.218.60.56/~jnz1568/getInfo.php?workbook=08_02.xlsx&amp;sheet=A0&amp;row=162&amp;col=15&amp;number=6732000000&amp;sourceID=32","6732000000")</f>
        <v>6732000000</v>
      </c>
      <c r="P162" s="4" t="str">
        <f>HYPERLINK("http://141.218.60.56/~jnz1568/getInfo.php?workbook=08_02.xlsx&amp;sheet=A0&amp;row=162&amp;col=16&amp;number=&amp;sourceID=32","")</f>
        <v/>
      </c>
      <c r="Q162" s="4" t="str">
        <f>HYPERLINK("http://141.218.60.56/~jnz1568/getInfo.php?workbook=08_02.xlsx&amp;sheet=A0&amp;row=162&amp;col=17&amp;number=&amp;sourceID=32","")</f>
        <v/>
      </c>
      <c r="R162" s="4" t="str">
        <f>HYPERLINK("http://141.218.60.56/~jnz1568/getInfo.php?workbook=08_02.xlsx&amp;sheet=A0&amp;row=162&amp;col=18&amp;number=1.916&amp;sourceID=32","1.916")</f>
        <v>1.916</v>
      </c>
      <c r="S162" s="4" t="str">
        <f>HYPERLINK("http://141.218.60.56/~jnz1568/getInfo.php?workbook=08_02.xlsx&amp;sheet=A0&amp;row=162&amp;col=19&amp;number=&amp;sourceID=1","")</f>
        <v/>
      </c>
      <c r="T162" s="4" t="str">
        <f>HYPERLINK("http://141.218.60.56/~jnz1568/getInfo.php?workbook=08_02.xlsx&amp;sheet=A0&amp;row=162&amp;col=20&amp;number=&amp;sourceID=1","")</f>
        <v/>
      </c>
    </row>
    <row r="163" spans="1:20">
      <c r="A163" s="3">
        <v>8</v>
      </c>
      <c r="B163" s="3">
        <v>2</v>
      </c>
      <c r="C163" s="3">
        <v>20</v>
      </c>
      <c r="D163" s="3">
        <v>9</v>
      </c>
      <c r="E163" s="3">
        <f>((1/(INDEX(E0!J$4:J$52,C163,1)-INDEX(E0!J$4:J$52,D163,1))))*100000000</f>
        <v>0</v>
      </c>
      <c r="F163" s="4" t="str">
        <f>HYPERLINK("http://141.218.60.56/~jnz1568/getInfo.php?workbook=08_02.xlsx&amp;sheet=A0&amp;row=163&amp;col=6&amp;number=&amp;sourceID=27","")</f>
        <v/>
      </c>
      <c r="G163" s="4" t="str">
        <f>HYPERLINK("http://141.218.60.56/~jnz1568/getInfo.php?workbook=08_02.xlsx&amp;sheet=A0&amp;row=163&amp;col=7&amp;number=&amp;sourceID=34","")</f>
        <v/>
      </c>
      <c r="H163" s="4" t="str">
        <f>HYPERLINK("http://141.218.60.56/~jnz1568/getInfo.php?workbook=08_02.xlsx&amp;sheet=A0&amp;row=163&amp;col=8&amp;number=&amp;sourceID=34","")</f>
        <v/>
      </c>
      <c r="I163" s="4" t="str">
        <f>HYPERLINK("http://141.218.60.56/~jnz1568/getInfo.php?workbook=08_02.xlsx&amp;sheet=A0&amp;row=163&amp;col=9&amp;number=&amp;sourceID=34","")</f>
        <v/>
      </c>
      <c r="J163" s="4" t="str">
        <f>HYPERLINK("http://141.218.60.56/~jnz1568/getInfo.php?workbook=08_02.xlsx&amp;sheet=A0&amp;row=163&amp;col=10&amp;number=&amp;sourceID=34","")</f>
        <v/>
      </c>
      <c r="K163" s="4" t="str">
        <f>HYPERLINK("http://141.218.60.56/~jnz1568/getInfo.php?workbook=08_02.xlsx&amp;sheet=A0&amp;row=163&amp;col=11&amp;number=&amp;sourceID=30","")</f>
        <v/>
      </c>
      <c r="L163" s="4" t="str">
        <f>HYPERLINK("http://141.218.60.56/~jnz1568/getInfo.php?workbook=08_02.xlsx&amp;sheet=A0&amp;row=163&amp;col=12&amp;number=&amp;sourceID=30","")</f>
        <v/>
      </c>
      <c r="M163" s="4" t="str">
        <f>HYPERLINK("http://141.218.60.56/~jnz1568/getInfo.php?workbook=08_02.xlsx&amp;sheet=A0&amp;row=163&amp;col=13&amp;number=0.002012&amp;sourceID=30","0.002012")</f>
        <v>0.002012</v>
      </c>
      <c r="N163" s="4" t="str">
        <f>HYPERLINK("http://141.218.60.56/~jnz1568/getInfo.php?workbook=08_02.xlsx&amp;sheet=A0&amp;row=163&amp;col=14&amp;number=&amp;sourceID=30","")</f>
        <v/>
      </c>
      <c r="O163" s="4" t="str">
        <f>HYPERLINK("http://141.218.60.56/~jnz1568/getInfo.php?workbook=08_02.xlsx&amp;sheet=A0&amp;row=163&amp;col=15&amp;number=&amp;sourceID=32","")</f>
        <v/>
      </c>
      <c r="P163" s="4" t="str">
        <f>HYPERLINK("http://141.218.60.56/~jnz1568/getInfo.php?workbook=08_02.xlsx&amp;sheet=A0&amp;row=163&amp;col=16&amp;number=&amp;sourceID=32","")</f>
        <v/>
      </c>
      <c r="Q163" s="4" t="str">
        <f>HYPERLINK("http://141.218.60.56/~jnz1568/getInfo.php?workbook=08_02.xlsx&amp;sheet=A0&amp;row=163&amp;col=17&amp;number=0.002377&amp;sourceID=32","0.002377")</f>
        <v>0.002377</v>
      </c>
      <c r="R163" s="4" t="str">
        <f>HYPERLINK("http://141.218.60.56/~jnz1568/getInfo.php?workbook=08_02.xlsx&amp;sheet=A0&amp;row=163&amp;col=18&amp;number=&amp;sourceID=32","")</f>
        <v/>
      </c>
      <c r="S163" s="4" t="str">
        <f>HYPERLINK("http://141.218.60.56/~jnz1568/getInfo.php?workbook=08_02.xlsx&amp;sheet=A0&amp;row=163&amp;col=19&amp;number=&amp;sourceID=1","")</f>
        <v/>
      </c>
      <c r="T163" s="4" t="str">
        <f>HYPERLINK("http://141.218.60.56/~jnz1568/getInfo.php?workbook=08_02.xlsx&amp;sheet=A0&amp;row=163&amp;col=20&amp;number=&amp;sourceID=1","")</f>
        <v/>
      </c>
    </row>
    <row r="164" spans="1:20">
      <c r="A164" s="3">
        <v>8</v>
      </c>
      <c r="B164" s="3">
        <v>2</v>
      </c>
      <c r="C164" s="3">
        <v>20</v>
      </c>
      <c r="D164" s="3">
        <v>10</v>
      </c>
      <c r="E164" s="3">
        <f>((1/(INDEX(E0!J$4:J$52,C164,1)-INDEX(E0!J$4:J$52,D164,1))))*100000000</f>
        <v>0</v>
      </c>
      <c r="F164" s="4" t="str">
        <f>HYPERLINK("http://141.218.60.56/~jnz1568/getInfo.php?workbook=08_02.xlsx&amp;sheet=A0&amp;row=164&amp;col=6&amp;number=&amp;sourceID=27","")</f>
        <v/>
      </c>
      <c r="G164" s="4" t="str">
        <f>HYPERLINK("http://141.218.60.56/~jnz1568/getInfo.php?workbook=08_02.xlsx&amp;sheet=A0&amp;row=164&amp;col=7&amp;number=&amp;sourceID=34","")</f>
        <v/>
      </c>
      <c r="H164" s="4" t="str">
        <f>HYPERLINK("http://141.218.60.56/~jnz1568/getInfo.php?workbook=08_02.xlsx&amp;sheet=A0&amp;row=164&amp;col=8&amp;number=&amp;sourceID=34","")</f>
        <v/>
      </c>
      <c r="I164" s="4" t="str">
        <f>HYPERLINK("http://141.218.60.56/~jnz1568/getInfo.php?workbook=08_02.xlsx&amp;sheet=A0&amp;row=164&amp;col=9&amp;number=&amp;sourceID=34","")</f>
        <v/>
      </c>
      <c r="J164" s="4" t="str">
        <f>HYPERLINK("http://141.218.60.56/~jnz1568/getInfo.php?workbook=08_02.xlsx&amp;sheet=A0&amp;row=164&amp;col=10&amp;number=&amp;sourceID=34","")</f>
        <v/>
      </c>
      <c r="K164" s="4" t="str">
        <f>HYPERLINK("http://141.218.60.56/~jnz1568/getInfo.php?workbook=08_02.xlsx&amp;sheet=A0&amp;row=164&amp;col=11&amp;number=&amp;sourceID=30","")</f>
        <v/>
      </c>
      <c r="L164" s="4" t="str">
        <f>HYPERLINK("http://141.218.60.56/~jnz1568/getInfo.php?workbook=08_02.xlsx&amp;sheet=A0&amp;row=164&amp;col=12&amp;number=77290&amp;sourceID=30","77290")</f>
        <v>77290</v>
      </c>
      <c r="M164" s="4" t="str">
        <f>HYPERLINK("http://141.218.60.56/~jnz1568/getInfo.php?workbook=08_02.xlsx&amp;sheet=A0&amp;row=164&amp;col=13&amp;number=0.005133&amp;sourceID=30","0.005133")</f>
        <v>0.005133</v>
      </c>
      <c r="N164" s="4" t="str">
        <f>HYPERLINK("http://141.218.60.56/~jnz1568/getInfo.php?workbook=08_02.xlsx&amp;sheet=A0&amp;row=164&amp;col=14&amp;number=&amp;sourceID=30","")</f>
        <v/>
      </c>
      <c r="O164" s="4" t="str">
        <f>HYPERLINK("http://141.218.60.56/~jnz1568/getInfo.php?workbook=08_02.xlsx&amp;sheet=A0&amp;row=164&amp;col=15&amp;number=&amp;sourceID=32","")</f>
        <v/>
      </c>
      <c r="P164" s="4" t="str">
        <f>HYPERLINK("http://141.218.60.56/~jnz1568/getInfo.php?workbook=08_02.xlsx&amp;sheet=A0&amp;row=164&amp;col=16&amp;number=78420&amp;sourceID=32","78420")</f>
        <v>78420</v>
      </c>
      <c r="Q164" s="4" t="str">
        <f>HYPERLINK("http://141.218.60.56/~jnz1568/getInfo.php?workbook=08_02.xlsx&amp;sheet=A0&amp;row=164&amp;col=17&amp;number=0.005346&amp;sourceID=32","0.005346")</f>
        <v>0.005346</v>
      </c>
      <c r="R164" s="4" t="str">
        <f>HYPERLINK("http://141.218.60.56/~jnz1568/getInfo.php?workbook=08_02.xlsx&amp;sheet=A0&amp;row=164&amp;col=18&amp;number=&amp;sourceID=32","")</f>
        <v/>
      </c>
      <c r="S164" s="4" t="str">
        <f>HYPERLINK("http://141.218.60.56/~jnz1568/getInfo.php?workbook=08_02.xlsx&amp;sheet=A0&amp;row=164&amp;col=19&amp;number=&amp;sourceID=1","")</f>
        <v/>
      </c>
      <c r="T164" s="4" t="str">
        <f>HYPERLINK("http://141.218.60.56/~jnz1568/getInfo.php?workbook=08_02.xlsx&amp;sheet=A0&amp;row=164&amp;col=20&amp;number=&amp;sourceID=1","")</f>
        <v/>
      </c>
    </row>
    <row r="165" spans="1:20">
      <c r="A165" s="3">
        <v>8</v>
      </c>
      <c r="B165" s="3">
        <v>2</v>
      </c>
      <c r="C165" s="3">
        <v>20</v>
      </c>
      <c r="D165" s="3">
        <v>11</v>
      </c>
      <c r="E165" s="3">
        <f>((1/(INDEX(E0!J$4:J$52,C165,1)-INDEX(E0!J$4:J$52,D165,1))))*100000000</f>
        <v>0</v>
      </c>
      <c r="F165" s="4" t="str">
        <f>HYPERLINK("http://141.218.60.56/~jnz1568/getInfo.php?workbook=08_02.xlsx&amp;sheet=A0&amp;row=165&amp;col=6&amp;number=&amp;sourceID=27","")</f>
        <v/>
      </c>
      <c r="G165" s="4" t="str">
        <f>HYPERLINK("http://141.218.60.56/~jnz1568/getInfo.php?workbook=08_02.xlsx&amp;sheet=A0&amp;row=165&amp;col=7&amp;number=&amp;sourceID=34","")</f>
        <v/>
      </c>
      <c r="H165" s="4" t="str">
        <f>HYPERLINK("http://141.218.60.56/~jnz1568/getInfo.php?workbook=08_02.xlsx&amp;sheet=A0&amp;row=165&amp;col=8&amp;number=&amp;sourceID=34","")</f>
        <v/>
      </c>
      <c r="I165" s="4" t="str">
        <f>HYPERLINK("http://141.218.60.56/~jnz1568/getInfo.php?workbook=08_02.xlsx&amp;sheet=A0&amp;row=165&amp;col=9&amp;number=&amp;sourceID=34","")</f>
        <v/>
      </c>
      <c r="J165" s="4" t="str">
        <f>HYPERLINK("http://141.218.60.56/~jnz1568/getInfo.php?workbook=08_02.xlsx&amp;sheet=A0&amp;row=165&amp;col=10&amp;number=&amp;sourceID=34","")</f>
        <v/>
      </c>
      <c r="K165" s="4" t="str">
        <f>HYPERLINK("http://141.218.60.56/~jnz1568/getInfo.php?workbook=08_02.xlsx&amp;sheet=A0&amp;row=165&amp;col=11&amp;number=&amp;sourceID=30","")</f>
        <v/>
      </c>
      <c r="L165" s="4" t="str">
        <f>HYPERLINK("http://141.218.60.56/~jnz1568/getInfo.php?workbook=08_02.xlsx&amp;sheet=A0&amp;row=165&amp;col=12&amp;number=231900&amp;sourceID=30","231900")</f>
        <v>231900</v>
      </c>
      <c r="M165" s="4" t="str">
        <f>HYPERLINK("http://141.218.60.56/~jnz1568/getInfo.php?workbook=08_02.xlsx&amp;sheet=A0&amp;row=165&amp;col=13&amp;number=0.06141&amp;sourceID=30","0.06141")</f>
        <v>0.06141</v>
      </c>
      <c r="N165" s="4" t="str">
        <f>HYPERLINK("http://141.218.60.56/~jnz1568/getInfo.php?workbook=08_02.xlsx&amp;sheet=A0&amp;row=165&amp;col=14&amp;number=&amp;sourceID=30","")</f>
        <v/>
      </c>
      <c r="O165" s="4" t="str">
        <f>HYPERLINK("http://141.218.60.56/~jnz1568/getInfo.php?workbook=08_02.xlsx&amp;sheet=A0&amp;row=165&amp;col=15&amp;number=&amp;sourceID=32","")</f>
        <v/>
      </c>
      <c r="P165" s="4" t="str">
        <f>HYPERLINK("http://141.218.60.56/~jnz1568/getInfo.php?workbook=08_02.xlsx&amp;sheet=A0&amp;row=165&amp;col=16&amp;number=235400&amp;sourceID=32","235400")</f>
        <v>235400</v>
      </c>
      <c r="Q165" s="4" t="str">
        <f>HYPERLINK("http://141.218.60.56/~jnz1568/getInfo.php?workbook=08_02.xlsx&amp;sheet=A0&amp;row=165&amp;col=17&amp;number=0.05963&amp;sourceID=32","0.05963")</f>
        <v>0.05963</v>
      </c>
      <c r="R165" s="4" t="str">
        <f>HYPERLINK("http://141.218.60.56/~jnz1568/getInfo.php?workbook=08_02.xlsx&amp;sheet=A0&amp;row=165&amp;col=18&amp;number=&amp;sourceID=32","")</f>
        <v/>
      </c>
      <c r="S165" s="4" t="str">
        <f>HYPERLINK("http://141.218.60.56/~jnz1568/getInfo.php?workbook=08_02.xlsx&amp;sheet=A0&amp;row=165&amp;col=19&amp;number=&amp;sourceID=1","")</f>
        <v/>
      </c>
      <c r="T165" s="4" t="str">
        <f>HYPERLINK("http://141.218.60.56/~jnz1568/getInfo.php?workbook=08_02.xlsx&amp;sheet=A0&amp;row=165&amp;col=20&amp;number=&amp;sourceID=1","")</f>
        <v/>
      </c>
    </row>
    <row r="166" spans="1:20">
      <c r="A166" s="3">
        <v>8</v>
      </c>
      <c r="B166" s="3">
        <v>2</v>
      </c>
      <c r="C166" s="3">
        <v>20</v>
      </c>
      <c r="D166" s="3">
        <v>12</v>
      </c>
      <c r="E166" s="3">
        <f>((1/(INDEX(E0!J$4:J$52,C166,1)-INDEX(E0!J$4:J$52,D166,1))))*100000000</f>
        <v>0</v>
      </c>
      <c r="F166" s="4" t="str">
        <f>HYPERLINK("http://141.218.60.56/~jnz1568/getInfo.php?workbook=08_02.xlsx&amp;sheet=A0&amp;row=166&amp;col=6&amp;number=&amp;sourceID=27","")</f>
        <v/>
      </c>
      <c r="G166" s="4" t="str">
        <f>HYPERLINK("http://141.218.60.56/~jnz1568/getInfo.php?workbook=08_02.xlsx&amp;sheet=A0&amp;row=166&amp;col=7&amp;number=&amp;sourceID=34","")</f>
        <v/>
      </c>
      <c r="H166" s="4" t="str">
        <f>HYPERLINK("http://141.218.60.56/~jnz1568/getInfo.php?workbook=08_02.xlsx&amp;sheet=A0&amp;row=166&amp;col=8&amp;number=&amp;sourceID=34","")</f>
        <v/>
      </c>
      <c r="I166" s="4" t="str">
        <f>HYPERLINK("http://141.218.60.56/~jnz1568/getInfo.php?workbook=08_02.xlsx&amp;sheet=A0&amp;row=166&amp;col=9&amp;number=&amp;sourceID=34","")</f>
        <v/>
      </c>
      <c r="J166" s="4" t="str">
        <f>HYPERLINK("http://141.218.60.56/~jnz1568/getInfo.php?workbook=08_02.xlsx&amp;sheet=A0&amp;row=166&amp;col=10&amp;number=&amp;sourceID=34","")</f>
        <v/>
      </c>
      <c r="K166" s="4" t="str">
        <f>HYPERLINK("http://141.218.60.56/~jnz1568/getInfo.php?workbook=08_02.xlsx&amp;sheet=A0&amp;row=166&amp;col=11&amp;number=1304000&amp;sourceID=30","1304000")</f>
        <v>1304000</v>
      </c>
      <c r="L166" s="4" t="str">
        <f>HYPERLINK("http://141.218.60.56/~jnz1568/getInfo.php?workbook=08_02.xlsx&amp;sheet=A0&amp;row=166&amp;col=12&amp;number=&amp;sourceID=30","")</f>
        <v/>
      </c>
      <c r="M166" s="4" t="str">
        <f>HYPERLINK("http://141.218.60.56/~jnz1568/getInfo.php?workbook=08_02.xlsx&amp;sheet=A0&amp;row=166&amp;col=13&amp;number=&amp;sourceID=30","")</f>
        <v/>
      </c>
      <c r="N166" s="4" t="str">
        <f>HYPERLINK("http://141.218.60.56/~jnz1568/getInfo.php?workbook=08_02.xlsx&amp;sheet=A0&amp;row=166&amp;col=14&amp;number=&amp;sourceID=30","")</f>
        <v/>
      </c>
      <c r="O166" s="4" t="str">
        <f>HYPERLINK("http://141.218.60.56/~jnz1568/getInfo.php?workbook=08_02.xlsx&amp;sheet=A0&amp;row=166&amp;col=15&amp;number=1355000&amp;sourceID=32","1355000")</f>
        <v>1355000</v>
      </c>
      <c r="P166" s="4" t="str">
        <f>HYPERLINK("http://141.218.60.56/~jnz1568/getInfo.php?workbook=08_02.xlsx&amp;sheet=A0&amp;row=166&amp;col=16&amp;number=&amp;sourceID=32","")</f>
        <v/>
      </c>
      <c r="Q166" s="4" t="str">
        <f>HYPERLINK("http://141.218.60.56/~jnz1568/getInfo.php?workbook=08_02.xlsx&amp;sheet=A0&amp;row=166&amp;col=17&amp;number=&amp;sourceID=32","")</f>
        <v/>
      </c>
      <c r="R166" s="4" t="str">
        <f>HYPERLINK("http://141.218.60.56/~jnz1568/getInfo.php?workbook=08_02.xlsx&amp;sheet=A0&amp;row=166&amp;col=18&amp;number=&amp;sourceID=32","")</f>
        <v/>
      </c>
      <c r="S166" s="4" t="str">
        <f>HYPERLINK("http://141.218.60.56/~jnz1568/getInfo.php?workbook=08_02.xlsx&amp;sheet=A0&amp;row=166&amp;col=19&amp;number=&amp;sourceID=1","")</f>
        <v/>
      </c>
      <c r="T166" s="4" t="str">
        <f>HYPERLINK("http://141.218.60.56/~jnz1568/getInfo.php?workbook=08_02.xlsx&amp;sheet=A0&amp;row=166&amp;col=20&amp;number=&amp;sourceID=1","")</f>
        <v/>
      </c>
    </row>
    <row r="167" spans="1:20">
      <c r="A167" s="3">
        <v>8</v>
      </c>
      <c r="B167" s="3">
        <v>2</v>
      </c>
      <c r="C167" s="3">
        <v>20</v>
      </c>
      <c r="D167" s="3">
        <v>13</v>
      </c>
      <c r="E167" s="3">
        <f>((1/(INDEX(E0!J$4:J$52,C167,1)-INDEX(E0!J$4:J$52,D167,1))))*100000000</f>
        <v>0</v>
      </c>
      <c r="F167" s="4" t="str">
        <f>HYPERLINK("http://141.218.60.56/~jnz1568/getInfo.php?workbook=08_02.xlsx&amp;sheet=A0&amp;row=167&amp;col=6&amp;number=&amp;sourceID=27","")</f>
        <v/>
      </c>
      <c r="G167" s="4" t="str">
        <f>HYPERLINK("http://141.218.60.56/~jnz1568/getInfo.php?workbook=08_02.xlsx&amp;sheet=A0&amp;row=167&amp;col=7&amp;number=263100000&amp;sourceID=34","263100000")</f>
        <v>263100000</v>
      </c>
      <c r="H167" s="4" t="str">
        <f>HYPERLINK("http://141.218.60.56/~jnz1568/getInfo.php?workbook=08_02.xlsx&amp;sheet=A0&amp;row=167&amp;col=8&amp;number=&amp;sourceID=34","")</f>
        <v/>
      </c>
      <c r="I167" s="4" t="str">
        <f>HYPERLINK("http://141.218.60.56/~jnz1568/getInfo.php?workbook=08_02.xlsx&amp;sheet=A0&amp;row=167&amp;col=9&amp;number=&amp;sourceID=34","")</f>
        <v/>
      </c>
      <c r="J167" s="4" t="str">
        <f>HYPERLINK("http://141.218.60.56/~jnz1568/getInfo.php?workbook=08_02.xlsx&amp;sheet=A0&amp;row=167&amp;col=10&amp;number=&amp;sourceID=34","")</f>
        <v/>
      </c>
      <c r="K167" s="4" t="str">
        <f>HYPERLINK("http://141.218.60.56/~jnz1568/getInfo.php?workbook=08_02.xlsx&amp;sheet=A0&amp;row=167&amp;col=11&amp;number=260400000&amp;sourceID=30","260400000")</f>
        <v>260400000</v>
      </c>
      <c r="L167" s="4" t="str">
        <f>HYPERLINK("http://141.218.60.56/~jnz1568/getInfo.php?workbook=08_02.xlsx&amp;sheet=A0&amp;row=167&amp;col=12&amp;number=&amp;sourceID=30","")</f>
        <v/>
      </c>
      <c r="M167" s="4" t="str">
        <f>HYPERLINK("http://141.218.60.56/~jnz1568/getInfo.php?workbook=08_02.xlsx&amp;sheet=A0&amp;row=167&amp;col=13&amp;number=&amp;sourceID=30","")</f>
        <v/>
      </c>
      <c r="N167" s="4" t="str">
        <f>HYPERLINK("http://141.218.60.56/~jnz1568/getInfo.php?workbook=08_02.xlsx&amp;sheet=A0&amp;row=167&amp;col=14&amp;number=0.01042&amp;sourceID=30","0.01042")</f>
        <v>0.01042</v>
      </c>
      <c r="O167" s="4" t="str">
        <f>HYPERLINK("http://141.218.60.56/~jnz1568/getInfo.php?workbook=08_02.xlsx&amp;sheet=A0&amp;row=167&amp;col=15&amp;number=264200000&amp;sourceID=32","264200000")</f>
        <v>264200000</v>
      </c>
      <c r="P167" s="4" t="str">
        <f>HYPERLINK("http://141.218.60.56/~jnz1568/getInfo.php?workbook=08_02.xlsx&amp;sheet=A0&amp;row=167&amp;col=16&amp;number=&amp;sourceID=32","")</f>
        <v/>
      </c>
      <c r="Q167" s="4" t="str">
        <f>HYPERLINK("http://141.218.60.56/~jnz1568/getInfo.php?workbook=08_02.xlsx&amp;sheet=A0&amp;row=167&amp;col=17&amp;number=&amp;sourceID=32","")</f>
        <v/>
      </c>
      <c r="R167" s="4" t="str">
        <f>HYPERLINK("http://141.218.60.56/~jnz1568/getInfo.php?workbook=08_02.xlsx&amp;sheet=A0&amp;row=167&amp;col=18&amp;number=0.01054&amp;sourceID=32","0.01054")</f>
        <v>0.01054</v>
      </c>
      <c r="S167" s="4" t="str">
        <f>HYPERLINK("http://141.218.60.56/~jnz1568/getInfo.php?workbook=08_02.xlsx&amp;sheet=A0&amp;row=167&amp;col=19&amp;number=&amp;sourceID=1","")</f>
        <v/>
      </c>
      <c r="T167" s="4" t="str">
        <f>HYPERLINK("http://141.218.60.56/~jnz1568/getInfo.php?workbook=08_02.xlsx&amp;sheet=A0&amp;row=167&amp;col=20&amp;number=&amp;sourceID=1","")</f>
        <v/>
      </c>
    </row>
    <row r="168" spans="1:20">
      <c r="A168" s="3">
        <v>8</v>
      </c>
      <c r="B168" s="3">
        <v>2</v>
      </c>
      <c r="C168" s="3">
        <v>20</v>
      </c>
      <c r="D168" s="3">
        <v>14</v>
      </c>
      <c r="E168" s="3">
        <f>((1/(INDEX(E0!J$4:J$52,C168,1)-INDEX(E0!J$4:J$52,D168,1))))*100000000</f>
        <v>0</v>
      </c>
      <c r="F168" s="4" t="str">
        <f>HYPERLINK("http://141.218.60.56/~jnz1568/getInfo.php?workbook=08_02.xlsx&amp;sheet=A0&amp;row=168&amp;col=6&amp;number=&amp;sourceID=27","")</f>
        <v/>
      </c>
      <c r="G168" s="4" t="str">
        <f>HYPERLINK("http://141.218.60.56/~jnz1568/getInfo.php?workbook=08_02.xlsx&amp;sheet=A0&amp;row=168&amp;col=7&amp;number=789000000&amp;sourceID=34","789000000")</f>
        <v>789000000</v>
      </c>
      <c r="H168" s="4" t="str">
        <f>HYPERLINK("http://141.218.60.56/~jnz1568/getInfo.php?workbook=08_02.xlsx&amp;sheet=A0&amp;row=168&amp;col=8&amp;number=&amp;sourceID=34","")</f>
        <v/>
      </c>
      <c r="I168" s="4" t="str">
        <f>HYPERLINK("http://141.218.60.56/~jnz1568/getInfo.php?workbook=08_02.xlsx&amp;sheet=A0&amp;row=168&amp;col=9&amp;number=&amp;sourceID=34","")</f>
        <v/>
      </c>
      <c r="J168" s="4" t="str">
        <f>HYPERLINK("http://141.218.60.56/~jnz1568/getInfo.php?workbook=08_02.xlsx&amp;sheet=A0&amp;row=168&amp;col=10&amp;number=&amp;sourceID=34","")</f>
        <v/>
      </c>
      <c r="K168" s="4" t="str">
        <f>HYPERLINK("http://141.218.60.56/~jnz1568/getInfo.php?workbook=08_02.xlsx&amp;sheet=A0&amp;row=168&amp;col=11&amp;number=772500000&amp;sourceID=30","772500000")</f>
        <v>772500000</v>
      </c>
      <c r="L168" s="4" t="str">
        <f>HYPERLINK("http://141.218.60.56/~jnz1568/getInfo.php?workbook=08_02.xlsx&amp;sheet=A0&amp;row=168&amp;col=12&amp;number=&amp;sourceID=30","")</f>
        <v/>
      </c>
      <c r="M168" s="4" t="str">
        <f>HYPERLINK("http://141.218.60.56/~jnz1568/getInfo.php?workbook=08_02.xlsx&amp;sheet=A0&amp;row=168&amp;col=13&amp;number=&amp;sourceID=30","")</f>
        <v/>
      </c>
      <c r="N168" s="4" t="str">
        <f>HYPERLINK("http://141.218.60.56/~jnz1568/getInfo.php?workbook=08_02.xlsx&amp;sheet=A0&amp;row=168&amp;col=14&amp;number=0.2124&amp;sourceID=30","0.2124")</f>
        <v>0.2124</v>
      </c>
      <c r="O168" s="4" t="str">
        <f>HYPERLINK("http://141.218.60.56/~jnz1568/getInfo.php?workbook=08_02.xlsx&amp;sheet=A0&amp;row=168&amp;col=15&amp;number=781900000&amp;sourceID=32","781900000")</f>
        <v>781900000</v>
      </c>
      <c r="P168" s="4" t="str">
        <f>HYPERLINK("http://141.218.60.56/~jnz1568/getInfo.php?workbook=08_02.xlsx&amp;sheet=A0&amp;row=168&amp;col=16&amp;number=&amp;sourceID=32","")</f>
        <v/>
      </c>
      <c r="Q168" s="4" t="str">
        <f>HYPERLINK("http://141.218.60.56/~jnz1568/getInfo.php?workbook=08_02.xlsx&amp;sheet=A0&amp;row=168&amp;col=17&amp;number=&amp;sourceID=32","")</f>
        <v/>
      </c>
      <c r="R168" s="4" t="str">
        <f>HYPERLINK("http://141.218.60.56/~jnz1568/getInfo.php?workbook=08_02.xlsx&amp;sheet=A0&amp;row=168&amp;col=18&amp;number=0.209&amp;sourceID=32","0.209")</f>
        <v>0.209</v>
      </c>
      <c r="S168" s="4" t="str">
        <f>HYPERLINK("http://141.218.60.56/~jnz1568/getInfo.php?workbook=08_02.xlsx&amp;sheet=A0&amp;row=168&amp;col=19&amp;number=&amp;sourceID=1","")</f>
        <v/>
      </c>
      <c r="T168" s="4" t="str">
        <f>HYPERLINK("http://141.218.60.56/~jnz1568/getInfo.php?workbook=08_02.xlsx&amp;sheet=A0&amp;row=168&amp;col=20&amp;number=&amp;sourceID=1","")</f>
        <v/>
      </c>
    </row>
    <row r="169" spans="1:20">
      <c r="A169" s="3">
        <v>8</v>
      </c>
      <c r="B169" s="3">
        <v>2</v>
      </c>
      <c r="C169" s="3">
        <v>20</v>
      </c>
      <c r="D169" s="3">
        <v>15</v>
      </c>
      <c r="E169" s="3">
        <f>((1/(INDEX(E0!J$4:J$52,C169,1)-INDEX(E0!J$4:J$52,D169,1))))*100000000</f>
        <v>0</v>
      </c>
      <c r="F169" s="4" t="str">
        <f>HYPERLINK("http://141.218.60.56/~jnz1568/getInfo.php?workbook=08_02.xlsx&amp;sheet=A0&amp;row=169&amp;col=6&amp;number=&amp;sourceID=27","")</f>
        <v/>
      </c>
      <c r="G169" s="4" t="str">
        <f>HYPERLINK("http://141.218.60.56/~jnz1568/getInfo.php?workbook=08_02.xlsx&amp;sheet=A0&amp;row=169&amp;col=7&amp;number=&amp;sourceID=34","")</f>
        <v/>
      </c>
      <c r="H169" s="4" t="str">
        <f>HYPERLINK("http://141.218.60.56/~jnz1568/getInfo.php?workbook=08_02.xlsx&amp;sheet=A0&amp;row=169&amp;col=8&amp;number=&amp;sourceID=34","")</f>
        <v/>
      </c>
      <c r="I169" s="4" t="str">
        <f>HYPERLINK("http://141.218.60.56/~jnz1568/getInfo.php?workbook=08_02.xlsx&amp;sheet=A0&amp;row=169&amp;col=9&amp;number=&amp;sourceID=34","")</f>
        <v/>
      </c>
      <c r="J169" s="4" t="str">
        <f>HYPERLINK("http://141.218.60.56/~jnz1568/getInfo.php?workbook=08_02.xlsx&amp;sheet=A0&amp;row=169&amp;col=10&amp;number=&amp;sourceID=34","")</f>
        <v/>
      </c>
      <c r="K169" s="4" t="str">
        <f>HYPERLINK("http://141.218.60.56/~jnz1568/getInfo.php?workbook=08_02.xlsx&amp;sheet=A0&amp;row=169&amp;col=11&amp;number=&amp;sourceID=30","")</f>
        <v/>
      </c>
      <c r="L169" s="4" t="str">
        <f>HYPERLINK("http://141.218.60.56/~jnz1568/getInfo.php?workbook=08_02.xlsx&amp;sheet=A0&amp;row=169&amp;col=12&amp;number=&amp;sourceID=30","")</f>
        <v/>
      </c>
      <c r="M169" s="4" t="str">
        <f>HYPERLINK("http://141.218.60.56/~jnz1568/getInfo.php?workbook=08_02.xlsx&amp;sheet=A0&amp;row=169&amp;col=13&amp;number=&amp;sourceID=30","")</f>
        <v/>
      </c>
      <c r="N169" s="4" t="str">
        <f>HYPERLINK("http://141.218.60.56/~jnz1568/getInfo.php?workbook=08_02.xlsx&amp;sheet=A0&amp;row=169&amp;col=14&amp;number=0.02646&amp;sourceID=30","0.02646")</f>
        <v>0.02646</v>
      </c>
      <c r="O169" s="4" t="str">
        <f>HYPERLINK("http://141.218.60.56/~jnz1568/getInfo.php?workbook=08_02.xlsx&amp;sheet=A0&amp;row=169&amp;col=15&amp;number=&amp;sourceID=32","")</f>
        <v/>
      </c>
      <c r="P169" s="4" t="str">
        <f>HYPERLINK("http://141.218.60.56/~jnz1568/getInfo.php?workbook=08_02.xlsx&amp;sheet=A0&amp;row=169&amp;col=16&amp;number=&amp;sourceID=32","")</f>
        <v/>
      </c>
      <c r="Q169" s="4" t="str">
        <f>HYPERLINK("http://141.218.60.56/~jnz1568/getInfo.php?workbook=08_02.xlsx&amp;sheet=A0&amp;row=169&amp;col=17&amp;number=&amp;sourceID=32","")</f>
        <v/>
      </c>
      <c r="R169" s="4" t="str">
        <f>HYPERLINK("http://141.218.60.56/~jnz1568/getInfo.php?workbook=08_02.xlsx&amp;sheet=A0&amp;row=169&amp;col=18&amp;number=0.027&amp;sourceID=32","0.027")</f>
        <v>0.027</v>
      </c>
      <c r="S169" s="4" t="str">
        <f>HYPERLINK("http://141.218.60.56/~jnz1568/getInfo.php?workbook=08_02.xlsx&amp;sheet=A0&amp;row=169&amp;col=19&amp;number=&amp;sourceID=1","")</f>
        <v/>
      </c>
      <c r="T169" s="4" t="str">
        <f>HYPERLINK("http://141.218.60.56/~jnz1568/getInfo.php?workbook=08_02.xlsx&amp;sheet=A0&amp;row=169&amp;col=20&amp;number=&amp;sourceID=1","")</f>
        <v/>
      </c>
    </row>
    <row r="170" spans="1:20">
      <c r="A170" s="3">
        <v>8</v>
      </c>
      <c r="B170" s="3">
        <v>2</v>
      </c>
      <c r="C170" s="3">
        <v>20</v>
      </c>
      <c r="D170" s="3">
        <v>16</v>
      </c>
      <c r="E170" s="3">
        <f>((1/(INDEX(E0!J$4:J$52,C170,1)-INDEX(E0!J$4:J$52,D170,1))))*100000000</f>
        <v>0</v>
      </c>
      <c r="F170" s="4" t="str">
        <f>HYPERLINK("http://141.218.60.56/~jnz1568/getInfo.php?workbook=08_02.xlsx&amp;sheet=A0&amp;row=170&amp;col=6&amp;number=&amp;sourceID=27","")</f>
        <v/>
      </c>
      <c r="G170" s="4" t="str">
        <f>HYPERLINK("http://141.218.60.56/~jnz1568/getInfo.php?workbook=08_02.xlsx&amp;sheet=A0&amp;row=170&amp;col=7&amp;number=&amp;sourceID=34","")</f>
        <v/>
      </c>
      <c r="H170" s="4" t="str">
        <f>HYPERLINK("http://141.218.60.56/~jnz1568/getInfo.php?workbook=08_02.xlsx&amp;sheet=A0&amp;row=170&amp;col=8&amp;number=&amp;sourceID=34","")</f>
        <v/>
      </c>
      <c r="I170" s="4" t="str">
        <f>HYPERLINK("http://141.218.60.56/~jnz1568/getInfo.php?workbook=08_02.xlsx&amp;sheet=A0&amp;row=170&amp;col=9&amp;number=&amp;sourceID=34","")</f>
        <v/>
      </c>
      <c r="J170" s="4" t="str">
        <f>HYPERLINK("http://141.218.60.56/~jnz1568/getInfo.php?workbook=08_02.xlsx&amp;sheet=A0&amp;row=170&amp;col=10&amp;number=&amp;sourceID=34","")</f>
        <v/>
      </c>
      <c r="K170" s="4" t="str">
        <f>HYPERLINK("http://141.218.60.56/~jnz1568/getInfo.php?workbook=08_02.xlsx&amp;sheet=A0&amp;row=170&amp;col=11&amp;number=7560000&amp;sourceID=30","7560000")</f>
        <v>7560000</v>
      </c>
      <c r="L170" s="4" t="str">
        <f>HYPERLINK("http://141.218.60.56/~jnz1568/getInfo.php?workbook=08_02.xlsx&amp;sheet=A0&amp;row=170&amp;col=12&amp;number=&amp;sourceID=30","")</f>
        <v/>
      </c>
      <c r="M170" s="4" t="str">
        <f>HYPERLINK("http://141.218.60.56/~jnz1568/getInfo.php?workbook=08_02.xlsx&amp;sheet=A0&amp;row=170&amp;col=13&amp;number=&amp;sourceID=30","")</f>
        <v/>
      </c>
      <c r="N170" s="4" t="str">
        <f>HYPERLINK("http://141.218.60.56/~jnz1568/getInfo.php?workbook=08_02.xlsx&amp;sheet=A0&amp;row=170&amp;col=14&amp;number=0.2841&amp;sourceID=30","0.2841")</f>
        <v>0.2841</v>
      </c>
      <c r="O170" s="4" t="str">
        <f>HYPERLINK("http://141.218.60.56/~jnz1568/getInfo.php?workbook=08_02.xlsx&amp;sheet=A0&amp;row=170&amp;col=15&amp;number=9779000&amp;sourceID=32","9779000")</f>
        <v>9779000</v>
      </c>
      <c r="P170" s="4" t="str">
        <f>HYPERLINK("http://141.218.60.56/~jnz1568/getInfo.php?workbook=08_02.xlsx&amp;sheet=A0&amp;row=170&amp;col=16&amp;number=&amp;sourceID=32","")</f>
        <v/>
      </c>
      <c r="Q170" s="4" t="str">
        <f>HYPERLINK("http://141.218.60.56/~jnz1568/getInfo.php?workbook=08_02.xlsx&amp;sheet=A0&amp;row=170&amp;col=17&amp;number=&amp;sourceID=32","")</f>
        <v/>
      </c>
      <c r="R170" s="4" t="str">
        <f>HYPERLINK("http://141.218.60.56/~jnz1568/getInfo.php?workbook=08_02.xlsx&amp;sheet=A0&amp;row=170&amp;col=18&amp;number=0.2915&amp;sourceID=32","0.2915")</f>
        <v>0.2915</v>
      </c>
      <c r="S170" s="4" t="str">
        <f>HYPERLINK("http://141.218.60.56/~jnz1568/getInfo.php?workbook=08_02.xlsx&amp;sheet=A0&amp;row=170&amp;col=19&amp;number=&amp;sourceID=1","")</f>
        <v/>
      </c>
      <c r="T170" s="4" t="str">
        <f>HYPERLINK("http://141.218.60.56/~jnz1568/getInfo.php?workbook=08_02.xlsx&amp;sheet=A0&amp;row=170&amp;col=20&amp;number=&amp;sourceID=1","")</f>
        <v/>
      </c>
    </row>
    <row r="171" spans="1:20">
      <c r="A171" s="3">
        <v>8</v>
      </c>
      <c r="B171" s="3">
        <v>2</v>
      </c>
      <c r="C171" s="3">
        <v>20</v>
      </c>
      <c r="D171" s="3">
        <v>17</v>
      </c>
      <c r="E171" s="3">
        <f>((1/(INDEX(E0!J$4:J$52,C171,1)-INDEX(E0!J$4:J$52,D171,1))))*100000000</f>
        <v>0</v>
      </c>
      <c r="F171" s="4" t="str">
        <f>HYPERLINK("http://141.218.60.56/~jnz1568/getInfo.php?workbook=08_02.xlsx&amp;sheet=A0&amp;row=171&amp;col=6&amp;number=&amp;sourceID=27","")</f>
        <v/>
      </c>
      <c r="G171" s="4" t="str">
        <f>HYPERLINK("http://141.218.60.56/~jnz1568/getInfo.php?workbook=08_02.xlsx&amp;sheet=A0&amp;row=171&amp;col=7&amp;number=&amp;sourceID=34","")</f>
        <v/>
      </c>
      <c r="H171" s="4" t="str">
        <f>HYPERLINK("http://141.218.60.56/~jnz1568/getInfo.php?workbook=08_02.xlsx&amp;sheet=A0&amp;row=171&amp;col=8&amp;number=&amp;sourceID=34","")</f>
        <v/>
      </c>
      <c r="I171" s="4" t="str">
        <f>HYPERLINK("http://141.218.60.56/~jnz1568/getInfo.php?workbook=08_02.xlsx&amp;sheet=A0&amp;row=171&amp;col=9&amp;number=&amp;sourceID=34","")</f>
        <v/>
      </c>
      <c r="J171" s="4" t="str">
        <f>HYPERLINK("http://141.218.60.56/~jnz1568/getInfo.php?workbook=08_02.xlsx&amp;sheet=A0&amp;row=171&amp;col=10&amp;number=&amp;sourceID=34","")</f>
        <v/>
      </c>
      <c r="K171" s="4" t="str">
        <f>HYPERLINK("http://141.218.60.56/~jnz1568/getInfo.php?workbook=08_02.xlsx&amp;sheet=A0&amp;row=171&amp;col=11&amp;number=&amp;sourceID=30","")</f>
        <v/>
      </c>
      <c r="L171" s="4" t="str">
        <f>HYPERLINK("http://141.218.60.56/~jnz1568/getInfo.php?workbook=08_02.xlsx&amp;sheet=A0&amp;row=171&amp;col=12&amp;number=111&amp;sourceID=30","111")</f>
        <v>111</v>
      </c>
      <c r="M171" s="4" t="str">
        <f>HYPERLINK("http://141.218.60.56/~jnz1568/getInfo.php?workbook=08_02.xlsx&amp;sheet=A0&amp;row=171&amp;col=13&amp;number=0.05789&amp;sourceID=30","0.05789")</f>
        <v>0.05789</v>
      </c>
      <c r="N171" s="4" t="str">
        <f>HYPERLINK("http://141.218.60.56/~jnz1568/getInfo.php?workbook=08_02.xlsx&amp;sheet=A0&amp;row=171&amp;col=14&amp;number=&amp;sourceID=30","")</f>
        <v/>
      </c>
      <c r="O171" s="4" t="str">
        <f>HYPERLINK("http://141.218.60.56/~jnz1568/getInfo.php?workbook=08_02.xlsx&amp;sheet=A0&amp;row=171&amp;col=15&amp;number=&amp;sourceID=32","")</f>
        <v/>
      </c>
      <c r="P171" s="4" t="str">
        <f>HYPERLINK("http://141.218.60.56/~jnz1568/getInfo.php?workbook=08_02.xlsx&amp;sheet=A0&amp;row=171&amp;col=16&amp;number=118.6&amp;sourceID=32","118.6")</f>
        <v>118.6</v>
      </c>
      <c r="Q171" s="4" t="str">
        <f>HYPERLINK("http://141.218.60.56/~jnz1568/getInfo.php?workbook=08_02.xlsx&amp;sheet=A0&amp;row=171&amp;col=17&amp;number=0.05719&amp;sourceID=32","0.05719")</f>
        <v>0.05719</v>
      </c>
      <c r="R171" s="4" t="str">
        <f>HYPERLINK("http://141.218.60.56/~jnz1568/getInfo.php?workbook=08_02.xlsx&amp;sheet=A0&amp;row=171&amp;col=18&amp;number=&amp;sourceID=32","")</f>
        <v/>
      </c>
      <c r="S171" s="4" t="str">
        <f>HYPERLINK("http://141.218.60.56/~jnz1568/getInfo.php?workbook=08_02.xlsx&amp;sheet=A0&amp;row=171&amp;col=19&amp;number=&amp;sourceID=1","")</f>
        <v/>
      </c>
      <c r="T171" s="4" t="str">
        <f>HYPERLINK("http://141.218.60.56/~jnz1568/getInfo.php?workbook=08_02.xlsx&amp;sheet=A0&amp;row=171&amp;col=20&amp;number=&amp;sourceID=1","")</f>
        <v/>
      </c>
    </row>
    <row r="172" spans="1:20">
      <c r="A172" s="3">
        <v>8</v>
      </c>
      <c r="B172" s="3">
        <v>2</v>
      </c>
      <c r="C172" s="3">
        <v>20</v>
      </c>
      <c r="D172" s="3">
        <v>18</v>
      </c>
      <c r="E172" s="3">
        <f>((1/(INDEX(E0!J$4:J$52,C172,1)-INDEX(E0!J$4:J$52,D172,1))))*100000000</f>
        <v>0</v>
      </c>
      <c r="F172" s="4" t="str">
        <f>HYPERLINK("http://141.218.60.56/~jnz1568/getInfo.php?workbook=08_02.xlsx&amp;sheet=A0&amp;row=172&amp;col=6&amp;number=&amp;sourceID=27","")</f>
        <v/>
      </c>
      <c r="G172" s="4" t="str">
        <f>HYPERLINK("http://141.218.60.56/~jnz1568/getInfo.php?workbook=08_02.xlsx&amp;sheet=A0&amp;row=172&amp;col=7&amp;number=&amp;sourceID=34","")</f>
        <v/>
      </c>
      <c r="H172" s="4" t="str">
        <f>HYPERLINK("http://141.218.60.56/~jnz1568/getInfo.php?workbook=08_02.xlsx&amp;sheet=A0&amp;row=172&amp;col=8&amp;number=&amp;sourceID=34","")</f>
        <v/>
      </c>
      <c r="I172" s="4" t="str">
        <f>HYPERLINK("http://141.218.60.56/~jnz1568/getInfo.php?workbook=08_02.xlsx&amp;sheet=A0&amp;row=172&amp;col=9&amp;number=&amp;sourceID=34","")</f>
        <v/>
      </c>
      <c r="J172" s="4" t="str">
        <f>HYPERLINK("http://141.218.60.56/~jnz1568/getInfo.php?workbook=08_02.xlsx&amp;sheet=A0&amp;row=172&amp;col=10&amp;number=&amp;sourceID=34","")</f>
        <v/>
      </c>
      <c r="K172" s="4" t="str">
        <f>HYPERLINK("http://141.218.60.56/~jnz1568/getInfo.php?workbook=08_02.xlsx&amp;sheet=A0&amp;row=172&amp;col=11&amp;number=2342000&amp;sourceID=30","2342000")</f>
        <v>2342000</v>
      </c>
      <c r="L172" s="4" t="str">
        <f>HYPERLINK("http://141.218.60.56/~jnz1568/getInfo.php?workbook=08_02.xlsx&amp;sheet=A0&amp;row=172&amp;col=12&amp;number=&amp;sourceID=30","")</f>
        <v/>
      </c>
      <c r="M172" s="4" t="str">
        <f>HYPERLINK("http://141.218.60.56/~jnz1568/getInfo.php?workbook=08_02.xlsx&amp;sheet=A0&amp;row=172&amp;col=13&amp;number=&amp;sourceID=30","")</f>
        <v/>
      </c>
      <c r="N172" s="4" t="str">
        <f>HYPERLINK("http://141.218.60.56/~jnz1568/getInfo.php?workbook=08_02.xlsx&amp;sheet=A0&amp;row=172&amp;col=14&amp;number=3.907e-07&amp;sourceID=30","3.907e-07")</f>
        <v>3.907e-07</v>
      </c>
      <c r="O172" s="4" t="str">
        <f>HYPERLINK("http://141.218.60.56/~jnz1568/getInfo.php?workbook=08_02.xlsx&amp;sheet=A0&amp;row=172&amp;col=15&amp;number=2279000&amp;sourceID=32","2279000")</f>
        <v>2279000</v>
      </c>
      <c r="P172" s="4" t="str">
        <f>HYPERLINK("http://141.218.60.56/~jnz1568/getInfo.php?workbook=08_02.xlsx&amp;sheet=A0&amp;row=172&amp;col=16&amp;number=&amp;sourceID=32","")</f>
        <v/>
      </c>
      <c r="Q172" s="4" t="str">
        <f>HYPERLINK("http://141.218.60.56/~jnz1568/getInfo.php?workbook=08_02.xlsx&amp;sheet=A0&amp;row=172&amp;col=17&amp;number=&amp;sourceID=32","")</f>
        <v/>
      </c>
      <c r="R172" s="4" t="str">
        <f>HYPERLINK("http://141.218.60.56/~jnz1568/getInfo.php?workbook=08_02.xlsx&amp;sheet=A0&amp;row=172&amp;col=18&amp;number=3.744e-07&amp;sourceID=32","3.744e-07")</f>
        <v>3.744e-07</v>
      </c>
      <c r="S172" s="4" t="str">
        <f>HYPERLINK("http://141.218.60.56/~jnz1568/getInfo.php?workbook=08_02.xlsx&amp;sheet=A0&amp;row=172&amp;col=19&amp;number=&amp;sourceID=1","")</f>
        <v/>
      </c>
      <c r="T172" s="4" t="str">
        <f>HYPERLINK("http://141.218.60.56/~jnz1568/getInfo.php?workbook=08_02.xlsx&amp;sheet=A0&amp;row=172&amp;col=20&amp;number=&amp;sourceID=1","")</f>
        <v/>
      </c>
    </row>
    <row r="173" spans="1:20">
      <c r="A173" s="3">
        <v>8</v>
      </c>
      <c r="B173" s="3">
        <v>2</v>
      </c>
      <c r="C173" s="3">
        <v>20</v>
      </c>
      <c r="D173" s="3">
        <v>19</v>
      </c>
      <c r="E173" s="3">
        <f>((1/(INDEX(E0!J$4:J$52,C173,1)-INDEX(E0!J$4:J$52,D173,1))))*100000000</f>
        <v>0</v>
      </c>
      <c r="F173" s="4" t="str">
        <f>HYPERLINK("http://141.218.60.56/~jnz1568/getInfo.php?workbook=08_02.xlsx&amp;sheet=A0&amp;row=173&amp;col=6&amp;number=&amp;sourceID=27","")</f>
        <v/>
      </c>
      <c r="G173" s="4" t="str">
        <f>HYPERLINK("http://141.218.60.56/~jnz1568/getInfo.php?workbook=08_02.xlsx&amp;sheet=A0&amp;row=173&amp;col=7&amp;number=&amp;sourceID=34","")</f>
        <v/>
      </c>
      <c r="H173" s="4" t="str">
        <f>HYPERLINK("http://141.218.60.56/~jnz1568/getInfo.php?workbook=08_02.xlsx&amp;sheet=A0&amp;row=173&amp;col=8&amp;number=&amp;sourceID=34","")</f>
        <v/>
      </c>
      <c r="I173" s="4" t="str">
        <f>HYPERLINK("http://141.218.60.56/~jnz1568/getInfo.php?workbook=08_02.xlsx&amp;sheet=A0&amp;row=173&amp;col=9&amp;number=&amp;sourceID=34","")</f>
        <v/>
      </c>
      <c r="J173" s="4" t="str">
        <f>HYPERLINK("http://141.218.60.56/~jnz1568/getInfo.php?workbook=08_02.xlsx&amp;sheet=A0&amp;row=173&amp;col=10&amp;number=&amp;sourceID=34","")</f>
        <v/>
      </c>
      <c r="K173" s="4" t="str">
        <f>HYPERLINK("http://141.218.60.56/~jnz1568/getInfo.php?workbook=08_02.xlsx&amp;sheet=A0&amp;row=173&amp;col=11&amp;number=&amp;sourceID=30","")</f>
        <v/>
      </c>
      <c r="L173" s="4" t="str">
        <f>HYPERLINK("http://141.218.60.56/~jnz1568/getInfo.php?workbook=08_02.xlsx&amp;sheet=A0&amp;row=173&amp;col=12&amp;number=&amp;sourceID=30","")</f>
        <v/>
      </c>
      <c r="M173" s="4" t="str">
        <f>HYPERLINK("http://141.218.60.56/~jnz1568/getInfo.php?workbook=08_02.xlsx&amp;sheet=A0&amp;row=173&amp;col=13&amp;number=2.204e-08&amp;sourceID=30","2.204e-08")</f>
        <v>2.204e-08</v>
      </c>
      <c r="N173" s="4" t="str">
        <f>HYPERLINK("http://141.218.60.56/~jnz1568/getInfo.php?workbook=08_02.xlsx&amp;sheet=A0&amp;row=173&amp;col=14&amp;number=&amp;sourceID=30","")</f>
        <v/>
      </c>
      <c r="O173" s="4" t="str">
        <f>HYPERLINK("http://141.218.60.56/~jnz1568/getInfo.php?workbook=08_02.xlsx&amp;sheet=A0&amp;row=173&amp;col=15&amp;number=&amp;sourceID=32","")</f>
        <v/>
      </c>
      <c r="P173" s="4" t="str">
        <f>HYPERLINK("http://141.218.60.56/~jnz1568/getInfo.php?workbook=08_02.xlsx&amp;sheet=A0&amp;row=173&amp;col=16&amp;number=&amp;sourceID=32","")</f>
        <v/>
      </c>
      <c r="Q173" s="4" t="str">
        <f>HYPERLINK("http://141.218.60.56/~jnz1568/getInfo.php?workbook=08_02.xlsx&amp;sheet=A0&amp;row=173&amp;col=17&amp;number=&amp;sourceID=32","")</f>
        <v/>
      </c>
      <c r="R173" s="4" t="str">
        <f>HYPERLINK("http://141.218.60.56/~jnz1568/getInfo.php?workbook=08_02.xlsx&amp;sheet=A0&amp;row=173&amp;col=18&amp;number=&amp;sourceID=32","")</f>
        <v/>
      </c>
      <c r="S173" s="4" t="str">
        <f>HYPERLINK("http://141.218.60.56/~jnz1568/getInfo.php?workbook=08_02.xlsx&amp;sheet=A0&amp;row=173&amp;col=19&amp;number=&amp;sourceID=1","")</f>
        <v/>
      </c>
      <c r="T173" s="4" t="str">
        <f>HYPERLINK("http://141.218.60.56/~jnz1568/getInfo.php?workbook=08_02.xlsx&amp;sheet=A0&amp;row=173&amp;col=20&amp;number=&amp;sourceID=1","")</f>
        <v/>
      </c>
    </row>
    <row r="174" spans="1:20">
      <c r="A174" s="3">
        <v>8</v>
      </c>
      <c r="B174" s="3">
        <v>2</v>
      </c>
      <c r="C174" s="3">
        <v>21</v>
      </c>
      <c r="D174" s="3">
        <v>1</v>
      </c>
      <c r="E174" s="3">
        <f>((1/(INDEX(E0!J$4:J$52,C174,1)-INDEX(E0!J$4:J$52,D174,1))))*100000000</f>
        <v>0</v>
      </c>
      <c r="F174" s="4" t="str">
        <f>HYPERLINK("http://141.218.60.56/~jnz1568/getInfo.php?workbook=08_02.xlsx&amp;sheet=A0&amp;row=174&amp;col=6&amp;number=&amp;sourceID=27","")</f>
        <v/>
      </c>
      <c r="G174" s="4" t="str">
        <f>HYPERLINK("http://141.218.60.56/~jnz1568/getInfo.php?workbook=08_02.xlsx&amp;sheet=A0&amp;row=174&amp;col=7&amp;number=&amp;sourceID=34","")</f>
        <v/>
      </c>
      <c r="H174" s="4" t="str">
        <f>HYPERLINK("http://141.218.60.56/~jnz1568/getInfo.php?workbook=08_02.xlsx&amp;sheet=A0&amp;row=174&amp;col=8&amp;number=&amp;sourceID=34","")</f>
        <v/>
      </c>
      <c r="I174" s="4" t="str">
        <f>HYPERLINK("http://141.218.60.56/~jnz1568/getInfo.php?workbook=08_02.xlsx&amp;sheet=A0&amp;row=174&amp;col=9&amp;number=&amp;sourceID=34","")</f>
        <v/>
      </c>
      <c r="J174" s="4" t="str">
        <f>HYPERLINK("http://141.218.60.56/~jnz1568/getInfo.php?workbook=08_02.xlsx&amp;sheet=A0&amp;row=174&amp;col=10&amp;number=&amp;sourceID=34","")</f>
        <v/>
      </c>
      <c r="K174" s="4" t="str">
        <f>HYPERLINK("http://141.218.60.56/~jnz1568/getInfo.php?workbook=08_02.xlsx&amp;sheet=A0&amp;row=174&amp;col=11&amp;number=&amp;sourceID=30","")</f>
        <v/>
      </c>
      <c r="L174" s="4" t="str">
        <f>HYPERLINK("http://141.218.60.56/~jnz1568/getInfo.php?workbook=08_02.xlsx&amp;sheet=A0&amp;row=174&amp;col=12&amp;number=&amp;sourceID=30","")</f>
        <v/>
      </c>
      <c r="M174" s="4" t="str">
        <f>HYPERLINK("http://141.218.60.56/~jnz1568/getInfo.php?workbook=08_02.xlsx&amp;sheet=A0&amp;row=174&amp;col=13&amp;number=&amp;sourceID=30","")</f>
        <v/>
      </c>
      <c r="N174" s="4" t="str">
        <f>HYPERLINK("http://141.218.60.56/~jnz1568/getInfo.php?workbook=08_02.xlsx&amp;sheet=A0&amp;row=174&amp;col=14&amp;number=65410&amp;sourceID=30","65410")</f>
        <v>65410</v>
      </c>
      <c r="O174" s="4" t="str">
        <f>HYPERLINK("http://141.218.60.56/~jnz1568/getInfo.php?workbook=08_02.xlsx&amp;sheet=A0&amp;row=174&amp;col=15&amp;number=&amp;sourceID=32","")</f>
        <v/>
      </c>
      <c r="P174" s="4" t="str">
        <f>HYPERLINK("http://141.218.60.56/~jnz1568/getInfo.php?workbook=08_02.xlsx&amp;sheet=A0&amp;row=174&amp;col=16&amp;number=&amp;sourceID=32","")</f>
        <v/>
      </c>
      <c r="Q174" s="4" t="str">
        <f>HYPERLINK("http://141.218.60.56/~jnz1568/getInfo.php?workbook=08_02.xlsx&amp;sheet=A0&amp;row=174&amp;col=17&amp;number=&amp;sourceID=32","")</f>
        <v/>
      </c>
      <c r="R174" s="4" t="str">
        <f>HYPERLINK("http://141.218.60.56/~jnz1568/getInfo.php?workbook=08_02.xlsx&amp;sheet=A0&amp;row=174&amp;col=18&amp;number=54110&amp;sourceID=32","54110")</f>
        <v>54110</v>
      </c>
      <c r="S174" s="4" t="str">
        <f>HYPERLINK("http://141.218.60.56/~jnz1568/getInfo.php?workbook=08_02.xlsx&amp;sheet=A0&amp;row=174&amp;col=19&amp;number=&amp;sourceID=1","")</f>
        <v/>
      </c>
      <c r="T174" s="4" t="str">
        <f>HYPERLINK("http://141.218.60.56/~jnz1568/getInfo.php?workbook=08_02.xlsx&amp;sheet=A0&amp;row=174&amp;col=20&amp;number=&amp;sourceID=1","")</f>
        <v/>
      </c>
    </row>
    <row r="175" spans="1:20">
      <c r="A175" s="3">
        <v>8</v>
      </c>
      <c r="B175" s="3">
        <v>2</v>
      </c>
      <c r="C175" s="3">
        <v>21</v>
      </c>
      <c r="D175" s="3">
        <v>2</v>
      </c>
      <c r="E175" s="3">
        <f>((1/(INDEX(E0!J$4:J$52,C175,1)-INDEX(E0!J$4:J$52,D175,1))))*100000000</f>
        <v>0</v>
      </c>
      <c r="F175" s="4" t="str">
        <f>HYPERLINK("http://141.218.60.56/~jnz1568/getInfo.php?workbook=08_02.xlsx&amp;sheet=A0&amp;row=175&amp;col=6&amp;number=&amp;sourceID=27","")</f>
        <v/>
      </c>
      <c r="G175" s="4" t="str">
        <f>HYPERLINK("http://141.218.60.56/~jnz1568/getInfo.php?workbook=08_02.xlsx&amp;sheet=A0&amp;row=175&amp;col=7&amp;number=&amp;sourceID=34","")</f>
        <v/>
      </c>
      <c r="H175" s="4" t="str">
        <f>HYPERLINK("http://141.218.60.56/~jnz1568/getInfo.php?workbook=08_02.xlsx&amp;sheet=A0&amp;row=175&amp;col=8&amp;number=&amp;sourceID=34","")</f>
        <v/>
      </c>
      <c r="I175" s="4" t="str">
        <f>HYPERLINK("http://141.218.60.56/~jnz1568/getInfo.php?workbook=08_02.xlsx&amp;sheet=A0&amp;row=175&amp;col=9&amp;number=&amp;sourceID=34","")</f>
        <v/>
      </c>
      <c r="J175" s="4" t="str">
        <f>HYPERLINK("http://141.218.60.56/~jnz1568/getInfo.php?workbook=08_02.xlsx&amp;sheet=A0&amp;row=175&amp;col=10&amp;number=&amp;sourceID=34","")</f>
        <v/>
      </c>
      <c r="K175" s="4" t="str">
        <f>HYPERLINK("http://141.218.60.56/~jnz1568/getInfo.php?workbook=08_02.xlsx&amp;sheet=A0&amp;row=175&amp;col=11&amp;number=22420000000&amp;sourceID=30","22420000000")</f>
        <v>22420000000</v>
      </c>
      <c r="L175" s="4" t="str">
        <f>HYPERLINK("http://141.218.60.56/~jnz1568/getInfo.php?workbook=08_02.xlsx&amp;sheet=A0&amp;row=175&amp;col=12&amp;number=&amp;sourceID=30","")</f>
        <v/>
      </c>
      <c r="M175" s="4" t="str">
        <f>HYPERLINK("http://141.218.60.56/~jnz1568/getInfo.php?workbook=08_02.xlsx&amp;sheet=A0&amp;row=175&amp;col=13&amp;number=&amp;sourceID=30","")</f>
        <v/>
      </c>
      <c r="N175" s="4" t="str">
        <f>HYPERLINK("http://141.218.60.56/~jnz1568/getInfo.php?workbook=08_02.xlsx&amp;sheet=A0&amp;row=175&amp;col=14&amp;number=178.8&amp;sourceID=30","178.8")</f>
        <v>178.8</v>
      </c>
      <c r="O175" s="4" t="str">
        <f>HYPERLINK("http://141.218.60.56/~jnz1568/getInfo.php?workbook=08_02.xlsx&amp;sheet=A0&amp;row=175&amp;col=15&amp;number=23790000000&amp;sourceID=32","23790000000")</f>
        <v>23790000000</v>
      </c>
      <c r="P175" s="4" t="str">
        <f>HYPERLINK("http://141.218.60.56/~jnz1568/getInfo.php?workbook=08_02.xlsx&amp;sheet=A0&amp;row=175&amp;col=16&amp;number=&amp;sourceID=32","")</f>
        <v/>
      </c>
      <c r="Q175" s="4" t="str">
        <f>HYPERLINK("http://141.218.60.56/~jnz1568/getInfo.php?workbook=08_02.xlsx&amp;sheet=A0&amp;row=175&amp;col=17&amp;number=&amp;sourceID=32","")</f>
        <v/>
      </c>
      <c r="R175" s="4" t="str">
        <f>HYPERLINK("http://141.218.60.56/~jnz1568/getInfo.php?workbook=08_02.xlsx&amp;sheet=A0&amp;row=175&amp;col=18&amp;number=189.9&amp;sourceID=32","189.9")</f>
        <v>189.9</v>
      </c>
      <c r="S175" s="4" t="str">
        <f>HYPERLINK("http://141.218.60.56/~jnz1568/getInfo.php?workbook=08_02.xlsx&amp;sheet=A0&amp;row=175&amp;col=19&amp;number=&amp;sourceID=1","")</f>
        <v/>
      </c>
      <c r="T175" s="4" t="str">
        <f>HYPERLINK("http://141.218.60.56/~jnz1568/getInfo.php?workbook=08_02.xlsx&amp;sheet=A0&amp;row=175&amp;col=20&amp;number=&amp;sourceID=1","")</f>
        <v/>
      </c>
    </row>
    <row r="176" spans="1:20">
      <c r="A176" s="3">
        <v>8</v>
      </c>
      <c r="B176" s="3">
        <v>2</v>
      </c>
      <c r="C176" s="3">
        <v>21</v>
      </c>
      <c r="D176" s="3">
        <v>3</v>
      </c>
      <c r="E176" s="3">
        <f>((1/(INDEX(E0!J$4:J$52,C176,1)-INDEX(E0!J$4:J$52,D176,1))))*100000000</f>
        <v>0</v>
      </c>
      <c r="F176" s="4" t="str">
        <f>HYPERLINK("http://141.218.60.56/~jnz1568/getInfo.php?workbook=08_02.xlsx&amp;sheet=A0&amp;row=176&amp;col=6&amp;number=&amp;sourceID=27","")</f>
        <v/>
      </c>
      <c r="G176" s="4" t="str">
        <f>HYPERLINK("http://141.218.60.56/~jnz1568/getInfo.php?workbook=08_02.xlsx&amp;sheet=A0&amp;row=176&amp;col=7&amp;number=&amp;sourceID=34","")</f>
        <v/>
      </c>
      <c r="H176" s="4" t="str">
        <f>HYPERLINK("http://141.218.60.56/~jnz1568/getInfo.php?workbook=08_02.xlsx&amp;sheet=A0&amp;row=176&amp;col=8&amp;number=&amp;sourceID=34","")</f>
        <v/>
      </c>
      <c r="I176" s="4" t="str">
        <f>HYPERLINK("http://141.218.60.56/~jnz1568/getInfo.php?workbook=08_02.xlsx&amp;sheet=A0&amp;row=176&amp;col=9&amp;number=&amp;sourceID=34","")</f>
        <v/>
      </c>
      <c r="J176" s="4" t="str">
        <f>HYPERLINK("http://141.218.60.56/~jnz1568/getInfo.php?workbook=08_02.xlsx&amp;sheet=A0&amp;row=176&amp;col=10&amp;number=&amp;sourceID=34","")</f>
        <v/>
      </c>
      <c r="K176" s="4" t="str">
        <f>HYPERLINK("http://141.218.60.56/~jnz1568/getInfo.php?workbook=08_02.xlsx&amp;sheet=A0&amp;row=176&amp;col=11&amp;number=&amp;sourceID=30","")</f>
        <v/>
      </c>
      <c r="L176" s="4" t="str">
        <f>HYPERLINK("http://141.218.60.56/~jnz1568/getInfo.php?workbook=08_02.xlsx&amp;sheet=A0&amp;row=176&amp;col=12&amp;number=225300&amp;sourceID=30","225300")</f>
        <v>225300</v>
      </c>
      <c r="M176" s="4" t="str">
        <f>HYPERLINK("http://141.218.60.56/~jnz1568/getInfo.php?workbook=08_02.xlsx&amp;sheet=A0&amp;row=176&amp;col=13&amp;number=&amp;sourceID=30","")</f>
        <v/>
      </c>
      <c r="N176" s="4" t="str">
        <f>HYPERLINK("http://141.218.60.56/~jnz1568/getInfo.php?workbook=08_02.xlsx&amp;sheet=A0&amp;row=176&amp;col=14&amp;number=&amp;sourceID=30","")</f>
        <v/>
      </c>
      <c r="O176" s="4" t="str">
        <f>HYPERLINK("http://141.218.60.56/~jnz1568/getInfo.php?workbook=08_02.xlsx&amp;sheet=A0&amp;row=176&amp;col=15&amp;number=&amp;sourceID=32","")</f>
        <v/>
      </c>
      <c r="P176" s="4" t="str">
        <f>HYPERLINK("http://141.218.60.56/~jnz1568/getInfo.php?workbook=08_02.xlsx&amp;sheet=A0&amp;row=176&amp;col=16&amp;number=256100&amp;sourceID=32","256100")</f>
        <v>256100</v>
      </c>
      <c r="Q176" s="4" t="str">
        <f>HYPERLINK("http://141.218.60.56/~jnz1568/getInfo.php?workbook=08_02.xlsx&amp;sheet=A0&amp;row=176&amp;col=17&amp;number=&amp;sourceID=32","")</f>
        <v/>
      </c>
      <c r="R176" s="4" t="str">
        <f>HYPERLINK("http://141.218.60.56/~jnz1568/getInfo.php?workbook=08_02.xlsx&amp;sheet=A0&amp;row=176&amp;col=18&amp;number=&amp;sourceID=32","")</f>
        <v/>
      </c>
      <c r="S176" s="4" t="str">
        <f>HYPERLINK("http://141.218.60.56/~jnz1568/getInfo.php?workbook=08_02.xlsx&amp;sheet=A0&amp;row=176&amp;col=19&amp;number=&amp;sourceID=1","")</f>
        <v/>
      </c>
      <c r="T176" s="4" t="str">
        <f>HYPERLINK("http://141.218.60.56/~jnz1568/getInfo.php?workbook=08_02.xlsx&amp;sheet=A0&amp;row=176&amp;col=20&amp;number=&amp;sourceID=1","")</f>
        <v/>
      </c>
    </row>
    <row r="177" spans="1:20">
      <c r="A177" s="3">
        <v>8</v>
      </c>
      <c r="B177" s="3">
        <v>2</v>
      </c>
      <c r="C177" s="3">
        <v>21</v>
      </c>
      <c r="D177" s="3">
        <v>4</v>
      </c>
      <c r="E177" s="3">
        <f>((1/(INDEX(E0!J$4:J$52,C177,1)-INDEX(E0!J$4:J$52,D177,1))))*100000000</f>
        <v>0</v>
      </c>
      <c r="F177" s="4" t="str">
        <f>HYPERLINK("http://141.218.60.56/~jnz1568/getInfo.php?workbook=08_02.xlsx&amp;sheet=A0&amp;row=177&amp;col=6&amp;number=&amp;sourceID=27","")</f>
        <v/>
      </c>
      <c r="G177" s="4" t="str">
        <f>HYPERLINK("http://141.218.60.56/~jnz1568/getInfo.php?workbook=08_02.xlsx&amp;sheet=A0&amp;row=177&amp;col=7&amp;number=&amp;sourceID=34","")</f>
        <v/>
      </c>
      <c r="H177" s="4" t="str">
        <f>HYPERLINK("http://141.218.60.56/~jnz1568/getInfo.php?workbook=08_02.xlsx&amp;sheet=A0&amp;row=177&amp;col=8&amp;number=&amp;sourceID=34","")</f>
        <v/>
      </c>
      <c r="I177" s="4" t="str">
        <f>HYPERLINK("http://141.218.60.56/~jnz1568/getInfo.php?workbook=08_02.xlsx&amp;sheet=A0&amp;row=177&amp;col=9&amp;number=&amp;sourceID=34","")</f>
        <v/>
      </c>
      <c r="J177" s="4" t="str">
        <f>HYPERLINK("http://141.218.60.56/~jnz1568/getInfo.php?workbook=08_02.xlsx&amp;sheet=A0&amp;row=177&amp;col=10&amp;number=&amp;sourceID=34","")</f>
        <v/>
      </c>
      <c r="K177" s="4" t="str">
        <f>HYPERLINK("http://141.218.60.56/~jnz1568/getInfo.php?workbook=08_02.xlsx&amp;sheet=A0&amp;row=177&amp;col=11&amp;number=&amp;sourceID=30","")</f>
        <v/>
      </c>
      <c r="L177" s="4" t="str">
        <f>HYPERLINK("http://141.218.60.56/~jnz1568/getInfo.php?workbook=08_02.xlsx&amp;sheet=A0&amp;row=177&amp;col=12&amp;number=505700&amp;sourceID=30","505700")</f>
        <v>505700</v>
      </c>
      <c r="M177" s="4" t="str">
        <f>HYPERLINK("http://141.218.60.56/~jnz1568/getInfo.php?workbook=08_02.xlsx&amp;sheet=A0&amp;row=177&amp;col=13&amp;number=0.4737&amp;sourceID=30","0.4737")</f>
        <v>0.4737</v>
      </c>
      <c r="N177" s="4" t="str">
        <f>HYPERLINK("http://141.218.60.56/~jnz1568/getInfo.php?workbook=08_02.xlsx&amp;sheet=A0&amp;row=177&amp;col=14&amp;number=&amp;sourceID=30","")</f>
        <v/>
      </c>
      <c r="O177" s="4" t="str">
        <f>HYPERLINK("http://141.218.60.56/~jnz1568/getInfo.php?workbook=08_02.xlsx&amp;sheet=A0&amp;row=177&amp;col=15&amp;number=&amp;sourceID=32","")</f>
        <v/>
      </c>
      <c r="P177" s="4" t="str">
        <f>HYPERLINK("http://141.218.60.56/~jnz1568/getInfo.php?workbook=08_02.xlsx&amp;sheet=A0&amp;row=177&amp;col=16&amp;number=576400&amp;sourceID=32","576400")</f>
        <v>576400</v>
      </c>
      <c r="Q177" s="4" t="str">
        <f>HYPERLINK("http://141.218.60.56/~jnz1568/getInfo.php?workbook=08_02.xlsx&amp;sheet=A0&amp;row=177&amp;col=17&amp;number=0.5124&amp;sourceID=32","0.5124")</f>
        <v>0.5124</v>
      </c>
      <c r="R177" s="4" t="str">
        <f>HYPERLINK("http://141.218.60.56/~jnz1568/getInfo.php?workbook=08_02.xlsx&amp;sheet=A0&amp;row=177&amp;col=18&amp;number=&amp;sourceID=32","")</f>
        <v/>
      </c>
      <c r="S177" s="4" t="str">
        <f>HYPERLINK("http://141.218.60.56/~jnz1568/getInfo.php?workbook=08_02.xlsx&amp;sheet=A0&amp;row=177&amp;col=19&amp;number=&amp;sourceID=1","")</f>
        <v/>
      </c>
      <c r="T177" s="4" t="str">
        <f>HYPERLINK("http://141.218.60.56/~jnz1568/getInfo.php?workbook=08_02.xlsx&amp;sheet=A0&amp;row=177&amp;col=20&amp;number=&amp;sourceID=1","")</f>
        <v/>
      </c>
    </row>
    <row r="178" spans="1:20">
      <c r="A178" s="3">
        <v>8</v>
      </c>
      <c r="B178" s="3">
        <v>2</v>
      </c>
      <c r="C178" s="3">
        <v>21</v>
      </c>
      <c r="D178" s="3">
        <v>5</v>
      </c>
      <c r="E178" s="3">
        <f>((1/(INDEX(E0!J$4:J$52,C178,1)-INDEX(E0!J$4:J$52,D178,1))))*100000000</f>
        <v>0</v>
      </c>
      <c r="F178" s="4" t="str">
        <f>HYPERLINK("http://141.218.60.56/~jnz1568/getInfo.php?workbook=08_02.xlsx&amp;sheet=A0&amp;row=178&amp;col=6&amp;number=&amp;sourceID=27","")</f>
        <v/>
      </c>
      <c r="G178" s="4" t="str">
        <f>HYPERLINK("http://141.218.60.56/~jnz1568/getInfo.php?workbook=08_02.xlsx&amp;sheet=A0&amp;row=178&amp;col=7&amp;number=&amp;sourceID=34","")</f>
        <v/>
      </c>
      <c r="H178" s="4" t="str">
        <f>HYPERLINK("http://141.218.60.56/~jnz1568/getInfo.php?workbook=08_02.xlsx&amp;sheet=A0&amp;row=178&amp;col=8&amp;number=&amp;sourceID=34","")</f>
        <v/>
      </c>
      <c r="I178" s="4" t="str">
        <f>HYPERLINK("http://141.218.60.56/~jnz1568/getInfo.php?workbook=08_02.xlsx&amp;sheet=A0&amp;row=178&amp;col=9&amp;number=&amp;sourceID=34","")</f>
        <v/>
      </c>
      <c r="J178" s="4" t="str">
        <f>HYPERLINK("http://141.218.60.56/~jnz1568/getInfo.php?workbook=08_02.xlsx&amp;sheet=A0&amp;row=178&amp;col=10&amp;number=&amp;sourceID=34","")</f>
        <v/>
      </c>
      <c r="K178" s="4" t="str">
        <f>HYPERLINK("http://141.218.60.56/~jnz1568/getInfo.php?workbook=08_02.xlsx&amp;sheet=A0&amp;row=178&amp;col=11&amp;number=&amp;sourceID=30","")</f>
        <v/>
      </c>
      <c r="L178" s="4" t="str">
        <f>HYPERLINK("http://141.218.60.56/~jnz1568/getInfo.php?workbook=08_02.xlsx&amp;sheet=A0&amp;row=178&amp;col=12&amp;number=392200&amp;sourceID=30","392200")</f>
        <v>392200</v>
      </c>
      <c r="M178" s="4" t="str">
        <f>HYPERLINK("http://141.218.60.56/~jnz1568/getInfo.php?workbook=08_02.xlsx&amp;sheet=A0&amp;row=178&amp;col=13&amp;number=0.862&amp;sourceID=30","0.862")</f>
        <v>0.862</v>
      </c>
      <c r="N178" s="4" t="str">
        <f>HYPERLINK("http://141.218.60.56/~jnz1568/getInfo.php?workbook=08_02.xlsx&amp;sheet=A0&amp;row=178&amp;col=14&amp;number=&amp;sourceID=30","")</f>
        <v/>
      </c>
      <c r="O178" s="4" t="str">
        <f>HYPERLINK("http://141.218.60.56/~jnz1568/getInfo.php?workbook=08_02.xlsx&amp;sheet=A0&amp;row=178&amp;col=15&amp;number=&amp;sourceID=32","")</f>
        <v/>
      </c>
      <c r="P178" s="4" t="str">
        <f>HYPERLINK("http://141.218.60.56/~jnz1568/getInfo.php?workbook=08_02.xlsx&amp;sheet=A0&amp;row=178&amp;col=16&amp;number=447700&amp;sourceID=32","447700")</f>
        <v>447700</v>
      </c>
      <c r="Q178" s="4" t="str">
        <f>HYPERLINK("http://141.218.60.56/~jnz1568/getInfo.php?workbook=08_02.xlsx&amp;sheet=A0&amp;row=178&amp;col=17&amp;number=0.792&amp;sourceID=32","0.792")</f>
        <v>0.792</v>
      </c>
      <c r="R178" s="4" t="str">
        <f>HYPERLINK("http://141.218.60.56/~jnz1568/getInfo.php?workbook=08_02.xlsx&amp;sheet=A0&amp;row=178&amp;col=18&amp;number=&amp;sourceID=32","")</f>
        <v/>
      </c>
      <c r="S178" s="4" t="str">
        <f>HYPERLINK("http://141.218.60.56/~jnz1568/getInfo.php?workbook=08_02.xlsx&amp;sheet=A0&amp;row=178&amp;col=19&amp;number=&amp;sourceID=1","")</f>
        <v/>
      </c>
      <c r="T178" s="4" t="str">
        <f>HYPERLINK("http://141.218.60.56/~jnz1568/getInfo.php?workbook=08_02.xlsx&amp;sheet=A0&amp;row=178&amp;col=20&amp;number=&amp;sourceID=1","")</f>
        <v/>
      </c>
    </row>
    <row r="179" spans="1:20">
      <c r="A179" s="3">
        <v>8</v>
      </c>
      <c r="B179" s="3">
        <v>2</v>
      </c>
      <c r="C179" s="3">
        <v>21</v>
      </c>
      <c r="D179" s="3">
        <v>6</v>
      </c>
      <c r="E179" s="3">
        <f>((1/(INDEX(E0!J$4:J$52,C179,1)-INDEX(E0!J$4:J$52,D179,1))))*100000000</f>
        <v>0</v>
      </c>
      <c r="F179" s="4" t="str">
        <f>HYPERLINK("http://141.218.60.56/~jnz1568/getInfo.php?workbook=08_02.xlsx&amp;sheet=A0&amp;row=179&amp;col=6&amp;number=&amp;sourceID=27","")</f>
        <v/>
      </c>
      <c r="G179" s="4" t="str">
        <f>HYPERLINK("http://141.218.60.56/~jnz1568/getInfo.php?workbook=08_02.xlsx&amp;sheet=A0&amp;row=179&amp;col=7&amp;number=&amp;sourceID=34","")</f>
        <v/>
      </c>
      <c r="H179" s="4" t="str">
        <f>HYPERLINK("http://141.218.60.56/~jnz1568/getInfo.php?workbook=08_02.xlsx&amp;sheet=A0&amp;row=179&amp;col=8&amp;number=&amp;sourceID=34","")</f>
        <v/>
      </c>
      <c r="I179" s="4" t="str">
        <f>HYPERLINK("http://141.218.60.56/~jnz1568/getInfo.php?workbook=08_02.xlsx&amp;sheet=A0&amp;row=179&amp;col=9&amp;number=&amp;sourceID=34","")</f>
        <v/>
      </c>
      <c r="J179" s="4" t="str">
        <f>HYPERLINK("http://141.218.60.56/~jnz1568/getInfo.php?workbook=08_02.xlsx&amp;sheet=A0&amp;row=179&amp;col=10&amp;number=&amp;sourceID=34","")</f>
        <v/>
      </c>
      <c r="K179" s="4" t="str">
        <f>HYPERLINK("http://141.218.60.56/~jnz1568/getInfo.php?workbook=08_02.xlsx&amp;sheet=A0&amp;row=179&amp;col=11&amp;number=&amp;sourceID=30","")</f>
        <v/>
      </c>
      <c r="L179" s="4" t="str">
        <f>HYPERLINK("http://141.218.60.56/~jnz1568/getInfo.php?workbook=08_02.xlsx&amp;sheet=A0&amp;row=179&amp;col=12&amp;number=&amp;sourceID=30","")</f>
        <v/>
      </c>
      <c r="M179" s="4" t="str">
        <f>HYPERLINK("http://141.218.60.56/~jnz1568/getInfo.php?workbook=08_02.xlsx&amp;sheet=A0&amp;row=179&amp;col=13&amp;number=&amp;sourceID=30","")</f>
        <v/>
      </c>
      <c r="N179" s="4" t="str">
        <f>HYPERLINK("http://141.218.60.56/~jnz1568/getInfo.php?workbook=08_02.xlsx&amp;sheet=A0&amp;row=179&amp;col=14&amp;number=123.4&amp;sourceID=30","123.4")</f>
        <v>123.4</v>
      </c>
      <c r="O179" s="4" t="str">
        <f>HYPERLINK("http://141.218.60.56/~jnz1568/getInfo.php?workbook=08_02.xlsx&amp;sheet=A0&amp;row=179&amp;col=15&amp;number=&amp;sourceID=32","")</f>
        <v/>
      </c>
      <c r="P179" s="4" t="str">
        <f>HYPERLINK("http://141.218.60.56/~jnz1568/getInfo.php?workbook=08_02.xlsx&amp;sheet=A0&amp;row=179&amp;col=16&amp;number=&amp;sourceID=32","")</f>
        <v/>
      </c>
      <c r="Q179" s="4" t="str">
        <f>HYPERLINK("http://141.218.60.56/~jnz1568/getInfo.php?workbook=08_02.xlsx&amp;sheet=A0&amp;row=179&amp;col=17&amp;number=&amp;sourceID=32","")</f>
        <v/>
      </c>
      <c r="R179" s="4" t="str">
        <f>HYPERLINK("http://141.218.60.56/~jnz1568/getInfo.php?workbook=08_02.xlsx&amp;sheet=A0&amp;row=179&amp;col=18&amp;number=114.5&amp;sourceID=32","114.5")</f>
        <v>114.5</v>
      </c>
      <c r="S179" s="4" t="str">
        <f>HYPERLINK("http://141.218.60.56/~jnz1568/getInfo.php?workbook=08_02.xlsx&amp;sheet=A0&amp;row=179&amp;col=19&amp;number=&amp;sourceID=1","")</f>
        <v/>
      </c>
      <c r="T179" s="4" t="str">
        <f>HYPERLINK("http://141.218.60.56/~jnz1568/getInfo.php?workbook=08_02.xlsx&amp;sheet=A0&amp;row=179&amp;col=20&amp;number=&amp;sourceID=1","")</f>
        <v/>
      </c>
    </row>
    <row r="180" spans="1:20">
      <c r="A180" s="3">
        <v>8</v>
      </c>
      <c r="B180" s="3">
        <v>2</v>
      </c>
      <c r="C180" s="3">
        <v>21</v>
      </c>
      <c r="D180" s="3">
        <v>7</v>
      </c>
      <c r="E180" s="3">
        <f>((1/(INDEX(E0!J$4:J$52,C180,1)-INDEX(E0!J$4:J$52,D180,1))))*100000000</f>
        <v>0</v>
      </c>
      <c r="F180" s="4" t="str">
        <f>HYPERLINK("http://141.218.60.56/~jnz1568/getInfo.php?workbook=08_02.xlsx&amp;sheet=A0&amp;row=180&amp;col=6&amp;number=&amp;sourceID=27","")</f>
        <v/>
      </c>
      <c r="G180" s="4" t="str">
        <f>HYPERLINK("http://141.218.60.56/~jnz1568/getInfo.php?workbook=08_02.xlsx&amp;sheet=A0&amp;row=180&amp;col=7&amp;number=&amp;sourceID=34","")</f>
        <v/>
      </c>
      <c r="H180" s="4" t="str">
        <f>HYPERLINK("http://141.218.60.56/~jnz1568/getInfo.php?workbook=08_02.xlsx&amp;sheet=A0&amp;row=180&amp;col=8&amp;number=&amp;sourceID=34","")</f>
        <v/>
      </c>
      <c r="I180" s="4" t="str">
        <f>HYPERLINK("http://141.218.60.56/~jnz1568/getInfo.php?workbook=08_02.xlsx&amp;sheet=A0&amp;row=180&amp;col=9&amp;number=&amp;sourceID=34","")</f>
        <v/>
      </c>
      <c r="J180" s="4" t="str">
        <f>HYPERLINK("http://141.218.60.56/~jnz1568/getInfo.php?workbook=08_02.xlsx&amp;sheet=A0&amp;row=180&amp;col=10&amp;number=&amp;sourceID=34","")</f>
        <v/>
      </c>
      <c r="K180" s="4" t="str">
        <f>HYPERLINK("http://141.218.60.56/~jnz1568/getInfo.php?workbook=08_02.xlsx&amp;sheet=A0&amp;row=180&amp;col=11&amp;number=&amp;sourceID=30","")</f>
        <v/>
      </c>
      <c r="L180" s="4" t="str">
        <f>HYPERLINK("http://141.218.60.56/~jnz1568/getInfo.php?workbook=08_02.xlsx&amp;sheet=A0&amp;row=180&amp;col=12&amp;number=71.73&amp;sourceID=30","71.73")</f>
        <v>71.73</v>
      </c>
      <c r="M180" s="4" t="str">
        <f>HYPERLINK("http://141.218.60.56/~jnz1568/getInfo.php?workbook=08_02.xlsx&amp;sheet=A0&amp;row=180&amp;col=13&amp;number=0.04475&amp;sourceID=30","0.04475")</f>
        <v>0.04475</v>
      </c>
      <c r="N180" s="4" t="str">
        <f>HYPERLINK("http://141.218.60.56/~jnz1568/getInfo.php?workbook=08_02.xlsx&amp;sheet=A0&amp;row=180&amp;col=14&amp;number=&amp;sourceID=30","")</f>
        <v/>
      </c>
      <c r="O180" s="4" t="str">
        <f>HYPERLINK("http://141.218.60.56/~jnz1568/getInfo.php?workbook=08_02.xlsx&amp;sheet=A0&amp;row=180&amp;col=15&amp;number=&amp;sourceID=32","")</f>
        <v/>
      </c>
      <c r="P180" s="4" t="str">
        <f>HYPERLINK("http://141.218.60.56/~jnz1568/getInfo.php?workbook=08_02.xlsx&amp;sheet=A0&amp;row=180&amp;col=16&amp;number=79.07&amp;sourceID=32","79.07")</f>
        <v>79.07</v>
      </c>
      <c r="Q180" s="4" t="str">
        <f>HYPERLINK("http://141.218.60.56/~jnz1568/getInfo.php?workbook=08_02.xlsx&amp;sheet=A0&amp;row=180&amp;col=17&amp;number=0.05007&amp;sourceID=32","0.05007")</f>
        <v>0.05007</v>
      </c>
      <c r="R180" s="4" t="str">
        <f>HYPERLINK("http://141.218.60.56/~jnz1568/getInfo.php?workbook=08_02.xlsx&amp;sheet=A0&amp;row=180&amp;col=18&amp;number=&amp;sourceID=32","")</f>
        <v/>
      </c>
      <c r="S180" s="4" t="str">
        <f>HYPERLINK("http://141.218.60.56/~jnz1568/getInfo.php?workbook=08_02.xlsx&amp;sheet=A0&amp;row=180&amp;col=19&amp;number=&amp;sourceID=1","")</f>
        <v/>
      </c>
      <c r="T180" s="4" t="str">
        <f>HYPERLINK("http://141.218.60.56/~jnz1568/getInfo.php?workbook=08_02.xlsx&amp;sheet=A0&amp;row=180&amp;col=20&amp;number=&amp;sourceID=1","")</f>
        <v/>
      </c>
    </row>
    <row r="181" spans="1:20">
      <c r="A181" s="3">
        <v>8</v>
      </c>
      <c r="B181" s="3">
        <v>2</v>
      </c>
      <c r="C181" s="3">
        <v>21</v>
      </c>
      <c r="D181" s="3">
        <v>8</v>
      </c>
      <c r="E181" s="3">
        <f>((1/(INDEX(E0!J$4:J$52,C181,1)-INDEX(E0!J$4:J$52,D181,1))))*100000000</f>
        <v>0</v>
      </c>
      <c r="F181" s="4" t="str">
        <f>HYPERLINK("http://141.218.60.56/~jnz1568/getInfo.php?workbook=08_02.xlsx&amp;sheet=A0&amp;row=181&amp;col=6&amp;number=&amp;sourceID=27","")</f>
        <v/>
      </c>
      <c r="G181" s="4" t="str">
        <f>HYPERLINK("http://141.218.60.56/~jnz1568/getInfo.php?workbook=08_02.xlsx&amp;sheet=A0&amp;row=181&amp;col=7&amp;number=&amp;sourceID=34","")</f>
        <v/>
      </c>
      <c r="H181" s="4" t="str">
        <f>HYPERLINK("http://141.218.60.56/~jnz1568/getInfo.php?workbook=08_02.xlsx&amp;sheet=A0&amp;row=181&amp;col=8&amp;number=&amp;sourceID=34","")</f>
        <v/>
      </c>
      <c r="I181" s="4" t="str">
        <f>HYPERLINK("http://141.218.60.56/~jnz1568/getInfo.php?workbook=08_02.xlsx&amp;sheet=A0&amp;row=181&amp;col=9&amp;number=&amp;sourceID=34","")</f>
        <v/>
      </c>
      <c r="J181" s="4" t="str">
        <f>HYPERLINK("http://141.218.60.56/~jnz1568/getInfo.php?workbook=08_02.xlsx&amp;sheet=A0&amp;row=181&amp;col=10&amp;number=&amp;sourceID=34","")</f>
        <v/>
      </c>
      <c r="K181" s="4" t="str">
        <f>HYPERLINK("http://141.218.60.56/~jnz1568/getInfo.php?workbook=08_02.xlsx&amp;sheet=A0&amp;row=181&amp;col=11&amp;number=6577000000&amp;sourceID=30","6577000000")</f>
        <v>6577000000</v>
      </c>
      <c r="L181" s="4" t="str">
        <f>HYPERLINK("http://141.218.60.56/~jnz1568/getInfo.php?workbook=08_02.xlsx&amp;sheet=A0&amp;row=181&amp;col=12&amp;number=&amp;sourceID=30","")</f>
        <v/>
      </c>
      <c r="M181" s="4" t="str">
        <f>HYPERLINK("http://141.218.60.56/~jnz1568/getInfo.php?workbook=08_02.xlsx&amp;sheet=A0&amp;row=181&amp;col=13&amp;number=&amp;sourceID=30","")</f>
        <v/>
      </c>
      <c r="N181" s="4" t="str">
        <f>HYPERLINK("http://141.218.60.56/~jnz1568/getInfo.php?workbook=08_02.xlsx&amp;sheet=A0&amp;row=181&amp;col=14&amp;number=3.5&amp;sourceID=30","3.5")</f>
        <v>3.5</v>
      </c>
      <c r="O181" s="4" t="str">
        <f>HYPERLINK("http://141.218.60.56/~jnz1568/getInfo.php?workbook=08_02.xlsx&amp;sheet=A0&amp;row=181&amp;col=15&amp;number=6719000000&amp;sourceID=32","6719000000")</f>
        <v>6719000000</v>
      </c>
      <c r="P181" s="4" t="str">
        <f>HYPERLINK("http://141.218.60.56/~jnz1568/getInfo.php?workbook=08_02.xlsx&amp;sheet=A0&amp;row=181&amp;col=16&amp;number=&amp;sourceID=32","")</f>
        <v/>
      </c>
      <c r="Q181" s="4" t="str">
        <f>HYPERLINK("http://141.218.60.56/~jnz1568/getInfo.php?workbook=08_02.xlsx&amp;sheet=A0&amp;row=181&amp;col=17&amp;number=&amp;sourceID=32","")</f>
        <v/>
      </c>
      <c r="R181" s="4" t="str">
        <f>HYPERLINK("http://141.218.60.56/~jnz1568/getInfo.php?workbook=08_02.xlsx&amp;sheet=A0&amp;row=181&amp;col=18&amp;number=3.578&amp;sourceID=32","3.578")</f>
        <v>3.578</v>
      </c>
      <c r="S181" s="4" t="str">
        <f>HYPERLINK("http://141.218.60.56/~jnz1568/getInfo.php?workbook=08_02.xlsx&amp;sheet=A0&amp;row=181&amp;col=19&amp;number=&amp;sourceID=1","")</f>
        <v/>
      </c>
      <c r="T181" s="4" t="str">
        <f>HYPERLINK("http://141.218.60.56/~jnz1568/getInfo.php?workbook=08_02.xlsx&amp;sheet=A0&amp;row=181&amp;col=20&amp;number=&amp;sourceID=1","")</f>
        <v/>
      </c>
    </row>
    <row r="182" spans="1:20">
      <c r="A182" s="3">
        <v>8</v>
      </c>
      <c r="B182" s="3">
        <v>2</v>
      </c>
      <c r="C182" s="3">
        <v>21</v>
      </c>
      <c r="D182" s="3">
        <v>9</v>
      </c>
      <c r="E182" s="3">
        <f>((1/(INDEX(E0!J$4:J$52,C182,1)-INDEX(E0!J$4:J$52,D182,1))))*100000000</f>
        <v>0</v>
      </c>
      <c r="F182" s="4" t="str">
        <f>HYPERLINK("http://141.218.60.56/~jnz1568/getInfo.php?workbook=08_02.xlsx&amp;sheet=A0&amp;row=182&amp;col=6&amp;number=&amp;sourceID=27","")</f>
        <v/>
      </c>
      <c r="G182" s="4" t="str">
        <f>HYPERLINK("http://141.218.60.56/~jnz1568/getInfo.php?workbook=08_02.xlsx&amp;sheet=A0&amp;row=182&amp;col=7&amp;number=&amp;sourceID=34","")</f>
        <v/>
      </c>
      <c r="H182" s="4" t="str">
        <f>HYPERLINK("http://141.218.60.56/~jnz1568/getInfo.php?workbook=08_02.xlsx&amp;sheet=A0&amp;row=182&amp;col=8&amp;number=&amp;sourceID=34","")</f>
        <v/>
      </c>
      <c r="I182" s="4" t="str">
        <f>HYPERLINK("http://141.218.60.56/~jnz1568/getInfo.php?workbook=08_02.xlsx&amp;sheet=A0&amp;row=182&amp;col=9&amp;number=&amp;sourceID=34","")</f>
        <v/>
      </c>
      <c r="J182" s="4" t="str">
        <f>HYPERLINK("http://141.218.60.56/~jnz1568/getInfo.php?workbook=08_02.xlsx&amp;sheet=A0&amp;row=182&amp;col=10&amp;number=&amp;sourceID=34","")</f>
        <v/>
      </c>
      <c r="K182" s="4" t="str">
        <f>HYPERLINK("http://141.218.60.56/~jnz1568/getInfo.php?workbook=08_02.xlsx&amp;sheet=A0&amp;row=182&amp;col=11&amp;number=&amp;sourceID=30","")</f>
        <v/>
      </c>
      <c r="L182" s="4" t="str">
        <f>HYPERLINK("http://141.218.60.56/~jnz1568/getInfo.php?workbook=08_02.xlsx&amp;sheet=A0&amp;row=182&amp;col=12&amp;number=61900&amp;sourceID=30","61900")</f>
        <v>61900</v>
      </c>
      <c r="M182" s="4" t="str">
        <f>HYPERLINK("http://141.218.60.56/~jnz1568/getInfo.php?workbook=08_02.xlsx&amp;sheet=A0&amp;row=182&amp;col=13&amp;number=&amp;sourceID=30","")</f>
        <v/>
      </c>
      <c r="N182" s="4" t="str">
        <f>HYPERLINK("http://141.218.60.56/~jnz1568/getInfo.php?workbook=08_02.xlsx&amp;sheet=A0&amp;row=182&amp;col=14&amp;number=&amp;sourceID=30","")</f>
        <v/>
      </c>
      <c r="O182" s="4" t="str">
        <f>HYPERLINK("http://141.218.60.56/~jnz1568/getInfo.php?workbook=08_02.xlsx&amp;sheet=A0&amp;row=182&amp;col=15&amp;number=&amp;sourceID=32","")</f>
        <v/>
      </c>
      <c r="P182" s="4" t="str">
        <f>HYPERLINK("http://141.218.60.56/~jnz1568/getInfo.php?workbook=08_02.xlsx&amp;sheet=A0&amp;row=182&amp;col=16&amp;number=62800&amp;sourceID=32","62800")</f>
        <v>62800</v>
      </c>
      <c r="Q182" s="4" t="str">
        <f>HYPERLINK("http://141.218.60.56/~jnz1568/getInfo.php?workbook=08_02.xlsx&amp;sheet=A0&amp;row=182&amp;col=17&amp;number=&amp;sourceID=32","")</f>
        <v/>
      </c>
      <c r="R182" s="4" t="str">
        <f>HYPERLINK("http://141.218.60.56/~jnz1568/getInfo.php?workbook=08_02.xlsx&amp;sheet=A0&amp;row=182&amp;col=18&amp;number=&amp;sourceID=32","")</f>
        <v/>
      </c>
      <c r="S182" s="4" t="str">
        <f>HYPERLINK("http://141.218.60.56/~jnz1568/getInfo.php?workbook=08_02.xlsx&amp;sheet=A0&amp;row=182&amp;col=19&amp;number=&amp;sourceID=1","")</f>
        <v/>
      </c>
      <c r="T182" s="4" t="str">
        <f>HYPERLINK("http://141.218.60.56/~jnz1568/getInfo.php?workbook=08_02.xlsx&amp;sheet=A0&amp;row=182&amp;col=20&amp;number=&amp;sourceID=1","")</f>
        <v/>
      </c>
    </row>
    <row r="183" spans="1:20">
      <c r="A183" s="3">
        <v>8</v>
      </c>
      <c r="B183" s="3">
        <v>2</v>
      </c>
      <c r="C183" s="3">
        <v>21</v>
      </c>
      <c r="D183" s="3">
        <v>10</v>
      </c>
      <c r="E183" s="3">
        <f>((1/(INDEX(E0!J$4:J$52,C183,1)-INDEX(E0!J$4:J$52,D183,1))))*100000000</f>
        <v>0</v>
      </c>
      <c r="F183" s="4" t="str">
        <f>HYPERLINK("http://141.218.60.56/~jnz1568/getInfo.php?workbook=08_02.xlsx&amp;sheet=A0&amp;row=183&amp;col=6&amp;number=&amp;sourceID=27","")</f>
        <v/>
      </c>
      <c r="G183" s="4" t="str">
        <f>HYPERLINK("http://141.218.60.56/~jnz1568/getInfo.php?workbook=08_02.xlsx&amp;sheet=A0&amp;row=183&amp;col=7&amp;number=&amp;sourceID=34","")</f>
        <v/>
      </c>
      <c r="H183" s="4" t="str">
        <f>HYPERLINK("http://141.218.60.56/~jnz1568/getInfo.php?workbook=08_02.xlsx&amp;sheet=A0&amp;row=183&amp;col=8&amp;number=&amp;sourceID=34","")</f>
        <v/>
      </c>
      <c r="I183" s="4" t="str">
        <f>HYPERLINK("http://141.218.60.56/~jnz1568/getInfo.php?workbook=08_02.xlsx&amp;sheet=A0&amp;row=183&amp;col=9&amp;number=&amp;sourceID=34","")</f>
        <v/>
      </c>
      <c r="J183" s="4" t="str">
        <f>HYPERLINK("http://141.218.60.56/~jnz1568/getInfo.php?workbook=08_02.xlsx&amp;sheet=A0&amp;row=183&amp;col=10&amp;number=&amp;sourceID=34","")</f>
        <v/>
      </c>
      <c r="K183" s="4" t="str">
        <f>HYPERLINK("http://141.218.60.56/~jnz1568/getInfo.php?workbook=08_02.xlsx&amp;sheet=A0&amp;row=183&amp;col=11&amp;number=&amp;sourceID=30","")</f>
        <v/>
      </c>
      <c r="L183" s="4" t="str">
        <f>HYPERLINK("http://141.218.60.56/~jnz1568/getInfo.php?workbook=08_02.xlsx&amp;sheet=A0&amp;row=183&amp;col=12&amp;number=139200&amp;sourceID=30","139200")</f>
        <v>139200</v>
      </c>
      <c r="M183" s="4" t="str">
        <f>HYPERLINK("http://141.218.60.56/~jnz1568/getInfo.php?workbook=08_02.xlsx&amp;sheet=A0&amp;row=183&amp;col=13&amp;number=0.03915&amp;sourceID=30","0.03915")</f>
        <v>0.03915</v>
      </c>
      <c r="N183" s="4" t="str">
        <f>HYPERLINK("http://141.218.60.56/~jnz1568/getInfo.php?workbook=08_02.xlsx&amp;sheet=A0&amp;row=183&amp;col=14&amp;number=&amp;sourceID=30","")</f>
        <v/>
      </c>
      <c r="O183" s="4" t="str">
        <f>HYPERLINK("http://141.218.60.56/~jnz1568/getInfo.php?workbook=08_02.xlsx&amp;sheet=A0&amp;row=183&amp;col=15&amp;number=&amp;sourceID=32","")</f>
        <v/>
      </c>
      <c r="P183" s="4" t="str">
        <f>HYPERLINK("http://141.218.60.56/~jnz1568/getInfo.php?workbook=08_02.xlsx&amp;sheet=A0&amp;row=183&amp;col=16&amp;number=141200&amp;sourceID=32","141200")</f>
        <v>141200</v>
      </c>
      <c r="Q183" s="4" t="str">
        <f>HYPERLINK("http://141.218.60.56/~jnz1568/getInfo.php?workbook=08_02.xlsx&amp;sheet=A0&amp;row=183&amp;col=17&amp;number=0.03997&amp;sourceID=32","0.03997")</f>
        <v>0.03997</v>
      </c>
      <c r="R183" s="4" t="str">
        <f>HYPERLINK("http://141.218.60.56/~jnz1568/getInfo.php?workbook=08_02.xlsx&amp;sheet=A0&amp;row=183&amp;col=18&amp;number=&amp;sourceID=32","")</f>
        <v/>
      </c>
      <c r="S183" s="4" t="str">
        <f>HYPERLINK("http://141.218.60.56/~jnz1568/getInfo.php?workbook=08_02.xlsx&amp;sheet=A0&amp;row=183&amp;col=19&amp;number=&amp;sourceID=1","")</f>
        <v/>
      </c>
      <c r="T183" s="4" t="str">
        <f>HYPERLINK("http://141.218.60.56/~jnz1568/getInfo.php?workbook=08_02.xlsx&amp;sheet=A0&amp;row=183&amp;col=20&amp;number=&amp;sourceID=1","")</f>
        <v/>
      </c>
    </row>
    <row r="184" spans="1:20">
      <c r="A184" s="3">
        <v>8</v>
      </c>
      <c r="B184" s="3">
        <v>2</v>
      </c>
      <c r="C184" s="3">
        <v>21</v>
      </c>
      <c r="D184" s="3">
        <v>11</v>
      </c>
      <c r="E184" s="3">
        <f>((1/(INDEX(E0!J$4:J$52,C184,1)-INDEX(E0!J$4:J$52,D184,1))))*100000000</f>
        <v>0</v>
      </c>
      <c r="F184" s="4" t="str">
        <f>HYPERLINK("http://141.218.60.56/~jnz1568/getInfo.php?workbook=08_02.xlsx&amp;sheet=A0&amp;row=184&amp;col=6&amp;number=&amp;sourceID=27","")</f>
        <v/>
      </c>
      <c r="G184" s="4" t="str">
        <f>HYPERLINK("http://141.218.60.56/~jnz1568/getInfo.php?workbook=08_02.xlsx&amp;sheet=A0&amp;row=184&amp;col=7&amp;number=&amp;sourceID=34","")</f>
        <v/>
      </c>
      <c r="H184" s="4" t="str">
        <f>HYPERLINK("http://141.218.60.56/~jnz1568/getInfo.php?workbook=08_02.xlsx&amp;sheet=A0&amp;row=184&amp;col=8&amp;number=&amp;sourceID=34","")</f>
        <v/>
      </c>
      <c r="I184" s="4" t="str">
        <f>HYPERLINK("http://141.218.60.56/~jnz1568/getInfo.php?workbook=08_02.xlsx&amp;sheet=A0&amp;row=184&amp;col=9&amp;number=&amp;sourceID=34","")</f>
        <v/>
      </c>
      <c r="J184" s="4" t="str">
        <f>HYPERLINK("http://141.218.60.56/~jnz1568/getInfo.php?workbook=08_02.xlsx&amp;sheet=A0&amp;row=184&amp;col=10&amp;number=&amp;sourceID=34","")</f>
        <v/>
      </c>
      <c r="K184" s="4" t="str">
        <f>HYPERLINK("http://141.218.60.56/~jnz1568/getInfo.php?workbook=08_02.xlsx&amp;sheet=A0&amp;row=184&amp;col=11&amp;number=&amp;sourceID=30","")</f>
        <v/>
      </c>
      <c r="L184" s="4" t="str">
        <f>HYPERLINK("http://141.218.60.56/~jnz1568/getInfo.php?workbook=08_02.xlsx&amp;sheet=A0&amp;row=184&amp;col=12&amp;number=108200&amp;sourceID=30","108200")</f>
        <v>108200</v>
      </c>
      <c r="M184" s="4" t="str">
        <f>HYPERLINK("http://141.218.60.56/~jnz1568/getInfo.php?workbook=08_02.xlsx&amp;sheet=A0&amp;row=184&amp;col=13&amp;number=0.0128&amp;sourceID=30","0.0128")</f>
        <v>0.0128</v>
      </c>
      <c r="N184" s="4" t="str">
        <f>HYPERLINK("http://141.218.60.56/~jnz1568/getInfo.php?workbook=08_02.xlsx&amp;sheet=A0&amp;row=184&amp;col=14&amp;number=&amp;sourceID=30","")</f>
        <v/>
      </c>
      <c r="O184" s="4" t="str">
        <f>HYPERLINK("http://141.218.60.56/~jnz1568/getInfo.php?workbook=08_02.xlsx&amp;sheet=A0&amp;row=184&amp;col=15&amp;number=&amp;sourceID=32","")</f>
        <v/>
      </c>
      <c r="P184" s="4" t="str">
        <f>HYPERLINK("http://141.218.60.56/~jnz1568/getInfo.php?workbook=08_02.xlsx&amp;sheet=A0&amp;row=184&amp;col=16&amp;number=109800&amp;sourceID=32","109800")</f>
        <v>109800</v>
      </c>
      <c r="Q184" s="4" t="str">
        <f>HYPERLINK("http://141.218.60.56/~jnz1568/getInfo.php?workbook=08_02.xlsx&amp;sheet=A0&amp;row=184&amp;col=17&amp;number=0.01236&amp;sourceID=32","0.01236")</f>
        <v>0.01236</v>
      </c>
      <c r="R184" s="4" t="str">
        <f>HYPERLINK("http://141.218.60.56/~jnz1568/getInfo.php?workbook=08_02.xlsx&amp;sheet=A0&amp;row=184&amp;col=18&amp;number=&amp;sourceID=32","")</f>
        <v/>
      </c>
      <c r="S184" s="4" t="str">
        <f>HYPERLINK("http://141.218.60.56/~jnz1568/getInfo.php?workbook=08_02.xlsx&amp;sheet=A0&amp;row=184&amp;col=19&amp;number=&amp;sourceID=1","")</f>
        <v/>
      </c>
      <c r="T184" s="4" t="str">
        <f>HYPERLINK("http://141.218.60.56/~jnz1568/getInfo.php?workbook=08_02.xlsx&amp;sheet=A0&amp;row=184&amp;col=20&amp;number=&amp;sourceID=1","")</f>
        <v/>
      </c>
    </row>
    <row r="185" spans="1:20">
      <c r="A185" s="3">
        <v>8</v>
      </c>
      <c r="B185" s="3">
        <v>2</v>
      </c>
      <c r="C185" s="3">
        <v>21</v>
      </c>
      <c r="D185" s="3">
        <v>12</v>
      </c>
      <c r="E185" s="3">
        <f>((1/(INDEX(E0!J$4:J$52,C185,1)-INDEX(E0!J$4:J$52,D185,1))))*100000000</f>
        <v>0</v>
      </c>
      <c r="F185" s="4" t="str">
        <f>HYPERLINK("http://141.218.60.56/~jnz1568/getInfo.php?workbook=08_02.xlsx&amp;sheet=A0&amp;row=185&amp;col=6&amp;number=&amp;sourceID=27","")</f>
        <v/>
      </c>
      <c r="G185" s="4" t="str">
        <f>HYPERLINK("http://141.218.60.56/~jnz1568/getInfo.php?workbook=08_02.xlsx&amp;sheet=A0&amp;row=185&amp;col=7&amp;number=&amp;sourceID=34","")</f>
        <v/>
      </c>
      <c r="H185" s="4" t="str">
        <f>HYPERLINK("http://141.218.60.56/~jnz1568/getInfo.php?workbook=08_02.xlsx&amp;sheet=A0&amp;row=185&amp;col=8&amp;number=&amp;sourceID=34","")</f>
        <v/>
      </c>
      <c r="I185" s="4" t="str">
        <f>HYPERLINK("http://141.218.60.56/~jnz1568/getInfo.php?workbook=08_02.xlsx&amp;sheet=A0&amp;row=185&amp;col=9&amp;number=&amp;sourceID=34","")</f>
        <v/>
      </c>
      <c r="J185" s="4" t="str">
        <f>HYPERLINK("http://141.218.60.56/~jnz1568/getInfo.php?workbook=08_02.xlsx&amp;sheet=A0&amp;row=185&amp;col=10&amp;number=&amp;sourceID=34","")</f>
        <v/>
      </c>
      <c r="K185" s="4" t="str">
        <f>HYPERLINK("http://141.218.60.56/~jnz1568/getInfo.php?workbook=08_02.xlsx&amp;sheet=A0&amp;row=185&amp;col=11&amp;number=&amp;sourceID=30","")</f>
        <v/>
      </c>
      <c r="L185" s="4" t="str">
        <f>HYPERLINK("http://141.218.60.56/~jnz1568/getInfo.php?workbook=08_02.xlsx&amp;sheet=A0&amp;row=185&amp;col=12&amp;number=&amp;sourceID=30","")</f>
        <v/>
      </c>
      <c r="M185" s="4" t="str">
        <f>HYPERLINK("http://141.218.60.56/~jnz1568/getInfo.php?workbook=08_02.xlsx&amp;sheet=A0&amp;row=185&amp;col=13&amp;number=&amp;sourceID=30","")</f>
        <v/>
      </c>
      <c r="N185" s="4" t="str">
        <f>HYPERLINK("http://141.218.60.56/~jnz1568/getInfo.php?workbook=08_02.xlsx&amp;sheet=A0&amp;row=185&amp;col=14&amp;number=2.44&amp;sourceID=30","2.44")</f>
        <v>2.44</v>
      </c>
      <c r="O185" s="4" t="str">
        <f>HYPERLINK("http://141.218.60.56/~jnz1568/getInfo.php?workbook=08_02.xlsx&amp;sheet=A0&amp;row=185&amp;col=15&amp;number=&amp;sourceID=32","")</f>
        <v/>
      </c>
      <c r="P185" s="4" t="str">
        <f>HYPERLINK("http://141.218.60.56/~jnz1568/getInfo.php?workbook=08_02.xlsx&amp;sheet=A0&amp;row=185&amp;col=16&amp;number=&amp;sourceID=32","")</f>
        <v/>
      </c>
      <c r="Q185" s="4" t="str">
        <f>HYPERLINK("http://141.218.60.56/~jnz1568/getInfo.php?workbook=08_02.xlsx&amp;sheet=A0&amp;row=185&amp;col=17&amp;number=&amp;sourceID=32","")</f>
        <v/>
      </c>
      <c r="R185" s="4" t="str">
        <f>HYPERLINK("http://141.218.60.56/~jnz1568/getInfo.php?workbook=08_02.xlsx&amp;sheet=A0&amp;row=185&amp;col=18&amp;number=2.4&amp;sourceID=32","2.4")</f>
        <v>2.4</v>
      </c>
      <c r="S185" s="4" t="str">
        <f>HYPERLINK("http://141.218.60.56/~jnz1568/getInfo.php?workbook=08_02.xlsx&amp;sheet=A0&amp;row=185&amp;col=19&amp;number=&amp;sourceID=1","")</f>
        <v/>
      </c>
      <c r="T185" s="4" t="str">
        <f>HYPERLINK("http://141.218.60.56/~jnz1568/getInfo.php?workbook=08_02.xlsx&amp;sheet=A0&amp;row=185&amp;col=20&amp;number=&amp;sourceID=1","")</f>
        <v/>
      </c>
    </row>
    <row r="186" spans="1:20">
      <c r="A186" s="3">
        <v>8</v>
      </c>
      <c r="B186" s="3">
        <v>2</v>
      </c>
      <c r="C186" s="3">
        <v>21</v>
      </c>
      <c r="D186" s="3">
        <v>13</v>
      </c>
      <c r="E186" s="3">
        <f>((1/(INDEX(E0!J$4:J$52,C186,1)-INDEX(E0!J$4:J$52,D186,1))))*100000000</f>
        <v>0</v>
      </c>
      <c r="F186" s="4" t="str">
        <f>HYPERLINK("http://141.218.60.56/~jnz1568/getInfo.php?workbook=08_02.xlsx&amp;sheet=A0&amp;row=186&amp;col=6&amp;number=&amp;sourceID=27","")</f>
        <v/>
      </c>
      <c r="G186" s="4" t="str">
        <f>HYPERLINK("http://141.218.60.56/~jnz1568/getInfo.php?workbook=08_02.xlsx&amp;sheet=A0&amp;row=186&amp;col=7&amp;number=10530000&amp;sourceID=34","10530000")</f>
        <v>10530000</v>
      </c>
      <c r="H186" s="4" t="str">
        <f>HYPERLINK("http://141.218.60.56/~jnz1568/getInfo.php?workbook=08_02.xlsx&amp;sheet=A0&amp;row=186&amp;col=8&amp;number=&amp;sourceID=34","")</f>
        <v/>
      </c>
      <c r="I186" s="4" t="str">
        <f>HYPERLINK("http://141.218.60.56/~jnz1568/getInfo.php?workbook=08_02.xlsx&amp;sheet=A0&amp;row=186&amp;col=9&amp;number=&amp;sourceID=34","")</f>
        <v/>
      </c>
      <c r="J186" s="4" t="str">
        <f>HYPERLINK("http://141.218.60.56/~jnz1568/getInfo.php?workbook=08_02.xlsx&amp;sheet=A0&amp;row=186&amp;col=10&amp;number=&amp;sourceID=34","")</f>
        <v/>
      </c>
      <c r="K186" s="4" t="str">
        <f>HYPERLINK("http://141.218.60.56/~jnz1568/getInfo.php?workbook=08_02.xlsx&amp;sheet=A0&amp;row=186&amp;col=11&amp;number=10310000&amp;sourceID=30","10310000")</f>
        <v>10310000</v>
      </c>
      <c r="L186" s="4" t="str">
        <f>HYPERLINK("http://141.218.60.56/~jnz1568/getInfo.php?workbook=08_02.xlsx&amp;sheet=A0&amp;row=186&amp;col=12&amp;number=&amp;sourceID=30","")</f>
        <v/>
      </c>
      <c r="M186" s="4" t="str">
        <f>HYPERLINK("http://141.218.60.56/~jnz1568/getInfo.php?workbook=08_02.xlsx&amp;sheet=A0&amp;row=186&amp;col=13&amp;number=&amp;sourceID=30","")</f>
        <v/>
      </c>
      <c r="N186" s="4" t="str">
        <f>HYPERLINK("http://141.218.60.56/~jnz1568/getInfo.php?workbook=08_02.xlsx&amp;sheet=A0&amp;row=186&amp;col=14&amp;number=4.448e-08&amp;sourceID=30","4.448e-08")</f>
        <v>4.448e-08</v>
      </c>
      <c r="O186" s="4" t="str">
        <f>HYPERLINK("http://141.218.60.56/~jnz1568/getInfo.php?workbook=08_02.xlsx&amp;sheet=A0&amp;row=186&amp;col=15&amp;number=10460000&amp;sourceID=32","10460000")</f>
        <v>10460000</v>
      </c>
      <c r="P186" s="4" t="str">
        <f>HYPERLINK("http://141.218.60.56/~jnz1568/getInfo.php?workbook=08_02.xlsx&amp;sheet=A0&amp;row=186&amp;col=16&amp;number=&amp;sourceID=32","")</f>
        <v/>
      </c>
      <c r="Q186" s="4" t="str">
        <f>HYPERLINK("http://141.218.60.56/~jnz1568/getInfo.php?workbook=08_02.xlsx&amp;sheet=A0&amp;row=186&amp;col=17&amp;number=&amp;sourceID=32","")</f>
        <v/>
      </c>
      <c r="R186" s="4" t="str">
        <f>HYPERLINK("http://141.218.60.56/~jnz1568/getInfo.php?workbook=08_02.xlsx&amp;sheet=A0&amp;row=186&amp;col=18&amp;number=7.67e-08&amp;sourceID=32","7.67e-08")</f>
        <v>7.67e-08</v>
      </c>
      <c r="S186" s="4" t="str">
        <f>HYPERLINK("http://141.218.60.56/~jnz1568/getInfo.php?workbook=08_02.xlsx&amp;sheet=A0&amp;row=186&amp;col=19&amp;number=&amp;sourceID=1","")</f>
        <v/>
      </c>
      <c r="T186" s="4" t="str">
        <f>HYPERLINK("http://141.218.60.56/~jnz1568/getInfo.php?workbook=08_02.xlsx&amp;sheet=A0&amp;row=186&amp;col=20&amp;number=&amp;sourceID=1","")</f>
        <v/>
      </c>
    </row>
    <row r="187" spans="1:20">
      <c r="A187" s="3">
        <v>8</v>
      </c>
      <c r="B187" s="3">
        <v>2</v>
      </c>
      <c r="C187" s="3">
        <v>21</v>
      </c>
      <c r="D187" s="3">
        <v>14</v>
      </c>
      <c r="E187" s="3">
        <f>((1/(INDEX(E0!J$4:J$52,C187,1)-INDEX(E0!J$4:J$52,D187,1))))*100000000</f>
        <v>0</v>
      </c>
      <c r="F187" s="4" t="str">
        <f>HYPERLINK("http://141.218.60.56/~jnz1568/getInfo.php?workbook=08_02.xlsx&amp;sheet=A0&amp;row=187&amp;col=6&amp;number=&amp;sourceID=27","")</f>
        <v/>
      </c>
      <c r="G187" s="4" t="str">
        <f>HYPERLINK("http://141.218.60.56/~jnz1568/getInfo.php?workbook=08_02.xlsx&amp;sheet=A0&amp;row=187&amp;col=7&amp;number=157800000&amp;sourceID=34","157800000")</f>
        <v>157800000</v>
      </c>
      <c r="H187" s="4" t="str">
        <f>HYPERLINK("http://141.218.60.56/~jnz1568/getInfo.php?workbook=08_02.xlsx&amp;sheet=A0&amp;row=187&amp;col=8&amp;number=&amp;sourceID=34","")</f>
        <v/>
      </c>
      <c r="I187" s="4" t="str">
        <f>HYPERLINK("http://141.218.60.56/~jnz1568/getInfo.php?workbook=08_02.xlsx&amp;sheet=A0&amp;row=187&amp;col=9&amp;number=&amp;sourceID=34","")</f>
        <v/>
      </c>
      <c r="J187" s="4" t="str">
        <f>HYPERLINK("http://141.218.60.56/~jnz1568/getInfo.php?workbook=08_02.xlsx&amp;sheet=A0&amp;row=187&amp;col=10&amp;number=&amp;sourceID=34","")</f>
        <v/>
      </c>
      <c r="K187" s="4" t="str">
        <f>HYPERLINK("http://141.218.60.56/~jnz1568/getInfo.php?workbook=08_02.xlsx&amp;sheet=A0&amp;row=187&amp;col=11&amp;number=153300000&amp;sourceID=30","153300000")</f>
        <v>153300000</v>
      </c>
      <c r="L187" s="4" t="str">
        <f>HYPERLINK("http://141.218.60.56/~jnz1568/getInfo.php?workbook=08_02.xlsx&amp;sheet=A0&amp;row=187&amp;col=12&amp;number=&amp;sourceID=30","")</f>
        <v/>
      </c>
      <c r="M187" s="4" t="str">
        <f>HYPERLINK("http://141.218.60.56/~jnz1568/getInfo.php?workbook=08_02.xlsx&amp;sheet=A0&amp;row=187&amp;col=13&amp;number=&amp;sourceID=30","")</f>
        <v/>
      </c>
      <c r="N187" s="4" t="str">
        <f>HYPERLINK("http://141.218.60.56/~jnz1568/getInfo.php?workbook=08_02.xlsx&amp;sheet=A0&amp;row=187&amp;col=14&amp;number=0.05195&amp;sourceID=30","0.05195")</f>
        <v>0.05195</v>
      </c>
      <c r="O187" s="4" t="str">
        <f>HYPERLINK("http://141.218.60.56/~jnz1568/getInfo.php?workbook=08_02.xlsx&amp;sheet=A0&amp;row=187&amp;col=15&amp;number=155100000&amp;sourceID=32","155100000")</f>
        <v>155100000</v>
      </c>
      <c r="P187" s="4" t="str">
        <f>HYPERLINK("http://141.218.60.56/~jnz1568/getInfo.php?workbook=08_02.xlsx&amp;sheet=A0&amp;row=187&amp;col=16&amp;number=&amp;sourceID=32","")</f>
        <v/>
      </c>
      <c r="Q187" s="4" t="str">
        <f>HYPERLINK("http://141.218.60.56/~jnz1568/getInfo.php?workbook=08_02.xlsx&amp;sheet=A0&amp;row=187&amp;col=17&amp;number=&amp;sourceID=32","")</f>
        <v/>
      </c>
      <c r="R187" s="4" t="str">
        <f>HYPERLINK("http://141.218.60.56/~jnz1568/getInfo.php?workbook=08_02.xlsx&amp;sheet=A0&amp;row=187&amp;col=18&amp;number=0.05056&amp;sourceID=32","0.05056")</f>
        <v>0.05056</v>
      </c>
      <c r="S187" s="4" t="str">
        <f>HYPERLINK("http://141.218.60.56/~jnz1568/getInfo.php?workbook=08_02.xlsx&amp;sheet=A0&amp;row=187&amp;col=19&amp;number=&amp;sourceID=1","")</f>
        <v/>
      </c>
      <c r="T187" s="4" t="str">
        <f>HYPERLINK("http://141.218.60.56/~jnz1568/getInfo.php?workbook=08_02.xlsx&amp;sheet=A0&amp;row=187&amp;col=20&amp;number=&amp;sourceID=1","")</f>
        <v/>
      </c>
    </row>
    <row r="188" spans="1:20">
      <c r="A188" s="3">
        <v>8</v>
      </c>
      <c r="B188" s="3">
        <v>2</v>
      </c>
      <c r="C188" s="3">
        <v>21</v>
      </c>
      <c r="D188" s="3">
        <v>15</v>
      </c>
      <c r="E188" s="3">
        <f>((1/(INDEX(E0!J$4:J$52,C188,1)-INDEX(E0!J$4:J$52,D188,1))))*100000000</f>
        <v>0</v>
      </c>
      <c r="F188" s="4" t="str">
        <f>HYPERLINK("http://141.218.60.56/~jnz1568/getInfo.php?workbook=08_02.xlsx&amp;sheet=A0&amp;row=188&amp;col=6&amp;number=&amp;sourceID=27","")</f>
        <v/>
      </c>
      <c r="G188" s="4" t="str">
        <f>HYPERLINK("http://141.218.60.56/~jnz1568/getInfo.php?workbook=08_02.xlsx&amp;sheet=A0&amp;row=188&amp;col=7&amp;number=883600000&amp;sourceID=34","883600000")</f>
        <v>883600000</v>
      </c>
      <c r="H188" s="4" t="str">
        <f>HYPERLINK("http://141.218.60.56/~jnz1568/getInfo.php?workbook=08_02.xlsx&amp;sheet=A0&amp;row=188&amp;col=8&amp;number=&amp;sourceID=34","")</f>
        <v/>
      </c>
      <c r="I188" s="4" t="str">
        <f>HYPERLINK("http://141.218.60.56/~jnz1568/getInfo.php?workbook=08_02.xlsx&amp;sheet=A0&amp;row=188&amp;col=9&amp;number=&amp;sourceID=34","")</f>
        <v/>
      </c>
      <c r="J188" s="4" t="str">
        <f>HYPERLINK("http://141.218.60.56/~jnz1568/getInfo.php?workbook=08_02.xlsx&amp;sheet=A0&amp;row=188&amp;col=10&amp;number=&amp;sourceID=34","")</f>
        <v/>
      </c>
      <c r="K188" s="4" t="str">
        <f>HYPERLINK("http://141.218.60.56/~jnz1568/getInfo.php?workbook=08_02.xlsx&amp;sheet=A0&amp;row=188&amp;col=11&amp;number=870900000&amp;sourceID=30","870900000")</f>
        <v>870900000</v>
      </c>
      <c r="L188" s="4" t="str">
        <f>HYPERLINK("http://141.218.60.56/~jnz1568/getInfo.php?workbook=08_02.xlsx&amp;sheet=A0&amp;row=188&amp;col=12&amp;number=&amp;sourceID=30","")</f>
        <v/>
      </c>
      <c r="M188" s="4" t="str">
        <f>HYPERLINK("http://141.218.60.56/~jnz1568/getInfo.php?workbook=08_02.xlsx&amp;sheet=A0&amp;row=188&amp;col=13&amp;number=&amp;sourceID=30","")</f>
        <v/>
      </c>
      <c r="N188" s="4" t="str">
        <f>HYPERLINK("http://141.218.60.56/~jnz1568/getInfo.php?workbook=08_02.xlsx&amp;sheet=A0&amp;row=188&amp;col=14&amp;number=0.7114&amp;sourceID=30","0.7114")</f>
        <v>0.7114</v>
      </c>
      <c r="O188" s="4" t="str">
        <f>HYPERLINK("http://141.218.60.56/~jnz1568/getInfo.php?workbook=08_02.xlsx&amp;sheet=A0&amp;row=188&amp;col=15&amp;number=884000000&amp;sourceID=32","884000000")</f>
        <v>884000000</v>
      </c>
      <c r="P188" s="4" t="str">
        <f>HYPERLINK("http://141.218.60.56/~jnz1568/getInfo.php?workbook=08_02.xlsx&amp;sheet=A0&amp;row=188&amp;col=16&amp;number=&amp;sourceID=32","")</f>
        <v/>
      </c>
      <c r="Q188" s="4" t="str">
        <f>HYPERLINK("http://141.218.60.56/~jnz1568/getInfo.php?workbook=08_02.xlsx&amp;sheet=A0&amp;row=188&amp;col=17&amp;number=&amp;sourceID=32","")</f>
        <v/>
      </c>
      <c r="R188" s="4" t="str">
        <f>HYPERLINK("http://141.218.60.56/~jnz1568/getInfo.php?workbook=08_02.xlsx&amp;sheet=A0&amp;row=188&amp;col=18&amp;number=0.7216&amp;sourceID=32","0.7216")</f>
        <v>0.7216</v>
      </c>
      <c r="S188" s="4" t="str">
        <f>HYPERLINK("http://141.218.60.56/~jnz1568/getInfo.php?workbook=08_02.xlsx&amp;sheet=A0&amp;row=188&amp;col=19&amp;number=&amp;sourceID=1","")</f>
        <v/>
      </c>
      <c r="T188" s="4" t="str">
        <f>HYPERLINK("http://141.218.60.56/~jnz1568/getInfo.php?workbook=08_02.xlsx&amp;sheet=A0&amp;row=188&amp;col=20&amp;number=&amp;sourceID=1","")</f>
        <v/>
      </c>
    </row>
    <row r="189" spans="1:20">
      <c r="A189" s="3">
        <v>8</v>
      </c>
      <c r="B189" s="3">
        <v>2</v>
      </c>
      <c r="C189" s="3">
        <v>21</v>
      </c>
      <c r="D189" s="3">
        <v>16</v>
      </c>
      <c r="E189" s="3">
        <f>((1/(INDEX(E0!J$4:J$52,C189,1)-INDEX(E0!J$4:J$52,D189,1))))*100000000</f>
        <v>0</v>
      </c>
      <c r="F189" s="4" t="str">
        <f>HYPERLINK("http://141.218.60.56/~jnz1568/getInfo.php?workbook=08_02.xlsx&amp;sheet=A0&amp;row=189&amp;col=6&amp;number=&amp;sourceID=27","")</f>
        <v/>
      </c>
      <c r="G189" s="4" t="str">
        <f>HYPERLINK("http://141.218.60.56/~jnz1568/getInfo.php?workbook=08_02.xlsx&amp;sheet=A0&amp;row=189&amp;col=7&amp;number=&amp;sourceID=34","")</f>
        <v/>
      </c>
      <c r="H189" s="4" t="str">
        <f>HYPERLINK("http://141.218.60.56/~jnz1568/getInfo.php?workbook=08_02.xlsx&amp;sheet=A0&amp;row=189&amp;col=8&amp;number=&amp;sourceID=34","")</f>
        <v/>
      </c>
      <c r="I189" s="4" t="str">
        <f>HYPERLINK("http://141.218.60.56/~jnz1568/getInfo.php?workbook=08_02.xlsx&amp;sheet=A0&amp;row=189&amp;col=9&amp;number=&amp;sourceID=34","")</f>
        <v/>
      </c>
      <c r="J189" s="4" t="str">
        <f>HYPERLINK("http://141.218.60.56/~jnz1568/getInfo.php?workbook=08_02.xlsx&amp;sheet=A0&amp;row=189&amp;col=10&amp;number=&amp;sourceID=34","")</f>
        <v/>
      </c>
      <c r="K189" s="4" t="str">
        <f>HYPERLINK("http://141.218.60.56/~jnz1568/getInfo.php?workbook=08_02.xlsx&amp;sheet=A0&amp;row=189&amp;col=11&amp;number=1996000&amp;sourceID=30","1996000")</f>
        <v>1996000</v>
      </c>
      <c r="L189" s="4" t="str">
        <f>HYPERLINK("http://141.218.60.56/~jnz1568/getInfo.php?workbook=08_02.xlsx&amp;sheet=A0&amp;row=189&amp;col=12&amp;number=&amp;sourceID=30","")</f>
        <v/>
      </c>
      <c r="M189" s="4" t="str">
        <f>HYPERLINK("http://141.218.60.56/~jnz1568/getInfo.php?workbook=08_02.xlsx&amp;sheet=A0&amp;row=189&amp;col=13&amp;number=&amp;sourceID=30","")</f>
        <v/>
      </c>
      <c r="N189" s="4" t="str">
        <f>HYPERLINK("http://141.218.60.56/~jnz1568/getInfo.php?workbook=08_02.xlsx&amp;sheet=A0&amp;row=189&amp;col=14&amp;number=0.128&amp;sourceID=30","0.128")</f>
        <v>0.128</v>
      </c>
      <c r="O189" s="4" t="str">
        <f>HYPERLINK("http://141.218.60.56/~jnz1568/getInfo.php?workbook=08_02.xlsx&amp;sheet=A0&amp;row=189&amp;col=15&amp;number=2522000&amp;sourceID=32","2522000")</f>
        <v>2522000</v>
      </c>
      <c r="P189" s="4" t="str">
        <f>HYPERLINK("http://141.218.60.56/~jnz1568/getInfo.php?workbook=08_02.xlsx&amp;sheet=A0&amp;row=189&amp;col=16&amp;number=&amp;sourceID=32","")</f>
        <v/>
      </c>
      <c r="Q189" s="4" t="str">
        <f>HYPERLINK("http://141.218.60.56/~jnz1568/getInfo.php?workbook=08_02.xlsx&amp;sheet=A0&amp;row=189&amp;col=17&amp;number=&amp;sourceID=32","")</f>
        <v/>
      </c>
      <c r="R189" s="4" t="str">
        <f>HYPERLINK("http://141.218.60.56/~jnz1568/getInfo.php?workbook=08_02.xlsx&amp;sheet=A0&amp;row=189&amp;col=18&amp;number=0.1306&amp;sourceID=32","0.1306")</f>
        <v>0.1306</v>
      </c>
      <c r="S189" s="4" t="str">
        <f>HYPERLINK("http://141.218.60.56/~jnz1568/getInfo.php?workbook=08_02.xlsx&amp;sheet=A0&amp;row=189&amp;col=19&amp;number=&amp;sourceID=1","")</f>
        <v/>
      </c>
      <c r="T189" s="4" t="str">
        <f>HYPERLINK("http://141.218.60.56/~jnz1568/getInfo.php?workbook=08_02.xlsx&amp;sheet=A0&amp;row=189&amp;col=20&amp;number=&amp;sourceID=1","")</f>
        <v/>
      </c>
    </row>
    <row r="190" spans="1:20">
      <c r="A190" s="3">
        <v>8</v>
      </c>
      <c r="B190" s="3">
        <v>2</v>
      </c>
      <c r="C190" s="3">
        <v>21</v>
      </c>
      <c r="D190" s="3">
        <v>17</v>
      </c>
      <c r="E190" s="3">
        <f>((1/(INDEX(E0!J$4:J$52,C190,1)-INDEX(E0!J$4:J$52,D190,1))))*100000000</f>
        <v>0</v>
      </c>
      <c r="F190" s="4" t="str">
        <f>HYPERLINK("http://141.218.60.56/~jnz1568/getInfo.php?workbook=08_02.xlsx&amp;sheet=A0&amp;row=190&amp;col=6&amp;number=&amp;sourceID=27","")</f>
        <v/>
      </c>
      <c r="G190" s="4" t="str">
        <f>HYPERLINK("http://141.218.60.56/~jnz1568/getInfo.php?workbook=08_02.xlsx&amp;sheet=A0&amp;row=190&amp;col=7&amp;number=&amp;sourceID=34","")</f>
        <v/>
      </c>
      <c r="H190" s="4" t="str">
        <f>HYPERLINK("http://141.218.60.56/~jnz1568/getInfo.php?workbook=08_02.xlsx&amp;sheet=A0&amp;row=190&amp;col=8&amp;number=&amp;sourceID=34","")</f>
        <v/>
      </c>
      <c r="I190" s="4" t="str">
        <f>HYPERLINK("http://141.218.60.56/~jnz1568/getInfo.php?workbook=08_02.xlsx&amp;sheet=A0&amp;row=190&amp;col=9&amp;number=&amp;sourceID=34","")</f>
        <v/>
      </c>
      <c r="J190" s="4" t="str">
        <f>HYPERLINK("http://141.218.60.56/~jnz1568/getInfo.php?workbook=08_02.xlsx&amp;sheet=A0&amp;row=190&amp;col=10&amp;number=&amp;sourceID=34","")</f>
        <v/>
      </c>
      <c r="K190" s="4" t="str">
        <f>HYPERLINK("http://141.218.60.56/~jnz1568/getInfo.php?workbook=08_02.xlsx&amp;sheet=A0&amp;row=190&amp;col=11&amp;number=&amp;sourceID=30","")</f>
        <v/>
      </c>
      <c r="L190" s="4" t="str">
        <f>HYPERLINK("http://141.218.60.56/~jnz1568/getInfo.php?workbook=08_02.xlsx&amp;sheet=A0&amp;row=190&amp;col=12&amp;number=21.42&amp;sourceID=30","21.42")</f>
        <v>21.42</v>
      </c>
      <c r="M190" s="4" t="str">
        <f>HYPERLINK("http://141.218.60.56/~jnz1568/getInfo.php?workbook=08_02.xlsx&amp;sheet=A0&amp;row=190&amp;col=13&amp;number=0.0132&amp;sourceID=30","0.0132")</f>
        <v>0.0132</v>
      </c>
      <c r="N190" s="4" t="str">
        <f>HYPERLINK("http://141.218.60.56/~jnz1568/getInfo.php?workbook=08_02.xlsx&amp;sheet=A0&amp;row=190&amp;col=14&amp;number=&amp;sourceID=30","")</f>
        <v/>
      </c>
      <c r="O190" s="4" t="str">
        <f>HYPERLINK("http://141.218.60.56/~jnz1568/getInfo.php?workbook=08_02.xlsx&amp;sheet=A0&amp;row=190&amp;col=15&amp;number=&amp;sourceID=32","")</f>
        <v/>
      </c>
      <c r="P190" s="4" t="str">
        <f>HYPERLINK("http://141.218.60.56/~jnz1568/getInfo.php?workbook=08_02.xlsx&amp;sheet=A0&amp;row=190&amp;col=16&amp;number=23.11&amp;sourceID=32","23.11")</f>
        <v>23.11</v>
      </c>
      <c r="Q190" s="4" t="str">
        <f>HYPERLINK("http://141.218.60.56/~jnz1568/getInfo.php?workbook=08_02.xlsx&amp;sheet=A0&amp;row=190&amp;col=17&amp;number=0.01445&amp;sourceID=32","0.01445")</f>
        <v>0.01445</v>
      </c>
      <c r="R190" s="4" t="str">
        <f>HYPERLINK("http://141.218.60.56/~jnz1568/getInfo.php?workbook=08_02.xlsx&amp;sheet=A0&amp;row=190&amp;col=18&amp;number=&amp;sourceID=32","")</f>
        <v/>
      </c>
      <c r="S190" s="4" t="str">
        <f>HYPERLINK("http://141.218.60.56/~jnz1568/getInfo.php?workbook=08_02.xlsx&amp;sheet=A0&amp;row=190&amp;col=19&amp;number=&amp;sourceID=1","")</f>
        <v/>
      </c>
      <c r="T190" s="4" t="str">
        <f>HYPERLINK("http://141.218.60.56/~jnz1568/getInfo.php?workbook=08_02.xlsx&amp;sheet=A0&amp;row=190&amp;col=20&amp;number=&amp;sourceID=1","")</f>
        <v/>
      </c>
    </row>
    <row r="191" spans="1:20">
      <c r="A191" s="3">
        <v>8</v>
      </c>
      <c r="B191" s="3">
        <v>2</v>
      </c>
      <c r="C191" s="3">
        <v>21</v>
      </c>
      <c r="D191" s="3">
        <v>18</v>
      </c>
      <c r="E191" s="3">
        <f>((1/(INDEX(E0!J$4:J$52,C191,1)-INDEX(E0!J$4:J$52,D191,1))))*100000000</f>
        <v>0</v>
      </c>
      <c r="F191" s="4" t="str">
        <f>HYPERLINK("http://141.218.60.56/~jnz1568/getInfo.php?workbook=08_02.xlsx&amp;sheet=A0&amp;row=191&amp;col=6&amp;number=&amp;sourceID=27","")</f>
        <v/>
      </c>
      <c r="G191" s="4" t="str">
        <f>HYPERLINK("http://141.218.60.56/~jnz1568/getInfo.php?workbook=08_02.xlsx&amp;sheet=A0&amp;row=191&amp;col=7&amp;number=&amp;sourceID=34","")</f>
        <v/>
      </c>
      <c r="H191" s="4" t="str">
        <f>HYPERLINK("http://141.218.60.56/~jnz1568/getInfo.php?workbook=08_02.xlsx&amp;sheet=A0&amp;row=191&amp;col=8&amp;number=&amp;sourceID=34","")</f>
        <v/>
      </c>
      <c r="I191" s="4" t="str">
        <f>HYPERLINK("http://141.218.60.56/~jnz1568/getInfo.php?workbook=08_02.xlsx&amp;sheet=A0&amp;row=191&amp;col=9&amp;number=&amp;sourceID=34","")</f>
        <v/>
      </c>
      <c r="J191" s="4" t="str">
        <f>HYPERLINK("http://141.218.60.56/~jnz1568/getInfo.php?workbook=08_02.xlsx&amp;sheet=A0&amp;row=191&amp;col=10&amp;number=&amp;sourceID=34","")</f>
        <v/>
      </c>
      <c r="K191" s="4" t="str">
        <f>HYPERLINK("http://141.218.60.56/~jnz1568/getInfo.php?workbook=08_02.xlsx&amp;sheet=A0&amp;row=191&amp;col=11&amp;number=2414000&amp;sourceID=30","2414000")</f>
        <v>2414000</v>
      </c>
      <c r="L191" s="4" t="str">
        <f>HYPERLINK("http://141.218.60.56/~jnz1568/getInfo.php?workbook=08_02.xlsx&amp;sheet=A0&amp;row=191&amp;col=12&amp;number=&amp;sourceID=30","")</f>
        <v/>
      </c>
      <c r="M191" s="4" t="str">
        <f>HYPERLINK("http://141.218.60.56/~jnz1568/getInfo.php?workbook=08_02.xlsx&amp;sheet=A0&amp;row=191&amp;col=13&amp;number=&amp;sourceID=30","")</f>
        <v/>
      </c>
      <c r="N191" s="4" t="str">
        <f>HYPERLINK("http://141.218.60.56/~jnz1568/getInfo.php?workbook=08_02.xlsx&amp;sheet=A0&amp;row=191&amp;col=14&amp;number=7.667e-07&amp;sourceID=30","7.667e-07")</f>
        <v>7.667e-07</v>
      </c>
      <c r="O191" s="4" t="str">
        <f>HYPERLINK("http://141.218.60.56/~jnz1568/getInfo.php?workbook=08_02.xlsx&amp;sheet=A0&amp;row=191&amp;col=15&amp;number=2351000&amp;sourceID=32","2351000")</f>
        <v>2351000</v>
      </c>
      <c r="P191" s="4" t="str">
        <f>HYPERLINK("http://141.218.60.56/~jnz1568/getInfo.php?workbook=08_02.xlsx&amp;sheet=A0&amp;row=191&amp;col=16&amp;number=&amp;sourceID=32","")</f>
        <v/>
      </c>
      <c r="Q191" s="4" t="str">
        <f>HYPERLINK("http://141.218.60.56/~jnz1568/getInfo.php?workbook=08_02.xlsx&amp;sheet=A0&amp;row=191&amp;col=17&amp;number=&amp;sourceID=32","")</f>
        <v/>
      </c>
      <c r="R191" s="4" t="str">
        <f>HYPERLINK("http://141.218.60.56/~jnz1568/getInfo.php?workbook=08_02.xlsx&amp;sheet=A0&amp;row=191&amp;col=18&amp;number=7.369e-07&amp;sourceID=32","7.369e-07")</f>
        <v>7.369e-07</v>
      </c>
      <c r="S191" s="4" t="str">
        <f>HYPERLINK("http://141.218.60.56/~jnz1568/getInfo.php?workbook=08_02.xlsx&amp;sheet=A0&amp;row=191&amp;col=19&amp;number=&amp;sourceID=1","")</f>
        <v/>
      </c>
      <c r="T191" s="4" t="str">
        <f>HYPERLINK("http://141.218.60.56/~jnz1568/getInfo.php?workbook=08_02.xlsx&amp;sheet=A0&amp;row=191&amp;col=20&amp;number=&amp;sourceID=1","")</f>
        <v/>
      </c>
    </row>
    <row r="192" spans="1:20">
      <c r="A192" s="3">
        <v>8</v>
      </c>
      <c r="B192" s="3">
        <v>2</v>
      </c>
      <c r="C192" s="3">
        <v>21</v>
      </c>
      <c r="D192" s="3">
        <v>19</v>
      </c>
      <c r="E192" s="3"/>
      <c r="F192" s="4" t="str">
        <f>HYPERLINK("http://141.218.60.56/~jnz1568/getInfo.php?workbook=08_02.xlsx&amp;sheet=A0&amp;row=192&amp;col=6&amp;number=&amp;sourceID=27","")</f>
        <v/>
      </c>
      <c r="G192" s="4" t="str">
        <f>HYPERLINK("http://141.218.60.56/~jnz1568/getInfo.php?workbook=08_02.xlsx&amp;sheet=A0&amp;row=192&amp;col=7&amp;number=&amp;sourceID=34","")</f>
        <v/>
      </c>
      <c r="H192" s="4" t="str">
        <f>HYPERLINK("http://141.218.60.56/~jnz1568/getInfo.php?workbook=08_02.xlsx&amp;sheet=A0&amp;row=192&amp;col=8&amp;number=&amp;sourceID=34","")</f>
        <v/>
      </c>
      <c r="I192" s="4" t="str">
        <f>HYPERLINK("http://141.218.60.56/~jnz1568/getInfo.php?workbook=08_02.xlsx&amp;sheet=A0&amp;row=192&amp;col=9&amp;number=&amp;sourceID=34","")</f>
        <v/>
      </c>
      <c r="J192" s="4" t="str">
        <f>HYPERLINK("http://141.218.60.56/~jnz1568/getInfo.php?workbook=08_02.xlsx&amp;sheet=A0&amp;row=192&amp;col=10&amp;number=&amp;sourceID=34","")</f>
        <v/>
      </c>
      <c r="K192" s="4" t="str">
        <f>HYPERLINK("http://141.218.60.56/~jnz1568/getInfo.php?workbook=08_02.xlsx&amp;sheet=A0&amp;row=192&amp;col=11&amp;number=&amp;sourceID=30","")</f>
        <v/>
      </c>
      <c r="L192" s="4" t="str">
        <f>HYPERLINK("http://141.218.60.56/~jnz1568/getInfo.php?workbook=08_02.xlsx&amp;sheet=A0&amp;row=192&amp;col=12&amp;number=3.952e-12&amp;sourceID=30","3.952e-12")</f>
        <v>3.952e-12</v>
      </c>
      <c r="M192" s="4" t="str">
        <f>HYPERLINK("http://141.218.60.56/~jnz1568/getInfo.php?workbook=08_02.xlsx&amp;sheet=A0&amp;row=192&amp;col=13&amp;number=&amp;sourceID=30","")</f>
        <v/>
      </c>
      <c r="N192" s="4" t="str">
        <f>HYPERLINK("http://141.218.60.56/~jnz1568/getInfo.php?workbook=08_02.xlsx&amp;sheet=A0&amp;row=192&amp;col=14&amp;number=&amp;sourceID=30","")</f>
        <v/>
      </c>
      <c r="O192" s="4" t="str">
        <f>HYPERLINK("http://141.218.60.56/~jnz1568/getInfo.php?workbook=08_02.xlsx&amp;sheet=A0&amp;row=192&amp;col=15&amp;number=&amp;sourceID=32","")</f>
        <v/>
      </c>
      <c r="P192" s="4" t="str">
        <f>HYPERLINK("http://141.218.60.56/~jnz1568/getInfo.php?workbook=08_02.xlsx&amp;sheet=A0&amp;row=192&amp;col=16&amp;number=&amp;sourceID=32","")</f>
        <v/>
      </c>
      <c r="Q192" s="4" t="str">
        <f>HYPERLINK("http://141.218.60.56/~jnz1568/getInfo.php?workbook=08_02.xlsx&amp;sheet=A0&amp;row=192&amp;col=17&amp;number=&amp;sourceID=32","")</f>
        <v/>
      </c>
      <c r="R192" s="4" t="str">
        <f>HYPERLINK("http://141.218.60.56/~jnz1568/getInfo.php?workbook=08_02.xlsx&amp;sheet=A0&amp;row=192&amp;col=18&amp;number=&amp;sourceID=32","")</f>
        <v/>
      </c>
      <c r="S192" s="4" t="str">
        <f>HYPERLINK("http://141.218.60.56/~jnz1568/getInfo.php?workbook=08_02.xlsx&amp;sheet=A0&amp;row=192&amp;col=19&amp;number=&amp;sourceID=1","")</f>
        <v/>
      </c>
      <c r="T192" s="4" t="str">
        <f>HYPERLINK("http://141.218.60.56/~jnz1568/getInfo.php?workbook=08_02.xlsx&amp;sheet=A0&amp;row=192&amp;col=20&amp;number=&amp;sourceID=1","")</f>
        <v/>
      </c>
    </row>
    <row r="193" spans="1:20">
      <c r="A193" s="3">
        <v>8</v>
      </c>
      <c r="B193" s="3">
        <v>2</v>
      </c>
      <c r="C193" s="3">
        <v>21</v>
      </c>
      <c r="D193" s="3">
        <v>20</v>
      </c>
      <c r="E193" s="3"/>
      <c r="F193" s="4" t="str">
        <f>HYPERLINK("http://141.218.60.56/~jnz1568/getInfo.php?workbook=08_02.xlsx&amp;sheet=A0&amp;row=193&amp;col=6&amp;number=&amp;sourceID=27","")</f>
        <v/>
      </c>
      <c r="G193" s="4" t="str">
        <f>HYPERLINK("http://141.218.60.56/~jnz1568/getInfo.php?workbook=08_02.xlsx&amp;sheet=A0&amp;row=193&amp;col=7&amp;number=&amp;sourceID=34","")</f>
        <v/>
      </c>
      <c r="H193" s="4" t="str">
        <f>HYPERLINK("http://141.218.60.56/~jnz1568/getInfo.php?workbook=08_02.xlsx&amp;sheet=A0&amp;row=193&amp;col=8&amp;number=&amp;sourceID=34","")</f>
        <v/>
      </c>
      <c r="I193" s="4" t="str">
        <f>HYPERLINK("http://141.218.60.56/~jnz1568/getInfo.php?workbook=08_02.xlsx&amp;sheet=A0&amp;row=193&amp;col=9&amp;number=&amp;sourceID=34","")</f>
        <v/>
      </c>
      <c r="J193" s="4" t="str">
        <f>HYPERLINK("http://141.218.60.56/~jnz1568/getInfo.php?workbook=08_02.xlsx&amp;sheet=A0&amp;row=193&amp;col=10&amp;number=&amp;sourceID=34","")</f>
        <v/>
      </c>
      <c r="K193" s="4" t="str">
        <f>HYPERLINK("http://141.218.60.56/~jnz1568/getInfo.php?workbook=08_02.xlsx&amp;sheet=A0&amp;row=193&amp;col=11&amp;number=&amp;sourceID=30","")</f>
        <v/>
      </c>
      <c r="L193" s="4" t="str">
        <f>HYPERLINK("http://141.218.60.56/~jnz1568/getInfo.php?workbook=08_02.xlsx&amp;sheet=A0&amp;row=193&amp;col=12&amp;number=4.289e-12&amp;sourceID=30","4.289e-12")</f>
        <v>4.289e-12</v>
      </c>
      <c r="M193" s="4" t="str">
        <f>HYPERLINK("http://141.218.60.56/~jnz1568/getInfo.php?workbook=08_02.xlsx&amp;sheet=A0&amp;row=193&amp;col=13&amp;number=4.273e-06&amp;sourceID=30","4.273e-06")</f>
        <v>4.273e-06</v>
      </c>
      <c r="N193" s="4" t="str">
        <f>HYPERLINK("http://141.218.60.56/~jnz1568/getInfo.php?workbook=08_02.xlsx&amp;sheet=A0&amp;row=193&amp;col=14&amp;number=&amp;sourceID=30","")</f>
        <v/>
      </c>
      <c r="O193" s="4" t="str">
        <f>HYPERLINK("http://141.218.60.56/~jnz1568/getInfo.php?workbook=08_02.xlsx&amp;sheet=A0&amp;row=193&amp;col=15&amp;number=&amp;sourceID=32","")</f>
        <v/>
      </c>
      <c r="P193" s="4" t="str">
        <f>HYPERLINK("http://141.218.60.56/~jnz1568/getInfo.php?workbook=08_02.xlsx&amp;sheet=A0&amp;row=193&amp;col=16&amp;number=&amp;sourceID=32","")</f>
        <v/>
      </c>
      <c r="Q193" s="4" t="str">
        <f>HYPERLINK("http://141.218.60.56/~jnz1568/getInfo.php?workbook=08_02.xlsx&amp;sheet=A0&amp;row=193&amp;col=17&amp;number=&amp;sourceID=32","")</f>
        <v/>
      </c>
      <c r="R193" s="4" t="str">
        <f>HYPERLINK("http://141.218.60.56/~jnz1568/getInfo.php?workbook=08_02.xlsx&amp;sheet=A0&amp;row=193&amp;col=18&amp;number=&amp;sourceID=32","")</f>
        <v/>
      </c>
      <c r="S193" s="4" t="str">
        <f>HYPERLINK("http://141.218.60.56/~jnz1568/getInfo.php?workbook=08_02.xlsx&amp;sheet=A0&amp;row=193&amp;col=19&amp;number=&amp;sourceID=1","")</f>
        <v/>
      </c>
      <c r="T193" s="4" t="str">
        <f>HYPERLINK("http://141.218.60.56/~jnz1568/getInfo.php?workbook=08_02.xlsx&amp;sheet=A0&amp;row=193&amp;col=20&amp;number=&amp;sourceID=1","")</f>
        <v/>
      </c>
    </row>
    <row r="194" spans="1:20">
      <c r="A194" s="3">
        <v>8</v>
      </c>
      <c r="B194" s="3">
        <v>2</v>
      </c>
      <c r="C194" s="3">
        <v>22</v>
      </c>
      <c r="D194" s="3">
        <v>2</v>
      </c>
      <c r="E194" s="3">
        <f>((1/(INDEX(E0!J$4:J$52,C194,1)-INDEX(E0!J$4:J$52,D194,1))))*100000000</f>
        <v>0</v>
      </c>
      <c r="F194" s="4" t="str">
        <f>HYPERLINK("http://141.218.60.56/~jnz1568/getInfo.php?workbook=08_02.xlsx&amp;sheet=A0&amp;row=194&amp;col=6&amp;number=&amp;sourceID=27","")</f>
        <v/>
      </c>
      <c r="G194" s="4" t="str">
        <f>HYPERLINK("http://141.218.60.56/~jnz1568/getInfo.php?workbook=08_02.xlsx&amp;sheet=A0&amp;row=194&amp;col=7&amp;number=&amp;sourceID=34","")</f>
        <v/>
      </c>
      <c r="H194" s="4" t="str">
        <f>HYPERLINK("http://141.218.60.56/~jnz1568/getInfo.php?workbook=08_02.xlsx&amp;sheet=A0&amp;row=194&amp;col=8&amp;number=&amp;sourceID=34","")</f>
        <v/>
      </c>
      <c r="I194" s="4" t="str">
        <f>HYPERLINK("http://141.218.60.56/~jnz1568/getInfo.php?workbook=08_02.xlsx&amp;sheet=A0&amp;row=194&amp;col=9&amp;number=&amp;sourceID=34","")</f>
        <v/>
      </c>
      <c r="J194" s="4" t="str">
        <f>HYPERLINK("http://141.218.60.56/~jnz1568/getInfo.php?workbook=08_02.xlsx&amp;sheet=A0&amp;row=194&amp;col=10&amp;number=&amp;sourceID=34","")</f>
        <v/>
      </c>
      <c r="K194" s="4" t="str">
        <f>HYPERLINK("http://141.218.60.56/~jnz1568/getInfo.php?workbook=08_02.xlsx&amp;sheet=A0&amp;row=194&amp;col=11&amp;number=&amp;sourceID=30","")</f>
        <v/>
      </c>
      <c r="L194" s="4" t="str">
        <f>HYPERLINK("http://141.218.60.56/~jnz1568/getInfo.php?workbook=08_02.xlsx&amp;sheet=A0&amp;row=194&amp;col=12&amp;number=&amp;sourceID=30","")</f>
        <v/>
      </c>
      <c r="M194" s="4" t="str">
        <f>HYPERLINK("http://141.218.60.56/~jnz1568/getInfo.php?workbook=08_02.xlsx&amp;sheet=A0&amp;row=194&amp;col=13&amp;number=0.4977&amp;sourceID=30","0.4977")</f>
        <v>0.4977</v>
      </c>
      <c r="N194" s="4" t="str">
        <f>HYPERLINK("http://141.218.60.56/~jnz1568/getInfo.php?workbook=08_02.xlsx&amp;sheet=A0&amp;row=194&amp;col=14&amp;number=&amp;sourceID=30","")</f>
        <v/>
      </c>
      <c r="O194" s="4" t="str">
        <f>HYPERLINK("http://141.218.60.56/~jnz1568/getInfo.php?workbook=08_02.xlsx&amp;sheet=A0&amp;row=194&amp;col=15&amp;number=&amp;sourceID=32","")</f>
        <v/>
      </c>
      <c r="P194" s="4" t="str">
        <f>HYPERLINK("http://141.218.60.56/~jnz1568/getInfo.php?workbook=08_02.xlsx&amp;sheet=A0&amp;row=194&amp;col=16&amp;number=&amp;sourceID=32","")</f>
        <v/>
      </c>
      <c r="Q194" s="4" t="str">
        <f>HYPERLINK("http://141.218.60.56/~jnz1568/getInfo.php?workbook=08_02.xlsx&amp;sheet=A0&amp;row=194&amp;col=17&amp;number=0.4052&amp;sourceID=32","0.4052")</f>
        <v>0.4052</v>
      </c>
      <c r="R194" s="4" t="str">
        <f>HYPERLINK("http://141.218.60.56/~jnz1568/getInfo.php?workbook=08_02.xlsx&amp;sheet=A0&amp;row=194&amp;col=18&amp;number=&amp;sourceID=32","")</f>
        <v/>
      </c>
      <c r="S194" s="4" t="str">
        <f>HYPERLINK("http://141.218.60.56/~jnz1568/getInfo.php?workbook=08_02.xlsx&amp;sheet=A0&amp;row=194&amp;col=19&amp;number=&amp;sourceID=1","")</f>
        <v/>
      </c>
      <c r="T194" s="4" t="str">
        <f>HYPERLINK("http://141.218.60.56/~jnz1568/getInfo.php?workbook=08_02.xlsx&amp;sheet=A0&amp;row=194&amp;col=20&amp;number=&amp;sourceID=1","")</f>
        <v/>
      </c>
    </row>
    <row r="195" spans="1:20">
      <c r="A195" s="3">
        <v>8</v>
      </c>
      <c r="B195" s="3">
        <v>2</v>
      </c>
      <c r="C195" s="3">
        <v>22</v>
      </c>
      <c r="D195" s="3">
        <v>4</v>
      </c>
      <c r="E195" s="3">
        <f>((1/(INDEX(E0!J$4:J$52,C195,1)-INDEX(E0!J$4:J$52,D195,1))))*100000000</f>
        <v>0</v>
      </c>
      <c r="F195" s="4" t="str">
        <f>HYPERLINK("http://141.218.60.56/~jnz1568/getInfo.php?workbook=08_02.xlsx&amp;sheet=A0&amp;row=195&amp;col=6&amp;number=&amp;sourceID=27","")</f>
        <v/>
      </c>
      <c r="G195" s="4" t="str">
        <f>HYPERLINK("http://141.218.60.56/~jnz1568/getInfo.php?workbook=08_02.xlsx&amp;sheet=A0&amp;row=195&amp;col=7&amp;number=&amp;sourceID=34","")</f>
        <v/>
      </c>
      <c r="H195" s="4" t="str">
        <f>HYPERLINK("http://141.218.60.56/~jnz1568/getInfo.php?workbook=08_02.xlsx&amp;sheet=A0&amp;row=195&amp;col=8&amp;number=&amp;sourceID=34","")</f>
        <v/>
      </c>
      <c r="I195" s="4" t="str">
        <f>HYPERLINK("http://141.218.60.56/~jnz1568/getInfo.php?workbook=08_02.xlsx&amp;sheet=A0&amp;row=195&amp;col=9&amp;number=&amp;sourceID=34","")</f>
        <v/>
      </c>
      <c r="J195" s="4" t="str">
        <f>HYPERLINK("http://141.218.60.56/~jnz1568/getInfo.php?workbook=08_02.xlsx&amp;sheet=A0&amp;row=195&amp;col=10&amp;number=&amp;sourceID=34","")</f>
        <v/>
      </c>
      <c r="K195" s="4" t="str">
        <f>HYPERLINK("http://141.218.60.56/~jnz1568/getInfo.php?workbook=08_02.xlsx&amp;sheet=A0&amp;row=195&amp;col=11&amp;number=1356000&amp;sourceID=30","1356000")</f>
        <v>1356000</v>
      </c>
      <c r="L195" s="4" t="str">
        <f>HYPERLINK("http://141.218.60.56/~jnz1568/getInfo.php?workbook=08_02.xlsx&amp;sheet=A0&amp;row=195&amp;col=12&amp;number=&amp;sourceID=30","")</f>
        <v/>
      </c>
      <c r="M195" s="4" t="str">
        <f>HYPERLINK("http://141.218.60.56/~jnz1568/getInfo.php?workbook=08_02.xlsx&amp;sheet=A0&amp;row=195&amp;col=13&amp;number=&amp;sourceID=30","")</f>
        <v/>
      </c>
      <c r="N195" s="4" t="str">
        <f>HYPERLINK("http://141.218.60.56/~jnz1568/getInfo.php?workbook=08_02.xlsx&amp;sheet=A0&amp;row=195&amp;col=14&amp;number=&amp;sourceID=30","")</f>
        <v/>
      </c>
      <c r="O195" s="4" t="str">
        <f>HYPERLINK("http://141.218.60.56/~jnz1568/getInfo.php?workbook=08_02.xlsx&amp;sheet=A0&amp;row=195&amp;col=15&amp;number=1005000&amp;sourceID=32","1005000")</f>
        <v>1005000</v>
      </c>
      <c r="P195" s="4" t="str">
        <f>HYPERLINK("http://141.218.60.56/~jnz1568/getInfo.php?workbook=08_02.xlsx&amp;sheet=A0&amp;row=195&amp;col=16&amp;number=&amp;sourceID=32","")</f>
        <v/>
      </c>
      <c r="Q195" s="4" t="str">
        <f>HYPERLINK("http://141.218.60.56/~jnz1568/getInfo.php?workbook=08_02.xlsx&amp;sheet=A0&amp;row=195&amp;col=17&amp;number=&amp;sourceID=32","")</f>
        <v/>
      </c>
      <c r="R195" s="4" t="str">
        <f>HYPERLINK("http://141.218.60.56/~jnz1568/getInfo.php?workbook=08_02.xlsx&amp;sheet=A0&amp;row=195&amp;col=18&amp;number=&amp;sourceID=32","")</f>
        <v/>
      </c>
      <c r="S195" s="4" t="str">
        <f>HYPERLINK("http://141.218.60.56/~jnz1568/getInfo.php?workbook=08_02.xlsx&amp;sheet=A0&amp;row=195&amp;col=19&amp;number=&amp;sourceID=1","")</f>
        <v/>
      </c>
      <c r="T195" s="4" t="str">
        <f>HYPERLINK("http://141.218.60.56/~jnz1568/getInfo.php?workbook=08_02.xlsx&amp;sheet=A0&amp;row=195&amp;col=20&amp;number=&amp;sourceID=1","")</f>
        <v/>
      </c>
    </row>
    <row r="196" spans="1:20">
      <c r="A196" s="3">
        <v>8</v>
      </c>
      <c r="B196" s="3">
        <v>2</v>
      </c>
      <c r="C196" s="3">
        <v>22</v>
      </c>
      <c r="D196" s="3">
        <v>5</v>
      </c>
      <c r="E196" s="3">
        <f>((1/(INDEX(E0!J$4:J$52,C196,1)-INDEX(E0!J$4:J$52,D196,1))))*100000000</f>
        <v>0</v>
      </c>
      <c r="F196" s="4" t="str">
        <f>HYPERLINK("http://141.218.60.56/~jnz1568/getInfo.php?workbook=08_02.xlsx&amp;sheet=A0&amp;row=196&amp;col=6&amp;number=&amp;sourceID=27","")</f>
        <v/>
      </c>
      <c r="G196" s="4" t="str">
        <f>HYPERLINK("http://141.218.60.56/~jnz1568/getInfo.php?workbook=08_02.xlsx&amp;sheet=A0&amp;row=196&amp;col=7&amp;number=&amp;sourceID=34","")</f>
        <v/>
      </c>
      <c r="H196" s="4" t="str">
        <f>HYPERLINK("http://141.218.60.56/~jnz1568/getInfo.php?workbook=08_02.xlsx&amp;sheet=A0&amp;row=196&amp;col=8&amp;number=&amp;sourceID=34","")</f>
        <v/>
      </c>
      <c r="I196" s="4" t="str">
        <f>HYPERLINK("http://141.218.60.56/~jnz1568/getInfo.php?workbook=08_02.xlsx&amp;sheet=A0&amp;row=196&amp;col=9&amp;number=&amp;sourceID=34","")</f>
        <v/>
      </c>
      <c r="J196" s="4" t="str">
        <f>HYPERLINK("http://141.218.60.56/~jnz1568/getInfo.php?workbook=08_02.xlsx&amp;sheet=A0&amp;row=196&amp;col=10&amp;number=&amp;sourceID=34","")</f>
        <v/>
      </c>
      <c r="K196" s="4" t="str">
        <f>HYPERLINK("http://141.218.60.56/~jnz1568/getInfo.php?workbook=08_02.xlsx&amp;sheet=A0&amp;row=196&amp;col=11&amp;number=&amp;sourceID=30","")</f>
        <v/>
      </c>
      <c r="L196" s="4" t="str">
        <f>HYPERLINK("http://141.218.60.56/~jnz1568/getInfo.php?workbook=08_02.xlsx&amp;sheet=A0&amp;row=196&amp;col=12&amp;number=&amp;sourceID=30","")</f>
        <v/>
      </c>
      <c r="M196" s="4" t="str">
        <f>HYPERLINK("http://141.218.60.56/~jnz1568/getInfo.php?workbook=08_02.xlsx&amp;sheet=A0&amp;row=196&amp;col=13&amp;number=&amp;sourceID=30","")</f>
        <v/>
      </c>
      <c r="N196" s="4" t="str">
        <f>HYPERLINK("http://141.218.60.56/~jnz1568/getInfo.php?workbook=08_02.xlsx&amp;sheet=A0&amp;row=196&amp;col=14&amp;number=46.31&amp;sourceID=30","46.31")</f>
        <v>46.31</v>
      </c>
      <c r="O196" s="4" t="str">
        <f>HYPERLINK("http://141.218.60.56/~jnz1568/getInfo.php?workbook=08_02.xlsx&amp;sheet=A0&amp;row=196&amp;col=15&amp;number=&amp;sourceID=32","")</f>
        <v/>
      </c>
      <c r="P196" s="4" t="str">
        <f>HYPERLINK("http://141.218.60.56/~jnz1568/getInfo.php?workbook=08_02.xlsx&amp;sheet=A0&amp;row=196&amp;col=16&amp;number=&amp;sourceID=32","")</f>
        <v/>
      </c>
      <c r="Q196" s="4" t="str">
        <f>HYPERLINK("http://141.218.60.56/~jnz1568/getInfo.php?workbook=08_02.xlsx&amp;sheet=A0&amp;row=196&amp;col=17&amp;number=&amp;sourceID=32","")</f>
        <v/>
      </c>
      <c r="R196" s="4" t="str">
        <f>HYPERLINK("http://141.218.60.56/~jnz1568/getInfo.php?workbook=08_02.xlsx&amp;sheet=A0&amp;row=196&amp;col=18&amp;number=48.57&amp;sourceID=32","48.57")</f>
        <v>48.57</v>
      </c>
      <c r="S196" s="4" t="str">
        <f>HYPERLINK("http://141.218.60.56/~jnz1568/getInfo.php?workbook=08_02.xlsx&amp;sheet=A0&amp;row=196&amp;col=19&amp;number=&amp;sourceID=1","")</f>
        <v/>
      </c>
      <c r="T196" s="4" t="str">
        <f>HYPERLINK("http://141.218.60.56/~jnz1568/getInfo.php?workbook=08_02.xlsx&amp;sheet=A0&amp;row=196&amp;col=20&amp;number=&amp;sourceID=1","")</f>
        <v/>
      </c>
    </row>
    <row r="197" spans="1:20">
      <c r="A197" s="3">
        <v>8</v>
      </c>
      <c r="B197" s="3">
        <v>2</v>
      </c>
      <c r="C197" s="3">
        <v>22</v>
      </c>
      <c r="D197" s="3">
        <v>7</v>
      </c>
      <c r="E197" s="3">
        <f>((1/(INDEX(E0!J$4:J$52,C197,1)-INDEX(E0!J$4:J$52,D197,1))))*100000000</f>
        <v>0</v>
      </c>
      <c r="F197" s="4" t="str">
        <f>HYPERLINK("http://141.218.60.56/~jnz1568/getInfo.php?workbook=08_02.xlsx&amp;sheet=A0&amp;row=197&amp;col=6&amp;number=&amp;sourceID=27","")</f>
        <v/>
      </c>
      <c r="G197" s="4" t="str">
        <f>HYPERLINK("http://141.218.60.56/~jnz1568/getInfo.php?workbook=08_02.xlsx&amp;sheet=A0&amp;row=197&amp;col=7&amp;number=&amp;sourceID=34","")</f>
        <v/>
      </c>
      <c r="H197" s="4" t="str">
        <f>HYPERLINK("http://141.218.60.56/~jnz1568/getInfo.php?workbook=08_02.xlsx&amp;sheet=A0&amp;row=197&amp;col=8&amp;number=&amp;sourceID=34","")</f>
        <v/>
      </c>
      <c r="I197" s="4" t="str">
        <f>HYPERLINK("http://141.218.60.56/~jnz1568/getInfo.php?workbook=08_02.xlsx&amp;sheet=A0&amp;row=197&amp;col=9&amp;number=&amp;sourceID=34","")</f>
        <v/>
      </c>
      <c r="J197" s="4" t="str">
        <f>HYPERLINK("http://141.218.60.56/~jnz1568/getInfo.php?workbook=08_02.xlsx&amp;sheet=A0&amp;row=197&amp;col=10&amp;number=&amp;sourceID=34","")</f>
        <v/>
      </c>
      <c r="K197" s="4" t="str">
        <f>HYPERLINK("http://141.218.60.56/~jnz1568/getInfo.php?workbook=08_02.xlsx&amp;sheet=A0&amp;row=197&amp;col=11&amp;number=11570000000&amp;sourceID=30","11570000000")</f>
        <v>11570000000</v>
      </c>
      <c r="L197" s="4" t="str">
        <f>HYPERLINK("http://141.218.60.56/~jnz1568/getInfo.php?workbook=08_02.xlsx&amp;sheet=A0&amp;row=197&amp;col=12&amp;number=&amp;sourceID=30","")</f>
        <v/>
      </c>
      <c r="M197" s="4" t="str">
        <f>HYPERLINK("http://141.218.60.56/~jnz1568/getInfo.php?workbook=08_02.xlsx&amp;sheet=A0&amp;row=197&amp;col=13&amp;number=&amp;sourceID=30","")</f>
        <v/>
      </c>
      <c r="N197" s="4" t="str">
        <f>HYPERLINK("http://141.218.60.56/~jnz1568/getInfo.php?workbook=08_02.xlsx&amp;sheet=A0&amp;row=197&amp;col=14&amp;number=&amp;sourceID=30","")</f>
        <v/>
      </c>
      <c r="O197" s="4" t="str">
        <f>HYPERLINK("http://141.218.60.56/~jnz1568/getInfo.php?workbook=08_02.xlsx&amp;sheet=A0&amp;row=197&amp;col=15&amp;number=8136000000&amp;sourceID=32","8136000000")</f>
        <v>8136000000</v>
      </c>
      <c r="P197" s="4" t="str">
        <f>HYPERLINK("http://141.218.60.56/~jnz1568/getInfo.php?workbook=08_02.xlsx&amp;sheet=A0&amp;row=197&amp;col=16&amp;number=&amp;sourceID=32","")</f>
        <v/>
      </c>
      <c r="Q197" s="4" t="str">
        <f>HYPERLINK("http://141.218.60.56/~jnz1568/getInfo.php?workbook=08_02.xlsx&amp;sheet=A0&amp;row=197&amp;col=17&amp;number=&amp;sourceID=32","")</f>
        <v/>
      </c>
      <c r="R197" s="4" t="str">
        <f>HYPERLINK("http://141.218.60.56/~jnz1568/getInfo.php?workbook=08_02.xlsx&amp;sheet=A0&amp;row=197&amp;col=18&amp;number=&amp;sourceID=32","")</f>
        <v/>
      </c>
      <c r="S197" s="4" t="str">
        <f>HYPERLINK("http://141.218.60.56/~jnz1568/getInfo.php?workbook=08_02.xlsx&amp;sheet=A0&amp;row=197&amp;col=19&amp;number=&amp;sourceID=1","")</f>
        <v/>
      </c>
      <c r="T197" s="4" t="str">
        <f>HYPERLINK("http://141.218.60.56/~jnz1568/getInfo.php?workbook=08_02.xlsx&amp;sheet=A0&amp;row=197&amp;col=20&amp;number=&amp;sourceID=1","")</f>
        <v/>
      </c>
    </row>
    <row r="198" spans="1:20">
      <c r="A198" s="3">
        <v>8</v>
      </c>
      <c r="B198" s="3">
        <v>2</v>
      </c>
      <c r="C198" s="3">
        <v>22</v>
      </c>
      <c r="D198" s="3">
        <v>8</v>
      </c>
      <c r="E198" s="3">
        <f>((1/(INDEX(E0!J$4:J$52,C198,1)-INDEX(E0!J$4:J$52,D198,1))))*100000000</f>
        <v>0</v>
      </c>
      <c r="F198" s="4" t="str">
        <f>HYPERLINK("http://141.218.60.56/~jnz1568/getInfo.php?workbook=08_02.xlsx&amp;sheet=A0&amp;row=198&amp;col=6&amp;number=&amp;sourceID=27","")</f>
        <v/>
      </c>
      <c r="G198" s="4" t="str">
        <f>HYPERLINK("http://141.218.60.56/~jnz1568/getInfo.php?workbook=08_02.xlsx&amp;sheet=A0&amp;row=198&amp;col=7&amp;number=&amp;sourceID=34","")</f>
        <v/>
      </c>
      <c r="H198" s="4" t="str">
        <f>HYPERLINK("http://141.218.60.56/~jnz1568/getInfo.php?workbook=08_02.xlsx&amp;sheet=A0&amp;row=198&amp;col=8&amp;number=&amp;sourceID=34","")</f>
        <v/>
      </c>
      <c r="I198" s="4" t="str">
        <f>HYPERLINK("http://141.218.60.56/~jnz1568/getInfo.php?workbook=08_02.xlsx&amp;sheet=A0&amp;row=198&amp;col=9&amp;number=&amp;sourceID=34","")</f>
        <v/>
      </c>
      <c r="J198" s="4" t="str">
        <f>HYPERLINK("http://141.218.60.56/~jnz1568/getInfo.php?workbook=08_02.xlsx&amp;sheet=A0&amp;row=198&amp;col=10&amp;number=&amp;sourceID=34","")</f>
        <v/>
      </c>
      <c r="K198" s="4" t="str">
        <f>HYPERLINK("http://141.218.60.56/~jnz1568/getInfo.php?workbook=08_02.xlsx&amp;sheet=A0&amp;row=198&amp;col=11&amp;number=&amp;sourceID=30","")</f>
        <v/>
      </c>
      <c r="L198" s="4" t="str">
        <f>HYPERLINK("http://141.218.60.56/~jnz1568/getInfo.php?workbook=08_02.xlsx&amp;sheet=A0&amp;row=198&amp;col=12&amp;number=&amp;sourceID=30","")</f>
        <v/>
      </c>
      <c r="M198" s="4" t="str">
        <f>HYPERLINK("http://141.218.60.56/~jnz1568/getInfo.php?workbook=08_02.xlsx&amp;sheet=A0&amp;row=198&amp;col=13&amp;number=0.00119&amp;sourceID=30","0.00119")</f>
        <v>0.00119</v>
      </c>
      <c r="N198" s="4" t="str">
        <f>HYPERLINK("http://141.218.60.56/~jnz1568/getInfo.php?workbook=08_02.xlsx&amp;sheet=A0&amp;row=198&amp;col=14&amp;number=&amp;sourceID=30","")</f>
        <v/>
      </c>
      <c r="O198" s="4" t="str">
        <f>HYPERLINK("http://141.218.60.56/~jnz1568/getInfo.php?workbook=08_02.xlsx&amp;sheet=A0&amp;row=198&amp;col=15&amp;number=&amp;sourceID=32","")</f>
        <v/>
      </c>
      <c r="P198" s="4" t="str">
        <f>HYPERLINK("http://141.218.60.56/~jnz1568/getInfo.php?workbook=08_02.xlsx&amp;sheet=A0&amp;row=198&amp;col=16&amp;number=&amp;sourceID=32","")</f>
        <v/>
      </c>
      <c r="Q198" s="4" t="str">
        <f>HYPERLINK("http://141.218.60.56/~jnz1568/getInfo.php?workbook=08_02.xlsx&amp;sheet=A0&amp;row=198&amp;col=17&amp;number=0.0009851&amp;sourceID=32","0.0009851")</f>
        <v>0.0009851</v>
      </c>
      <c r="R198" s="4" t="str">
        <f>HYPERLINK("http://141.218.60.56/~jnz1568/getInfo.php?workbook=08_02.xlsx&amp;sheet=A0&amp;row=198&amp;col=18&amp;number=&amp;sourceID=32","")</f>
        <v/>
      </c>
      <c r="S198" s="4" t="str">
        <f>HYPERLINK("http://141.218.60.56/~jnz1568/getInfo.php?workbook=08_02.xlsx&amp;sheet=A0&amp;row=198&amp;col=19&amp;number=&amp;sourceID=1","")</f>
        <v/>
      </c>
      <c r="T198" s="4" t="str">
        <f>HYPERLINK("http://141.218.60.56/~jnz1568/getInfo.php?workbook=08_02.xlsx&amp;sheet=A0&amp;row=198&amp;col=20&amp;number=&amp;sourceID=1","")</f>
        <v/>
      </c>
    </row>
    <row r="199" spans="1:20">
      <c r="A199" s="3">
        <v>8</v>
      </c>
      <c r="B199" s="3">
        <v>2</v>
      </c>
      <c r="C199" s="3">
        <v>22</v>
      </c>
      <c r="D199" s="3">
        <v>10</v>
      </c>
      <c r="E199" s="3">
        <f>((1/(INDEX(E0!J$4:J$52,C199,1)-INDEX(E0!J$4:J$52,D199,1))))*100000000</f>
        <v>0</v>
      </c>
      <c r="F199" s="4" t="str">
        <f>HYPERLINK("http://141.218.60.56/~jnz1568/getInfo.php?workbook=08_02.xlsx&amp;sheet=A0&amp;row=199&amp;col=6&amp;number=&amp;sourceID=27","")</f>
        <v/>
      </c>
      <c r="G199" s="4" t="str">
        <f>HYPERLINK("http://141.218.60.56/~jnz1568/getInfo.php?workbook=08_02.xlsx&amp;sheet=A0&amp;row=199&amp;col=7&amp;number=&amp;sourceID=34","")</f>
        <v/>
      </c>
      <c r="H199" s="4" t="str">
        <f>HYPERLINK("http://141.218.60.56/~jnz1568/getInfo.php?workbook=08_02.xlsx&amp;sheet=A0&amp;row=199&amp;col=8&amp;number=&amp;sourceID=34","")</f>
        <v/>
      </c>
      <c r="I199" s="4" t="str">
        <f>HYPERLINK("http://141.218.60.56/~jnz1568/getInfo.php?workbook=08_02.xlsx&amp;sheet=A0&amp;row=199&amp;col=9&amp;number=&amp;sourceID=34","")</f>
        <v/>
      </c>
      <c r="J199" s="4" t="str">
        <f>HYPERLINK("http://141.218.60.56/~jnz1568/getInfo.php?workbook=08_02.xlsx&amp;sheet=A0&amp;row=199&amp;col=10&amp;number=&amp;sourceID=34","")</f>
        <v/>
      </c>
      <c r="K199" s="4" t="str">
        <f>HYPERLINK("http://141.218.60.56/~jnz1568/getInfo.php?workbook=08_02.xlsx&amp;sheet=A0&amp;row=199&amp;col=11&amp;number=771100&amp;sourceID=30","771100")</f>
        <v>771100</v>
      </c>
      <c r="L199" s="4" t="str">
        <f>HYPERLINK("http://141.218.60.56/~jnz1568/getInfo.php?workbook=08_02.xlsx&amp;sheet=A0&amp;row=199&amp;col=12&amp;number=&amp;sourceID=30","")</f>
        <v/>
      </c>
      <c r="M199" s="4" t="str">
        <f>HYPERLINK("http://141.218.60.56/~jnz1568/getInfo.php?workbook=08_02.xlsx&amp;sheet=A0&amp;row=199&amp;col=13&amp;number=&amp;sourceID=30","")</f>
        <v/>
      </c>
      <c r="N199" s="4" t="str">
        <f>HYPERLINK("http://141.218.60.56/~jnz1568/getInfo.php?workbook=08_02.xlsx&amp;sheet=A0&amp;row=199&amp;col=14&amp;number=&amp;sourceID=30","")</f>
        <v/>
      </c>
      <c r="O199" s="4" t="str">
        <f>HYPERLINK("http://141.218.60.56/~jnz1568/getInfo.php?workbook=08_02.xlsx&amp;sheet=A0&amp;row=199&amp;col=15&amp;number=776600&amp;sourceID=32","776600")</f>
        <v>776600</v>
      </c>
      <c r="P199" s="4" t="str">
        <f>HYPERLINK("http://141.218.60.56/~jnz1568/getInfo.php?workbook=08_02.xlsx&amp;sheet=A0&amp;row=199&amp;col=16&amp;number=&amp;sourceID=32","")</f>
        <v/>
      </c>
      <c r="Q199" s="4" t="str">
        <f>HYPERLINK("http://141.218.60.56/~jnz1568/getInfo.php?workbook=08_02.xlsx&amp;sheet=A0&amp;row=199&amp;col=17&amp;number=&amp;sourceID=32","")</f>
        <v/>
      </c>
      <c r="R199" s="4" t="str">
        <f>HYPERLINK("http://141.218.60.56/~jnz1568/getInfo.php?workbook=08_02.xlsx&amp;sheet=A0&amp;row=199&amp;col=18&amp;number=&amp;sourceID=32","")</f>
        <v/>
      </c>
      <c r="S199" s="4" t="str">
        <f>HYPERLINK("http://141.218.60.56/~jnz1568/getInfo.php?workbook=08_02.xlsx&amp;sheet=A0&amp;row=199&amp;col=19&amp;number=&amp;sourceID=1","")</f>
        <v/>
      </c>
      <c r="T199" s="4" t="str">
        <f>HYPERLINK("http://141.218.60.56/~jnz1568/getInfo.php?workbook=08_02.xlsx&amp;sheet=A0&amp;row=199&amp;col=20&amp;number=&amp;sourceID=1","")</f>
        <v/>
      </c>
    </row>
    <row r="200" spans="1:20">
      <c r="A200" s="3">
        <v>8</v>
      </c>
      <c r="B200" s="3">
        <v>2</v>
      </c>
      <c r="C200" s="3">
        <v>22</v>
      </c>
      <c r="D200" s="3">
        <v>11</v>
      </c>
      <c r="E200" s="3">
        <f>((1/(INDEX(E0!J$4:J$52,C200,1)-INDEX(E0!J$4:J$52,D200,1))))*100000000</f>
        <v>0</v>
      </c>
      <c r="F200" s="4" t="str">
        <f>HYPERLINK("http://141.218.60.56/~jnz1568/getInfo.php?workbook=08_02.xlsx&amp;sheet=A0&amp;row=200&amp;col=6&amp;number=&amp;sourceID=27","")</f>
        <v/>
      </c>
      <c r="G200" s="4" t="str">
        <f>HYPERLINK("http://141.218.60.56/~jnz1568/getInfo.php?workbook=08_02.xlsx&amp;sheet=A0&amp;row=200&amp;col=7&amp;number=&amp;sourceID=34","")</f>
        <v/>
      </c>
      <c r="H200" s="4" t="str">
        <f>HYPERLINK("http://141.218.60.56/~jnz1568/getInfo.php?workbook=08_02.xlsx&amp;sheet=A0&amp;row=200&amp;col=8&amp;number=&amp;sourceID=34","")</f>
        <v/>
      </c>
      <c r="I200" s="4" t="str">
        <f>HYPERLINK("http://141.218.60.56/~jnz1568/getInfo.php?workbook=08_02.xlsx&amp;sheet=A0&amp;row=200&amp;col=9&amp;number=&amp;sourceID=34","")</f>
        <v/>
      </c>
      <c r="J200" s="4" t="str">
        <f>HYPERLINK("http://141.218.60.56/~jnz1568/getInfo.php?workbook=08_02.xlsx&amp;sheet=A0&amp;row=200&amp;col=10&amp;number=&amp;sourceID=34","")</f>
        <v/>
      </c>
      <c r="K200" s="4" t="str">
        <f>HYPERLINK("http://141.218.60.56/~jnz1568/getInfo.php?workbook=08_02.xlsx&amp;sheet=A0&amp;row=200&amp;col=11&amp;number=&amp;sourceID=30","")</f>
        <v/>
      </c>
      <c r="L200" s="4" t="str">
        <f>HYPERLINK("http://141.218.60.56/~jnz1568/getInfo.php?workbook=08_02.xlsx&amp;sheet=A0&amp;row=200&amp;col=12&amp;number=&amp;sourceID=30","")</f>
        <v/>
      </c>
      <c r="M200" s="4" t="str">
        <f>HYPERLINK("http://141.218.60.56/~jnz1568/getInfo.php?workbook=08_02.xlsx&amp;sheet=A0&amp;row=200&amp;col=13&amp;number=&amp;sourceID=30","")</f>
        <v/>
      </c>
      <c r="N200" s="4" t="str">
        <f>HYPERLINK("http://141.218.60.56/~jnz1568/getInfo.php?workbook=08_02.xlsx&amp;sheet=A0&amp;row=200&amp;col=14&amp;number=2.329&amp;sourceID=30","2.329")</f>
        <v>2.329</v>
      </c>
      <c r="O200" s="4" t="str">
        <f>HYPERLINK("http://141.218.60.56/~jnz1568/getInfo.php?workbook=08_02.xlsx&amp;sheet=A0&amp;row=200&amp;col=15&amp;number=&amp;sourceID=32","")</f>
        <v/>
      </c>
      <c r="P200" s="4" t="str">
        <f>HYPERLINK("http://141.218.60.56/~jnz1568/getInfo.php?workbook=08_02.xlsx&amp;sheet=A0&amp;row=200&amp;col=16&amp;number=&amp;sourceID=32","")</f>
        <v/>
      </c>
      <c r="Q200" s="4" t="str">
        <f>HYPERLINK("http://141.218.60.56/~jnz1568/getInfo.php?workbook=08_02.xlsx&amp;sheet=A0&amp;row=200&amp;col=17&amp;number=&amp;sourceID=32","")</f>
        <v/>
      </c>
      <c r="R200" s="4" t="str">
        <f>HYPERLINK("http://141.218.60.56/~jnz1568/getInfo.php?workbook=08_02.xlsx&amp;sheet=A0&amp;row=200&amp;col=18&amp;number=2.367&amp;sourceID=32","2.367")</f>
        <v>2.367</v>
      </c>
      <c r="S200" s="4" t="str">
        <f>HYPERLINK("http://141.218.60.56/~jnz1568/getInfo.php?workbook=08_02.xlsx&amp;sheet=A0&amp;row=200&amp;col=19&amp;number=&amp;sourceID=1","")</f>
        <v/>
      </c>
      <c r="T200" s="4" t="str">
        <f>HYPERLINK("http://141.218.60.56/~jnz1568/getInfo.php?workbook=08_02.xlsx&amp;sheet=A0&amp;row=200&amp;col=20&amp;number=&amp;sourceID=1","")</f>
        <v/>
      </c>
    </row>
    <row r="201" spans="1:20">
      <c r="A201" s="3">
        <v>8</v>
      </c>
      <c r="B201" s="3">
        <v>2</v>
      </c>
      <c r="C201" s="3">
        <v>22</v>
      </c>
      <c r="D201" s="3">
        <v>13</v>
      </c>
      <c r="E201" s="3">
        <f>((1/(INDEX(E0!J$4:J$52,C201,1)-INDEX(E0!J$4:J$52,D201,1))))*100000000</f>
        <v>0</v>
      </c>
      <c r="F201" s="4" t="str">
        <f>HYPERLINK("http://141.218.60.56/~jnz1568/getInfo.php?workbook=08_02.xlsx&amp;sheet=A0&amp;row=201&amp;col=6&amp;number=&amp;sourceID=27","")</f>
        <v/>
      </c>
      <c r="G201" s="4" t="str">
        <f>HYPERLINK("http://141.218.60.56/~jnz1568/getInfo.php?workbook=08_02.xlsx&amp;sheet=A0&amp;row=201&amp;col=7&amp;number=&amp;sourceID=34","")</f>
        <v/>
      </c>
      <c r="H201" s="4" t="str">
        <f>HYPERLINK("http://141.218.60.56/~jnz1568/getInfo.php?workbook=08_02.xlsx&amp;sheet=A0&amp;row=201&amp;col=8&amp;number=&amp;sourceID=34","")</f>
        <v/>
      </c>
      <c r="I201" s="4" t="str">
        <f>HYPERLINK("http://141.218.60.56/~jnz1568/getInfo.php?workbook=08_02.xlsx&amp;sheet=A0&amp;row=201&amp;col=9&amp;number=&amp;sourceID=34","")</f>
        <v/>
      </c>
      <c r="J201" s="4" t="str">
        <f>HYPERLINK("http://141.218.60.56/~jnz1568/getInfo.php?workbook=08_02.xlsx&amp;sheet=A0&amp;row=201&amp;col=10&amp;number=&amp;sourceID=34","")</f>
        <v/>
      </c>
      <c r="K201" s="4" t="str">
        <f>HYPERLINK("http://141.218.60.56/~jnz1568/getInfo.php?workbook=08_02.xlsx&amp;sheet=A0&amp;row=201&amp;col=11&amp;number=&amp;sourceID=30","")</f>
        <v/>
      </c>
      <c r="L201" s="4" t="str">
        <f>HYPERLINK("http://141.218.60.56/~jnz1568/getInfo.php?workbook=08_02.xlsx&amp;sheet=A0&amp;row=201&amp;col=12&amp;number=&amp;sourceID=30","")</f>
        <v/>
      </c>
      <c r="M201" s="4" t="str">
        <f>HYPERLINK("http://141.218.60.56/~jnz1568/getInfo.php?workbook=08_02.xlsx&amp;sheet=A0&amp;row=201&amp;col=13&amp;number=1.693e-06&amp;sourceID=30","1.693e-06")</f>
        <v>1.693e-06</v>
      </c>
      <c r="N201" s="4" t="str">
        <f>HYPERLINK("http://141.218.60.56/~jnz1568/getInfo.php?workbook=08_02.xlsx&amp;sheet=A0&amp;row=201&amp;col=14&amp;number=&amp;sourceID=30","")</f>
        <v/>
      </c>
      <c r="O201" s="4" t="str">
        <f>HYPERLINK("http://141.218.60.56/~jnz1568/getInfo.php?workbook=08_02.xlsx&amp;sheet=A0&amp;row=201&amp;col=15&amp;number=&amp;sourceID=32","")</f>
        <v/>
      </c>
      <c r="P201" s="4" t="str">
        <f>HYPERLINK("http://141.218.60.56/~jnz1568/getInfo.php?workbook=08_02.xlsx&amp;sheet=A0&amp;row=201&amp;col=16&amp;number=&amp;sourceID=32","")</f>
        <v/>
      </c>
      <c r="Q201" s="4" t="str">
        <f>HYPERLINK("http://141.218.60.56/~jnz1568/getInfo.php?workbook=08_02.xlsx&amp;sheet=A0&amp;row=201&amp;col=17&amp;number=4.658e-06&amp;sourceID=32","4.658e-06")</f>
        <v>4.658e-06</v>
      </c>
      <c r="R201" s="4" t="str">
        <f>HYPERLINK("http://141.218.60.56/~jnz1568/getInfo.php?workbook=08_02.xlsx&amp;sheet=A0&amp;row=201&amp;col=18&amp;number=&amp;sourceID=32","")</f>
        <v/>
      </c>
      <c r="S201" s="4" t="str">
        <f>HYPERLINK("http://141.218.60.56/~jnz1568/getInfo.php?workbook=08_02.xlsx&amp;sheet=A0&amp;row=201&amp;col=19&amp;number=&amp;sourceID=1","")</f>
        <v/>
      </c>
      <c r="T201" s="4" t="str">
        <f>HYPERLINK("http://141.218.60.56/~jnz1568/getInfo.php?workbook=08_02.xlsx&amp;sheet=A0&amp;row=201&amp;col=20&amp;number=&amp;sourceID=1","")</f>
        <v/>
      </c>
    </row>
    <row r="202" spans="1:20">
      <c r="A202" s="3">
        <v>8</v>
      </c>
      <c r="B202" s="3">
        <v>2</v>
      </c>
      <c r="C202" s="3">
        <v>22</v>
      </c>
      <c r="D202" s="3">
        <v>14</v>
      </c>
      <c r="E202" s="3">
        <f>((1/(INDEX(E0!J$4:J$52,C202,1)-INDEX(E0!J$4:J$52,D202,1))))*100000000</f>
        <v>0</v>
      </c>
      <c r="F202" s="4" t="str">
        <f>HYPERLINK("http://141.218.60.56/~jnz1568/getInfo.php?workbook=08_02.xlsx&amp;sheet=A0&amp;row=202&amp;col=6&amp;number=&amp;sourceID=27","")</f>
        <v/>
      </c>
      <c r="G202" s="4" t="str">
        <f>HYPERLINK("http://141.218.60.56/~jnz1568/getInfo.php?workbook=08_02.xlsx&amp;sheet=A0&amp;row=202&amp;col=7&amp;number=&amp;sourceID=34","")</f>
        <v/>
      </c>
      <c r="H202" s="4" t="str">
        <f>HYPERLINK("http://141.218.60.56/~jnz1568/getInfo.php?workbook=08_02.xlsx&amp;sheet=A0&amp;row=202&amp;col=8&amp;number=&amp;sourceID=34","")</f>
        <v/>
      </c>
      <c r="I202" s="4" t="str">
        <f>HYPERLINK("http://141.218.60.56/~jnz1568/getInfo.php?workbook=08_02.xlsx&amp;sheet=A0&amp;row=202&amp;col=9&amp;number=&amp;sourceID=34","")</f>
        <v/>
      </c>
      <c r="J202" s="4" t="str">
        <f>HYPERLINK("http://141.218.60.56/~jnz1568/getInfo.php?workbook=08_02.xlsx&amp;sheet=A0&amp;row=202&amp;col=10&amp;number=&amp;sourceID=34","")</f>
        <v/>
      </c>
      <c r="K202" s="4" t="str">
        <f>HYPERLINK("http://141.218.60.56/~jnz1568/getInfo.php?workbook=08_02.xlsx&amp;sheet=A0&amp;row=202&amp;col=11&amp;number=&amp;sourceID=30","")</f>
        <v/>
      </c>
      <c r="L202" s="4" t="str">
        <f>HYPERLINK("http://141.218.60.56/~jnz1568/getInfo.php?workbook=08_02.xlsx&amp;sheet=A0&amp;row=202&amp;col=12&amp;number=1650&amp;sourceID=30","1650")</f>
        <v>1650</v>
      </c>
      <c r="M202" s="4" t="str">
        <f>HYPERLINK("http://141.218.60.56/~jnz1568/getInfo.php?workbook=08_02.xlsx&amp;sheet=A0&amp;row=202&amp;col=13&amp;number=&amp;sourceID=30","")</f>
        <v/>
      </c>
      <c r="N202" s="4" t="str">
        <f>HYPERLINK("http://141.218.60.56/~jnz1568/getInfo.php?workbook=08_02.xlsx&amp;sheet=A0&amp;row=202&amp;col=14&amp;number=&amp;sourceID=30","")</f>
        <v/>
      </c>
      <c r="O202" s="4" t="str">
        <f>HYPERLINK("http://141.218.60.56/~jnz1568/getInfo.php?workbook=08_02.xlsx&amp;sheet=A0&amp;row=202&amp;col=15&amp;number=&amp;sourceID=32","")</f>
        <v/>
      </c>
      <c r="P202" s="4" t="str">
        <f>HYPERLINK("http://141.218.60.56/~jnz1568/getInfo.php?workbook=08_02.xlsx&amp;sheet=A0&amp;row=202&amp;col=16&amp;number=2039&amp;sourceID=32","2039")</f>
        <v>2039</v>
      </c>
      <c r="Q202" s="4" t="str">
        <f>HYPERLINK("http://141.218.60.56/~jnz1568/getInfo.php?workbook=08_02.xlsx&amp;sheet=A0&amp;row=202&amp;col=17&amp;number=&amp;sourceID=32","")</f>
        <v/>
      </c>
      <c r="R202" s="4" t="str">
        <f>HYPERLINK("http://141.218.60.56/~jnz1568/getInfo.php?workbook=08_02.xlsx&amp;sheet=A0&amp;row=202&amp;col=18&amp;number=&amp;sourceID=32","")</f>
        <v/>
      </c>
      <c r="S202" s="4" t="str">
        <f>HYPERLINK("http://141.218.60.56/~jnz1568/getInfo.php?workbook=08_02.xlsx&amp;sheet=A0&amp;row=202&amp;col=19&amp;number=&amp;sourceID=1","")</f>
        <v/>
      </c>
      <c r="T202" s="4" t="str">
        <f>HYPERLINK("http://141.218.60.56/~jnz1568/getInfo.php?workbook=08_02.xlsx&amp;sheet=A0&amp;row=202&amp;col=20&amp;number=&amp;sourceID=1","")</f>
        <v/>
      </c>
    </row>
    <row r="203" spans="1:20">
      <c r="A203" s="3">
        <v>8</v>
      </c>
      <c r="B203" s="3">
        <v>2</v>
      </c>
      <c r="C203" s="3">
        <v>22</v>
      </c>
      <c r="D203" s="3">
        <v>16</v>
      </c>
      <c r="E203" s="3">
        <f>((1/(INDEX(E0!J$4:J$52,C203,1)-INDEX(E0!J$4:J$52,D203,1))))*100000000</f>
        <v>0</v>
      </c>
      <c r="F203" s="4" t="str">
        <f>HYPERLINK("http://141.218.60.56/~jnz1568/getInfo.php?workbook=08_02.xlsx&amp;sheet=A0&amp;row=203&amp;col=6&amp;number=&amp;sourceID=27","")</f>
        <v/>
      </c>
      <c r="G203" s="4" t="str">
        <f>HYPERLINK("http://141.218.60.56/~jnz1568/getInfo.php?workbook=08_02.xlsx&amp;sheet=A0&amp;row=203&amp;col=7&amp;number=&amp;sourceID=34","")</f>
        <v/>
      </c>
      <c r="H203" s="4" t="str">
        <f>HYPERLINK("http://141.218.60.56/~jnz1568/getInfo.php?workbook=08_02.xlsx&amp;sheet=A0&amp;row=203&amp;col=8&amp;number=&amp;sourceID=34","")</f>
        <v/>
      </c>
      <c r="I203" s="4" t="str">
        <f>HYPERLINK("http://141.218.60.56/~jnz1568/getInfo.php?workbook=08_02.xlsx&amp;sheet=A0&amp;row=203&amp;col=9&amp;number=&amp;sourceID=34","")</f>
        <v/>
      </c>
      <c r="J203" s="4" t="str">
        <f>HYPERLINK("http://141.218.60.56/~jnz1568/getInfo.php?workbook=08_02.xlsx&amp;sheet=A0&amp;row=203&amp;col=10&amp;number=&amp;sourceID=34","")</f>
        <v/>
      </c>
      <c r="K203" s="4" t="str">
        <f>HYPERLINK("http://141.218.60.56/~jnz1568/getInfo.php?workbook=08_02.xlsx&amp;sheet=A0&amp;row=203&amp;col=11&amp;number=&amp;sourceID=30","")</f>
        <v/>
      </c>
      <c r="L203" s="4" t="str">
        <f>HYPERLINK("http://141.218.60.56/~jnz1568/getInfo.php?workbook=08_02.xlsx&amp;sheet=A0&amp;row=203&amp;col=12&amp;number=128500&amp;sourceID=30","128500")</f>
        <v>128500</v>
      </c>
      <c r="M203" s="4" t="str">
        <f>HYPERLINK("http://141.218.60.56/~jnz1568/getInfo.php?workbook=08_02.xlsx&amp;sheet=A0&amp;row=203&amp;col=13&amp;number=&amp;sourceID=30","")</f>
        <v/>
      </c>
      <c r="N203" s="4" t="str">
        <f>HYPERLINK("http://141.218.60.56/~jnz1568/getInfo.php?workbook=08_02.xlsx&amp;sheet=A0&amp;row=203&amp;col=14&amp;number=&amp;sourceID=30","")</f>
        <v/>
      </c>
      <c r="O203" s="4" t="str">
        <f>HYPERLINK("http://141.218.60.56/~jnz1568/getInfo.php?workbook=08_02.xlsx&amp;sheet=A0&amp;row=203&amp;col=15&amp;number=&amp;sourceID=32","")</f>
        <v/>
      </c>
      <c r="P203" s="4" t="str">
        <f>HYPERLINK("http://141.218.60.56/~jnz1568/getInfo.php?workbook=08_02.xlsx&amp;sheet=A0&amp;row=203&amp;col=16&amp;number=126800&amp;sourceID=32","126800")</f>
        <v>126800</v>
      </c>
      <c r="Q203" s="4" t="str">
        <f>HYPERLINK("http://141.218.60.56/~jnz1568/getInfo.php?workbook=08_02.xlsx&amp;sheet=A0&amp;row=203&amp;col=17&amp;number=&amp;sourceID=32","")</f>
        <v/>
      </c>
      <c r="R203" s="4" t="str">
        <f>HYPERLINK("http://141.218.60.56/~jnz1568/getInfo.php?workbook=08_02.xlsx&amp;sheet=A0&amp;row=203&amp;col=18&amp;number=&amp;sourceID=32","")</f>
        <v/>
      </c>
      <c r="S203" s="4" t="str">
        <f>HYPERLINK("http://141.218.60.56/~jnz1568/getInfo.php?workbook=08_02.xlsx&amp;sheet=A0&amp;row=203&amp;col=19&amp;number=&amp;sourceID=1","")</f>
        <v/>
      </c>
      <c r="T203" s="4" t="str">
        <f>HYPERLINK("http://141.218.60.56/~jnz1568/getInfo.php?workbook=08_02.xlsx&amp;sheet=A0&amp;row=203&amp;col=20&amp;number=&amp;sourceID=1","")</f>
        <v/>
      </c>
    </row>
    <row r="204" spans="1:20">
      <c r="A204" s="3">
        <v>8</v>
      </c>
      <c r="B204" s="3">
        <v>2</v>
      </c>
      <c r="C204" s="3">
        <v>22</v>
      </c>
      <c r="D204" s="3">
        <v>17</v>
      </c>
      <c r="E204" s="3">
        <f>((1/(INDEX(E0!J$4:J$52,C204,1)-INDEX(E0!J$4:J$52,D204,1))))*100000000</f>
        <v>0</v>
      </c>
      <c r="F204" s="4" t="str">
        <f>HYPERLINK("http://141.218.60.56/~jnz1568/getInfo.php?workbook=08_02.xlsx&amp;sheet=A0&amp;row=204&amp;col=6&amp;number=&amp;sourceID=27","")</f>
        <v/>
      </c>
      <c r="G204" s="4" t="str">
        <f>HYPERLINK("http://141.218.60.56/~jnz1568/getInfo.php?workbook=08_02.xlsx&amp;sheet=A0&amp;row=204&amp;col=7&amp;number=5555000000&amp;sourceID=34","5555000000")</f>
        <v>5555000000</v>
      </c>
      <c r="H204" s="4" t="str">
        <f>HYPERLINK("http://141.218.60.56/~jnz1568/getInfo.php?workbook=08_02.xlsx&amp;sheet=A0&amp;row=204&amp;col=8&amp;number=&amp;sourceID=34","")</f>
        <v/>
      </c>
      <c r="I204" s="4" t="str">
        <f>HYPERLINK("http://141.218.60.56/~jnz1568/getInfo.php?workbook=08_02.xlsx&amp;sheet=A0&amp;row=204&amp;col=9&amp;number=&amp;sourceID=34","")</f>
        <v/>
      </c>
      <c r="J204" s="4" t="str">
        <f>HYPERLINK("http://141.218.60.56/~jnz1568/getInfo.php?workbook=08_02.xlsx&amp;sheet=A0&amp;row=204&amp;col=10&amp;number=&amp;sourceID=34","")</f>
        <v/>
      </c>
      <c r="K204" s="4" t="str">
        <f>HYPERLINK("http://141.218.60.56/~jnz1568/getInfo.php?workbook=08_02.xlsx&amp;sheet=A0&amp;row=204&amp;col=11&amp;number=5993000000&amp;sourceID=30","5993000000")</f>
        <v>5993000000</v>
      </c>
      <c r="L204" s="4" t="str">
        <f>HYPERLINK("http://141.218.60.56/~jnz1568/getInfo.php?workbook=08_02.xlsx&amp;sheet=A0&amp;row=204&amp;col=12&amp;number=&amp;sourceID=30","")</f>
        <v/>
      </c>
      <c r="M204" s="4" t="str">
        <f>HYPERLINK("http://141.218.60.56/~jnz1568/getInfo.php?workbook=08_02.xlsx&amp;sheet=A0&amp;row=204&amp;col=13&amp;number=&amp;sourceID=30","")</f>
        <v/>
      </c>
      <c r="N204" s="4" t="str">
        <f>HYPERLINK("http://141.218.60.56/~jnz1568/getInfo.php?workbook=08_02.xlsx&amp;sheet=A0&amp;row=204&amp;col=14&amp;number=&amp;sourceID=30","")</f>
        <v/>
      </c>
      <c r="O204" s="4" t="str">
        <f>HYPERLINK("http://141.218.60.56/~jnz1568/getInfo.php?workbook=08_02.xlsx&amp;sheet=A0&amp;row=204&amp;col=15&amp;number=5586000000&amp;sourceID=32","5586000000")</f>
        <v>5586000000</v>
      </c>
      <c r="P204" s="4" t="str">
        <f>HYPERLINK("http://141.218.60.56/~jnz1568/getInfo.php?workbook=08_02.xlsx&amp;sheet=A0&amp;row=204&amp;col=16&amp;number=&amp;sourceID=32","")</f>
        <v/>
      </c>
      <c r="Q204" s="4" t="str">
        <f>HYPERLINK("http://141.218.60.56/~jnz1568/getInfo.php?workbook=08_02.xlsx&amp;sheet=A0&amp;row=204&amp;col=17&amp;number=&amp;sourceID=32","")</f>
        <v/>
      </c>
      <c r="R204" s="4" t="str">
        <f>HYPERLINK("http://141.218.60.56/~jnz1568/getInfo.php?workbook=08_02.xlsx&amp;sheet=A0&amp;row=204&amp;col=18&amp;number=&amp;sourceID=32","")</f>
        <v/>
      </c>
      <c r="S204" s="4" t="str">
        <f>HYPERLINK("http://141.218.60.56/~jnz1568/getInfo.php?workbook=08_02.xlsx&amp;sheet=A0&amp;row=204&amp;col=19&amp;number=&amp;sourceID=1","")</f>
        <v/>
      </c>
      <c r="T204" s="4" t="str">
        <f>HYPERLINK("http://141.218.60.56/~jnz1568/getInfo.php?workbook=08_02.xlsx&amp;sheet=A0&amp;row=204&amp;col=20&amp;number=&amp;sourceID=1","")</f>
        <v/>
      </c>
    </row>
    <row r="205" spans="1:20">
      <c r="A205" s="3">
        <v>8</v>
      </c>
      <c r="B205" s="3">
        <v>2</v>
      </c>
      <c r="C205" s="3">
        <v>22</v>
      </c>
      <c r="D205" s="3">
        <v>18</v>
      </c>
      <c r="E205" s="3">
        <f>((1/(INDEX(E0!J$4:J$52,C205,1)-INDEX(E0!J$4:J$52,D205,1))))*100000000</f>
        <v>0</v>
      </c>
      <c r="F205" s="4" t="str">
        <f>HYPERLINK("http://141.218.60.56/~jnz1568/getInfo.php?workbook=08_02.xlsx&amp;sheet=A0&amp;row=205&amp;col=6&amp;number=&amp;sourceID=27","")</f>
        <v/>
      </c>
      <c r="G205" s="4" t="str">
        <f>HYPERLINK("http://141.218.60.56/~jnz1568/getInfo.php?workbook=08_02.xlsx&amp;sheet=A0&amp;row=205&amp;col=7&amp;number=&amp;sourceID=34","")</f>
        <v/>
      </c>
      <c r="H205" s="4" t="str">
        <f>HYPERLINK("http://141.218.60.56/~jnz1568/getInfo.php?workbook=08_02.xlsx&amp;sheet=A0&amp;row=205&amp;col=8&amp;number=&amp;sourceID=34","")</f>
        <v/>
      </c>
      <c r="I205" s="4" t="str">
        <f>HYPERLINK("http://141.218.60.56/~jnz1568/getInfo.php?workbook=08_02.xlsx&amp;sheet=A0&amp;row=205&amp;col=9&amp;number=&amp;sourceID=34","")</f>
        <v/>
      </c>
      <c r="J205" s="4" t="str">
        <f>HYPERLINK("http://141.218.60.56/~jnz1568/getInfo.php?workbook=08_02.xlsx&amp;sheet=A0&amp;row=205&amp;col=10&amp;number=&amp;sourceID=34","")</f>
        <v/>
      </c>
      <c r="K205" s="4" t="str">
        <f>HYPERLINK("http://141.218.60.56/~jnz1568/getInfo.php?workbook=08_02.xlsx&amp;sheet=A0&amp;row=205&amp;col=11&amp;number=&amp;sourceID=30","")</f>
        <v/>
      </c>
      <c r="L205" s="4" t="str">
        <f>HYPERLINK("http://141.218.60.56/~jnz1568/getInfo.php?workbook=08_02.xlsx&amp;sheet=A0&amp;row=205&amp;col=12&amp;number=&amp;sourceID=30","")</f>
        <v/>
      </c>
      <c r="M205" s="4" t="str">
        <f>HYPERLINK("http://141.218.60.56/~jnz1568/getInfo.php?workbook=08_02.xlsx&amp;sheet=A0&amp;row=205&amp;col=13&amp;number=4.045e-05&amp;sourceID=30","4.045e-05")</f>
        <v>4.045e-05</v>
      </c>
      <c r="N205" s="4" t="str">
        <f>HYPERLINK("http://141.218.60.56/~jnz1568/getInfo.php?workbook=08_02.xlsx&amp;sheet=A0&amp;row=205&amp;col=14&amp;number=&amp;sourceID=30","")</f>
        <v/>
      </c>
      <c r="O205" s="4" t="str">
        <f>HYPERLINK("http://141.218.60.56/~jnz1568/getInfo.php?workbook=08_02.xlsx&amp;sheet=A0&amp;row=205&amp;col=15&amp;number=&amp;sourceID=32","")</f>
        <v/>
      </c>
      <c r="P205" s="4" t="str">
        <f>HYPERLINK("http://141.218.60.56/~jnz1568/getInfo.php?workbook=08_02.xlsx&amp;sheet=A0&amp;row=205&amp;col=16&amp;number=&amp;sourceID=32","")</f>
        <v/>
      </c>
      <c r="Q205" s="4" t="str">
        <f>HYPERLINK("http://141.218.60.56/~jnz1568/getInfo.php?workbook=08_02.xlsx&amp;sheet=A0&amp;row=205&amp;col=17&amp;number=2.947e-05&amp;sourceID=32","2.947e-05")</f>
        <v>2.947e-05</v>
      </c>
      <c r="R205" s="4" t="str">
        <f>HYPERLINK("http://141.218.60.56/~jnz1568/getInfo.php?workbook=08_02.xlsx&amp;sheet=A0&amp;row=205&amp;col=18&amp;number=&amp;sourceID=32","")</f>
        <v/>
      </c>
      <c r="S205" s="4" t="str">
        <f>HYPERLINK("http://141.218.60.56/~jnz1568/getInfo.php?workbook=08_02.xlsx&amp;sheet=A0&amp;row=205&amp;col=19&amp;number=&amp;sourceID=1","")</f>
        <v/>
      </c>
      <c r="T205" s="4" t="str">
        <f>HYPERLINK("http://141.218.60.56/~jnz1568/getInfo.php?workbook=08_02.xlsx&amp;sheet=A0&amp;row=205&amp;col=20&amp;number=&amp;sourceID=1","")</f>
        <v/>
      </c>
    </row>
    <row r="206" spans="1:20">
      <c r="A206" s="3">
        <v>8</v>
      </c>
      <c r="B206" s="3">
        <v>2</v>
      </c>
      <c r="C206" s="3">
        <v>22</v>
      </c>
      <c r="D206" s="3">
        <v>20</v>
      </c>
      <c r="E206" s="3">
        <f>((1/(INDEX(E0!J$4:J$52,C206,1)-INDEX(E0!J$4:J$52,D206,1))))*100000000</f>
        <v>0</v>
      </c>
      <c r="F206" s="4" t="str">
        <f>HYPERLINK("http://141.218.60.56/~jnz1568/getInfo.php?workbook=08_02.xlsx&amp;sheet=A0&amp;row=206&amp;col=6&amp;number=&amp;sourceID=27","")</f>
        <v/>
      </c>
      <c r="G206" s="4" t="str">
        <f>HYPERLINK("http://141.218.60.56/~jnz1568/getInfo.php?workbook=08_02.xlsx&amp;sheet=A0&amp;row=206&amp;col=7&amp;number=&amp;sourceID=34","")</f>
        <v/>
      </c>
      <c r="H206" s="4" t="str">
        <f>HYPERLINK("http://141.218.60.56/~jnz1568/getInfo.php?workbook=08_02.xlsx&amp;sheet=A0&amp;row=206&amp;col=8&amp;number=&amp;sourceID=34","")</f>
        <v/>
      </c>
      <c r="I206" s="4" t="str">
        <f>HYPERLINK("http://141.218.60.56/~jnz1568/getInfo.php?workbook=08_02.xlsx&amp;sheet=A0&amp;row=206&amp;col=9&amp;number=&amp;sourceID=34","")</f>
        <v/>
      </c>
      <c r="J206" s="4" t="str">
        <f>HYPERLINK("http://141.218.60.56/~jnz1568/getInfo.php?workbook=08_02.xlsx&amp;sheet=A0&amp;row=206&amp;col=10&amp;number=&amp;sourceID=34","")</f>
        <v/>
      </c>
      <c r="K206" s="4" t="str">
        <f>HYPERLINK("http://141.218.60.56/~jnz1568/getInfo.php?workbook=08_02.xlsx&amp;sheet=A0&amp;row=206&amp;col=11&amp;number=1.271&amp;sourceID=30","1.271")</f>
        <v>1.271</v>
      </c>
      <c r="L206" s="4" t="str">
        <f>HYPERLINK("http://141.218.60.56/~jnz1568/getInfo.php?workbook=08_02.xlsx&amp;sheet=A0&amp;row=206&amp;col=12&amp;number=&amp;sourceID=30","")</f>
        <v/>
      </c>
      <c r="M206" s="4" t="str">
        <f>HYPERLINK("http://141.218.60.56/~jnz1568/getInfo.php?workbook=08_02.xlsx&amp;sheet=A0&amp;row=206&amp;col=13&amp;number=&amp;sourceID=30","")</f>
        <v/>
      </c>
      <c r="N206" s="4" t="str">
        <f>HYPERLINK("http://141.218.60.56/~jnz1568/getInfo.php?workbook=08_02.xlsx&amp;sheet=A0&amp;row=206&amp;col=14&amp;number=&amp;sourceID=30","")</f>
        <v/>
      </c>
      <c r="O206" s="4" t="str">
        <f>HYPERLINK("http://141.218.60.56/~jnz1568/getInfo.php?workbook=08_02.xlsx&amp;sheet=A0&amp;row=206&amp;col=15&amp;number=&amp;sourceID=32","")</f>
        <v/>
      </c>
      <c r="P206" s="4" t="str">
        <f>HYPERLINK("http://141.218.60.56/~jnz1568/getInfo.php?workbook=08_02.xlsx&amp;sheet=A0&amp;row=206&amp;col=16&amp;number=&amp;sourceID=32","")</f>
        <v/>
      </c>
      <c r="Q206" s="4" t="str">
        <f>HYPERLINK("http://141.218.60.56/~jnz1568/getInfo.php?workbook=08_02.xlsx&amp;sheet=A0&amp;row=206&amp;col=17&amp;number=&amp;sourceID=32","")</f>
        <v/>
      </c>
      <c r="R206" s="4" t="str">
        <f>HYPERLINK("http://141.218.60.56/~jnz1568/getInfo.php?workbook=08_02.xlsx&amp;sheet=A0&amp;row=206&amp;col=18&amp;number=&amp;sourceID=32","")</f>
        <v/>
      </c>
      <c r="S206" s="4" t="str">
        <f>HYPERLINK("http://141.218.60.56/~jnz1568/getInfo.php?workbook=08_02.xlsx&amp;sheet=A0&amp;row=206&amp;col=19&amp;number=&amp;sourceID=1","")</f>
        <v/>
      </c>
      <c r="T206" s="4" t="str">
        <f>HYPERLINK("http://141.218.60.56/~jnz1568/getInfo.php?workbook=08_02.xlsx&amp;sheet=A0&amp;row=206&amp;col=20&amp;number=&amp;sourceID=1","")</f>
        <v/>
      </c>
    </row>
    <row r="207" spans="1:20">
      <c r="A207" s="3">
        <v>8</v>
      </c>
      <c r="B207" s="3">
        <v>2</v>
      </c>
      <c r="C207" s="3">
        <v>22</v>
      </c>
      <c r="D207" s="3">
        <v>21</v>
      </c>
      <c r="E207" s="3">
        <f>((1/(INDEX(E0!J$4:J$52,C207,1)-INDEX(E0!J$4:J$52,D207,1))))*100000000</f>
        <v>0</v>
      </c>
      <c r="F207" s="4" t="str">
        <f>HYPERLINK("http://141.218.60.56/~jnz1568/getInfo.php?workbook=08_02.xlsx&amp;sheet=A0&amp;row=207&amp;col=6&amp;number=&amp;sourceID=27","")</f>
        <v/>
      </c>
      <c r="G207" s="4" t="str">
        <f>HYPERLINK("http://141.218.60.56/~jnz1568/getInfo.php?workbook=08_02.xlsx&amp;sheet=A0&amp;row=207&amp;col=7&amp;number=&amp;sourceID=34","")</f>
        <v/>
      </c>
      <c r="H207" s="4" t="str">
        <f>HYPERLINK("http://141.218.60.56/~jnz1568/getInfo.php?workbook=08_02.xlsx&amp;sheet=A0&amp;row=207&amp;col=8&amp;number=&amp;sourceID=34","")</f>
        <v/>
      </c>
      <c r="I207" s="4" t="str">
        <f>HYPERLINK("http://141.218.60.56/~jnz1568/getInfo.php?workbook=08_02.xlsx&amp;sheet=A0&amp;row=207&amp;col=9&amp;number=&amp;sourceID=34","")</f>
        <v/>
      </c>
      <c r="J207" s="4" t="str">
        <f>HYPERLINK("http://141.218.60.56/~jnz1568/getInfo.php?workbook=08_02.xlsx&amp;sheet=A0&amp;row=207&amp;col=10&amp;number=&amp;sourceID=34","")</f>
        <v/>
      </c>
      <c r="K207" s="4" t="str">
        <f>HYPERLINK("http://141.218.60.56/~jnz1568/getInfo.php?workbook=08_02.xlsx&amp;sheet=A0&amp;row=207&amp;col=11&amp;number=&amp;sourceID=30","")</f>
        <v/>
      </c>
      <c r="L207" s="4" t="str">
        <f>HYPERLINK("http://141.218.60.56/~jnz1568/getInfo.php?workbook=08_02.xlsx&amp;sheet=A0&amp;row=207&amp;col=12&amp;number=&amp;sourceID=30","")</f>
        <v/>
      </c>
      <c r="M207" s="4" t="str">
        <f>HYPERLINK("http://141.218.60.56/~jnz1568/getInfo.php?workbook=08_02.xlsx&amp;sheet=A0&amp;row=207&amp;col=13&amp;number=&amp;sourceID=30","")</f>
        <v/>
      </c>
      <c r="N207" s="4" t="str">
        <f>HYPERLINK("http://141.218.60.56/~jnz1568/getInfo.php?workbook=08_02.xlsx&amp;sheet=A0&amp;row=207&amp;col=14&amp;number=1.797e-11&amp;sourceID=30","1.797e-11")</f>
        <v>1.797e-11</v>
      </c>
      <c r="O207" s="4" t="str">
        <f>HYPERLINK("http://141.218.60.56/~jnz1568/getInfo.php?workbook=08_02.xlsx&amp;sheet=A0&amp;row=207&amp;col=15&amp;number=&amp;sourceID=32","")</f>
        <v/>
      </c>
      <c r="P207" s="4" t="str">
        <f>HYPERLINK("http://141.218.60.56/~jnz1568/getInfo.php?workbook=08_02.xlsx&amp;sheet=A0&amp;row=207&amp;col=16&amp;number=&amp;sourceID=32","")</f>
        <v/>
      </c>
      <c r="Q207" s="4" t="str">
        <f>HYPERLINK("http://141.218.60.56/~jnz1568/getInfo.php?workbook=08_02.xlsx&amp;sheet=A0&amp;row=207&amp;col=17&amp;number=&amp;sourceID=32","")</f>
        <v/>
      </c>
      <c r="R207" s="4" t="str">
        <f>HYPERLINK("http://141.218.60.56/~jnz1568/getInfo.php?workbook=08_02.xlsx&amp;sheet=A0&amp;row=207&amp;col=18&amp;number=&amp;sourceID=32","")</f>
        <v/>
      </c>
      <c r="S207" s="4" t="str">
        <f>HYPERLINK("http://141.218.60.56/~jnz1568/getInfo.php?workbook=08_02.xlsx&amp;sheet=A0&amp;row=207&amp;col=19&amp;number=&amp;sourceID=1","")</f>
        <v/>
      </c>
      <c r="T207" s="4" t="str">
        <f>HYPERLINK("http://141.218.60.56/~jnz1568/getInfo.php?workbook=08_02.xlsx&amp;sheet=A0&amp;row=207&amp;col=20&amp;number=&amp;sourceID=1","")</f>
        <v/>
      </c>
    </row>
    <row r="208" spans="1:20">
      <c r="A208" s="3">
        <v>8</v>
      </c>
      <c r="B208" s="3">
        <v>2</v>
      </c>
      <c r="C208" s="3">
        <v>23</v>
      </c>
      <c r="D208" s="3">
        <v>1</v>
      </c>
      <c r="E208" s="3">
        <f>((1/(INDEX(E0!J$4:J$52,C208,1)-INDEX(E0!J$4:J$52,D208,1))))*100000000</f>
        <v>0</v>
      </c>
      <c r="F208" s="4" t="str">
        <f>HYPERLINK("http://141.218.60.56/~jnz1568/getInfo.php?workbook=08_02.xlsx&amp;sheet=A0&amp;row=208&amp;col=6&amp;number=&amp;sourceID=27","")</f>
        <v/>
      </c>
      <c r="G208" s="4" t="str">
        <f>HYPERLINK("http://141.218.60.56/~jnz1568/getInfo.php?workbook=08_02.xlsx&amp;sheet=A0&amp;row=208&amp;col=7&amp;number=&amp;sourceID=34","")</f>
        <v/>
      </c>
      <c r="H208" s="4" t="str">
        <f>HYPERLINK("http://141.218.60.56/~jnz1568/getInfo.php?workbook=08_02.xlsx&amp;sheet=A0&amp;row=208&amp;col=8&amp;number=&amp;sourceID=34","")</f>
        <v/>
      </c>
      <c r="I208" s="4" t="str">
        <f>HYPERLINK("http://141.218.60.56/~jnz1568/getInfo.php?workbook=08_02.xlsx&amp;sheet=A0&amp;row=208&amp;col=9&amp;number=&amp;sourceID=34","")</f>
        <v/>
      </c>
      <c r="J208" s="4" t="str">
        <f>HYPERLINK("http://141.218.60.56/~jnz1568/getInfo.php?workbook=08_02.xlsx&amp;sheet=A0&amp;row=208&amp;col=10&amp;number=&amp;sourceID=34","")</f>
        <v/>
      </c>
      <c r="K208" s="4" t="str">
        <f>HYPERLINK("http://141.218.60.56/~jnz1568/getInfo.php?workbook=08_02.xlsx&amp;sheet=A0&amp;row=208&amp;col=11&amp;number=&amp;sourceID=30","")</f>
        <v/>
      </c>
      <c r="L208" s="4" t="str">
        <f>HYPERLINK("http://141.218.60.56/~jnz1568/getInfo.php?workbook=08_02.xlsx&amp;sheet=A0&amp;row=208&amp;col=12&amp;number=&amp;sourceID=30","")</f>
        <v/>
      </c>
      <c r="M208" s="4" t="str">
        <f>HYPERLINK("http://141.218.60.56/~jnz1568/getInfo.php?workbook=08_02.xlsx&amp;sheet=A0&amp;row=208&amp;col=13&amp;number=12.94&amp;sourceID=30","12.94")</f>
        <v>12.94</v>
      </c>
      <c r="N208" s="4" t="str">
        <f>HYPERLINK("http://141.218.60.56/~jnz1568/getInfo.php?workbook=08_02.xlsx&amp;sheet=A0&amp;row=208&amp;col=14&amp;number=&amp;sourceID=30","")</f>
        <v/>
      </c>
      <c r="O208" s="4" t="str">
        <f>HYPERLINK("http://141.218.60.56/~jnz1568/getInfo.php?workbook=08_02.xlsx&amp;sheet=A0&amp;row=208&amp;col=15&amp;number=&amp;sourceID=32","")</f>
        <v/>
      </c>
      <c r="P208" s="4" t="str">
        <f>HYPERLINK("http://141.218.60.56/~jnz1568/getInfo.php?workbook=08_02.xlsx&amp;sheet=A0&amp;row=208&amp;col=16&amp;number=&amp;sourceID=32","")</f>
        <v/>
      </c>
      <c r="Q208" s="4" t="str">
        <f>HYPERLINK("http://141.218.60.56/~jnz1568/getInfo.php?workbook=08_02.xlsx&amp;sheet=A0&amp;row=208&amp;col=17&amp;number=2.625&amp;sourceID=32","2.625")</f>
        <v>2.625</v>
      </c>
      <c r="R208" s="4" t="str">
        <f>HYPERLINK("http://141.218.60.56/~jnz1568/getInfo.php?workbook=08_02.xlsx&amp;sheet=A0&amp;row=208&amp;col=18&amp;number=&amp;sourceID=32","")</f>
        <v/>
      </c>
      <c r="S208" s="4" t="str">
        <f>HYPERLINK("http://141.218.60.56/~jnz1568/getInfo.php?workbook=08_02.xlsx&amp;sheet=A0&amp;row=208&amp;col=19&amp;number=&amp;sourceID=1","")</f>
        <v/>
      </c>
      <c r="T208" s="4" t="str">
        <f>HYPERLINK("http://141.218.60.56/~jnz1568/getInfo.php?workbook=08_02.xlsx&amp;sheet=A0&amp;row=208&amp;col=20&amp;number=&amp;sourceID=1","")</f>
        <v/>
      </c>
    </row>
    <row r="209" spans="1:20">
      <c r="A209" s="3">
        <v>8</v>
      </c>
      <c r="B209" s="3">
        <v>2</v>
      </c>
      <c r="C209" s="3">
        <v>23</v>
      </c>
      <c r="D209" s="3">
        <v>2</v>
      </c>
      <c r="E209" s="3">
        <f>((1/(INDEX(E0!J$4:J$52,C209,1)-INDEX(E0!J$4:J$52,D209,1))))*100000000</f>
        <v>0</v>
      </c>
      <c r="F209" s="4" t="str">
        <f>HYPERLINK("http://141.218.60.56/~jnz1568/getInfo.php?workbook=08_02.xlsx&amp;sheet=A0&amp;row=209&amp;col=6&amp;number=&amp;sourceID=27","")</f>
        <v/>
      </c>
      <c r="G209" s="4" t="str">
        <f>HYPERLINK("http://141.218.60.56/~jnz1568/getInfo.php?workbook=08_02.xlsx&amp;sheet=A0&amp;row=209&amp;col=7&amp;number=&amp;sourceID=34","")</f>
        <v/>
      </c>
      <c r="H209" s="4" t="str">
        <f>HYPERLINK("http://141.218.60.56/~jnz1568/getInfo.php?workbook=08_02.xlsx&amp;sheet=A0&amp;row=209&amp;col=8&amp;number=&amp;sourceID=34","")</f>
        <v/>
      </c>
      <c r="I209" s="4" t="str">
        <f>HYPERLINK("http://141.218.60.56/~jnz1568/getInfo.php?workbook=08_02.xlsx&amp;sheet=A0&amp;row=209&amp;col=9&amp;number=&amp;sourceID=34","")</f>
        <v/>
      </c>
      <c r="J209" s="4" t="str">
        <f>HYPERLINK("http://141.218.60.56/~jnz1568/getInfo.php?workbook=08_02.xlsx&amp;sheet=A0&amp;row=209&amp;col=10&amp;number=&amp;sourceID=34","")</f>
        <v/>
      </c>
      <c r="K209" s="4" t="str">
        <f>HYPERLINK("http://141.218.60.56/~jnz1568/getInfo.php?workbook=08_02.xlsx&amp;sheet=A0&amp;row=209&amp;col=11&amp;number=&amp;sourceID=30","")</f>
        <v/>
      </c>
      <c r="L209" s="4" t="str">
        <f>HYPERLINK("http://141.218.60.56/~jnz1568/getInfo.php?workbook=08_02.xlsx&amp;sheet=A0&amp;row=209&amp;col=12&amp;number=1205000&amp;sourceID=30","1205000")</f>
        <v>1205000</v>
      </c>
      <c r="M209" s="4" t="str">
        <f>HYPERLINK("http://141.218.60.56/~jnz1568/getInfo.php?workbook=08_02.xlsx&amp;sheet=A0&amp;row=209&amp;col=13&amp;number=0.03975&amp;sourceID=30","0.03975")</f>
        <v>0.03975</v>
      </c>
      <c r="N209" s="4" t="str">
        <f>HYPERLINK("http://141.218.60.56/~jnz1568/getInfo.php?workbook=08_02.xlsx&amp;sheet=A0&amp;row=209&amp;col=14&amp;number=&amp;sourceID=30","")</f>
        <v/>
      </c>
      <c r="O209" s="4" t="str">
        <f>HYPERLINK("http://141.218.60.56/~jnz1568/getInfo.php?workbook=08_02.xlsx&amp;sheet=A0&amp;row=209&amp;col=15&amp;number=&amp;sourceID=32","")</f>
        <v/>
      </c>
      <c r="P209" s="4" t="str">
        <f>HYPERLINK("http://141.218.60.56/~jnz1568/getInfo.php?workbook=08_02.xlsx&amp;sheet=A0&amp;row=209&amp;col=16&amp;number=1296000&amp;sourceID=32","1296000")</f>
        <v>1296000</v>
      </c>
      <c r="Q209" s="4" t="str">
        <f>HYPERLINK("http://141.218.60.56/~jnz1568/getInfo.php?workbook=08_02.xlsx&amp;sheet=A0&amp;row=209&amp;col=17&amp;number=0.04834&amp;sourceID=32","0.04834")</f>
        <v>0.04834</v>
      </c>
      <c r="R209" s="4" t="str">
        <f>HYPERLINK("http://141.218.60.56/~jnz1568/getInfo.php?workbook=08_02.xlsx&amp;sheet=A0&amp;row=209&amp;col=18&amp;number=&amp;sourceID=32","")</f>
        <v/>
      </c>
      <c r="S209" s="4" t="str">
        <f>HYPERLINK("http://141.218.60.56/~jnz1568/getInfo.php?workbook=08_02.xlsx&amp;sheet=A0&amp;row=209&amp;col=19&amp;number=&amp;sourceID=1","")</f>
        <v/>
      </c>
      <c r="T209" s="4" t="str">
        <f>HYPERLINK("http://141.218.60.56/~jnz1568/getInfo.php?workbook=08_02.xlsx&amp;sheet=A0&amp;row=209&amp;col=20&amp;number=&amp;sourceID=1","")</f>
        <v/>
      </c>
    </row>
    <row r="210" spans="1:20">
      <c r="A210" s="3">
        <v>8</v>
      </c>
      <c r="B210" s="3">
        <v>2</v>
      </c>
      <c r="C210" s="3">
        <v>23</v>
      </c>
      <c r="D210" s="3">
        <v>3</v>
      </c>
      <c r="E210" s="3">
        <f>((1/(INDEX(E0!J$4:J$52,C210,1)-INDEX(E0!J$4:J$52,D210,1))))*100000000</f>
        <v>0</v>
      </c>
      <c r="F210" s="4" t="str">
        <f>HYPERLINK("http://141.218.60.56/~jnz1568/getInfo.php?workbook=08_02.xlsx&amp;sheet=A0&amp;row=210&amp;col=6&amp;number=&amp;sourceID=27","")</f>
        <v/>
      </c>
      <c r="G210" s="4" t="str">
        <f>HYPERLINK("http://141.218.60.56/~jnz1568/getInfo.php?workbook=08_02.xlsx&amp;sheet=A0&amp;row=210&amp;col=7&amp;number=29580000000&amp;sourceID=34","29580000000")</f>
        <v>29580000000</v>
      </c>
      <c r="H210" s="4" t="str">
        <f>HYPERLINK("http://141.218.60.56/~jnz1568/getInfo.php?workbook=08_02.xlsx&amp;sheet=A0&amp;row=210&amp;col=8&amp;number=&amp;sourceID=34","")</f>
        <v/>
      </c>
      <c r="I210" s="4" t="str">
        <f>HYPERLINK("http://141.218.60.56/~jnz1568/getInfo.php?workbook=08_02.xlsx&amp;sheet=A0&amp;row=210&amp;col=9&amp;number=&amp;sourceID=34","")</f>
        <v/>
      </c>
      <c r="J210" s="4" t="str">
        <f>HYPERLINK("http://141.218.60.56/~jnz1568/getInfo.php?workbook=08_02.xlsx&amp;sheet=A0&amp;row=210&amp;col=10&amp;number=&amp;sourceID=34","")</f>
        <v/>
      </c>
      <c r="K210" s="4" t="str">
        <f>HYPERLINK("http://141.218.60.56/~jnz1568/getInfo.php?workbook=08_02.xlsx&amp;sheet=A0&amp;row=210&amp;col=11&amp;number=29320000000&amp;sourceID=30","29320000000")</f>
        <v>29320000000</v>
      </c>
      <c r="L210" s="4" t="str">
        <f>HYPERLINK("http://141.218.60.56/~jnz1568/getInfo.php?workbook=08_02.xlsx&amp;sheet=A0&amp;row=210&amp;col=12&amp;number=&amp;sourceID=30","")</f>
        <v/>
      </c>
      <c r="M210" s="4" t="str">
        <f>HYPERLINK("http://141.218.60.56/~jnz1568/getInfo.php?workbook=08_02.xlsx&amp;sheet=A0&amp;row=210&amp;col=13&amp;number=&amp;sourceID=30","")</f>
        <v/>
      </c>
      <c r="N210" s="4" t="str">
        <f>HYPERLINK("http://141.218.60.56/~jnz1568/getInfo.php?workbook=08_02.xlsx&amp;sheet=A0&amp;row=210&amp;col=14&amp;number=&amp;sourceID=30","")</f>
        <v/>
      </c>
      <c r="O210" s="4" t="str">
        <f>HYPERLINK("http://141.218.60.56/~jnz1568/getInfo.php?workbook=08_02.xlsx&amp;sheet=A0&amp;row=210&amp;col=15&amp;number=29570000000&amp;sourceID=32","29570000000")</f>
        <v>29570000000</v>
      </c>
      <c r="P210" s="4" t="str">
        <f>HYPERLINK("http://141.218.60.56/~jnz1568/getInfo.php?workbook=08_02.xlsx&amp;sheet=A0&amp;row=210&amp;col=16&amp;number=&amp;sourceID=32","")</f>
        <v/>
      </c>
      <c r="Q210" s="4" t="str">
        <f>HYPERLINK("http://141.218.60.56/~jnz1568/getInfo.php?workbook=08_02.xlsx&amp;sheet=A0&amp;row=210&amp;col=17&amp;number=&amp;sourceID=32","")</f>
        <v/>
      </c>
      <c r="R210" s="4" t="str">
        <f>HYPERLINK("http://141.218.60.56/~jnz1568/getInfo.php?workbook=08_02.xlsx&amp;sheet=A0&amp;row=210&amp;col=18&amp;number=&amp;sourceID=32","")</f>
        <v/>
      </c>
      <c r="S210" s="4" t="str">
        <f>HYPERLINK("http://141.218.60.56/~jnz1568/getInfo.php?workbook=08_02.xlsx&amp;sheet=A0&amp;row=210&amp;col=19&amp;number=&amp;sourceID=1","")</f>
        <v/>
      </c>
      <c r="T210" s="4" t="str">
        <f>HYPERLINK("http://141.218.60.56/~jnz1568/getInfo.php?workbook=08_02.xlsx&amp;sheet=A0&amp;row=210&amp;col=20&amp;number=&amp;sourceID=1","")</f>
        <v/>
      </c>
    </row>
    <row r="211" spans="1:20">
      <c r="A211" s="3">
        <v>8</v>
      </c>
      <c r="B211" s="3">
        <v>2</v>
      </c>
      <c r="C211" s="3">
        <v>23</v>
      </c>
      <c r="D211" s="3">
        <v>4</v>
      </c>
      <c r="E211" s="3">
        <f>((1/(INDEX(E0!J$4:J$52,C211,1)-INDEX(E0!J$4:J$52,D211,1))))*100000000</f>
        <v>0</v>
      </c>
      <c r="F211" s="4" t="str">
        <f>HYPERLINK("http://141.218.60.56/~jnz1568/getInfo.php?workbook=08_02.xlsx&amp;sheet=A0&amp;row=211&amp;col=6&amp;number=&amp;sourceID=27","")</f>
        <v/>
      </c>
      <c r="G211" s="4" t="str">
        <f>HYPERLINK("http://141.218.60.56/~jnz1568/getInfo.php?workbook=08_02.xlsx&amp;sheet=A0&amp;row=211&amp;col=7&amp;number=22180000000&amp;sourceID=34","22180000000")</f>
        <v>22180000000</v>
      </c>
      <c r="H211" s="4" t="str">
        <f>HYPERLINK("http://141.218.60.56/~jnz1568/getInfo.php?workbook=08_02.xlsx&amp;sheet=A0&amp;row=211&amp;col=8&amp;number=&amp;sourceID=34","")</f>
        <v/>
      </c>
      <c r="I211" s="4" t="str">
        <f>HYPERLINK("http://141.218.60.56/~jnz1568/getInfo.php?workbook=08_02.xlsx&amp;sheet=A0&amp;row=211&amp;col=9&amp;number=&amp;sourceID=34","")</f>
        <v/>
      </c>
      <c r="J211" s="4" t="str">
        <f>HYPERLINK("http://141.218.60.56/~jnz1568/getInfo.php?workbook=08_02.xlsx&amp;sheet=A0&amp;row=211&amp;col=10&amp;number=&amp;sourceID=34","")</f>
        <v/>
      </c>
      <c r="K211" s="4" t="str">
        <f>HYPERLINK("http://141.218.60.56/~jnz1568/getInfo.php?workbook=08_02.xlsx&amp;sheet=A0&amp;row=211&amp;col=11&amp;number=21980000000&amp;sourceID=30","21980000000")</f>
        <v>21980000000</v>
      </c>
      <c r="L211" s="4" t="str">
        <f>HYPERLINK("http://141.218.60.56/~jnz1568/getInfo.php?workbook=08_02.xlsx&amp;sheet=A0&amp;row=211&amp;col=12&amp;number=&amp;sourceID=30","")</f>
        <v/>
      </c>
      <c r="M211" s="4" t="str">
        <f>HYPERLINK("http://141.218.60.56/~jnz1568/getInfo.php?workbook=08_02.xlsx&amp;sheet=A0&amp;row=211&amp;col=13&amp;number=&amp;sourceID=30","")</f>
        <v/>
      </c>
      <c r="N211" s="4" t="str">
        <f>HYPERLINK("http://141.218.60.56/~jnz1568/getInfo.php?workbook=08_02.xlsx&amp;sheet=A0&amp;row=211&amp;col=14&amp;number=14.2&amp;sourceID=30","14.2")</f>
        <v>14.2</v>
      </c>
      <c r="O211" s="4" t="str">
        <f>HYPERLINK("http://141.218.60.56/~jnz1568/getInfo.php?workbook=08_02.xlsx&amp;sheet=A0&amp;row=211&amp;col=15&amp;number=22170000000&amp;sourceID=32","22170000000")</f>
        <v>22170000000</v>
      </c>
      <c r="P211" s="4" t="str">
        <f>HYPERLINK("http://141.218.60.56/~jnz1568/getInfo.php?workbook=08_02.xlsx&amp;sheet=A0&amp;row=211&amp;col=16&amp;number=&amp;sourceID=32","")</f>
        <v/>
      </c>
      <c r="Q211" s="4" t="str">
        <f>HYPERLINK("http://141.218.60.56/~jnz1568/getInfo.php?workbook=08_02.xlsx&amp;sheet=A0&amp;row=211&amp;col=17&amp;number=&amp;sourceID=32","")</f>
        <v/>
      </c>
      <c r="R211" s="4" t="str">
        <f>HYPERLINK("http://141.218.60.56/~jnz1568/getInfo.php?workbook=08_02.xlsx&amp;sheet=A0&amp;row=211&amp;col=18&amp;number=14.52&amp;sourceID=32","14.52")</f>
        <v>14.52</v>
      </c>
      <c r="S211" s="4" t="str">
        <f>HYPERLINK("http://141.218.60.56/~jnz1568/getInfo.php?workbook=08_02.xlsx&amp;sheet=A0&amp;row=211&amp;col=19&amp;number=&amp;sourceID=1","")</f>
        <v/>
      </c>
      <c r="T211" s="4" t="str">
        <f>HYPERLINK("http://141.218.60.56/~jnz1568/getInfo.php?workbook=08_02.xlsx&amp;sheet=A0&amp;row=211&amp;col=20&amp;number=&amp;sourceID=1","")</f>
        <v/>
      </c>
    </row>
    <row r="212" spans="1:20">
      <c r="A212" s="3">
        <v>8</v>
      </c>
      <c r="B212" s="3">
        <v>2</v>
      </c>
      <c r="C212" s="3">
        <v>23</v>
      </c>
      <c r="D212" s="3">
        <v>5</v>
      </c>
      <c r="E212" s="3">
        <f>((1/(INDEX(E0!J$4:J$52,C212,1)-INDEX(E0!J$4:J$52,D212,1))))*100000000</f>
        <v>0</v>
      </c>
      <c r="F212" s="4" t="str">
        <f>HYPERLINK("http://141.218.60.56/~jnz1568/getInfo.php?workbook=08_02.xlsx&amp;sheet=A0&amp;row=212&amp;col=6&amp;number=&amp;sourceID=27","")</f>
        <v/>
      </c>
      <c r="G212" s="4" t="str">
        <f>HYPERLINK("http://141.218.60.56/~jnz1568/getInfo.php?workbook=08_02.xlsx&amp;sheet=A0&amp;row=212&amp;col=7&amp;number=1476000000&amp;sourceID=34","1476000000")</f>
        <v>1476000000</v>
      </c>
      <c r="H212" s="4" t="str">
        <f>HYPERLINK("http://141.218.60.56/~jnz1568/getInfo.php?workbook=08_02.xlsx&amp;sheet=A0&amp;row=212&amp;col=8&amp;number=&amp;sourceID=34","")</f>
        <v/>
      </c>
      <c r="I212" s="4" t="str">
        <f>HYPERLINK("http://141.218.60.56/~jnz1568/getInfo.php?workbook=08_02.xlsx&amp;sheet=A0&amp;row=212&amp;col=9&amp;number=&amp;sourceID=34","")</f>
        <v/>
      </c>
      <c r="J212" s="4" t="str">
        <f>HYPERLINK("http://141.218.60.56/~jnz1568/getInfo.php?workbook=08_02.xlsx&amp;sheet=A0&amp;row=212&amp;col=10&amp;number=&amp;sourceID=34","")</f>
        <v/>
      </c>
      <c r="K212" s="4" t="str">
        <f>HYPERLINK("http://141.218.60.56/~jnz1568/getInfo.php?workbook=08_02.xlsx&amp;sheet=A0&amp;row=212&amp;col=11&amp;number=1463000000&amp;sourceID=30","1463000000")</f>
        <v>1463000000</v>
      </c>
      <c r="L212" s="4" t="str">
        <f>HYPERLINK("http://141.218.60.56/~jnz1568/getInfo.php?workbook=08_02.xlsx&amp;sheet=A0&amp;row=212&amp;col=12&amp;number=&amp;sourceID=30","")</f>
        <v/>
      </c>
      <c r="M212" s="4" t="str">
        <f>HYPERLINK("http://141.218.60.56/~jnz1568/getInfo.php?workbook=08_02.xlsx&amp;sheet=A0&amp;row=212&amp;col=13&amp;number=&amp;sourceID=30","")</f>
        <v/>
      </c>
      <c r="N212" s="4" t="str">
        <f>HYPERLINK("http://141.218.60.56/~jnz1568/getInfo.php?workbook=08_02.xlsx&amp;sheet=A0&amp;row=212&amp;col=14&amp;number=2.013e-07&amp;sourceID=30","2.013e-07")</f>
        <v>2.013e-07</v>
      </c>
      <c r="O212" s="4" t="str">
        <f>HYPERLINK("http://141.218.60.56/~jnz1568/getInfo.php?workbook=08_02.xlsx&amp;sheet=A0&amp;row=212&amp;col=15&amp;number=1476000000&amp;sourceID=32","1476000000")</f>
        <v>1476000000</v>
      </c>
      <c r="P212" s="4" t="str">
        <f>HYPERLINK("http://141.218.60.56/~jnz1568/getInfo.php?workbook=08_02.xlsx&amp;sheet=A0&amp;row=212&amp;col=16&amp;number=&amp;sourceID=32","")</f>
        <v/>
      </c>
      <c r="Q212" s="4" t="str">
        <f>HYPERLINK("http://141.218.60.56/~jnz1568/getInfo.php?workbook=08_02.xlsx&amp;sheet=A0&amp;row=212&amp;col=17&amp;number=&amp;sourceID=32","")</f>
        <v/>
      </c>
      <c r="R212" s="4" t="str">
        <f>HYPERLINK("http://141.218.60.56/~jnz1568/getInfo.php?workbook=08_02.xlsx&amp;sheet=A0&amp;row=212&amp;col=18&amp;number=0.000129&amp;sourceID=32","0.000129")</f>
        <v>0.000129</v>
      </c>
      <c r="S212" s="4" t="str">
        <f>HYPERLINK("http://141.218.60.56/~jnz1568/getInfo.php?workbook=08_02.xlsx&amp;sheet=A0&amp;row=212&amp;col=19&amp;number=&amp;sourceID=1","")</f>
        <v/>
      </c>
      <c r="T212" s="4" t="str">
        <f>HYPERLINK("http://141.218.60.56/~jnz1568/getInfo.php?workbook=08_02.xlsx&amp;sheet=A0&amp;row=212&amp;col=20&amp;number=&amp;sourceID=1","")</f>
        <v/>
      </c>
    </row>
    <row r="213" spans="1:20">
      <c r="A213" s="3">
        <v>8</v>
      </c>
      <c r="B213" s="3">
        <v>2</v>
      </c>
      <c r="C213" s="3">
        <v>23</v>
      </c>
      <c r="D213" s="3">
        <v>6</v>
      </c>
      <c r="E213" s="3">
        <f>((1/(INDEX(E0!J$4:J$52,C213,1)-INDEX(E0!J$4:J$52,D213,1))))*100000000</f>
        <v>0</v>
      </c>
      <c r="F213" s="4" t="str">
        <f>HYPERLINK("http://141.218.60.56/~jnz1568/getInfo.php?workbook=08_02.xlsx&amp;sheet=A0&amp;row=213&amp;col=6&amp;number=&amp;sourceID=27","")</f>
        <v/>
      </c>
      <c r="G213" s="4" t="str">
        <f>HYPERLINK("http://141.218.60.56/~jnz1568/getInfo.php?workbook=08_02.xlsx&amp;sheet=A0&amp;row=213&amp;col=7&amp;number=&amp;sourceID=34","")</f>
        <v/>
      </c>
      <c r="H213" s="4" t="str">
        <f>HYPERLINK("http://141.218.60.56/~jnz1568/getInfo.php?workbook=08_02.xlsx&amp;sheet=A0&amp;row=213&amp;col=8&amp;number=&amp;sourceID=34","")</f>
        <v/>
      </c>
      <c r="I213" s="4" t="str">
        <f>HYPERLINK("http://141.218.60.56/~jnz1568/getInfo.php?workbook=08_02.xlsx&amp;sheet=A0&amp;row=213&amp;col=9&amp;number=&amp;sourceID=34","")</f>
        <v/>
      </c>
      <c r="J213" s="4" t="str">
        <f>HYPERLINK("http://141.218.60.56/~jnz1568/getInfo.php?workbook=08_02.xlsx&amp;sheet=A0&amp;row=213&amp;col=10&amp;number=&amp;sourceID=34","")</f>
        <v/>
      </c>
      <c r="K213" s="4" t="str">
        <f>HYPERLINK("http://141.218.60.56/~jnz1568/getInfo.php?workbook=08_02.xlsx&amp;sheet=A0&amp;row=213&amp;col=11&amp;number=&amp;sourceID=30","")</f>
        <v/>
      </c>
      <c r="L213" s="4" t="str">
        <f>HYPERLINK("http://141.218.60.56/~jnz1568/getInfo.php?workbook=08_02.xlsx&amp;sheet=A0&amp;row=213&amp;col=12&amp;number=&amp;sourceID=30","")</f>
        <v/>
      </c>
      <c r="M213" s="4" t="str">
        <f>HYPERLINK("http://141.218.60.56/~jnz1568/getInfo.php?workbook=08_02.xlsx&amp;sheet=A0&amp;row=213&amp;col=13&amp;number=0.01121&amp;sourceID=30","0.01121")</f>
        <v>0.01121</v>
      </c>
      <c r="N213" s="4" t="str">
        <f>HYPERLINK("http://141.218.60.56/~jnz1568/getInfo.php?workbook=08_02.xlsx&amp;sheet=A0&amp;row=213&amp;col=14&amp;number=&amp;sourceID=30","")</f>
        <v/>
      </c>
      <c r="O213" s="4" t="str">
        <f>HYPERLINK("http://141.218.60.56/~jnz1568/getInfo.php?workbook=08_02.xlsx&amp;sheet=A0&amp;row=213&amp;col=15&amp;number=&amp;sourceID=32","")</f>
        <v/>
      </c>
      <c r="P213" s="4" t="str">
        <f>HYPERLINK("http://141.218.60.56/~jnz1568/getInfo.php?workbook=08_02.xlsx&amp;sheet=A0&amp;row=213&amp;col=16&amp;number=&amp;sourceID=32","")</f>
        <v/>
      </c>
      <c r="Q213" s="4" t="str">
        <f>HYPERLINK("http://141.218.60.56/~jnz1568/getInfo.php?workbook=08_02.xlsx&amp;sheet=A0&amp;row=213&amp;col=17&amp;number=0.02058&amp;sourceID=32","0.02058")</f>
        <v>0.02058</v>
      </c>
      <c r="R213" s="4" t="str">
        <f>HYPERLINK("http://141.218.60.56/~jnz1568/getInfo.php?workbook=08_02.xlsx&amp;sheet=A0&amp;row=213&amp;col=18&amp;number=&amp;sourceID=32","")</f>
        <v/>
      </c>
      <c r="S213" s="4" t="str">
        <f>HYPERLINK("http://141.218.60.56/~jnz1568/getInfo.php?workbook=08_02.xlsx&amp;sheet=A0&amp;row=213&amp;col=19&amp;number=&amp;sourceID=1","")</f>
        <v/>
      </c>
      <c r="T213" s="4" t="str">
        <f>HYPERLINK("http://141.218.60.56/~jnz1568/getInfo.php?workbook=08_02.xlsx&amp;sheet=A0&amp;row=213&amp;col=20&amp;number=&amp;sourceID=1","")</f>
        <v/>
      </c>
    </row>
    <row r="214" spans="1:20">
      <c r="A214" s="3">
        <v>8</v>
      </c>
      <c r="B214" s="3">
        <v>2</v>
      </c>
      <c r="C214" s="3">
        <v>23</v>
      </c>
      <c r="D214" s="3">
        <v>7</v>
      </c>
      <c r="E214" s="3">
        <f>((1/(INDEX(E0!J$4:J$52,C214,1)-INDEX(E0!J$4:J$52,D214,1))))*100000000</f>
        <v>0</v>
      </c>
      <c r="F214" s="4" t="str">
        <f>HYPERLINK("http://141.218.60.56/~jnz1568/getInfo.php?workbook=08_02.xlsx&amp;sheet=A0&amp;row=214&amp;col=6&amp;number=&amp;sourceID=27","")</f>
        <v/>
      </c>
      <c r="G214" s="4" t="str">
        <f>HYPERLINK("http://141.218.60.56/~jnz1568/getInfo.php?workbook=08_02.xlsx&amp;sheet=A0&amp;row=214&amp;col=7&amp;number=&amp;sourceID=34","")</f>
        <v/>
      </c>
      <c r="H214" s="4" t="str">
        <f>HYPERLINK("http://141.218.60.56/~jnz1568/getInfo.php?workbook=08_02.xlsx&amp;sheet=A0&amp;row=214&amp;col=8&amp;number=&amp;sourceID=34","")</f>
        <v/>
      </c>
      <c r="I214" s="4" t="str">
        <f>HYPERLINK("http://141.218.60.56/~jnz1568/getInfo.php?workbook=08_02.xlsx&amp;sheet=A0&amp;row=214&amp;col=9&amp;number=&amp;sourceID=34","")</f>
        <v/>
      </c>
      <c r="J214" s="4" t="str">
        <f>HYPERLINK("http://141.218.60.56/~jnz1568/getInfo.php?workbook=08_02.xlsx&amp;sheet=A0&amp;row=214&amp;col=10&amp;number=&amp;sourceID=34","")</f>
        <v/>
      </c>
      <c r="K214" s="4" t="str">
        <f>HYPERLINK("http://141.218.60.56/~jnz1568/getInfo.php?workbook=08_02.xlsx&amp;sheet=A0&amp;row=214&amp;col=11&amp;number=2909000&amp;sourceID=30","2909000")</f>
        <v>2909000</v>
      </c>
      <c r="L214" s="4" t="str">
        <f>HYPERLINK("http://141.218.60.56/~jnz1568/getInfo.php?workbook=08_02.xlsx&amp;sheet=A0&amp;row=214&amp;col=12&amp;number=&amp;sourceID=30","")</f>
        <v/>
      </c>
      <c r="M214" s="4" t="str">
        <f>HYPERLINK("http://141.218.60.56/~jnz1568/getInfo.php?workbook=08_02.xlsx&amp;sheet=A0&amp;row=214&amp;col=13&amp;number=&amp;sourceID=30","")</f>
        <v/>
      </c>
      <c r="N214" s="4" t="str">
        <f>HYPERLINK("http://141.218.60.56/~jnz1568/getInfo.php?workbook=08_02.xlsx&amp;sheet=A0&amp;row=214&amp;col=14&amp;number=5.727&amp;sourceID=30","5.727")</f>
        <v>5.727</v>
      </c>
      <c r="O214" s="4" t="str">
        <f>HYPERLINK("http://141.218.60.56/~jnz1568/getInfo.php?workbook=08_02.xlsx&amp;sheet=A0&amp;row=214&amp;col=15&amp;number=3060000&amp;sourceID=32","3060000")</f>
        <v>3060000</v>
      </c>
      <c r="P214" s="4" t="str">
        <f>HYPERLINK("http://141.218.60.56/~jnz1568/getInfo.php?workbook=08_02.xlsx&amp;sheet=A0&amp;row=214&amp;col=16&amp;number=&amp;sourceID=32","")</f>
        <v/>
      </c>
      <c r="Q214" s="4" t="str">
        <f>HYPERLINK("http://141.218.60.56/~jnz1568/getInfo.php?workbook=08_02.xlsx&amp;sheet=A0&amp;row=214&amp;col=17&amp;number=&amp;sourceID=32","")</f>
        <v/>
      </c>
      <c r="R214" s="4" t="str">
        <f>HYPERLINK("http://141.218.60.56/~jnz1568/getInfo.php?workbook=08_02.xlsx&amp;sheet=A0&amp;row=214&amp;col=18&amp;number=5.671&amp;sourceID=32","5.671")</f>
        <v>5.671</v>
      </c>
      <c r="S214" s="4" t="str">
        <f>HYPERLINK("http://141.218.60.56/~jnz1568/getInfo.php?workbook=08_02.xlsx&amp;sheet=A0&amp;row=214&amp;col=19&amp;number=&amp;sourceID=1","")</f>
        <v/>
      </c>
      <c r="T214" s="4" t="str">
        <f>HYPERLINK("http://141.218.60.56/~jnz1568/getInfo.php?workbook=08_02.xlsx&amp;sheet=A0&amp;row=214&amp;col=20&amp;number=&amp;sourceID=1","")</f>
        <v/>
      </c>
    </row>
    <row r="215" spans="1:20">
      <c r="A215" s="3">
        <v>8</v>
      </c>
      <c r="B215" s="3">
        <v>2</v>
      </c>
      <c r="C215" s="3">
        <v>23</v>
      </c>
      <c r="D215" s="3">
        <v>8</v>
      </c>
      <c r="E215" s="3">
        <f>((1/(INDEX(E0!J$4:J$52,C215,1)-INDEX(E0!J$4:J$52,D215,1))))*100000000</f>
        <v>0</v>
      </c>
      <c r="F215" s="4" t="str">
        <f>HYPERLINK("http://141.218.60.56/~jnz1568/getInfo.php?workbook=08_02.xlsx&amp;sheet=A0&amp;row=215&amp;col=6&amp;number=&amp;sourceID=27","")</f>
        <v/>
      </c>
      <c r="G215" s="4" t="str">
        <f>HYPERLINK("http://141.218.60.56/~jnz1568/getInfo.php?workbook=08_02.xlsx&amp;sheet=A0&amp;row=215&amp;col=7&amp;number=&amp;sourceID=34","")</f>
        <v/>
      </c>
      <c r="H215" s="4" t="str">
        <f>HYPERLINK("http://141.218.60.56/~jnz1568/getInfo.php?workbook=08_02.xlsx&amp;sheet=A0&amp;row=215&amp;col=8&amp;number=&amp;sourceID=34","")</f>
        <v/>
      </c>
      <c r="I215" s="4" t="str">
        <f>HYPERLINK("http://141.218.60.56/~jnz1568/getInfo.php?workbook=08_02.xlsx&amp;sheet=A0&amp;row=215&amp;col=9&amp;number=&amp;sourceID=34","")</f>
        <v/>
      </c>
      <c r="J215" s="4" t="str">
        <f>HYPERLINK("http://141.218.60.56/~jnz1568/getInfo.php?workbook=08_02.xlsx&amp;sheet=A0&amp;row=215&amp;col=10&amp;number=&amp;sourceID=34","")</f>
        <v/>
      </c>
      <c r="K215" s="4" t="str">
        <f>HYPERLINK("http://141.218.60.56/~jnz1568/getInfo.php?workbook=08_02.xlsx&amp;sheet=A0&amp;row=215&amp;col=11&amp;number=&amp;sourceID=30","")</f>
        <v/>
      </c>
      <c r="L215" s="4" t="str">
        <f>HYPERLINK("http://141.218.60.56/~jnz1568/getInfo.php?workbook=08_02.xlsx&amp;sheet=A0&amp;row=215&amp;col=12&amp;number=536900&amp;sourceID=30","536900")</f>
        <v>536900</v>
      </c>
      <c r="M215" s="4" t="str">
        <f>HYPERLINK("http://141.218.60.56/~jnz1568/getInfo.php?workbook=08_02.xlsx&amp;sheet=A0&amp;row=215&amp;col=13&amp;number=0.0008064&amp;sourceID=30","0.0008064")</f>
        <v>0.0008064</v>
      </c>
      <c r="N215" s="4" t="str">
        <f>HYPERLINK("http://141.218.60.56/~jnz1568/getInfo.php?workbook=08_02.xlsx&amp;sheet=A0&amp;row=215&amp;col=14&amp;number=&amp;sourceID=30","")</f>
        <v/>
      </c>
      <c r="O215" s="4" t="str">
        <f>HYPERLINK("http://141.218.60.56/~jnz1568/getInfo.php?workbook=08_02.xlsx&amp;sheet=A0&amp;row=215&amp;col=15&amp;number=&amp;sourceID=32","")</f>
        <v/>
      </c>
      <c r="P215" s="4" t="str">
        <f>HYPERLINK("http://141.218.60.56/~jnz1568/getInfo.php?workbook=08_02.xlsx&amp;sheet=A0&amp;row=215&amp;col=16&amp;number=540100&amp;sourceID=32","540100")</f>
        <v>540100</v>
      </c>
      <c r="Q215" s="4" t="str">
        <f>HYPERLINK("http://141.218.60.56/~jnz1568/getInfo.php?workbook=08_02.xlsx&amp;sheet=A0&amp;row=215&amp;col=17&amp;number=0.0009022&amp;sourceID=32","0.0009022")</f>
        <v>0.0009022</v>
      </c>
      <c r="R215" s="4" t="str">
        <f>HYPERLINK("http://141.218.60.56/~jnz1568/getInfo.php?workbook=08_02.xlsx&amp;sheet=A0&amp;row=215&amp;col=18&amp;number=&amp;sourceID=32","")</f>
        <v/>
      </c>
      <c r="S215" s="4" t="str">
        <f>HYPERLINK("http://141.218.60.56/~jnz1568/getInfo.php?workbook=08_02.xlsx&amp;sheet=A0&amp;row=215&amp;col=19&amp;number=&amp;sourceID=1","")</f>
        <v/>
      </c>
      <c r="T215" s="4" t="str">
        <f>HYPERLINK("http://141.218.60.56/~jnz1568/getInfo.php?workbook=08_02.xlsx&amp;sheet=A0&amp;row=215&amp;col=20&amp;number=&amp;sourceID=1","")</f>
        <v/>
      </c>
    </row>
    <row r="216" spans="1:20">
      <c r="A216" s="3">
        <v>8</v>
      </c>
      <c r="B216" s="3">
        <v>2</v>
      </c>
      <c r="C216" s="3">
        <v>23</v>
      </c>
      <c r="D216" s="3">
        <v>9</v>
      </c>
      <c r="E216" s="3">
        <f>((1/(INDEX(E0!J$4:J$52,C216,1)-INDEX(E0!J$4:J$52,D216,1))))*100000000</f>
        <v>0</v>
      </c>
      <c r="F216" s="4" t="str">
        <f>HYPERLINK("http://141.218.60.56/~jnz1568/getInfo.php?workbook=08_02.xlsx&amp;sheet=A0&amp;row=216&amp;col=6&amp;number=&amp;sourceID=27","")</f>
        <v/>
      </c>
      <c r="G216" s="4" t="str">
        <f>HYPERLINK("http://141.218.60.56/~jnz1568/getInfo.php?workbook=08_02.xlsx&amp;sheet=A0&amp;row=216&amp;col=7&amp;number=9260000000&amp;sourceID=34","9260000000")</f>
        <v>9260000000</v>
      </c>
      <c r="H216" s="4" t="str">
        <f>HYPERLINK("http://141.218.60.56/~jnz1568/getInfo.php?workbook=08_02.xlsx&amp;sheet=A0&amp;row=216&amp;col=8&amp;number=&amp;sourceID=34","")</f>
        <v/>
      </c>
      <c r="I216" s="4" t="str">
        <f>HYPERLINK("http://141.218.60.56/~jnz1568/getInfo.php?workbook=08_02.xlsx&amp;sheet=A0&amp;row=216&amp;col=9&amp;number=&amp;sourceID=34","")</f>
        <v/>
      </c>
      <c r="J216" s="4" t="str">
        <f>HYPERLINK("http://141.218.60.56/~jnz1568/getInfo.php?workbook=08_02.xlsx&amp;sheet=A0&amp;row=216&amp;col=10&amp;number=&amp;sourceID=34","")</f>
        <v/>
      </c>
      <c r="K216" s="4" t="str">
        <f>HYPERLINK("http://141.218.60.56/~jnz1568/getInfo.php?workbook=08_02.xlsx&amp;sheet=A0&amp;row=216&amp;col=11&amp;number=9239000000&amp;sourceID=30","9239000000")</f>
        <v>9239000000</v>
      </c>
      <c r="L216" s="4" t="str">
        <f>HYPERLINK("http://141.218.60.56/~jnz1568/getInfo.php?workbook=08_02.xlsx&amp;sheet=A0&amp;row=216&amp;col=12&amp;number=&amp;sourceID=30","")</f>
        <v/>
      </c>
      <c r="M216" s="4" t="str">
        <f>HYPERLINK("http://141.218.60.56/~jnz1568/getInfo.php?workbook=08_02.xlsx&amp;sheet=A0&amp;row=216&amp;col=13&amp;number=&amp;sourceID=30","")</f>
        <v/>
      </c>
      <c r="N216" s="4" t="str">
        <f>HYPERLINK("http://141.218.60.56/~jnz1568/getInfo.php?workbook=08_02.xlsx&amp;sheet=A0&amp;row=216&amp;col=14&amp;number=&amp;sourceID=30","")</f>
        <v/>
      </c>
      <c r="O216" s="4" t="str">
        <f>HYPERLINK("http://141.218.60.56/~jnz1568/getInfo.php?workbook=08_02.xlsx&amp;sheet=A0&amp;row=216&amp;col=15&amp;number=9264000000&amp;sourceID=32","9264000000")</f>
        <v>9264000000</v>
      </c>
      <c r="P216" s="4" t="str">
        <f>HYPERLINK("http://141.218.60.56/~jnz1568/getInfo.php?workbook=08_02.xlsx&amp;sheet=A0&amp;row=216&amp;col=16&amp;number=&amp;sourceID=32","")</f>
        <v/>
      </c>
      <c r="Q216" s="4" t="str">
        <f>HYPERLINK("http://141.218.60.56/~jnz1568/getInfo.php?workbook=08_02.xlsx&amp;sheet=A0&amp;row=216&amp;col=17&amp;number=&amp;sourceID=32","")</f>
        <v/>
      </c>
      <c r="R216" s="4" t="str">
        <f>HYPERLINK("http://141.218.60.56/~jnz1568/getInfo.php?workbook=08_02.xlsx&amp;sheet=A0&amp;row=216&amp;col=18&amp;number=&amp;sourceID=32","")</f>
        <v/>
      </c>
      <c r="S216" s="4" t="str">
        <f>HYPERLINK("http://141.218.60.56/~jnz1568/getInfo.php?workbook=08_02.xlsx&amp;sheet=A0&amp;row=216&amp;col=19&amp;number=&amp;sourceID=1","")</f>
        <v/>
      </c>
      <c r="T216" s="4" t="str">
        <f>HYPERLINK("http://141.218.60.56/~jnz1568/getInfo.php?workbook=08_02.xlsx&amp;sheet=A0&amp;row=216&amp;col=20&amp;number=&amp;sourceID=1","")</f>
        <v/>
      </c>
    </row>
    <row r="217" spans="1:20">
      <c r="A217" s="3">
        <v>8</v>
      </c>
      <c r="B217" s="3">
        <v>2</v>
      </c>
      <c r="C217" s="3">
        <v>23</v>
      </c>
      <c r="D217" s="3">
        <v>10</v>
      </c>
      <c r="E217" s="3">
        <f>((1/(INDEX(E0!J$4:J$52,C217,1)-INDEX(E0!J$4:J$52,D217,1))))*100000000</f>
        <v>0</v>
      </c>
      <c r="F217" s="4" t="str">
        <f>HYPERLINK("http://141.218.60.56/~jnz1568/getInfo.php?workbook=08_02.xlsx&amp;sheet=A0&amp;row=217&amp;col=6&amp;number=&amp;sourceID=27","")</f>
        <v/>
      </c>
      <c r="G217" s="4" t="str">
        <f>HYPERLINK("http://141.218.60.56/~jnz1568/getInfo.php?workbook=08_02.xlsx&amp;sheet=A0&amp;row=217&amp;col=7&amp;number=6943333333.33&amp;sourceID=34","6943333333.33")</f>
        <v>6943333333.33</v>
      </c>
      <c r="H217" s="4" t="str">
        <f>HYPERLINK("http://141.218.60.56/~jnz1568/getInfo.php?workbook=08_02.xlsx&amp;sheet=A0&amp;row=217&amp;col=8&amp;number=&amp;sourceID=34","")</f>
        <v/>
      </c>
      <c r="I217" s="4" t="str">
        <f>HYPERLINK("http://141.218.60.56/~jnz1568/getInfo.php?workbook=08_02.xlsx&amp;sheet=A0&amp;row=217&amp;col=9&amp;number=&amp;sourceID=34","")</f>
        <v/>
      </c>
      <c r="J217" s="4" t="str">
        <f>HYPERLINK("http://141.218.60.56/~jnz1568/getInfo.php?workbook=08_02.xlsx&amp;sheet=A0&amp;row=217&amp;col=10&amp;number=&amp;sourceID=34","")</f>
        <v/>
      </c>
      <c r="K217" s="4" t="str">
        <f>HYPERLINK("http://141.218.60.56/~jnz1568/getInfo.php?workbook=08_02.xlsx&amp;sheet=A0&amp;row=217&amp;col=11&amp;number=6930000000&amp;sourceID=30","6930000000")</f>
        <v>6930000000</v>
      </c>
      <c r="L217" s="4" t="str">
        <f>HYPERLINK("http://141.218.60.56/~jnz1568/getInfo.php?workbook=08_02.xlsx&amp;sheet=A0&amp;row=217&amp;col=12&amp;number=&amp;sourceID=30","")</f>
        <v/>
      </c>
      <c r="M217" s="4" t="str">
        <f>HYPERLINK("http://141.218.60.56/~jnz1568/getInfo.php?workbook=08_02.xlsx&amp;sheet=A0&amp;row=217&amp;col=13&amp;number=&amp;sourceID=30","")</f>
        <v/>
      </c>
      <c r="N217" s="4" t="str">
        <f>HYPERLINK("http://141.218.60.56/~jnz1568/getInfo.php?workbook=08_02.xlsx&amp;sheet=A0&amp;row=217&amp;col=14&amp;number=0.3031&amp;sourceID=30","0.3031")</f>
        <v>0.3031</v>
      </c>
      <c r="O217" s="4" t="str">
        <f>HYPERLINK("http://141.218.60.56/~jnz1568/getInfo.php?workbook=08_02.xlsx&amp;sheet=A0&amp;row=217&amp;col=15&amp;number=6949000000&amp;sourceID=32","6949000000")</f>
        <v>6949000000</v>
      </c>
      <c r="P217" s="4" t="str">
        <f>HYPERLINK("http://141.218.60.56/~jnz1568/getInfo.php?workbook=08_02.xlsx&amp;sheet=A0&amp;row=217&amp;col=16&amp;number=&amp;sourceID=32","")</f>
        <v/>
      </c>
      <c r="Q217" s="4" t="str">
        <f>HYPERLINK("http://141.218.60.56/~jnz1568/getInfo.php?workbook=08_02.xlsx&amp;sheet=A0&amp;row=217&amp;col=17&amp;number=&amp;sourceID=32","")</f>
        <v/>
      </c>
      <c r="R217" s="4" t="str">
        <f>HYPERLINK("http://141.218.60.56/~jnz1568/getInfo.php?workbook=08_02.xlsx&amp;sheet=A0&amp;row=217&amp;col=18&amp;number=0.3049&amp;sourceID=32","0.3049")</f>
        <v>0.3049</v>
      </c>
      <c r="S217" s="4" t="str">
        <f>HYPERLINK("http://141.218.60.56/~jnz1568/getInfo.php?workbook=08_02.xlsx&amp;sheet=A0&amp;row=217&amp;col=19&amp;number=&amp;sourceID=1","")</f>
        <v/>
      </c>
      <c r="T217" s="4" t="str">
        <f>HYPERLINK("http://141.218.60.56/~jnz1568/getInfo.php?workbook=08_02.xlsx&amp;sheet=A0&amp;row=217&amp;col=20&amp;number=&amp;sourceID=1","")</f>
        <v/>
      </c>
    </row>
    <row r="218" spans="1:20">
      <c r="A218" s="3">
        <v>8</v>
      </c>
      <c r="B218" s="3">
        <v>2</v>
      </c>
      <c r="C218" s="3">
        <v>23</v>
      </c>
      <c r="D218" s="3">
        <v>11</v>
      </c>
      <c r="E218" s="3">
        <f>((1/(INDEX(E0!J$4:J$52,C218,1)-INDEX(E0!J$4:J$52,D218,1))))*100000000</f>
        <v>0</v>
      </c>
      <c r="F218" s="4" t="str">
        <f>HYPERLINK("http://141.218.60.56/~jnz1568/getInfo.php?workbook=08_02.xlsx&amp;sheet=A0&amp;row=218&amp;col=6&amp;number=&amp;sourceID=27","")</f>
        <v/>
      </c>
      <c r="G218" s="4" t="str">
        <f>HYPERLINK("http://141.218.60.56/~jnz1568/getInfo.php?workbook=08_02.xlsx&amp;sheet=A0&amp;row=218&amp;col=7&amp;number=463000000&amp;sourceID=34","463000000")</f>
        <v>463000000</v>
      </c>
      <c r="H218" s="4" t="str">
        <f>HYPERLINK("http://141.218.60.56/~jnz1568/getInfo.php?workbook=08_02.xlsx&amp;sheet=A0&amp;row=218&amp;col=8&amp;number=&amp;sourceID=34","")</f>
        <v/>
      </c>
      <c r="I218" s="4" t="str">
        <f>HYPERLINK("http://141.218.60.56/~jnz1568/getInfo.php?workbook=08_02.xlsx&amp;sheet=A0&amp;row=218&amp;col=9&amp;number=&amp;sourceID=34","")</f>
        <v/>
      </c>
      <c r="J218" s="4" t="str">
        <f>HYPERLINK("http://141.218.60.56/~jnz1568/getInfo.php?workbook=08_02.xlsx&amp;sheet=A0&amp;row=218&amp;col=10&amp;number=&amp;sourceID=34","")</f>
        <v/>
      </c>
      <c r="K218" s="4" t="str">
        <f>HYPERLINK("http://141.218.60.56/~jnz1568/getInfo.php?workbook=08_02.xlsx&amp;sheet=A0&amp;row=218&amp;col=11&amp;number=461800000&amp;sourceID=30","461800000")</f>
        <v>461800000</v>
      </c>
      <c r="L218" s="4" t="str">
        <f>HYPERLINK("http://141.218.60.56/~jnz1568/getInfo.php?workbook=08_02.xlsx&amp;sheet=A0&amp;row=218&amp;col=12&amp;number=&amp;sourceID=30","")</f>
        <v/>
      </c>
      <c r="M218" s="4" t="str">
        <f>HYPERLINK("http://141.218.60.56/~jnz1568/getInfo.php?workbook=08_02.xlsx&amp;sheet=A0&amp;row=218&amp;col=13&amp;number=&amp;sourceID=30","")</f>
        <v/>
      </c>
      <c r="N218" s="4" t="str">
        <f>HYPERLINK("http://141.218.60.56/~jnz1568/getInfo.php?workbook=08_02.xlsx&amp;sheet=A0&amp;row=218&amp;col=14&amp;number=2.807e-08&amp;sourceID=30","2.807e-08")</f>
        <v>2.807e-08</v>
      </c>
      <c r="O218" s="4" t="str">
        <f>HYPERLINK("http://141.218.60.56/~jnz1568/getInfo.php?workbook=08_02.xlsx&amp;sheet=A0&amp;row=218&amp;col=15&amp;number=463100000&amp;sourceID=32","463100000")</f>
        <v>463100000</v>
      </c>
      <c r="P218" s="4" t="str">
        <f>HYPERLINK("http://141.218.60.56/~jnz1568/getInfo.php?workbook=08_02.xlsx&amp;sheet=A0&amp;row=218&amp;col=16&amp;number=&amp;sourceID=32","")</f>
        <v/>
      </c>
      <c r="Q218" s="4" t="str">
        <f>HYPERLINK("http://141.218.60.56/~jnz1568/getInfo.php?workbook=08_02.xlsx&amp;sheet=A0&amp;row=218&amp;col=17&amp;number=&amp;sourceID=32","")</f>
        <v/>
      </c>
      <c r="R218" s="4" t="str">
        <f>HYPERLINK("http://141.218.60.56/~jnz1568/getInfo.php?workbook=08_02.xlsx&amp;sheet=A0&amp;row=218&amp;col=18&amp;number=1.405e-08&amp;sourceID=32","1.405e-08")</f>
        <v>1.405e-08</v>
      </c>
      <c r="S218" s="4" t="str">
        <f>HYPERLINK("http://141.218.60.56/~jnz1568/getInfo.php?workbook=08_02.xlsx&amp;sheet=A0&amp;row=218&amp;col=19&amp;number=&amp;sourceID=1","")</f>
        <v/>
      </c>
      <c r="T218" s="4" t="str">
        <f>HYPERLINK("http://141.218.60.56/~jnz1568/getInfo.php?workbook=08_02.xlsx&amp;sheet=A0&amp;row=218&amp;col=20&amp;number=&amp;sourceID=1","")</f>
        <v/>
      </c>
    </row>
    <row r="219" spans="1:20">
      <c r="A219" s="3">
        <v>8</v>
      </c>
      <c r="B219" s="3">
        <v>2</v>
      </c>
      <c r="C219" s="3">
        <v>23</v>
      </c>
      <c r="D219" s="3">
        <v>12</v>
      </c>
      <c r="E219" s="3">
        <f>((1/(INDEX(E0!J$4:J$52,C219,1)-INDEX(E0!J$4:J$52,D219,1))))*100000000</f>
        <v>0</v>
      </c>
      <c r="F219" s="4" t="str">
        <f>HYPERLINK("http://141.218.60.56/~jnz1568/getInfo.php?workbook=08_02.xlsx&amp;sheet=A0&amp;row=219&amp;col=6&amp;number=&amp;sourceID=27","")</f>
        <v/>
      </c>
      <c r="G219" s="4" t="str">
        <f>HYPERLINK("http://141.218.60.56/~jnz1568/getInfo.php?workbook=08_02.xlsx&amp;sheet=A0&amp;row=219&amp;col=7&amp;number=&amp;sourceID=34","")</f>
        <v/>
      </c>
      <c r="H219" s="4" t="str">
        <f>HYPERLINK("http://141.218.60.56/~jnz1568/getInfo.php?workbook=08_02.xlsx&amp;sheet=A0&amp;row=219&amp;col=8&amp;number=&amp;sourceID=34","")</f>
        <v/>
      </c>
      <c r="I219" s="4" t="str">
        <f>HYPERLINK("http://141.218.60.56/~jnz1568/getInfo.php?workbook=08_02.xlsx&amp;sheet=A0&amp;row=219&amp;col=9&amp;number=&amp;sourceID=34","")</f>
        <v/>
      </c>
      <c r="J219" s="4" t="str">
        <f>HYPERLINK("http://141.218.60.56/~jnz1568/getInfo.php?workbook=08_02.xlsx&amp;sheet=A0&amp;row=219&amp;col=10&amp;number=&amp;sourceID=34","")</f>
        <v/>
      </c>
      <c r="K219" s="4" t="str">
        <f>HYPERLINK("http://141.218.60.56/~jnz1568/getInfo.php?workbook=08_02.xlsx&amp;sheet=A0&amp;row=219&amp;col=11&amp;number=&amp;sourceID=30","")</f>
        <v/>
      </c>
      <c r="L219" s="4" t="str">
        <f>HYPERLINK("http://141.218.60.56/~jnz1568/getInfo.php?workbook=08_02.xlsx&amp;sheet=A0&amp;row=219&amp;col=12&amp;number=&amp;sourceID=30","")</f>
        <v/>
      </c>
      <c r="M219" s="4" t="str">
        <f>HYPERLINK("http://141.218.60.56/~jnz1568/getInfo.php?workbook=08_02.xlsx&amp;sheet=A0&amp;row=219&amp;col=13&amp;number=0.0001048&amp;sourceID=30","0.0001048")</f>
        <v>0.0001048</v>
      </c>
      <c r="N219" s="4" t="str">
        <f>HYPERLINK("http://141.218.60.56/~jnz1568/getInfo.php?workbook=08_02.xlsx&amp;sheet=A0&amp;row=219&amp;col=14&amp;number=&amp;sourceID=30","")</f>
        <v/>
      </c>
      <c r="O219" s="4" t="str">
        <f>HYPERLINK("http://141.218.60.56/~jnz1568/getInfo.php?workbook=08_02.xlsx&amp;sheet=A0&amp;row=219&amp;col=15&amp;number=&amp;sourceID=32","")</f>
        <v/>
      </c>
      <c r="P219" s="4" t="str">
        <f>HYPERLINK("http://141.218.60.56/~jnz1568/getInfo.php?workbook=08_02.xlsx&amp;sheet=A0&amp;row=219&amp;col=16&amp;number=&amp;sourceID=32","")</f>
        <v/>
      </c>
      <c r="Q219" s="4" t="str">
        <f>HYPERLINK("http://141.218.60.56/~jnz1568/getInfo.php?workbook=08_02.xlsx&amp;sheet=A0&amp;row=219&amp;col=17&amp;number=0.0001553&amp;sourceID=32","0.0001553")</f>
        <v>0.0001553</v>
      </c>
      <c r="R219" s="4" t="str">
        <f>HYPERLINK("http://141.218.60.56/~jnz1568/getInfo.php?workbook=08_02.xlsx&amp;sheet=A0&amp;row=219&amp;col=18&amp;number=&amp;sourceID=32","")</f>
        <v/>
      </c>
      <c r="S219" s="4" t="str">
        <f>HYPERLINK("http://141.218.60.56/~jnz1568/getInfo.php?workbook=08_02.xlsx&amp;sheet=A0&amp;row=219&amp;col=19&amp;number=&amp;sourceID=1","")</f>
        <v/>
      </c>
      <c r="T219" s="4" t="str">
        <f>HYPERLINK("http://141.218.60.56/~jnz1568/getInfo.php?workbook=08_02.xlsx&amp;sheet=A0&amp;row=219&amp;col=20&amp;number=&amp;sourceID=1","")</f>
        <v/>
      </c>
    </row>
    <row r="220" spans="1:20">
      <c r="A220" s="3">
        <v>8</v>
      </c>
      <c r="B220" s="3">
        <v>2</v>
      </c>
      <c r="C220" s="3">
        <v>23</v>
      </c>
      <c r="D220" s="3">
        <v>13</v>
      </c>
      <c r="E220" s="3">
        <f>((1/(INDEX(E0!J$4:J$52,C220,1)-INDEX(E0!J$4:J$52,D220,1))))*100000000</f>
        <v>0</v>
      </c>
      <c r="F220" s="4" t="str">
        <f>HYPERLINK("http://141.218.60.56/~jnz1568/getInfo.php?workbook=08_02.xlsx&amp;sheet=A0&amp;row=220&amp;col=6&amp;number=&amp;sourceID=27","")</f>
        <v/>
      </c>
      <c r="G220" s="4" t="str">
        <f>HYPERLINK("http://141.218.60.56/~jnz1568/getInfo.php?workbook=08_02.xlsx&amp;sheet=A0&amp;row=220&amp;col=7&amp;number=&amp;sourceID=34","")</f>
        <v/>
      </c>
      <c r="H220" s="4" t="str">
        <f>HYPERLINK("http://141.218.60.56/~jnz1568/getInfo.php?workbook=08_02.xlsx&amp;sheet=A0&amp;row=220&amp;col=8&amp;number=&amp;sourceID=34","")</f>
        <v/>
      </c>
      <c r="I220" s="4" t="str">
        <f>HYPERLINK("http://141.218.60.56/~jnz1568/getInfo.php?workbook=08_02.xlsx&amp;sheet=A0&amp;row=220&amp;col=9&amp;number=&amp;sourceID=34","")</f>
        <v/>
      </c>
      <c r="J220" s="4" t="str">
        <f>HYPERLINK("http://141.218.60.56/~jnz1568/getInfo.php?workbook=08_02.xlsx&amp;sheet=A0&amp;row=220&amp;col=10&amp;number=&amp;sourceID=34","")</f>
        <v/>
      </c>
      <c r="K220" s="4" t="str">
        <f>HYPERLINK("http://141.218.60.56/~jnz1568/getInfo.php?workbook=08_02.xlsx&amp;sheet=A0&amp;row=220&amp;col=11&amp;number=&amp;sourceID=30","")</f>
        <v/>
      </c>
      <c r="L220" s="4" t="str">
        <f>HYPERLINK("http://141.218.60.56/~jnz1568/getInfo.php?workbook=08_02.xlsx&amp;sheet=A0&amp;row=220&amp;col=12&amp;number=48980&amp;sourceID=30","48980")</f>
        <v>48980</v>
      </c>
      <c r="M220" s="4" t="str">
        <f>HYPERLINK("http://141.218.60.56/~jnz1568/getInfo.php?workbook=08_02.xlsx&amp;sheet=A0&amp;row=220&amp;col=13&amp;number=0.004322&amp;sourceID=30","0.004322")</f>
        <v>0.004322</v>
      </c>
      <c r="N220" s="4" t="str">
        <f>HYPERLINK("http://141.218.60.56/~jnz1568/getInfo.php?workbook=08_02.xlsx&amp;sheet=A0&amp;row=220&amp;col=14&amp;number=&amp;sourceID=30","")</f>
        <v/>
      </c>
      <c r="O220" s="4" t="str">
        <f>HYPERLINK("http://141.218.60.56/~jnz1568/getInfo.php?workbook=08_02.xlsx&amp;sheet=A0&amp;row=220&amp;col=15&amp;number=&amp;sourceID=32","")</f>
        <v/>
      </c>
      <c r="P220" s="4" t="str">
        <f>HYPERLINK("http://141.218.60.56/~jnz1568/getInfo.php?workbook=08_02.xlsx&amp;sheet=A0&amp;row=220&amp;col=16&amp;number=49020&amp;sourceID=32","49020")</f>
        <v>49020</v>
      </c>
      <c r="Q220" s="4" t="str">
        <f>HYPERLINK("http://141.218.60.56/~jnz1568/getInfo.php?workbook=08_02.xlsx&amp;sheet=A0&amp;row=220&amp;col=17&amp;number=0.004797&amp;sourceID=32","0.004797")</f>
        <v>0.004797</v>
      </c>
      <c r="R220" s="4" t="str">
        <f>HYPERLINK("http://141.218.60.56/~jnz1568/getInfo.php?workbook=08_02.xlsx&amp;sheet=A0&amp;row=220&amp;col=18&amp;number=&amp;sourceID=32","")</f>
        <v/>
      </c>
      <c r="S220" s="4" t="str">
        <f>HYPERLINK("http://141.218.60.56/~jnz1568/getInfo.php?workbook=08_02.xlsx&amp;sheet=A0&amp;row=220&amp;col=19&amp;number=&amp;sourceID=1","")</f>
        <v/>
      </c>
      <c r="T220" s="4" t="str">
        <f>HYPERLINK("http://141.218.60.56/~jnz1568/getInfo.php?workbook=08_02.xlsx&amp;sheet=A0&amp;row=220&amp;col=20&amp;number=&amp;sourceID=1","")</f>
        <v/>
      </c>
    </row>
    <row r="221" spans="1:20">
      <c r="A221" s="3">
        <v>8</v>
      </c>
      <c r="B221" s="3">
        <v>2</v>
      </c>
      <c r="C221" s="3">
        <v>23</v>
      </c>
      <c r="D221" s="3">
        <v>14</v>
      </c>
      <c r="E221" s="3">
        <f>((1/(INDEX(E0!J$4:J$52,C221,1)-INDEX(E0!J$4:J$52,D221,1))))*100000000</f>
        <v>0</v>
      </c>
      <c r="F221" s="4" t="str">
        <f>HYPERLINK("http://141.218.60.56/~jnz1568/getInfo.php?workbook=08_02.xlsx&amp;sheet=A0&amp;row=221&amp;col=6&amp;number=&amp;sourceID=27","")</f>
        <v/>
      </c>
      <c r="G221" s="4" t="str">
        <f>HYPERLINK("http://141.218.60.56/~jnz1568/getInfo.php?workbook=08_02.xlsx&amp;sheet=A0&amp;row=221&amp;col=7&amp;number=&amp;sourceID=34","")</f>
        <v/>
      </c>
      <c r="H221" s="4" t="str">
        <f>HYPERLINK("http://141.218.60.56/~jnz1568/getInfo.php?workbook=08_02.xlsx&amp;sheet=A0&amp;row=221&amp;col=8&amp;number=&amp;sourceID=34","")</f>
        <v/>
      </c>
      <c r="I221" s="4" t="str">
        <f>HYPERLINK("http://141.218.60.56/~jnz1568/getInfo.php?workbook=08_02.xlsx&amp;sheet=A0&amp;row=221&amp;col=9&amp;number=&amp;sourceID=34","")</f>
        <v/>
      </c>
      <c r="J221" s="4" t="str">
        <f>HYPERLINK("http://141.218.60.56/~jnz1568/getInfo.php?workbook=08_02.xlsx&amp;sheet=A0&amp;row=221&amp;col=10&amp;number=&amp;sourceID=34","")</f>
        <v/>
      </c>
      <c r="K221" s="4" t="str">
        <f>HYPERLINK("http://141.218.60.56/~jnz1568/getInfo.php?workbook=08_02.xlsx&amp;sheet=A0&amp;row=221&amp;col=11&amp;number=&amp;sourceID=30","")</f>
        <v/>
      </c>
      <c r="L221" s="4" t="str">
        <f>HYPERLINK("http://141.218.60.56/~jnz1568/getInfo.php?workbook=08_02.xlsx&amp;sheet=A0&amp;row=221&amp;col=12&amp;number=80690&amp;sourceID=30","80690")</f>
        <v>80690</v>
      </c>
      <c r="M221" s="4" t="str">
        <f>HYPERLINK("http://141.218.60.56/~jnz1568/getInfo.php?workbook=08_02.xlsx&amp;sheet=A0&amp;row=221&amp;col=13&amp;number=1.41e-05&amp;sourceID=30","1.41e-05")</f>
        <v>1.41e-05</v>
      </c>
      <c r="N221" s="4" t="str">
        <f>HYPERLINK("http://141.218.60.56/~jnz1568/getInfo.php?workbook=08_02.xlsx&amp;sheet=A0&amp;row=221&amp;col=14&amp;number=&amp;sourceID=30","")</f>
        <v/>
      </c>
      <c r="O221" s="4" t="str">
        <f>HYPERLINK("http://141.218.60.56/~jnz1568/getInfo.php?workbook=08_02.xlsx&amp;sheet=A0&amp;row=221&amp;col=15&amp;number=&amp;sourceID=32","")</f>
        <v/>
      </c>
      <c r="P221" s="4" t="str">
        <f>HYPERLINK("http://141.218.60.56/~jnz1568/getInfo.php?workbook=08_02.xlsx&amp;sheet=A0&amp;row=221&amp;col=16&amp;number=80510&amp;sourceID=32","80510")</f>
        <v>80510</v>
      </c>
      <c r="Q221" s="4" t="str">
        <f>HYPERLINK("http://141.218.60.56/~jnz1568/getInfo.php?workbook=08_02.xlsx&amp;sheet=A0&amp;row=221&amp;col=17&amp;number=1.41e-06&amp;sourceID=32","1.41e-06")</f>
        <v>1.41e-06</v>
      </c>
      <c r="R221" s="4" t="str">
        <f>HYPERLINK("http://141.218.60.56/~jnz1568/getInfo.php?workbook=08_02.xlsx&amp;sheet=A0&amp;row=221&amp;col=18&amp;number=&amp;sourceID=32","")</f>
        <v/>
      </c>
      <c r="S221" s="4" t="str">
        <f>HYPERLINK("http://141.218.60.56/~jnz1568/getInfo.php?workbook=08_02.xlsx&amp;sheet=A0&amp;row=221&amp;col=19&amp;number=&amp;sourceID=1","")</f>
        <v/>
      </c>
      <c r="T221" s="4" t="str">
        <f>HYPERLINK("http://141.218.60.56/~jnz1568/getInfo.php?workbook=08_02.xlsx&amp;sheet=A0&amp;row=221&amp;col=20&amp;number=&amp;sourceID=1","")</f>
        <v/>
      </c>
    </row>
    <row r="222" spans="1:20">
      <c r="A222" s="3">
        <v>8</v>
      </c>
      <c r="B222" s="3">
        <v>2</v>
      </c>
      <c r="C222" s="3">
        <v>23</v>
      </c>
      <c r="D222" s="3">
        <v>15</v>
      </c>
      <c r="E222" s="3">
        <f>((1/(INDEX(E0!J$4:J$52,C222,1)-INDEX(E0!J$4:J$52,D222,1))))*100000000</f>
        <v>0</v>
      </c>
      <c r="F222" s="4" t="str">
        <f>HYPERLINK("http://141.218.60.56/~jnz1568/getInfo.php?workbook=08_02.xlsx&amp;sheet=A0&amp;row=222&amp;col=6&amp;number=&amp;sourceID=27","")</f>
        <v/>
      </c>
      <c r="G222" s="4" t="str">
        <f>HYPERLINK("http://141.218.60.56/~jnz1568/getInfo.php?workbook=08_02.xlsx&amp;sheet=A0&amp;row=222&amp;col=7&amp;number=&amp;sourceID=34","")</f>
        <v/>
      </c>
      <c r="H222" s="4" t="str">
        <f>HYPERLINK("http://141.218.60.56/~jnz1568/getInfo.php?workbook=08_02.xlsx&amp;sheet=A0&amp;row=222&amp;col=8&amp;number=&amp;sourceID=34","")</f>
        <v/>
      </c>
      <c r="I222" s="4" t="str">
        <f>HYPERLINK("http://141.218.60.56/~jnz1568/getInfo.php?workbook=08_02.xlsx&amp;sheet=A0&amp;row=222&amp;col=9&amp;number=&amp;sourceID=34","")</f>
        <v/>
      </c>
      <c r="J222" s="4" t="str">
        <f>HYPERLINK("http://141.218.60.56/~jnz1568/getInfo.php?workbook=08_02.xlsx&amp;sheet=A0&amp;row=222&amp;col=10&amp;number=&amp;sourceID=34","")</f>
        <v/>
      </c>
      <c r="K222" s="4" t="str">
        <f>HYPERLINK("http://141.218.60.56/~jnz1568/getInfo.php?workbook=08_02.xlsx&amp;sheet=A0&amp;row=222&amp;col=11&amp;number=&amp;sourceID=30","")</f>
        <v/>
      </c>
      <c r="L222" s="4" t="str">
        <f>HYPERLINK("http://141.218.60.56/~jnz1568/getInfo.php?workbook=08_02.xlsx&amp;sheet=A0&amp;row=222&amp;col=12&amp;number=9328&amp;sourceID=30","9328")</f>
        <v>9328</v>
      </c>
      <c r="M222" s="4" t="str">
        <f>HYPERLINK("http://141.218.60.56/~jnz1568/getInfo.php?workbook=08_02.xlsx&amp;sheet=A0&amp;row=222&amp;col=13&amp;number=&amp;sourceID=30","")</f>
        <v/>
      </c>
      <c r="N222" s="4" t="str">
        <f>HYPERLINK("http://141.218.60.56/~jnz1568/getInfo.php?workbook=08_02.xlsx&amp;sheet=A0&amp;row=222&amp;col=14&amp;number=&amp;sourceID=30","")</f>
        <v/>
      </c>
      <c r="O222" s="4" t="str">
        <f>HYPERLINK("http://141.218.60.56/~jnz1568/getInfo.php?workbook=08_02.xlsx&amp;sheet=A0&amp;row=222&amp;col=15&amp;number=&amp;sourceID=32","")</f>
        <v/>
      </c>
      <c r="P222" s="4" t="str">
        <f>HYPERLINK("http://141.218.60.56/~jnz1568/getInfo.php?workbook=08_02.xlsx&amp;sheet=A0&amp;row=222&amp;col=16&amp;number=9337&amp;sourceID=32","9337")</f>
        <v>9337</v>
      </c>
      <c r="Q222" s="4" t="str">
        <f>HYPERLINK("http://141.218.60.56/~jnz1568/getInfo.php?workbook=08_02.xlsx&amp;sheet=A0&amp;row=222&amp;col=17&amp;number=&amp;sourceID=32","")</f>
        <v/>
      </c>
      <c r="R222" s="4" t="str">
        <f>HYPERLINK("http://141.218.60.56/~jnz1568/getInfo.php?workbook=08_02.xlsx&amp;sheet=A0&amp;row=222&amp;col=18&amp;number=&amp;sourceID=32","")</f>
        <v/>
      </c>
      <c r="S222" s="4" t="str">
        <f>HYPERLINK("http://141.218.60.56/~jnz1568/getInfo.php?workbook=08_02.xlsx&amp;sheet=A0&amp;row=222&amp;col=19&amp;number=&amp;sourceID=1","")</f>
        <v/>
      </c>
      <c r="T222" s="4" t="str">
        <f>HYPERLINK("http://141.218.60.56/~jnz1568/getInfo.php?workbook=08_02.xlsx&amp;sheet=A0&amp;row=222&amp;col=20&amp;number=&amp;sourceID=1","")</f>
        <v/>
      </c>
    </row>
    <row r="223" spans="1:20">
      <c r="A223" s="3">
        <v>8</v>
      </c>
      <c r="B223" s="3">
        <v>2</v>
      </c>
      <c r="C223" s="3">
        <v>23</v>
      </c>
      <c r="D223" s="3">
        <v>16</v>
      </c>
      <c r="E223" s="3">
        <f>((1/(INDEX(E0!J$4:J$52,C223,1)-INDEX(E0!J$4:J$52,D223,1))))*100000000</f>
        <v>0</v>
      </c>
      <c r="F223" s="4" t="str">
        <f>HYPERLINK("http://141.218.60.56/~jnz1568/getInfo.php?workbook=08_02.xlsx&amp;sheet=A0&amp;row=223&amp;col=6&amp;number=&amp;sourceID=27","")</f>
        <v/>
      </c>
      <c r="G223" s="4" t="str">
        <f>HYPERLINK("http://141.218.60.56/~jnz1568/getInfo.php?workbook=08_02.xlsx&amp;sheet=A0&amp;row=223&amp;col=7&amp;number=&amp;sourceID=34","")</f>
        <v/>
      </c>
      <c r="H223" s="4" t="str">
        <f>HYPERLINK("http://141.218.60.56/~jnz1568/getInfo.php?workbook=08_02.xlsx&amp;sheet=A0&amp;row=223&amp;col=8&amp;number=&amp;sourceID=34","")</f>
        <v/>
      </c>
      <c r="I223" s="4" t="str">
        <f>HYPERLINK("http://141.218.60.56/~jnz1568/getInfo.php?workbook=08_02.xlsx&amp;sheet=A0&amp;row=223&amp;col=9&amp;number=&amp;sourceID=34","")</f>
        <v/>
      </c>
      <c r="J223" s="4" t="str">
        <f>HYPERLINK("http://141.218.60.56/~jnz1568/getInfo.php?workbook=08_02.xlsx&amp;sheet=A0&amp;row=223&amp;col=10&amp;number=&amp;sourceID=34","")</f>
        <v/>
      </c>
      <c r="K223" s="4" t="str">
        <f>HYPERLINK("http://141.218.60.56/~jnz1568/getInfo.php?workbook=08_02.xlsx&amp;sheet=A0&amp;row=223&amp;col=11&amp;number=&amp;sourceID=30","")</f>
        <v/>
      </c>
      <c r="L223" s="4" t="str">
        <f>HYPERLINK("http://141.218.60.56/~jnz1568/getInfo.php?workbook=08_02.xlsx&amp;sheet=A0&amp;row=223&amp;col=12&amp;number=1036&amp;sourceID=30","1036")</f>
        <v>1036</v>
      </c>
      <c r="M223" s="4" t="str">
        <f>HYPERLINK("http://141.218.60.56/~jnz1568/getInfo.php?workbook=08_02.xlsx&amp;sheet=A0&amp;row=223&amp;col=13&amp;number=0.01928&amp;sourceID=30","0.01928")</f>
        <v>0.01928</v>
      </c>
      <c r="N223" s="4" t="str">
        <f>HYPERLINK("http://141.218.60.56/~jnz1568/getInfo.php?workbook=08_02.xlsx&amp;sheet=A0&amp;row=223&amp;col=14&amp;number=&amp;sourceID=30","")</f>
        <v/>
      </c>
      <c r="O223" s="4" t="str">
        <f>HYPERLINK("http://141.218.60.56/~jnz1568/getInfo.php?workbook=08_02.xlsx&amp;sheet=A0&amp;row=223&amp;col=15&amp;number=&amp;sourceID=32","")</f>
        <v/>
      </c>
      <c r="P223" s="4" t="str">
        <f>HYPERLINK("http://141.218.60.56/~jnz1568/getInfo.php?workbook=08_02.xlsx&amp;sheet=A0&amp;row=223&amp;col=16&amp;number=1294&amp;sourceID=32","1294")</f>
        <v>1294</v>
      </c>
      <c r="Q223" s="4" t="str">
        <f>HYPERLINK("http://141.218.60.56/~jnz1568/getInfo.php?workbook=08_02.xlsx&amp;sheet=A0&amp;row=223&amp;col=17&amp;number=0.01871&amp;sourceID=32","0.01871")</f>
        <v>0.01871</v>
      </c>
      <c r="R223" s="4" t="str">
        <f>HYPERLINK("http://141.218.60.56/~jnz1568/getInfo.php?workbook=08_02.xlsx&amp;sheet=A0&amp;row=223&amp;col=18&amp;number=&amp;sourceID=32","")</f>
        <v/>
      </c>
      <c r="S223" s="4" t="str">
        <f>HYPERLINK("http://141.218.60.56/~jnz1568/getInfo.php?workbook=08_02.xlsx&amp;sheet=A0&amp;row=223&amp;col=19&amp;number=&amp;sourceID=1","")</f>
        <v/>
      </c>
      <c r="T223" s="4" t="str">
        <f>HYPERLINK("http://141.218.60.56/~jnz1568/getInfo.php?workbook=08_02.xlsx&amp;sheet=A0&amp;row=223&amp;col=20&amp;number=&amp;sourceID=1","")</f>
        <v/>
      </c>
    </row>
    <row r="224" spans="1:20">
      <c r="A224" s="3">
        <v>8</v>
      </c>
      <c r="B224" s="3">
        <v>2</v>
      </c>
      <c r="C224" s="3">
        <v>23</v>
      </c>
      <c r="D224" s="3">
        <v>17</v>
      </c>
      <c r="E224" s="3">
        <f>((1/(INDEX(E0!J$4:J$52,C224,1)-INDEX(E0!J$4:J$52,D224,1))))*100000000</f>
        <v>0</v>
      </c>
      <c r="F224" s="4" t="str">
        <f>HYPERLINK("http://141.218.60.56/~jnz1568/getInfo.php?workbook=08_02.xlsx&amp;sheet=A0&amp;row=224&amp;col=6&amp;number=&amp;sourceID=27","")</f>
        <v/>
      </c>
      <c r="G224" s="4" t="str">
        <f>HYPERLINK("http://141.218.60.56/~jnz1568/getInfo.php?workbook=08_02.xlsx&amp;sheet=A0&amp;row=224&amp;col=7&amp;number=&amp;sourceID=34","")</f>
        <v/>
      </c>
      <c r="H224" s="4" t="str">
        <f>HYPERLINK("http://141.218.60.56/~jnz1568/getInfo.php?workbook=08_02.xlsx&amp;sheet=A0&amp;row=224&amp;col=8&amp;number=&amp;sourceID=34","")</f>
        <v/>
      </c>
      <c r="I224" s="4" t="str">
        <f>HYPERLINK("http://141.218.60.56/~jnz1568/getInfo.php?workbook=08_02.xlsx&amp;sheet=A0&amp;row=224&amp;col=9&amp;number=&amp;sourceID=34","")</f>
        <v/>
      </c>
      <c r="J224" s="4" t="str">
        <f>HYPERLINK("http://141.218.60.56/~jnz1568/getInfo.php?workbook=08_02.xlsx&amp;sheet=A0&amp;row=224&amp;col=10&amp;number=&amp;sourceID=34","")</f>
        <v/>
      </c>
      <c r="K224" s="4" t="str">
        <f>HYPERLINK("http://141.218.60.56/~jnz1568/getInfo.php?workbook=08_02.xlsx&amp;sheet=A0&amp;row=224&amp;col=11&amp;number=1131000&amp;sourceID=30","1131000")</f>
        <v>1131000</v>
      </c>
      <c r="L224" s="4" t="str">
        <f>HYPERLINK("http://141.218.60.56/~jnz1568/getInfo.php?workbook=08_02.xlsx&amp;sheet=A0&amp;row=224&amp;col=12&amp;number=&amp;sourceID=30","")</f>
        <v/>
      </c>
      <c r="M224" s="4" t="str">
        <f>HYPERLINK("http://141.218.60.56/~jnz1568/getInfo.php?workbook=08_02.xlsx&amp;sheet=A0&amp;row=224&amp;col=13&amp;number=&amp;sourceID=30","")</f>
        <v/>
      </c>
      <c r="N224" s="4" t="str">
        <f>HYPERLINK("http://141.218.60.56/~jnz1568/getInfo.php?workbook=08_02.xlsx&amp;sheet=A0&amp;row=224&amp;col=14&amp;number=0.1345&amp;sourceID=30","0.1345")</f>
        <v>0.1345</v>
      </c>
      <c r="O224" s="4" t="str">
        <f>HYPERLINK("http://141.218.60.56/~jnz1568/getInfo.php?workbook=08_02.xlsx&amp;sheet=A0&amp;row=224&amp;col=15&amp;number=1210000&amp;sourceID=32","1210000")</f>
        <v>1210000</v>
      </c>
      <c r="P224" s="4" t="str">
        <f>HYPERLINK("http://141.218.60.56/~jnz1568/getInfo.php?workbook=08_02.xlsx&amp;sheet=A0&amp;row=224&amp;col=16&amp;number=&amp;sourceID=32","")</f>
        <v/>
      </c>
      <c r="Q224" s="4" t="str">
        <f>HYPERLINK("http://141.218.60.56/~jnz1568/getInfo.php?workbook=08_02.xlsx&amp;sheet=A0&amp;row=224&amp;col=17&amp;number=&amp;sourceID=32","")</f>
        <v/>
      </c>
      <c r="R224" s="4" t="str">
        <f>HYPERLINK("http://141.218.60.56/~jnz1568/getInfo.php?workbook=08_02.xlsx&amp;sheet=A0&amp;row=224&amp;col=18&amp;number=0.1344&amp;sourceID=32","0.1344")</f>
        <v>0.1344</v>
      </c>
      <c r="S224" s="4" t="str">
        <f>HYPERLINK("http://141.218.60.56/~jnz1568/getInfo.php?workbook=08_02.xlsx&amp;sheet=A0&amp;row=224&amp;col=19&amp;number=&amp;sourceID=1","")</f>
        <v/>
      </c>
      <c r="T224" s="4" t="str">
        <f>HYPERLINK("http://141.218.60.56/~jnz1568/getInfo.php?workbook=08_02.xlsx&amp;sheet=A0&amp;row=224&amp;col=20&amp;number=&amp;sourceID=1","")</f>
        <v/>
      </c>
    </row>
    <row r="225" spans="1:20">
      <c r="A225" s="3">
        <v>8</v>
      </c>
      <c r="B225" s="3">
        <v>2</v>
      </c>
      <c r="C225" s="3">
        <v>23</v>
      </c>
      <c r="D225" s="3">
        <v>18</v>
      </c>
      <c r="E225" s="3">
        <f>((1/(INDEX(E0!J$4:J$52,C225,1)-INDEX(E0!J$4:J$52,D225,1))))*100000000</f>
        <v>0</v>
      </c>
      <c r="F225" s="4" t="str">
        <f>HYPERLINK("http://141.218.60.56/~jnz1568/getInfo.php?workbook=08_02.xlsx&amp;sheet=A0&amp;row=225&amp;col=6&amp;number=&amp;sourceID=27","")</f>
        <v/>
      </c>
      <c r="G225" s="4" t="str">
        <f>HYPERLINK("http://141.218.60.56/~jnz1568/getInfo.php?workbook=08_02.xlsx&amp;sheet=A0&amp;row=225&amp;col=7&amp;number=&amp;sourceID=34","")</f>
        <v/>
      </c>
      <c r="H225" s="4" t="str">
        <f>HYPERLINK("http://141.218.60.56/~jnz1568/getInfo.php?workbook=08_02.xlsx&amp;sheet=A0&amp;row=225&amp;col=8&amp;number=&amp;sourceID=34","")</f>
        <v/>
      </c>
      <c r="I225" s="4" t="str">
        <f>HYPERLINK("http://141.218.60.56/~jnz1568/getInfo.php?workbook=08_02.xlsx&amp;sheet=A0&amp;row=225&amp;col=9&amp;number=&amp;sourceID=34","")</f>
        <v/>
      </c>
      <c r="J225" s="4" t="str">
        <f>HYPERLINK("http://141.218.60.56/~jnz1568/getInfo.php?workbook=08_02.xlsx&amp;sheet=A0&amp;row=225&amp;col=10&amp;number=&amp;sourceID=34","")</f>
        <v/>
      </c>
      <c r="K225" s="4" t="str">
        <f>HYPERLINK("http://141.218.60.56/~jnz1568/getInfo.php?workbook=08_02.xlsx&amp;sheet=A0&amp;row=225&amp;col=11&amp;number=&amp;sourceID=30","")</f>
        <v/>
      </c>
      <c r="L225" s="4" t="str">
        <f>HYPERLINK("http://141.218.60.56/~jnz1568/getInfo.php?workbook=08_02.xlsx&amp;sheet=A0&amp;row=225&amp;col=12&amp;number=0.3211&amp;sourceID=30","0.3211")</f>
        <v>0.3211</v>
      </c>
      <c r="M225" s="4" t="str">
        <f>HYPERLINK("http://141.218.60.56/~jnz1568/getInfo.php?workbook=08_02.xlsx&amp;sheet=A0&amp;row=225&amp;col=13&amp;number=3.682e-06&amp;sourceID=30","3.682e-06")</f>
        <v>3.682e-06</v>
      </c>
      <c r="N225" s="4" t="str">
        <f>HYPERLINK("http://141.218.60.56/~jnz1568/getInfo.php?workbook=08_02.xlsx&amp;sheet=A0&amp;row=225&amp;col=14&amp;number=&amp;sourceID=30","")</f>
        <v/>
      </c>
      <c r="O225" s="4" t="str">
        <f>HYPERLINK("http://141.218.60.56/~jnz1568/getInfo.php?workbook=08_02.xlsx&amp;sheet=A0&amp;row=225&amp;col=15&amp;number=&amp;sourceID=32","")</f>
        <v/>
      </c>
      <c r="P225" s="4" t="str">
        <f>HYPERLINK("http://141.218.60.56/~jnz1568/getInfo.php?workbook=08_02.xlsx&amp;sheet=A0&amp;row=225&amp;col=16&amp;number=0.3294&amp;sourceID=32","0.3294")</f>
        <v>0.3294</v>
      </c>
      <c r="Q225" s="4" t="str">
        <f>HYPERLINK("http://141.218.60.56/~jnz1568/getInfo.php?workbook=08_02.xlsx&amp;sheet=A0&amp;row=225&amp;col=17&amp;number=3.791e-06&amp;sourceID=32","3.791e-06")</f>
        <v>3.791e-06</v>
      </c>
      <c r="R225" s="4" t="str">
        <f>HYPERLINK("http://141.218.60.56/~jnz1568/getInfo.php?workbook=08_02.xlsx&amp;sheet=A0&amp;row=225&amp;col=18&amp;number=&amp;sourceID=32","")</f>
        <v/>
      </c>
      <c r="S225" s="4" t="str">
        <f>HYPERLINK("http://141.218.60.56/~jnz1568/getInfo.php?workbook=08_02.xlsx&amp;sheet=A0&amp;row=225&amp;col=19&amp;number=&amp;sourceID=1","")</f>
        <v/>
      </c>
      <c r="T225" s="4" t="str">
        <f>HYPERLINK("http://141.218.60.56/~jnz1568/getInfo.php?workbook=08_02.xlsx&amp;sheet=A0&amp;row=225&amp;col=20&amp;number=&amp;sourceID=1","")</f>
        <v/>
      </c>
    </row>
    <row r="226" spans="1:20">
      <c r="A226" s="3">
        <v>8</v>
      </c>
      <c r="B226" s="3">
        <v>2</v>
      </c>
      <c r="C226" s="3">
        <v>23</v>
      </c>
      <c r="D226" s="3">
        <v>19</v>
      </c>
      <c r="E226" s="3">
        <f>((1/(INDEX(E0!J$4:J$52,C226,1)-INDEX(E0!J$4:J$52,D226,1))))*100000000</f>
        <v>0</v>
      </c>
      <c r="F226" s="4" t="str">
        <f>HYPERLINK("http://141.218.60.56/~jnz1568/getInfo.php?workbook=08_02.xlsx&amp;sheet=A0&amp;row=226&amp;col=6&amp;number=&amp;sourceID=27","")</f>
        <v/>
      </c>
      <c r="G226" s="4" t="str">
        <f>HYPERLINK("http://141.218.60.56/~jnz1568/getInfo.php?workbook=08_02.xlsx&amp;sheet=A0&amp;row=226&amp;col=7&amp;number=149000&amp;sourceID=34","149000")</f>
        <v>149000</v>
      </c>
      <c r="H226" s="4" t="str">
        <f>HYPERLINK("http://141.218.60.56/~jnz1568/getInfo.php?workbook=08_02.xlsx&amp;sheet=A0&amp;row=226&amp;col=8&amp;number=&amp;sourceID=34","")</f>
        <v/>
      </c>
      <c r="I226" s="4" t="str">
        <f>HYPERLINK("http://141.218.60.56/~jnz1568/getInfo.php?workbook=08_02.xlsx&amp;sheet=A0&amp;row=226&amp;col=9&amp;number=&amp;sourceID=34","")</f>
        <v/>
      </c>
      <c r="J226" s="4" t="str">
        <f>HYPERLINK("http://141.218.60.56/~jnz1568/getInfo.php?workbook=08_02.xlsx&amp;sheet=A0&amp;row=226&amp;col=10&amp;number=&amp;sourceID=34","")</f>
        <v/>
      </c>
      <c r="K226" s="4" t="str">
        <f>HYPERLINK("http://141.218.60.56/~jnz1568/getInfo.php?workbook=08_02.xlsx&amp;sheet=A0&amp;row=226&amp;col=11&amp;number=178100&amp;sourceID=30","178100")</f>
        <v>178100</v>
      </c>
      <c r="L226" s="4" t="str">
        <f>HYPERLINK("http://141.218.60.56/~jnz1568/getInfo.php?workbook=08_02.xlsx&amp;sheet=A0&amp;row=226&amp;col=12&amp;number=&amp;sourceID=30","")</f>
        <v/>
      </c>
      <c r="M226" s="4" t="str">
        <f>HYPERLINK("http://141.218.60.56/~jnz1568/getInfo.php?workbook=08_02.xlsx&amp;sheet=A0&amp;row=226&amp;col=13&amp;number=&amp;sourceID=30","")</f>
        <v/>
      </c>
      <c r="N226" s="4" t="str">
        <f>HYPERLINK("http://141.218.60.56/~jnz1568/getInfo.php?workbook=08_02.xlsx&amp;sheet=A0&amp;row=226&amp;col=14&amp;number=&amp;sourceID=30","")</f>
        <v/>
      </c>
      <c r="O226" s="4" t="str">
        <f>HYPERLINK("http://141.218.60.56/~jnz1568/getInfo.php?workbook=08_02.xlsx&amp;sheet=A0&amp;row=226&amp;col=15&amp;number=194500&amp;sourceID=32","194500")</f>
        <v>194500</v>
      </c>
      <c r="P226" s="4" t="str">
        <f>HYPERLINK("http://141.218.60.56/~jnz1568/getInfo.php?workbook=08_02.xlsx&amp;sheet=A0&amp;row=226&amp;col=16&amp;number=&amp;sourceID=32","")</f>
        <v/>
      </c>
      <c r="Q226" s="4" t="str">
        <f>HYPERLINK("http://141.218.60.56/~jnz1568/getInfo.php?workbook=08_02.xlsx&amp;sheet=A0&amp;row=226&amp;col=17&amp;number=&amp;sourceID=32","")</f>
        <v/>
      </c>
      <c r="R226" s="4" t="str">
        <f>HYPERLINK("http://141.218.60.56/~jnz1568/getInfo.php?workbook=08_02.xlsx&amp;sheet=A0&amp;row=226&amp;col=18&amp;number=&amp;sourceID=32","")</f>
        <v/>
      </c>
      <c r="S226" s="4" t="str">
        <f>HYPERLINK("http://141.218.60.56/~jnz1568/getInfo.php?workbook=08_02.xlsx&amp;sheet=A0&amp;row=226&amp;col=19&amp;number=&amp;sourceID=1","")</f>
        <v/>
      </c>
      <c r="T226" s="4" t="str">
        <f>HYPERLINK("http://141.218.60.56/~jnz1568/getInfo.php?workbook=08_02.xlsx&amp;sheet=A0&amp;row=226&amp;col=20&amp;number=&amp;sourceID=1","")</f>
        <v/>
      </c>
    </row>
    <row r="227" spans="1:20">
      <c r="A227" s="3">
        <v>8</v>
      </c>
      <c r="B227" s="3">
        <v>2</v>
      </c>
      <c r="C227" s="3">
        <v>23</v>
      </c>
      <c r="D227" s="3">
        <v>20</v>
      </c>
      <c r="E227" s="3">
        <f>((1/(INDEX(E0!J$4:J$52,C227,1)-INDEX(E0!J$4:J$52,D227,1))))*100000000</f>
        <v>0</v>
      </c>
      <c r="F227" s="4" t="str">
        <f>HYPERLINK("http://141.218.60.56/~jnz1568/getInfo.php?workbook=08_02.xlsx&amp;sheet=A0&amp;row=227&amp;col=6&amp;number=&amp;sourceID=27","")</f>
        <v/>
      </c>
      <c r="G227" s="4" t="str">
        <f>HYPERLINK("http://141.218.60.56/~jnz1568/getInfo.php?workbook=08_02.xlsx&amp;sheet=A0&amp;row=227&amp;col=7&amp;number=112000&amp;sourceID=34","112000")</f>
        <v>112000</v>
      </c>
      <c r="H227" s="4" t="str">
        <f>HYPERLINK("http://141.218.60.56/~jnz1568/getInfo.php?workbook=08_02.xlsx&amp;sheet=A0&amp;row=227&amp;col=8&amp;number=&amp;sourceID=34","")</f>
        <v/>
      </c>
      <c r="I227" s="4" t="str">
        <f>HYPERLINK("http://141.218.60.56/~jnz1568/getInfo.php?workbook=08_02.xlsx&amp;sheet=A0&amp;row=227&amp;col=9&amp;number=&amp;sourceID=34","")</f>
        <v/>
      </c>
      <c r="J227" s="4" t="str">
        <f>HYPERLINK("http://141.218.60.56/~jnz1568/getInfo.php?workbook=08_02.xlsx&amp;sheet=A0&amp;row=227&amp;col=10&amp;number=&amp;sourceID=34","")</f>
        <v/>
      </c>
      <c r="K227" s="4" t="str">
        <f>HYPERLINK("http://141.218.60.56/~jnz1568/getInfo.php?workbook=08_02.xlsx&amp;sheet=A0&amp;row=227&amp;col=11&amp;number=132500&amp;sourceID=30","132500")</f>
        <v>132500</v>
      </c>
      <c r="L227" s="4" t="str">
        <f>HYPERLINK("http://141.218.60.56/~jnz1568/getInfo.php?workbook=08_02.xlsx&amp;sheet=A0&amp;row=227&amp;col=12&amp;number=&amp;sourceID=30","")</f>
        <v/>
      </c>
      <c r="M227" s="4" t="str">
        <f>HYPERLINK("http://141.218.60.56/~jnz1568/getInfo.php?workbook=08_02.xlsx&amp;sheet=A0&amp;row=227&amp;col=13&amp;number=&amp;sourceID=30","")</f>
        <v/>
      </c>
      <c r="N227" s="4" t="str">
        <f>HYPERLINK("http://141.218.60.56/~jnz1568/getInfo.php?workbook=08_02.xlsx&amp;sheet=A0&amp;row=227&amp;col=14&amp;number=9.931e-10&amp;sourceID=30","9.931e-10")</f>
        <v>9.931e-10</v>
      </c>
      <c r="O227" s="4" t="str">
        <f>HYPERLINK("http://141.218.60.56/~jnz1568/getInfo.php?workbook=08_02.xlsx&amp;sheet=A0&amp;row=227&amp;col=15&amp;number=144700&amp;sourceID=32","144700")</f>
        <v>144700</v>
      </c>
      <c r="P227" s="4" t="str">
        <f>HYPERLINK("http://141.218.60.56/~jnz1568/getInfo.php?workbook=08_02.xlsx&amp;sheet=A0&amp;row=227&amp;col=16&amp;number=&amp;sourceID=32","")</f>
        <v/>
      </c>
      <c r="Q227" s="4" t="str">
        <f>HYPERLINK("http://141.218.60.56/~jnz1568/getInfo.php?workbook=08_02.xlsx&amp;sheet=A0&amp;row=227&amp;col=17&amp;number=&amp;sourceID=32","")</f>
        <v/>
      </c>
      <c r="R227" s="4" t="str">
        <f>HYPERLINK("http://141.218.60.56/~jnz1568/getInfo.php?workbook=08_02.xlsx&amp;sheet=A0&amp;row=227&amp;col=18&amp;number=1.152e-09&amp;sourceID=32","1.152e-09")</f>
        <v>1.152e-09</v>
      </c>
      <c r="S227" s="4" t="str">
        <f>HYPERLINK("http://141.218.60.56/~jnz1568/getInfo.php?workbook=08_02.xlsx&amp;sheet=A0&amp;row=227&amp;col=19&amp;number=&amp;sourceID=1","")</f>
        <v/>
      </c>
      <c r="T227" s="4" t="str">
        <f>HYPERLINK("http://141.218.60.56/~jnz1568/getInfo.php?workbook=08_02.xlsx&amp;sheet=A0&amp;row=227&amp;col=20&amp;number=&amp;sourceID=1","")</f>
        <v/>
      </c>
    </row>
    <row r="228" spans="1:20">
      <c r="A228" s="3">
        <v>8</v>
      </c>
      <c r="B228" s="3">
        <v>2</v>
      </c>
      <c r="C228" s="3">
        <v>23</v>
      </c>
      <c r="D228" s="3">
        <v>21</v>
      </c>
      <c r="E228" s="3">
        <f>((1/(INDEX(E0!J$4:J$52,C228,1)-INDEX(E0!J$4:J$52,D228,1))))*100000000</f>
        <v>0</v>
      </c>
      <c r="F228" s="4" t="str">
        <f>HYPERLINK("http://141.218.60.56/~jnz1568/getInfo.php?workbook=08_02.xlsx&amp;sheet=A0&amp;row=228&amp;col=6&amp;number=&amp;sourceID=27","")</f>
        <v/>
      </c>
      <c r="G228" s="4" t="str">
        <f>HYPERLINK("http://141.218.60.56/~jnz1568/getInfo.php?workbook=08_02.xlsx&amp;sheet=A0&amp;row=228&amp;col=7&amp;number=7433.33333333&amp;sourceID=34","7433.33333333")</f>
        <v>7433.33333333</v>
      </c>
      <c r="H228" s="4" t="str">
        <f>HYPERLINK("http://141.218.60.56/~jnz1568/getInfo.php?workbook=08_02.xlsx&amp;sheet=A0&amp;row=228&amp;col=8&amp;number=&amp;sourceID=34","")</f>
        <v/>
      </c>
      <c r="I228" s="4" t="str">
        <f>HYPERLINK("http://141.218.60.56/~jnz1568/getInfo.php?workbook=08_02.xlsx&amp;sheet=A0&amp;row=228&amp;col=9&amp;number=&amp;sourceID=34","")</f>
        <v/>
      </c>
      <c r="J228" s="4" t="str">
        <f>HYPERLINK("http://141.218.60.56/~jnz1568/getInfo.php?workbook=08_02.xlsx&amp;sheet=A0&amp;row=228&amp;col=10&amp;number=&amp;sourceID=34","")</f>
        <v/>
      </c>
      <c r="K228" s="4" t="str">
        <f>HYPERLINK("http://141.218.60.56/~jnz1568/getInfo.php?workbook=08_02.xlsx&amp;sheet=A0&amp;row=228&amp;col=11&amp;number=8307&amp;sourceID=30","8307")</f>
        <v>8307</v>
      </c>
      <c r="L228" s="4" t="str">
        <f>HYPERLINK("http://141.218.60.56/~jnz1568/getInfo.php?workbook=08_02.xlsx&amp;sheet=A0&amp;row=228&amp;col=12&amp;number=&amp;sourceID=30","")</f>
        <v/>
      </c>
      <c r="M228" s="4" t="str">
        <f>HYPERLINK("http://141.218.60.56/~jnz1568/getInfo.php?workbook=08_02.xlsx&amp;sheet=A0&amp;row=228&amp;col=13&amp;number=&amp;sourceID=30","")</f>
        <v/>
      </c>
      <c r="N228" s="4" t="str">
        <f>HYPERLINK("http://141.218.60.56/~jnz1568/getInfo.php?workbook=08_02.xlsx&amp;sheet=A0&amp;row=228&amp;col=14&amp;number=1e-15&amp;sourceID=30","1e-15")</f>
        <v>1e-15</v>
      </c>
      <c r="O228" s="4" t="str">
        <f>HYPERLINK("http://141.218.60.56/~jnz1568/getInfo.php?workbook=08_02.xlsx&amp;sheet=A0&amp;row=228&amp;col=15&amp;number=9076&amp;sourceID=32","9076")</f>
        <v>9076</v>
      </c>
      <c r="P228" s="4" t="str">
        <f>HYPERLINK("http://141.218.60.56/~jnz1568/getInfo.php?workbook=08_02.xlsx&amp;sheet=A0&amp;row=228&amp;col=16&amp;number=&amp;sourceID=32","")</f>
        <v/>
      </c>
      <c r="Q228" s="4" t="str">
        <f>HYPERLINK("http://141.218.60.56/~jnz1568/getInfo.php?workbook=08_02.xlsx&amp;sheet=A0&amp;row=228&amp;col=17&amp;number=&amp;sourceID=32","")</f>
        <v/>
      </c>
      <c r="R228" s="4" t="str">
        <f>HYPERLINK("http://141.218.60.56/~jnz1568/getInfo.php?workbook=08_02.xlsx&amp;sheet=A0&amp;row=228&amp;col=18&amp;number=1e-15&amp;sourceID=32","1e-15")</f>
        <v>1e-15</v>
      </c>
      <c r="S228" s="4" t="str">
        <f>HYPERLINK("http://141.218.60.56/~jnz1568/getInfo.php?workbook=08_02.xlsx&amp;sheet=A0&amp;row=228&amp;col=19&amp;number=&amp;sourceID=1","")</f>
        <v/>
      </c>
      <c r="T228" s="4" t="str">
        <f>HYPERLINK("http://141.218.60.56/~jnz1568/getInfo.php?workbook=08_02.xlsx&amp;sheet=A0&amp;row=228&amp;col=20&amp;number=&amp;sourceID=1","")</f>
        <v/>
      </c>
    </row>
    <row r="229" spans="1:20">
      <c r="A229" s="3">
        <v>8</v>
      </c>
      <c r="B229" s="3">
        <v>2</v>
      </c>
      <c r="C229" s="3">
        <v>23</v>
      </c>
      <c r="D229" s="3">
        <v>22</v>
      </c>
      <c r="E229" s="3">
        <f>((1/(INDEX(E0!J$4:J$52,C229,1)-INDEX(E0!J$4:J$52,D229,1))))*100000000</f>
        <v>0</v>
      </c>
      <c r="F229" s="4" t="str">
        <f>HYPERLINK("http://141.218.60.56/~jnz1568/getInfo.php?workbook=08_02.xlsx&amp;sheet=A0&amp;row=229&amp;col=6&amp;number=&amp;sourceID=27","")</f>
        <v/>
      </c>
      <c r="G229" s="4" t="str">
        <f>HYPERLINK("http://141.218.60.56/~jnz1568/getInfo.php?workbook=08_02.xlsx&amp;sheet=A0&amp;row=229&amp;col=7&amp;number=&amp;sourceID=34","")</f>
        <v/>
      </c>
      <c r="H229" s="4" t="str">
        <f>HYPERLINK("http://141.218.60.56/~jnz1568/getInfo.php?workbook=08_02.xlsx&amp;sheet=A0&amp;row=229&amp;col=8&amp;number=&amp;sourceID=34","")</f>
        <v/>
      </c>
      <c r="I229" s="4" t="str">
        <f>HYPERLINK("http://141.218.60.56/~jnz1568/getInfo.php?workbook=08_02.xlsx&amp;sheet=A0&amp;row=229&amp;col=9&amp;number=&amp;sourceID=34","")</f>
        <v/>
      </c>
      <c r="J229" s="4" t="str">
        <f>HYPERLINK("http://141.218.60.56/~jnz1568/getInfo.php?workbook=08_02.xlsx&amp;sheet=A0&amp;row=229&amp;col=10&amp;number=&amp;sourceID=34","")</f>
        <v/>
      </c>
      <c r="K229" s="4" t="str">
        <f>HYPERLINK("http://141.218.60.56/~jnz1568/getInfo.php?workbook=08_02.xlsx&amp;sheet=A0&amp;row=229&amp;col=11&amp;number=&amp;sourceID=30","")</f>
        <v/>
      </c>
      <c r="L229" s="4" t="str">
        <f>HYPERLINK("http://141.218.60.56/~jnz1568/getInfo.php?workbook=08_02.xlsx&amp;sheet=A0&amp;row=229&amp;col=12&amp;number=&amp;sourceID=30","")</f>
        <v/>
      </c>
      <c r="M229" s="4" t="str">
        <f>HYPERLINK("http://141.218.60.56/~jnz1568/getInfo.php?workbook=08_02.xlsx&amp;sheet=A0&amp;row=229&amp;col=13&amp;number=4.912e-11&amp;sourceID=30","4.912e-11")</f>
        <v>4.912e-11</v>
      </c>
      <c r="N229" s="4" t="str">
        <f>HYPERLINK("http://141.218.60.56/~jnz1568/getInfo.php?workbook=08_02.xlsx&amp;sheet=A0&amp;row=229&amp;col=14&amp;number=&amp;sourceID=30","")</f>
        <v/>
      </c>
      <c r="O229" s="4" t="str">
        <f>HYPERLINK("http://141.218.60.56/~jnz1568/getInfo.php?workbook=08_02.xlsx&amp;sheet=A0&amp;row=229&amp;col=15&amp;number=&amp;sourceID=32","")</f>
        <v/>
      </c>
      <c r="P229" s="4" t="str">
        <f>HYPERLINK("http://141.218.60.56/~jnz1568/getInfo.php?workbook=08_02.xlsx&amp;sheet=A0&amp;row=229&amp;col=16&amp;number=&amp;sourceID=32","")</f>
        <v/>
      </c>
      <c r="Q229" s="4" t="str">
        <f>HYPERLINK("http://141.218.60.56/~jnz1568/getInfo.php?workbook=08_02.xlsx&amp;sheet=A0&amp;row=229&amp;col=17&amp;number=1.863e-10&amp;sourceID=32","1.863e-10")</f>
        <v>1.863e-10</v>
      </c>
      <c r="R229" s="4" t="str">
        <f>HYPERLINK("http://141.218.60.56/~jnz1568/getInfo.php?workbook=08_02.xlsx&amp;sheet=A0&amp;row=229&amp;col=18&amp;number=&amp;sourceID=32","")</f>
        <v/>
      </c>
      <c r="S229" s="4" t="str">
        <f>HYPERLINK("http://141.218.60.56/~jnz1568/getInfo.php?workbook=08_02.xlsx&amp;sheet=A0&amp;row=229&amp;col=19&amp;number=&amp;sourceID=1","")</f>
        <v/>
      </c>
      <c r="T229" s="4" t="str">
        <f>HYPERLINK("http://141.218.60.56/~jnz1568/getInfo.php?workbook=08_02.xlsx&amp;sheet=A0&amp;row=229&amp;col=20&amp;number=&amp;sourceID=1","")</f>
        <v/>
      </c>
    </row>
    <row r="230" spans="1:20">
      <c r="A230" s="3">
        <v>8</v>
      </c>
      <c r="B230" s="3">
        <v>2</v>
      </c>
      <c r="C230" s="3">
        <v>24</v>
      </c>
      <c r="D230" s="3">
        <v>1</v>
      </c>
      <c r="E230" s="3">
        <f>((1/(INDEX(E0!J$4:J$52,C230,1)-INDEX(E0!J$4:J$52,D230,1))))*100000000</f>
        <v>0</v>
      </c>
      <c r="F230" s="4" t="str">
        <f>HYPERLINK("http://141.218.60.56/~jnz1568/getInfo.php?workbook=08_02.xlsx&amp;sheet=A0&amp;row=230&amp;col=6&amp;number=&amp;sourceID=27","")</f>
        <v/>
      </c>
      <c r="G230" s="4" t="str">
        <f>HYPERLINK("http://141.218.60.56/~jnz1568/getInfo.php?workbook=08_02.xlsx&amp;sheet=A0&amp;row=230&amp;col=7&amp;number=&amp;sourceID=34","")</f>
        <v/>
      </c>
      <c r="H230" s="4" t="str">
        <f>HYPERLINK("http://141.218.60.56/~jnz1568/getInfo.php?workbook=08_02.xlsx&amp;sheet=A0&amp;row=230&amp;col=8&amp;number=&amp;sourceID=34","")</f>
        <v/>
      </c>
      <c r="I230" s="4" t="str">
        <f>HYPERLINK("http://141.218.60.56/~jnz1568/getInfo.php?workbook=08_02.xlsx&amp;sheet=A0&amp;row=230&amp;col=9&amp;number=&amp;sourceID=34","")</f>
        <v/>
      </c>
      <c r="J230" s="4" t="str">
        <f>HYPERLINK("http://141.218.60.56/~jnz1568/getInfo.php?workbook=08_02.xlsx&amp;sheet=A0&amp;row=230&amp;col=10&amp;number=&amp;sourceID=34","")</f>
        <v/>
      </c>
      <c r="K230" s="4" t="str">
        <f>HYPERLINK("http://141.218.60.56/~jnz1568/getInfo.php?workbook=08_02.xlsx&amp;sheet=A0&amp;row=230&amp;col=11&amp;number=&amp;sourceID=30","")</f>
        <v/>
      </c>
      <c r="L230" s="4" t="str">
        <f>HYPERLINK("http://141.218.60.56/~jnz1568/getInfo.php?workbook=08_02.xlsx&amp;sheet=A0&amp;row=230&amp;col=12&amp;number=42680&amp;sourceID=30","42680")</f>
        <v>42680</v>
      </c>
      <c r="M230" s="4" t="str">
        <f>HYPERLINK("http://141.218.60.56/~jnz1568/getInfo.php?workbook=08_02.xlsx&amp;sheet=A0&amp;row=230&amp;col=13&amp;number=&amp;sourceID=30","")</f>
        <v/>
      </c>
      <c r="N230" s="4" t="str">
        <f>HYPERLINK("http://141.218.60.56/~jnz1568/getInfo.php?workbook=08_02.xlsx&amp;sheet=A0&amp;row=230&amp;col=14&amp;number=&amp;sourceID=30","")</f>
        <v/>
      </c>
      <c r="O230" s="4" t="str">
        <f>HYPERLINK("http://141.218.60.56/~jnz1568/getInfo.php?workbook=08_02.xlsx&amp;sheet=A0&amp;row=230&amp;col=15&amp;number=&amp;sourceID=32","")</f>
        <v/>
      </c>
      <c r="P230" s="4" t="str">
        <f>HYPERLINK("http://141.218.60.56/~jnz1568/getInfo.php?workbook=08_02.xlsx&amp;sheet=A0&amp;row=230&amp;col=16&amp;number=793900&amp;sourceID=32","793900")</f>
        <v>793900</v>
      </c>
      <c r="Q230" s="4" t="str">
        <f>HYPERLINK("http://141.218.60.56/~jnz1568/getInfo.php?workbook=08_02.xlsx&amp;sheet=A0&amp;row=230&amp;col=17&amp;number=&amp;sourceID=32","")</f>
        <v/>
      </c>
      <c r="R230" s="4" t="str">
        <f>HYPERLINK("http://141.218.60.56/~jnz1568/getInfo.php?workbook=08_02.xlsx&amp;sheet=A0&amp;row=230&amp;col=18&amp;number=&amp;sourceID=32","")</f>
        <v/>
      </c>
      <c r="S230" s="4" t="str">
        <f>HYPERLINK("http://141.218.60.56/~jnz1568/getInfo.php?workbook=08_02.xlsx&amp;sheet=A0&amp;row=230&amp;col=19&amp;number=&amp;sourceID=1","")</f>
        <v/>
      </c>
      <c r="T230" s="4" t="str">
        <f>HYPERLINK("http://141.218.60.56/~jnz1568/getInfo.php?workbook=08_02.xlsx&amp;sheet=A0&amp;row=230&amp;col=20&amp;number=&amp;sourceID=1","")</f>
        <v/>
      </c>
    </row>
    <row r="231" spans="1:20">
      <c r="A231" s="3">
        <v>8</v>
      </c>
      <c r="B231" s="3">
        <v>2</v>
      </c>
      <c r="C231" s="3">
        <v>24</v>
      </c>
      <c r="D231" s="3">
        <v>2</v>
      </c>
      <c r="E231" s="3">
        <f>((1/(INDEX(E0!J$4:J$52,C231,1)-INDEX(E0!J$4:J$52,D231,1))))*100000000</f>
        <v>0</v>
      </c>
      <c r="F231" s="4" t="str">
        <f>HYPERLINK("http://141.218.60.56/~jnz1568/getInfo.php?workbook=08_02.xlsx&amp;sheet=A0&amp;row=231&amp;col=6&amp;number=&amp;sourceID=27","")</f>
        <v/>
      </c>
      <c r="G231" s="4" t="str">
        <f>HYPERLINK("http://141.218.60.56/~jnz1568/getInfo.php?workbook=08_02.xlsx&amp;sheet=A0&amp;row=231&amp;col=7&amp;number=&amp;sourceID=34","")</f>
        <v/>
      </c>
      <c r="H231" s="4" t="str">
        <f>HYPERLINK("http://141.218.60.56/~jnz1568/getInfo.php?workbook=08_02.xlsx&amp;sheet=A0&amp;row=231&amp;col=8&amp;number=&amp;sourceID=34","")</f>
        <v/>
      </c>
      <c r="I231" s="4" t="str">
        <f>HYPERLINK("http://141.218.60.56/~jnz1568/getInfo.php?workbook=08_02.xlsx&amp;sheet=A0&amp;row=231&amp;col=9&amp;number=&amp;sourceID=34","")</f>
        <v/>
      </c>
      <c r="J231" s="4" t="str">
        <f>HYPERLINK("http://141.218.60.56/~jnz1568/getInfo.php?workbook=08_02.xlsx&amp;sheet=A0&amp;row=231&amp;col=10&amp;number=&amp;sourceID=34","")</f>
        <v/>
      </c>
      <c r="K231" s="4" t="str">
        <f>HYPERLINK("http://141.218.60.56/~jnz1568/getInfo.php?workbook=08_02.xlsx&amp;sheet=A0&amp;row=231&amp;col=11&amp;number=&amp;sourceID=30","")</f>
        <v/>
      </c>
      <c r="L231" s="4" t="str">
        <f>HYPERLINK("http://141.218.60.56/~jnz1568/getInfo.php?workbook=08_02.xlsx&amp;sheet=A0&amp;row=231&amp;col=12&amp;number=1196000&amp;sourceID=30","1196000")</f>
        <v>1196000</v>
      </c>
      <c r="M231" s="4" t="str">
        <f>HYPERLINK("http://141.218.60.56/~jnz1568/getInfo.php?workbook=08_02.xlsx&amp;sheet=A0&amp;row=231&amp;col=13&amp;number=0.007941&amp;sourceID=30","0.007941")</f>
        <v>0.007941</v>
      </c>
      <c r="N231" s="4" t="str">
        <f>HYPERLINK("http://141.218.60.56/~jnz1568/getInfo.php?workbook=08_02.xlsx&amp;sheet=A0&amp;row=231&amp;col=14&amp;number=&amp;sourceID=30","")</f>
        <v/>
      </c>
      <c r="O231" s="4" t="str">
        <f>HYPERLINK("http://141.218.60.56/~jnz1568/getInfo.php?workbook=08_02.xlsx&amp;sheet=A0&amp;row=231&amp;col=15&amp;number=&amp;sourceID=32","")</f>
        <v/>
      </c>
      <c r="P231" s="4" t="str">
        <f>HYPERLINK("http://141.218.60.56/~jnz1568/getInfo.php?workbook=08_02.xlsx&amp;sheet=A0&amp;row=231&amp;col=16&amp;number=1283000&amp;sourceID=32","1283000")</f>
        <v>1283000</v>
      </c>
      <c r="Q231" s="4" t="str">
        <f>HYPERLINK("http://141.218.60.56/~jnz1568/getInfo.php?workbook=08_02.xlsx&amp;sheet=A0&amp;row=231&amp;col=17&amp;number=0.01433&amp;sourceID=32","0.01433")</f>
        <v>0.01433</v>
      </c>
      <c r="R231" s="4" t="str">
        <f>HYPERLINK("http://141.218.60.56/~jnz1568/getInfo.php?workbook=08_02.xlsx&amp;sheet=A0&amp;row=231&amp;col=18&amp;number=&amp;sourceID=32","")</f>
        <v/>
      </c>
      <c r="S231" s="4" t="str">
        <f>HYPERLINK("http://141.218.60.56/~jnz1568/getInfo.php?workbook=08_02.xlsx&amp;sheet=A0&amp;row=231&amp;col=19&amp;number=&amp;sourceID=1","")</f>
        <v/>
      </c>
      <c r="T231" s="4" t="str">
        <f>HYPERLINK("http://141.218.60.56/~jnz1568/getInfo.php?workbook=08_02.xlsx&amp;sheet=A0&amp;row=231&amp;col=20&amp;number=&amp;sourceID=1","")</f>
        <v/>
      </c>
    </row>
    <row r="232" spans="1:20">
      <c r="A232" s="3">
        <v>8</v>
      </c>
      <c r="B232" s="3">
        <v>2</v>
      </c>
      <c r="C232" s="3">
        <v>24</v>
      </c>
      <c r="D232" s="3">
        <v>3</v>
      </c>
      <c r="E232" s="3">
        <f>((1/(INDEX(E0!J$4:J$52,C232,1)-INDEX(E0!J$4:J$52,D232,1))))*100000000</f>
        <v>0</v>
      </c>
      <c r="F232" s="4" t="str">
        <f>HYPERLINK("http://141.218.60.56/~jnz1568/getInfo.php?workbook=08_02.xlsx&amp;sheet=A0&amp;row=232&amp;col=6&amp;number=&amp;sourceID=27","")</f>
        <v/>
      </c>
      <c r="G232" s="4" t="str">
        <f>HYPERLINK("http://141.218.60.56/~jnz1568/getInfo.php?workbook=08_02.xlsx&amp;sheet=A0&amp;row=232&amp;col=7&amp;number=&amp;sourceID=34","")</f>
        <v/>
      </c>
      <c r="H232" s="4" t="str">
        <f>HYPERLINK("http://141.218.60.56/~jnz1568/getInfo.php?workbook=08_02.xlsx&amp;sheet=A0&amp;row=232&amp;col=8&amp;number=&amp;sourceID=34","")</f>
        <v/>
      </c>
      <c r="I232" s="4" t="str">
        <f>HYPERLINK("http://141.218.60.56/~jnz1568/getInfo.php?workbook=08_02.xlsx&amp;sheet=A0&amp;row=232&amp;col=9&amp;number=&amp;sourceID=34","")</f>
        <v/>
      </c>
      <c r="J232" s="4" t="str">
        <f>HYPERLINK("http://141.218.60.56/~jnz1568/getInfo.php?workbook=08_02.xlsx&amp;sheet=A0&amp;row=232&amp;col=10&amp;number=&amp;sourceID=34","")</f>
        <v/>
      </c>
      <c r="K232" s="4" t="str">
        <f>HYPERLINK("http://141.218.60.56/~jnz1568/getInfo.php?workbook=08_02.xlsx&amp;sheet=A0&amp;row=232&amp;col=11&amp;number=&amp;sourceID=30","")</f>
        <v/>
      </c>
      <c r="L232" s="4" t="str">
        <f>HYPERLINK("http://141.218.60.56/~jnz1568/getInfo.php?workbook=08_02.xlsx&amp;sheet=A0&amp;row=232&amp;col=12&amp;number=&amp;sourceID=30","")</f>
        <v/>
      </c>
      <c r="M232" s="4" t="str">
        <f>HYPERLINK("http://141.218.60.56/~jnz1568/getInfo.php?workbook=08_02.xlsx&amp;sheet=A0&amp;row=232&amp;col=13&amp;number=&amp;sourceID=30","")</f>
        <v/>
      </c>
      <c r="N232" s="4" t="str">
        <f>HYPERLINK("http://141.218.60.56/~jnz1568/getInfo.php?workbook=08_02.xlsx&amp;sheet=A0&amp;row=232&amp;col=14&amp;number=8.499&amp;sourceID=30","8.499")</f>
        <v>8.499</v>
      </c>
      <c r="O232" s="4" t="str">
        <f>HYPERLINK("http://141.218.60.56/~jnz1568/getInfo.php?workbook=08_02.xlsx&amp;sheet=A0&amp;row=232&amp;col=15&amp;number=&amp;sourceID=32","")</f>
        <v/>
      </c>
      <c r="P232" s="4" t="str">
        <f>HYPERLINK("http://141.218.60.56/~jnz1568/getInfo.php?workbook=08_02.xlsx&amp;sheet=A0&amp;row=232&amp;col=16&amp;number=&amp;sourceID=32","")</f>
        <v/>
      </c>
      <c r="Q232" s="4" t="str">
        <f>HYPERLINK("http://141.218.60.56/~jnz1568/getInfo.php?workbook=08_02.xlsx&amp;sheet=A0&amp;row=232&amp;col=17&amp;number=&amp;sourceID=32","")</f>
        <v/>
      </c>
      <c r="R232" s="4" t="str">
        <f>HYPERLINK("http://141.218.60.56/~jnz1568/getInfo.php?workbook=08_02.xlsx&amp;sheet=A0&amp;row=232&amp;col=18&amp;number=7.904&amp;sourceID=32","7.904")</f>
        <v>7.904</v>
      </c>
      <c r="S232" s="4" t="str">
        <f>HYPERLINK("http://141.218.60.56/~jnz1568/getInfo.php?workbook=08_02.xlsx&amp;sheet=A0&amp;row=232&amp;col=19&amp;number=&amp;sourceID=1","")</f>
        <v/>
      </c>
      <c r="T232" s="4" t="str">
        <f>HYPERLINK("http://141.218.60.56/~jnz1568/getInfo.php?workbook=08_02.xlsx&amp;sheet=A0&amp;row=232&amp;col=20&amp;number=&amp;sourceID=1","")</f>
        <v/>
      </c>
    </row>
    <row r="233" spans="1:20">
      <c r="A233" s="3">
        <v>8</v>
      </c>
      <c r="B233" s="3">
        <v>2</v>
      </c>
      <c r="C233" s="3">
        <v>24</v>
      </c>
      <c r="D233" s="3">
        <v>4</v>
      </c>
      <c r="E233" s="3">
        <f>((1/(INDEX(E0!J$4:J$52,C233,1)-INDEX(E0!J$4:J$52,D233,1))))*100000000</f>
        <v>0</v>
      </c>
      <c r="F233" s="4" t="str">
        <f>HYPERLINK("http://141.218.60.56/~jnz1568/getInfo.php?workbook=08_02.xlsx&amp;sheet=A0&amp;row=233&amp;col=6&amp;number=&amp;sourceID=27","")</f>
        <v/>
      </c>
      <c r="G233" s="4" t="str">
        <f>HYPERLINK("http://141.218.60.56/~jnz1568/getInfo.php?workbook=08_02.xlsx&amp;sheet=A0&amp;row=233&amp;col=7&amp;number=39920000000&amp;sourceID=34","39920000000")</f>
        <v>39920000000</v>
      </c>
      <c r="H233" s="4" t="str">
        <f>HYPERLINK("http://141.218.60.56/~jnz1568/getInfo.php?workbook=08_02.xlsx&amp;sheet=A0&amp;row=233&amp;col=8&amp;number=&amp;sourceID=34","")</f>
        <v/>
      </c>
      <c r="I233" s="4" t="str">
        <f>HYPERLINK("http://141.218.60.56/~jnz1568/getInfo.php?workbook=08_02.xlsx&amp;sheet=A0&amp;row=233&amp;col=9&amp;number=&amp;sourceID=34","")</f>
        <v/>
      </c>
      <c r="J233" s="4" t="str">
        <f>HYPERLINK("http://141.218.60.56/~jnz1568/getInfo.php?workbook=08_02.xlsx&amp;sheet=A0&amp;row=233&amp;col=10&amp;number=&amp;sourceID=34","")</f>
        <v/>
      </c>
      <c r="K233" s="4" t="str">
        <f>HYPERLINK("http://141.218.60.56/~jnz1568/getInfo.php?workbook=08_02.xlsx&amp;sheet=A0&amp;row=233&amp;col=11&amp;number=39350000000&amp;sourceID=30","39350000000")</f>
        <v>39350000000</v>
      </c>
      <c r="L233" s="4" t="str">
        <f>HYPERLINK("http://141.218.60.56/~jnz1568/getInfo.php?workbook=08_02.xlsx&amp;sheet=A0&amp;row=233&amp;col=12&amp;number=&amp;sourceID=30","")</f>
        <v/>
      </c>
      <c r="M233" s="4" t="str">
        <f>HYPERLINK("http://141.218.60.56/~jnz1568/getInfo.php?workbook=08_02.xlsx&amp;sheet=A0&amp;row=233&amp;col=13&amp;number=&amp;sourceID=30","")</f>
        <v/>
      </c>
      <c r="N233" s="4" t="str">
        <f>HYPERLINK("http://141.218.60.56/~jnz1568/getInfo.php?workbook=08_02.xlsx&amp;sheet=A0&amp;row=233&amp;col=14&amp;number=184.8&amp;sourceID=30","184.8")</f>
        <v>184.8</v>
      </c>
      <c r="O233" s="4" t="str">
        <f>HYPERLINK("http://141.218.60.56/~jnz1568/getInfo.php?workbook=08_02.xlsx&amp;sheet=A0&amp;row=233&amp;col=15&amp;number=39630000000&amp;sourceID=32","39630000000")</f>
        <v>39630000000</v>
      </c>
      <c r="P233" s="4" t="str">
        <f>HYPERLINK("http://141.218.60.56/~jnz1568/getInfo.php?workbook=08_02.xlsx&amp;sheet=A0&amp;row=233&amp;col=16&amp;number=&amp;sourceID=32","")</f>
        <v/>
      </c>
      <c r="Q233" s="4" t="str">
        <f>HYPERLINK("http://141.218.60.56/~jnz1568/getInfo.php?workbook=08_02.xlsx&amp;sheet=A0&amp;row=233&amp;col=17&amp;number=&amp;sourceID=32","")</f>
        <v/>
      </c>
      <c r="R233" s="4" t="str">
        <f>HYPERLINK("http://141.218.60.56/~jnz1568/getInfo.php?workbook=08_02.xlsx&amp;sheet=A0&amp;row=233&amp;col=18&amp;number=182.5&amp;sourceID=32","182.5")</f>
        <v>182.5</v>
      </c>
      <c r="S233" s="4" t="str">
        <f>HYPERLINK("http://141.218.60.56/~jnz1568/getInfo.php?workbook=08_02.xlsx&amp;sheet=A0&amp;row=233&amp;col=19&amp;number=&amp;sourceID=1","")</f>
        <v/>
      </c>
      <c r="T233" s="4" t="str">
        <f>HYPERLINK("http://141.218.60.56/~jnz1568/getInfo.php?workbook=08_02.xlsx&amp;sheet=A0&amp;row=233&amp;col=20&amp;number=&amp;sourceID=1","")</f>
        <v/>
      </c>
    </row>
    <row r="234" spans="1:20">
      <c r="A234" s="3">
        <v>8</v>
      </c>
      <c r="B234" s="3">
        <v>2</v>
      </c>
      <c r="C234" s="3">
        <v>24</v>
      </c>
      <c r="D234" s="3">
        <v>5</v>
      </c>
      <c r="E234" s="3">
        <f>((1/(INDEX(E0!J$4:J$52,C234,1)-INDEX(E0!J$4:J$52,D234,1))))*100000000</f>
        <v>0</v>
      </c>
      <c r="F234" s="4" t="str">
        <f>HYPERLINK("http://141.218.60.56/~jnz1568/getInfo.php?workbook=08_02.xlsx&amp;sheet=A0&amp;row=234&amp;col=6&amp;number=&amp;sourceID=27","")</f>
        <v/>
      </c>
      <c r="G234" s="4" t="str">
        <f>HYPERLINK("http://141.218.60.56/~jnz1568/getInfo.php?workbook=08_02.xlsx&amp;sheet=A0&amp;row=234&amp;col=7&amp;number=13290000000&amp;sourceID=34","13290000000")</f>
        <v>13290000000</v>
      </c>
      <c r="H234" s="4" t="str">
        <f>HYPERLINK("http://141.218.60.56/~jnz1568/getInfo.php?workbook=08_02.xlsx&amp;sheet=A0&amp;row=234&amp;col=8&amp;number=&amp;sourceID=34","")</f>
        <v/>
      </c>
      <c r="I234" s="4" t="str">
        <f>HYPERLINK("http://141.218.60.56/~jnz1568/getInfo.php?workbook=08_02.xlsx&amp;sheet=A0&amp;row=234&amp;col=9&amp;number=&amp;sourceID=34","")</f>
        <v/>
      </c>
      <c r="J234" s="4" t="str">
        <f>HYPERLINK("http://141.218.60.56/~jnz1568/getInfo.php?workbook=08_02.xlsx&amp;sheet=A0&amp;row=234&amp;col=10&amp;number=&amp;sourceID=34","")</f>
        <v/>
      </c>
      <c r="K234" s="4" t="str">
        <f>HYPERLINK("http://141.218.60.56/~jnz1568/getInfo.php?workbook=08_02.xlsx&amp;sheet=A0&amp;row=234&amp;col=11&amp;number=13070000000&amp;sourceID=30","13070000000")</f>
        <v>13070000000</v>
      </c>
      <c r="L234" s="4" t="str">
        <f>HYPERLINK("http://141.218.60.56/~jnz1568/getInfo.php?workbook=08_02.xlsx&amp;sheet=A0&amp;row=234&amp;col=12&amp;number=&amp;sourceID=30","")</f>
        <v/>
      </c>
      <c r="M234" s="4" t="str">
        <f>HYPERLINK("http://141.218.60.56/~jnz1568/getInfo.php?workbook=08_02.xlsx&amp;sheet=A0&amp;row=234&amp;col=13&amp;number=&amp;sourceID=30","")</f>
        <v/>
      </c>
      <c r="N234" s="4" t="str">
        <f>HYPERLINK("http://141.218.60.56/~jnz1568/getInfo.php?workbook=08_02.xlsx&amp;sheet=A0&amp;row=234&amp;col=14&amp;number=76.9&amp;sourceID=30","76.9")</f>
        <v>76.9</v>
      </c>
      <c r="O234" s="4" t="str">
        <f>HYPERLINK("http://141.218.60.56/~jnz1568/getInfo.php?workbook=08_02.xlsx&amp;sheet=A0&amp;row=234&amp;col=15&amp;number=13160000000&amp;sourceID=32","13160000000")</f>
        <v>13160000000</v>
      </c>
      <c r="P234" s="4" t="str">
        <f>HYPERLINK("http://141.218.60.56/~jnz1568/getInfo.php?workbook=08_02.xlsx&amp;sheet=A0&amp;row=234&amp;col=16&amp;number=&amp;sourceID=32","")</f>
        <v/>
      </c>
      <c r="Q234" s="4" t="str">
        <f>HYPERLINK("http://141.218.60.56/~jnz1568/getInfo.php?workbook=08_02.xlsx&amp;sheet=A0&amp;row=234&amp;col=17&amp;number=&amp;sourceID=32","")</f>
        <v/>
      </c>
      <c r="R234" s="4" t="str">
        <f>HYPERLINK("http://141.218.60.56/~jnz1568/getInfo.php?workbook=08_02.xlsx&amp;sheet=A0&amp;row=234&amp;col=18&amp;number=75.55&amp;sourceID=32","75.55")</f>
        <v>75.55</v>
      </c>
      <c r="S234" s="4" t="str">
        <f>HYPERLINK("http://141.218.60.56/~jnz1568/getInfo.php?workbook=08_02.xlsx&amp;sheet=A0&amp;row=234&amp;col=19&amp;number=&amp;sourceID=1","")</f>
        <v/>
      </c>
      <c r="T234" s="4" t="str">
        <f>HYPERLINK("http://141.218.60.56/~jnz1568/getInfo.php?workbook=08_02.xlsx&amp;sheet=A0&amp;row=234&amp;col=20&amp;number=&amp;sourceID=1","")</f>
        <v/>
      </c>
    </row>
    <row r="235" spans="1:20">
      <c r="A235" s="3">
        <v>8</v>
      </c>
      <c r="B235" s="3">
        <v>2</v>
      </c>
      <c r="C235" s="3">
        <v>24</v>
      </c>
      <c r="D235" s="3">
        <v>6</v>
      </c>
      <c r="E235" s="3">
        <f>((1/(INDEX(E0!J$4:J$52,C235,1)-INDEX(E0!J$4:J$52,D235,1))))*100000000</f>
        <v>0</v>
      </c>
      <c r="F235" s="4" t="str">
        <f>HYPERLINK("http://141.218.60.56/~jnz1568/getInfo.php?workbook=08_02.xlsx&amp;sheet=A0&amp;row=235&amp;col=6&amp;number=&amp;sourceID=27","")</f>
        <v/>
      </c>
      <c r="G235" s="4" t="str">
        <f>HYPERLINK("http://141.218.60.56/~jnz1568/getInfo.php?workbook=08_02.xlsx&amp;sheet=A0&amp;row=235&amp;col=7&amp;number=&amp;sourceID=34","")</f>
        <v/>
      </c>
      <c r="H235" s="4" t="str">
        <f>HYPERLINK("http://141.218.60.56/~jnz1568/getInfo.php?workbook=08_02.xlsx&amp;sheet=A0&amp;row=235&amp;col=8&amp;number=&amp;sourceID=34","")</f>
        <v/>
      </c>
      <c r="I235" s="4" t="str">
        <f>HYPERLINK("http://141.218.60.56/~jnz1568/getInfo.php?workbook=08_02.xlsx&amp;sheet=A0&amp;row=235&amp;col=9&amp;number=&amp;sourceID=34","")</f>
        <v/>
      </c>
      <c r="J235" s="4" t="str">
        <f>HYPERLINK("http://141.218.60.56/~jnz1568/getInfo.php?workbook=08_02.xlsx&amp;sheet=A0&amp;row=235&amp;col=10&amp;number=&amp;sourceID=34","")</f>
        <v/>
      </c>
      <c r="K235" s="4" t="str">
        <f>HYPERLINK("http://141.218.60.56/~jnz1568/getInfo.php?workbook=08_02.xlsx&amp;sheet=A0&amp;row=235&amp;col=11&amp;number=&amp;sourceID=30","")</f>
        <v/>
      </c>
      <c r="L235" s="4" t="str">
        <f>HYPERLINK("http://141.218.60.56/~jnz1568/getInfo.php?workbook=08_02.xlsx&amp;sheet=A0&amp;row=235&amp;col=12&amp;number=7649&amp;sourceID=30","7649")</f>
        <v>7649</v>
      </c>
      <c r="M235" s="4" t="str">
        <f>HYPERLINK("http://141.218.60.56/~jnz1568/getInfo.php?workbook=08_02.xlsx&amp;sheet=A0&amp;row=235&amp;col=13&amp;number=&amp;sourceID=30","")</f>
        <v/>
      </c>
      <c r="N235" s="4" t="str">
        <f>HYPERLINK("http://141.218.60.56/~jnz1568/getInfo.php?workbook=08_02.xlsx&amp;sheet=A0&amp;row=235&amp;col=14&amp;number=&amp;sourceID=30","")</f>
        <v/>
      </c>
      <c r="O235" s="4" t="str">
        <f>HYPERLINK("http://141.218.60.56/~jnz1568/getInfo.php?workbook=08_02.xlsx&amp;sheet=A0&amp;row=235&amp;col=15&amp;number=&amp;sourceID=32","")</f>
        <v/>
      </c>
      <c r="P235" s="4" t="str">
        <f>HYPERLINK("http://141.218.60.56/~jnz1568/getInfo.php?workbook=08_02.xlsx&amp;sheet=A0&amp;row=235&amp;col=16&amp;number=7732&amp;sourceID=32","7732")</f>
        <v>7732</v>
      </c>
      <c r="Q235" s="4" t="str">
        <f>HYPERLINK("http://141.218.60.56/~jnz1568/getInfo.php?workbook=08_02.xlsx&amp;sheet=A0&amp;row=235&amp;col=17&amp;number=&amp;sourceID=32","")</f>
        <v/>
      </c>
      <c r="R235" s="4" t="str">
        <f>HYPERLINK("http://141.218.60.56/~jnz1568/getInfo.php?workbook=08_02.xlsx&amp;sheet=A0&amp;row=235&amp;col=18&amp;number=&amp;sourceID=32","")</f>
        <v/>
      </c>
      <c r="S235" s="4" t="str">
        <f>HYPERLINK("http://141.218.60.56/~jnz1568/getInfo.php?workbook=08_02.xlsx&amp;sheet=A0&amp;row=235&amp;col=19&amp;number=&amp;sourceID=1","")</f>
        <v/>
      </c>
      <c r="T235" s="4" t="str">
        <f>HYPERLINK("http://141.218.60.56/~jnz1568/getInfo.php?workbook=08_02.xlsx&amp;sheet=A0&amp;row=235&amp;col=20&amp;number=&amp;sourceID=1","")</f>
        <v/>
      </c>
    </row>
    <row r="236" spans="1:20">
      <c r="A236" s="3">
        <v>8</v>
      </c>
      <c r="B236" s="3">
        <v>2</v>
      </c>
      <c r="C236" s="3">
        <v>24</v>
      </c>
      <c r="D236" s="3">
        <v>7</v>
      </c>
      <c r="E236" s="3">
        <f>((1/(INDEX(E0!J$4:J$52,C236,1)-INDEX(E0!J$4:J$52,D236,1))))*100000000</f>
        <v>0</v>
      </c>
      <c r="F236" s="4" t="str">
        <f>HYPERLINK("http://141.218.60.56/~jnz1568/getInfo.php?workbook=08_02.xlsx&amp;sheet=A0&amp;row=236&amp;col=6&amp;number=&amp;sourceID=27","")</f>
        <v/>
      </c>
      <c r="G236" s="4" t="str">
        <f>HYPERLINK("http://141.218.60.56/~jnz1568/getInfo.php?workbook=08_02.xlsx&amp;sheet=A0&amp;row=236&amp;col=7&amp;number=&amp;sourceID=34","")</f>
        <v/>
      </c>
      <c r="H236" s="4" t="str">
        <f>HYPERLINK("http://141.218.60.56/~jnz1568/getInfo.php?workbook=08_02.xlsx&amp;sheet=A0&amp;row=236&amp;col=8&amp;number=&amp;sourceID=34","")</f>
        <v/>
      </c>
      <c r="I236" s="4" t="str">
        <f>HYPERLINK("http://141.218.60.56/~jnz1568/getInfo.php?workbook=08_02.xlsx&amp;sheet=A0&amp;row=236&amp;col=9&amp;number=&amp;sourceID=34","")</f>
        <v/>
      </c>
      <c r="J236" s="4" t="str">
        <f>HYPERLINK("http://141.218.60.56/~jnz1568/getInfo.php?workbook=08_02.xlsx&amp;sheet=A0&amp;row=236&amp;col=10&amp;number=&amp;sourceID=34","")</f>
        <v/>
      </c>
      <c r="K236" s="4" t="str">
        <f>HYPERLINK("http://141.218.60.56/~jnz1568/getInfo.php?workbook=08_02.xlsx&amp;sheet=A0&amp;row=236&amp;col=11&amp;number=297100000&amp;sourceID=30","297100000")</f>
        <v>297100000</v>
      </c>
      <c r="L236" s="4" t="str">
        <f>HYPERLINK("http://141.218.60.56/~jnz1568/getInfo.php?workbook=08_02.xlsx&amp;sheet=A0&amp;row=236&amp;col=12&amp;number=&amp;sourceID=30","")</f>
        <v/>
      </c>
      <c r="M236" s="4" t="str">
        <f>HYPERLINK("http://141.218.60.56/~jnz1568/getInfo.php?workbook=08_02.xlsx&amp;sheet=A0&amp;row=236&amp;col=13&amp;number=&amp;sourceID=30","")</f>
        <v/>
      </c>
      <c r="N236" s="4" t="str">
        <f>HYPERLINK("http://141.218.60.56/~jnz1568/getInfo.php?workbook=08_02.xlsx&amp;sheet=A0&amp;row=236&amp;col=14&amp;number=40.65&amp;sourceID=30","40.65")</f>
        <v>40.65</v>
      </c>
      <c r="O236" s="4" t="str">
        <f>HYPERLINK("http://141.218.60.56/~jnz1568/getInfo.php?workbook=08_02.xlsx&amp;sheet=A0&amp;row=236&amp;col=15&amp;number=370100000&amp;sourceID=32","370100000")</f>
        <v>370100000</v>
      </c>
      <c r="P236" s="4" t="str">
        <f>HYPERLINK("http://141.218.60.56/~jnz1568/getInfo.php?workbook=08_02.xlsx&amp;sheet=A0&amp;row=236&amp;col=16&amp;number=&amp;sourceID=32","")</f>
        <v/>
      </c>
      <c r="Q236" s="4" t="str">
        <f>HYPERLINK("http://141.218.60.56/~jnz1568/getInfo.php?workbook=08_02.xlsx&amp;sheet=A0&amp;row=236&amp;col=17&amp;number=&amp;sourceID=32","")</f>
        <v/>
      </c>
      <c r="R236" s="4" t="str">
        <f>HYPERLINK("http://141.218.60.56/~jnz1568/getInfo.php?workbook=08_02.xlsx&amp;sheet=A0&amp;row=236&amp;col=18&amp;number=38.71&amp;sourceID=32","38.71")</f>
        <v>38.71</v>
      </c>
      <c r="S236" s="4" t="str">
        <f>HYPERLINK("http://141.218.60.56/~jnz1568/getInfo.php?workbook=08_02.xlsx&amp;sheet=A0&amp;row=236&amp;col=19&amp;number=&amp;sourceID=1","")</f>
        <v/>
      </c>
      <c r="T236" s="4" t="str">
        <f>HYPERLINK("http://141.218.60.56/~jnz1568/getInfo.php?workbook=08_02.xlsx&amp;sheet=A0&amp;row=236&amp;col=20&amp;number=&amp;sourceID=1","")</f>
        <v/>
      </c>
    </row>
    <row r="237" spans="1:20">
      <c r="A237" s="3">
        <v>8</v>
      </c>
      <c r="B237" s="3">
        <v>2</v>
      </c>
      <c r="C237" s="3">
        <v>24</v>
      </c>
      <c r="D237" s="3">
        <v>8</v>
      </c>
      <c r="E237" s="3">
        <f>((1/(INDEX(E0!J$4:J$52,C237,1)-INDEX(E0!J$4:J$52,D237,1))))*100000000</f>
        <v>0</v>
      </c>
      <c r="F237" s="4" t="str">
        <f>HYPERLINK("http://141.218.60.56/~jnz1568/getInfo.php?workbook=08_02.xlsx&amp;sheet=A0&amp;row=237&amp;col=6&amp;number=&amp;sourceID=27","")</f>
        <v/>
      </c>
      <c r="G237" s="4" t="str">
        <f>HYPERLINK("http://141.218.60.56/~jnz1568/getInfo.php?workbook=08_02.xlsx&amp;sheet=A0&amp;row=237&amp;col=7&amp;number=&amp;sourceID=34","")</f>
        <v/>
      </c>
      <c r="H237" s="4" t="str">
        <f>HYPERLINK("http://141.218.60.56/~jnz1568/getInfo.php?workbook=08_02.xlsx&amp;sheet=A0&amp;row=237&amp;col=8&amp;number=&amp;sourceID=34","")</f>
        <v/>
      </c>
      <c r="I237" s="4" t="str">
        <f>HYPERLINK("http://141.218.60.56/~jnz1568/getInfo.php?workbook=08_02.xlsx&amp;sheet=A0&amp;row=237&amp;col=9&amp;number=&amp;sourceID=34","")</f>
        <v/>
      </c>
      <c r="J237" s="4" t="str">
        <f>HYPERLINK("http://141.218.60.56/~jnz1568/getInfo.php?workbook=08_02.xlsx&amp;sheet=A0&amp;row=237&amp;col=10&amp;number=&amp;sourceID=34","")</f>
        <v/>
      </c>
      <c r="K237" s="4" t="str">
        <f>HYPERLINK("http://141.218.60.56/~jnz1568/getInfo.php?workbook=08_02.xlsx&amp;sheet=A0&amp;row=237&amp;col=11&amp;number=&amp;sourceID=30","")</f>
        <v/>
      </c>
      <c r="L237" s="4" t="str">
        <f>HYPERLINK("http://141.218.60.56/~jnz1568/getInfo.php?workbook=08_02.xlsx&amp;sheet=A0&amp;row=237&amp;col=12&amp;number=532700&amp;sourceID=30","532700")</f>
        <v>532700</v>
      </c>
      <c r="M237" s="4" t="str">
        <f>HYPERLINK("http://141.218.60.56/~jnz1568/getInfo.php?workbook=08_02.xlsx&amp;sheet=A0&amp;row=237&amp;col=13&amp;number=1.591e-06&amp;sourceID=30","1.591e-06")</f>
        <v>1.591e-06</v>
      </c>
      <c r="N237" s="4" t="str">
        <f>HYPERLINK("http://141.218.60.56/~jnz1568/getInfo.php?workbook=08_02.xlsx&amp;sheet=A0&amp;row=237&amp;col=14&amp;number=&amp;sourceID=30","")</f>
        <v/>
      </c>
      <c r="O237" s="4" t="str">
        <f>HYPERLINK("http://141.218.60.56/~jnz1568/getInfo.php?workbook=08_02.xlsx&amp;sheet=A0&amp;row=237&amp;col=15&amp;number=&amp;sourceID=32","")</f>
        <v/>
      </c>
      <c r="P237" s="4" t="str">
        <f>HYPERLINK("http://141.218.60.56/~jnz1568/getInfo.php?workbook=08_02.xlsx&amp;sheet=A0&amp;row=237&amp;col=16&amp;number=534800&amp;sourceID=32","534800")</f>
        <v>534800</v>
      </c>
      <c r="Q237" s="4" t="str">
        <f>HYPERLINK("http://141.218.60.56/~jnz1568/getInfo.php?workbook=08_02.xlsx&amp;sheet=A0&amp;row=237&amp;col=17&amp;number=1.179e-05&amp;sourceID=32","1.179e-05")</f>
        <v>1.179e-05</v>
      </c>
      <c r="R237" s="4" t="str">
        <f>HYPERLINK("http://141.218.60.56/~jnz1568/getInfo.php?workbook=08_02.xlsx&amp;sheet=A0&amp;row=237&amp;col=18&amp;number=&amp;sourceID=32","")</f>
        <v/>
      </c>
      <c r="S237" s="4" t="str">
        <f>HYPERLINK("http://141.218.60.56/~jnz1568/getInfo.php?workbook=08_02.xlsx&amp;sheet=A0&amp;row=237&amp;col=19&amp;number=&amp;sourceID=1","")</f>
        <v/>
      </c>
      <c r="T237" s="4" t="str">
        <f>HYPERLINK("http://141.218.60.56/~jnz1568/getInfo.php?workbook=08_02.xlsx&amp;sheet=A0&amp;row=237&amp;col=20&amp;number=&amp;sourceID=1","")</f>
        <v/>
      </c>
    </row>
    <row r="238" spans="1:20">
      <c r="A238" s="3">
        <v>8</v>
      </c>
      <c r="B238" s="3">
        <v>2</v>
      </c>
      <c r="C238" s="3">
        <v>24</v>
      </c>
      <c r="D238" s="3">
        <v>9</v>
      </c>
      <c r="E238" s="3">
        <f>((1/(INDEX(E0!J$4:J$52,C238,1)-INDEX(E0!J$4:J$52,D238,1))))*100000000</f>
        <v>0</v>
      </c>
      <c r="F238" s="4" t="str">
        <f>HYPERLINK("http://141.218.60.56/~jnz1568/getInfo.php?workbook=08_02.xlsx&amp;sheet=A0&amp;row=238&amp;col=6&amp;number=&amp;sourceID=27","")</f>
        <v/>
      </c>
      <c r="G238" s="4" t="str">
        <f>HYPERLINK("http://141.218.60.56/~jnz1568/getInfo.php?workbook=08_02.xlsx&amp;sheet=A0&amp;row=238&amp;col=7&amp;number=&amp;sourceID=34","")</f>
        <v/>
      </c>
      <c r="H238" s="4" t="str">
        <f>HYPERLINK("http://141.218.60.56/~jnz1568/getInfo.php?workbook=08_02.xlsx&amp;sheet=A0&amp;row=238&amp;col=8&amp;number=&amp;sourceID=34","")</f>
        <v/>
      </c>
      <c r="I238" s="4" t="str">
        <f>HYPERLINK("http://141.218.60.56/~jnz1568/getInfo.php?workbook=08_02.xlsx&amp;sheet=A0&amp;row=238&amp;col=9&amp;number=&amp;sourceID=34","")</f>
        <v/>
      </c>
      <c r="J238" s="4" t="str">
        <f>HYPERLINK("http://141.218.60.56/~jnz1568/getInfo.php?workbook=08_02.xlsx&amp;sheet=A0&amp;row=238&amp;col=10&amp;number=&amp;sourceID=34","")</f>
        <v/>
      </c>
      <c r="K238" s="4" t="str">
        <f>HYPERLINK("http://141.218.60.56/~jnz1568/getInfo.php?workbook=08_02.xlsx&amp;sheet=A0&amp;row=238&amp;col=11&amp;number=&amp;sourceID=30","")</f>
        <v/>
      </c>
      <c r="L238" s="4" t="str">
        <f>HYPERLINK("http://141.218.60.56/~jnz1568/getInfo.php?workbook=08_02.xlsx&amp;sheet=A0&amp;row=238&amp;col=12&amp;number=&amp;sourceID=30","")</f>
        <v/>
      </c>
      <c r="M238" s="4" t="str">
        <f>HYPERLINK("http://141.218.60.56/~jnz1568/getInfo.php?workbook=08_02.xlsx&amp;sheet=A0&amp;row=238&amp;col=13&amp;number=&amp;sourceID=30","")</f>
        <v/>
      </c>
      <c r="N238" s="4" t="str">
        <f>HYPERLINK("http://141.218.60.56/~jnz1568/getInfo.php?workbook=08_02.xlsx&amp;sheet=A0&amp;row=238&amp;col=14&amp;number=0.1812&amp;sourceID=30","0.1812")</f>
        <v>0.1812</v>
      </c>
      <c r="O238" s="4" t="str">
        <f>HYPERLINK("http://141.218.60.56/~jnz1568/getInfo.php?workbook=08_02.xlsx&amp;sheet=A0&amp;row=238&amp;col=15&amp;number=&amp;sourceID=32","")</f>
        <v/>
      </c>
      <c r="P238" s="4" t="str">
        <f>HYPERLINK("http://141.218.60.56/~jnz1568/getInfo.php?workbook=08_02.xlsx&amp;sheet=A0&amp;row=238&amp;col=16&amp;number=&amp;sourceID=32","")</f>
        <v/>
      </c>
      <c r="Q238" s="4" t="str">
        <f>HYPERLINK("http://141.218.60.56/~jnz1568/getInfo.php?workbook=08_02.xlsx&amp;sheet=A0&amp;row=238&amp;col=17&amp;number=&amp;sourceID=32","")</f>
        <v/>
      </c>
      <c r="R238" s="4" t="str">
        <f>HYPERLINK("http://141.218.60.56/~jnz1568/getInfo.php?workbook=08_02.xlsx&amp;sheet=A0&amp;row=238&amp;col=18&amp;number=0.1696&amp;sourceID=32","0.1696")</f>
        <v>0.1696</v>
      </c>
      <c r="S238" s="4" t="str">
        <f>HYPERLINK("http://141.218.60.56/~jnz1568/getInfo.php?workbook=08_02.xlsx&amp;sheet=A0&amp;row=238&amp;col=19&amp;number=&amp;sourceID=1","")</f>
        <v/>
      </c>
      <c r="T238" s="4" t="str">
        <f>HYPERLINK("http://141.218.60.56/~jnz1568/getInfo.php?workbook=08_02.xlsx&amp;sheet=A0&amp;row=238&amp;col=20&amp;number=&amp;sourceID=1","")</f>
        <v/>
      </c>
    </row>
    <row r="239" spans="1:20">
      <c r="A239" s="3">
        <v>8</v>
      </c>
      <c r="B239" s="3">
        <v>2</v>
      </c>
      <c r="C239" s="3">
        <v>24</v>
      </c>
      <c r="D239" s="3">
        <v>10</v>
      </c>
      <c r="E239" s="3">
        <f>((1/(INDEX(E0!J$4:J$52,C239,1)-INDEX(E0!J$4:J$52,D239,1))))*100000000</f>
        <v>0</v>
      </c>
      <c r="F239" s="4" t="str">
        <f>HYPERLINK("http://141.218.60.56/~jnz1568/getInfo.php?workbook=08_02.xlsx&amp;sheet=A0&amp;row=239&amp;col=6&amp;number=&amp;sourceID=27","")</f>
        <v/>
      </c>
      <c r="G239" s="4" t="str">
        <f>HYPERLINK("http://141.218.60.56/~jnz1568/getInfo.php?workbook=08_02.xlsx&amp;sheet=A0&amp;row=239&amp;col=7&amp;number=12500000000&amp;sourceID=34","12500000000")</f>
        <v>12500000000</v>
      </c>
      <c r="H239" s="4" t="str">
        <f>HYPERLINK("http://141.218.60.56/~jnz1568/getInfo.php?workbook=08_02.xlsx&amp;sheet=A0&amp;row=239&amp;col=8&amp;number=&amp;sourceID=34","")</f>
        <v/>
      </c>
      <c r="I239" s="4" t="str">
        <f>HYPERLINK("http://141.218.60.56/~jnz1568/getInfo.php?workbook=08_02.xlsx&amp;sheet=A0&amp;row=239&amp;col=9&amp;number=&amp;sourceID=34","")</f>
        <v/>
      </c>
      <c r="J239" s="4" t="str">
        <f>HYPERLINK("http://141.218.60.56/~jnz1568/getInfo.php?workbook=08_02.xlsx&amp;sheet=A0&amp;row=239&amp;col=10&amp;number=&amp;sourceID=34","")</f>
        <v/>
      </c>
      <c r="K239" s="4" t="str">
        <f>HYPERLINK("http://141.218.60.56/~jnz1568/getInfo.php?workbook=08_02.xlsx&amp;sheet=A0&amp;row=239&amp;col=11&amp;number=12410000000&amp;sourceID=30","12410000000")</f>
        <v>12410000000</v>
      </c>
      <c r="L239" s="4" t="str">
        <f>HYPERLINK("http://141.218.60.56/~jnz1568/getInfo.php?workbook=08_02.xlsx&amp;sheet=A0&amp;row=239&amp;col=12&amp;number=&amp;sourceID=30","")</f>
        <v/>
      </c>
      <c r="M239" s="4" t="str">
        <f>HYPERLINK("http://141.218.60.56/~jnz1568/getInfo.php?workbook=08_02.xlsx&amp;sheet=A0&amp;row=239&amp;col=13&amp;number=&amp;sourceID=30","")</f>
        <v/>
      </c>
      <c r="N239" s="4" t="str">
        <f>HYPERLINK("http://141.218.60.56/~jnz1568/getInfo.php?workbook=08_02.xlsx&amp;sheet=A0&amp;row=239&amp;col=14&amp;number=3.938&amp;sourceID=30","3.938")</f>
        <v>3.938</v>
      </c>
      <c r="O239" s="4" t="str">
        <f>HYPERLINK("http://141.218.60.56/~jnz1568/getInfo.php?workbook=08_02.xlsx&amp;sheet=A0&amp;row=239&amp;col=15&amp;number=12420000000&amp;sourceID=32","12420000000")</f>
        <v>12420000000</v>
      </c>
      <c r="P239" s="4" t="str">
        <f>HYPERLINK("http://141.218.60.56/~jnz1568/getInfo.php?workbook=08_02.xlsx&amp;sheet=A0&amp;row=239&amp;col=16&amp;number=&amp;sourceID=32","")</f>
        <v/>
      </c>
      <c r="Q239" s="4" t="str">
        <f>HYPERLINK("http://141.218.60.56/~jnz1568/getInfo.php?workbook=08_02.xlsx&amp;sheet=A0&amp;row=239&amp;col=17&amp;number=&amp;sourceID=32","")</f>
        <v/>
      </c>
      <c r="R239" s="4" t="str">
        <f>HYPERLINK("http://141.218.60.56/~jnz1568/getInfo.php?workbook=08_02.xlsx&amp;sheet=A0&amp;row=239&amp;col=18&amp;number=3.864&amp;sourceID=32","3.864")</f>
        <v>3.864</v>
      </c>
      <c r="S239" s="4" t="str">
        <f>HYPERLINK("http://141.218.60.56/~jnz1568/getInfo.php?workbook=08_02.xlsx&amp;sheet=A0&amp;row=239&amp;col=19&amp;number=&amp;sourceID=1","")</f>
        <v/>
      </c>
      <c r="T239" s="4" t="str">
        <f>HYPERLINK("http://141.218.60.56/~jnz1568/getInfo.php?workbook=08_02.xlsx&amp;sheet=A0&amp;row=239&amp;col=20&amp;number=&amp;sourceID=1","")</f>
        <v/>
      </c>
    </row>
    <row r="240" spans="1:20">
      <c r="A240" s="3">
        <v>8</v>
      </c>
      <c r="B240" s="3">
        <v>2</v>
      </c>
      <c r="C240" s="3">
        <v>24</v>
      </c>
      <c r="D240" s="3">
        <v>11</v>
      </c>
      <c r="E240" s="3">
        <f>((1/(INDEX(E0!J$4:J$52,C240,1)-INDEX(E0!J$4:J$52,D240,1))))*100000000</f>
        <v>0</v>
      </c>
      <c r="F240" s="4" t="str">
        <f>HYPERLINK("http://141.218.60.56/~jnz1568/getInfo.php?workbook=08_02.xlsx&amp;sheet=A0&amp;row=240&amp;col=6&amp;number=&amp;sourceID=27","")</f>
        <v/>
      </c>
      <c r="G240" s="4" t="str">
        <f>HYPERLINK("http://141.218.60.56/~jnz1568/getInfo.php?workbook=08_02.xlsx&amp;sheet=A0&amp;row=240&amp;col=7&amp;number=4168000000&amp;sourceID=34","4168000000")</f>
        <v>4168000000</v>
      </c>
      <c r="H240" s="4" t="str">
        <f>HYPERLINK("http://141.218.60.56/~jnz1568/getInfo.php?workbook=08_02.xlsx&amp;sheet=A0&amp;row=240&amp;col=8&amp;number=&amp;sourceID=34","")</f>
        <v/>
      </c>
      <c r="I240" s="4" t="str">
        <f>HYPERLINK("http://141.218.60.56/~jnz1568/getInfo.php?workbook=08_02.xlsx&amp;sheet=A0&amp;row=240&amp;col=9&amp;number=&amp;sourceID=34","")</f>
        <v/>
      </c>
      <c r="J240" s="4" t="str">
        <f>HYPERLINK("http://141.218.60.56/~jnz1568/getInfo.php?workbook=08_02.xlsx&amp;sheet=A0&amp;row=240&amp;col=10&amp;number=&amp;sourceID=34","")</f>
        <v/>
      </c>
      <c r="K240" s="4" t="str">
        <f>HYPERLINK("http://141.218.60.56/~jnz1568/getInfo.php?workbook=08_02.xlsx&amp;sheet=A0&amp;row=240&amp;col=11&amp;number=4126000000&amp;sourceID=30","4126000000")</f>
        <v>4126000000</v>
      </c>
      <c r="L240" s="4" t="str">
        <f>HYPERLINK("http://141.218.60.56/~jnz1568/getInfo.php?workbook=08_02.xlsx&amp;sheet=A0&amp;row=240&amp;col=12&amp;number=&amp;sourceID=30","")</f>
        <v/>
      </c>
      <c r="M240" s="4" t="str">
        <f>HYPERLINK("http://141.218.60.56/~jnz1568/getInfo.php?workbook=08_02.xlsx&amp;sheet=A0&amp;row=240&amp;col=13&amp;number=&amp;sourceID=30","")</f>
        <v/>
      </c>
      <c r="N240" s="4" t="str">
        <f>HYPERLINK("http://141.218.60.56/~jnz1568/getInfo.php?workbook=08_02.xlsx&amp;sheet=A0&amp;row=240&amp;col=14&amp;number=1.642&amp;sourceID=30","1.642")</f>
        <v>1.642</v>
      </c>
      <c r="O240" s="4" t="str">
        <f>HYPERLINK("http://141.218.60.56/~jnz1568/getInfo.php?workbook=08_02.xlsx&amp;sheet=A0&amp;row=240&amp;col=15&amp;number=4130000000&amp;sourceID=32","4130000000")</f>
        <v>4130000000</v>
      </c>
      <c r="P240" s="4" t="str">
        <f>HYPERLINK("http://141.218.60.56/~jnz1568/getInfo.php?workbook=08_02.xlsx&amp;sheet=A0&amp;row=240&amp;col=16&amp;number=&amp;sourceID=32","")</f>
        <v/>
      </c>
      <c r="Q240" s="4" t="str">
        <f>HYPERLINK("http://141.218.60.56/~jnz1568/getInfo.php?workbook=08_02.xlsx&amp;sheet=A0&amp;row=240&amp;col=17&amp;number=&amp;sourceID=32","")</f>
        <v/>
      </c>
      <c r="R240" s="4" t="str">
        <f>HYPERLINK("http://141.218.60.56/~jnz1568/getInfo.php?workbook=08_02.xlsx&amp;sheet=A0&amp;row=240&amp;col=18&amp;number=1.599&amp;sourceID=32","1.599")</f>
        <v>1.599</v>
      </c>
      <c r="S240" s="4" t="str">
        <f>HYPERLINK("http://141.218.60.56/~jnz1568/getInfo.php?workbook=08_02.xlsx&amp;sheet=A0&amp;row=240&amp;col=19&amp;number=&amp;sourceID=1","")</f>
        <v/>
      </c>
      <c r="T240" s="4" t="str">
        <f>HYPERLINK("http://141.218.60.56/~jnz1568/getInfo.php?workbook=08_02.xlsx&amp;sheet=A0&amp;row=240&amp;col=20&amp;number=&amp;sourceID=1","")</f>
        <v/>
      </c>
    </row>
    <row r="241" spans="1:20">
      <c r="A241" s="3">
        <v>8</v>
      </c>
      <c r="B241" s="3">
        <v>2</v>
      </c>
      <c r="C241" s="3">
        <v>24</v>
      </c>
      <c r="D241" s="3">
        <v>12</v>
      </c>
      <c r="E241" s="3">
        <f>((1/(INDEX(E0!J$4:J$52,C241,1)-INDEX(E0!J$4:J$52,D241,1))))*100000000</f>
        <v>0</v>
      </c>
      <c r="F241" s="4" t="str">
        <f>HYPERLINK("http://141.218.60.56/~jnz1568/getInfo.php?workbook=08_02.xlsx&amp;sheet=A0&amp;row=241&amp;col=6&amp;number=&amp;sourceID=27","")</f>
        <v/>
      </c>
      <c r="G241" s="4" t="str">
        <f>HYPERLINK("http://141.218.60.56/~jnz1568/getInfo.php?workbook=08_02.xlsx&amp;sheet=A0&amp;row=241&amp;col=7&amp;number=&amp;sourceID=34","")</f>
        <v/>
      </c>
      <c r="H241" s="4" t="str">
        <f>HYPERLINK("http://141.218.60.56/~jnz1568/getInfo.php?workbook=08_02.xlsx&amp;sheet=A0&amp;row=241&amp;col=8&amp;number=&amp;sourceID=34","")</f>
        <v/>
      </c>
      <c r="I241" s="4" t="str">
        <f>HYPERLINK("http://141.218.60.56/~jnz1568/getInfo.php?workbook=08_02.xlsx&amp;sheet=A0&amp;row=241&amp;col=9&amp;number=&amp;sourceID=34","")</f>
        <v/>
      </c>
      <c r="J241" s="4" t="str">
        <f>HYPERLINK("http://141.218.60.56/~jnz1568/getInfo.php?workbook=08_02.xlsx&amp;sheet=A0&amp;row=241&amp;col=10&amp;number=&amp;sourceID=34","")</f>
        <v/>
      </c>
      <c r="K241" s="4" t="str">
        <f>HYPERLINK("http://141.218.60.56/~jnz1568/getInfo.php?workbook=08_02.xlsx&amp;sheet=A0&amp;row=241&amp;col=11&amp;number=&amp;sourceID=30","")</f>
        <v/>
      </c>
      <c r="L241" s="4" t="str">
        <f>HYPERLINK("http://141.218.60.56/~jnz1568/getInfo.php?workbook=08_02.xlsx&amp;sheet=A0&amp;row=241&amp;col=12&amp;number=3717&amp;sourceID=30","3717")</f>
        <v>3717</v>
      </c>
      <c r="M241" s="4" t="str">
        <f>HYPERLINK("http://141.218.60.56/~jnz1568/getInfo.php?workbook=08_02.xlsx&amp;sheet=A0&amp;row=241&amp;col=13&amp;number=&amp;sourceID=30","")</f>
        <v/>
      </c>
      <c r="N241" s="4" t="str">
        <f>HYPERLINK("http://141.218.60.56/~jnz1568/getInfo.php?workbook=08_02.xlsx&amp;sheet=A0&amp;row=241&amp;col=14&amp;number=&amp;sourceID=30","")</f>
        <v/>
      </c>
      <c r="O241" s="4" t="str">
        <f>HYPERLINK("http://141.218.60.56/~jnz1568/getInfo.php?workbook=08_02.xlsx&amp;sheet=A0&amp;row=241&amp;col=15&amp;number=&amp;sourceID=32","")</f>
        <v/>
      </c>
      <c r="P241" s="4" t="str">
        <f>HYPERLINK("http://141.218.60.56/~jnz1568/getInfo.php?workbook=08_02.xlsx&amp;sheet=A0&amp;row=241&amp;col=16&amp;number=4668&amp;sourceID=32","4668")</f>
        <v>4668</v>
      </c>
      <c r="Q241" s="4" t="str">
        <f>HYPERLINK("http://141.218.60.56/~jnz1568/getInfo.php?workbook=08_02.xlsx&amp;sheet=A0&amp;row=241&amp;col=17&amp;number=&amp;sourceID=32","")</f>
        <v/>
      </c>
      <c r="R241" s="4" t="str">
        <f>HYPERLINK("http://141.218.60.56/~jnz1568/getInfo.php?workbook=08_02.xlsx&amp;sheet=A0&amp;row=241&amp;col=18&amp;number=&amp;sourceID=32","")</f>
        <v/>
      </c>
      <c r="S241" s="4" t="str">
        <f>HYPERLINK("http://141.218.60.56/~jnz1568/getInfo.php?workbook=08_02.xlsx&amp;sheet=A0&amp;row=241&amp;col=19&amp;number=&amp;sourceID=1","")</f>
        <v/>
      </c>
      <c r="T241" s="4" t="str">
        <f>HYPERLINK("http://141.218.60.56/~jnz1568/getInfo.php?workbook=08_02.xlsx&amp;sheet=A0&amp;row=241&amp;col=20&amp;number=&amp;sourceID=1","")</f>
        <v/>
      </c>
    </row>
    <row r="242" spans="1:20">
      <c r="A242" s="3">
        <v>8</v>
      </c>
      <c r="B242" s="3">
        <v>2</v>
      </c>
      <c r="C242" s="3">
        <v>24</v>
      </c>
      <c r="D242" s="3">
        <v>13</v>
      </c>
      <c r="E242" s="3">
        <f>((1/(INDEX(E0!J$4:J$52,C242,1)-INDEX(E0!J$4:J$52,D242,1))))*100000000</f>
        <v>0</v>
      </c>
      <c r="F242" s="4" t="str">
        <f>HYPERLINK("http://141.218.60.56/~jnz1568/getInfo.php?workbook=08_02.xlsx&amp;sheet=A0&amp;row=242&amp;col=6&amp;number=&amp;sourceID=27","")</f>
        <v/>
      </c>
      <c r="G242" s="4" t="str">
        <f>HYPERLINK("http://141.218.60.56/~jnz1568/getInfo.php?workbook=08_02.xlsx&amp;sheet=A0&amp;row=242&amp;col=7&amp;number=&amp;sourceID=34","")</f>
        <v/>
      </c>
      <c r="H242" s="4" t="str">
        <f>HYPERLINK("http://141.218.60.56/~jnz1568/getInfo.php?workbook=08_02.xlsx&amp;sheet=A0&amp;row=242&amp;col=8&amp;number=&amp;sourceID=34","")</f>
        <v/>
      </c>
      <c r="I242" s="4" t="str">
        <f>HYPERLINK("http://141.218.60.56/~jnz1568/getInfo.php?workbook=08_02.xlsx&amp;sheet=A0&amp;row=242&amp;col=9&amp;number=&amp;sourceID=34","")</f>
        <v/>
      </c>
      <c r="J242" s="4" t="str">
        <f>HYPERLINK("http://141.218.60.56/~jnz1568/getInfo.php?workbook=08_02.xlsx&amp;sheet=A0&amp;row=242&amp;col=10&amp;number=&amp;sourceID=34","")</f>
        <v/>
      </c>
      <c r="K242" s="4" t="str">
        <f>HYPERLINK("http://141.218.60.56/~jnz1568/getInfo.php?workbook=08_02.xlsx&amp;sheet=A0&amp;row=242&amp;col=11&amp;number=&amp;sourceID=30","")</f>
        <v/>
      </c>
      <c r="L242" s="4" t="str">
        <f>HYPERLINK("http://141.218.60.56/~jnz1568/getInfo.php?workbook=08_02.xlsx&amp;sheet=A0&amp;row=242&amp;col=12&amp;number=48690&amp;sourceID=30","48690")</f>
        <v>48690</v>
      </c>
      <c r="M242" s="4" t="str">
        <f>HYPERLINK("http://141.218.60.56/~jnz1568/getInfo.php?workbook=08_02.xlsx&amp;sheet=A0&amp;row=242&amp;col=13&amp;number=0.0005316&amp;sourceID=30","0.0005316")</f>
        <v>0.0005316</v>
      </c>
      <c r="N242" s="4" t="str">
        <f>HYPERLINK("http://141.218.60.56/~jnz1568/getInfo.php?workbook=08_02.xlsx&amp;sheet=A0&amp;row=242&amp;col=14&amp;number=&amp;sourceID=30","")</f>
        <v/>
      </c>
      <c r="O242" s="4" t="str">
        <f>HYPERLINK("http://141.218.60.56/~jnz1568/getInfo.php?workbook=08_02.xlsx&amp;sheet=A0&amp;row=242&amp;col=15&amp;number=&amp;sourceID=32","")</f>
        <v/>
      </c>
      <c r="P242" s="4" t="str">
        <f>HYPERLINK("http://141.218.60.56/~jnz1568/getInfo.php?workbook=08_02.xlsx&amp;sheet=A0&amp;row=242&amp;col=16&amp;number=48640&amp;sourceID=32","48640")</f>
        <v>48640</v>
      </c>
      <c r="Q242" s="4" t="str">
        <f>HYPERLINK("http://141.218.60.56/~jnz1568/getInfo.php?workbook=08_02.xlsx&amp;sheet=A0&amp;row=242&amp;col=17&amp;number=0.0006091&amp;sourceID=32","0.0006091")</f>
        <v>0.0006091</v>
      </c>
      <c r="R242" s="4" t="str">
        <f>HYPERLINK("http://141.218.60.56/~jnz1568/getInfo.php?workbook=08_02.xlsx&amp;sheet=A0&amp;row=242&amp;col=18&amp;number=&amp;sourceID=32","")</f>
        <v/>
      </c>
      <c r="S242" s="4" t="str">
        <f>HYPERLINK("http://141.218.60.56/~jnz1568/getInfo.php?workbook=08_02.xlsx&amp;sheet=A0&amp;row=242&amp;col=19&amp;number=&amp;sourceID=1","")</f>
        <v/>
      </c>
      <c r="T242" s="4" t="str">
        <f>HYPERLINK("http://141.218.60.56/~jnz1568/getInfo.php?workbook=08_02.xlsx&amp;sheet=A0&amp;row=242&amp;col=20&amp;number=&amp;sourceID=1","")</f>
        <v/>
      </c>
    </row>
    <row r="243" spans="1:20">
      <c r="A243" s="3">
        <v>8</v>
      </c>
      <c r="B243" s="3">
        <v>2</v>
      </c>
      <c r="C243" s="3">
        <v>24</v>
      </c>
      <c r="D243" s="3">
        <v>14</v>
      </c>
      <c r="E243" s="3">
        <f>((1/(INDEX(E0!J$4:J$52,C243,1)-INDEX(E0!J$4:J$52,D243,1))))*100000000</f>
        <v>0</v>
      </c>
      <c r="F243" s="4" t="str">
        <f>HYPERLINK("http://141.218.60.56/~jnz1568/getInfo.php?workbook=08_02.xlsx&amp;sheet=A0&amp;row=243&amp;col=6&amp;number=&amp;sourceID=27","")</f>
        <v/>
      </c>
      <c r="G243" s="4" t="str">
        <f>HYPERLINK("http://141.218.60.56/~jnz1568/getInfo.php?workbook=08_02.xlsx&amp;sheet=A0&amp;row=243&amp;col=7&amp;number=&amp;sourceID=34","")</f>
        <v/>
      </c>
      <c r="H243" s="4" t="str">
        <f>HYPERLINK("http://141.218.60.56/~jnz1568/getInfo.php?workbook=08_02.xlsx&amp;sheet=A0&amp;row=243&amp;col=8&amp;number=&amp;sourceID=34","")</f>
        <v/>
      </c>
      <c r="I243" s="4" t="str">
        <f>HYPERLINK("http://141.218.60.56/~jnz1568/getInfo.php?workbook=08_02.xlsx&amp;sheet=A0&amp;row=243&amp;col=9&amp;number=&amp;sourceID=34","")</f>
        <v/>
      </c>
      <c r="J243" s="4" t="str">
        <f>HYPERLINK("http://141.218.60.56/~jnz1568/getInfo.php?workbook=08_02.xlsx&amp;sheet=A0&amp;row=243&amp;col=10&amp;number=&amp;sourceID=34","")</f>
        <v/>
      </c>
      <c r="K243" s="4" t="str">
        <f>HYPERLINK("http://141.218.60.56/~jnz1568/getInfo.php?workbook=08_02.xlsx&amp;sheet=A0&amp;row=243&amp;col=11&amp;number=&amp;sourceID=30","")</f>
        <v/>
      </c>
      <c r="L243" s="4" t="str">
        <f>HYPERLINK("http://141.218.60.56/~jnz1568/getInfo.php?workbook=08_02.xlsx&amp;sheet=A0&amp;row=243&amp;col=12&amp;number=35700&amp;sourceID=30","35700")</f>
        <v>35700</v>
      </c>
      <c r="M243" s="4" t="str">
        <f>HYPERLINK("http://141.218.60.56/~jnz1568/getInfo.php?workbook=08_02.xlsx&amp;sheet=A0&amp;row=243&amp;col=13&amp;number=0.008242&amp;sourceID=30","0.008242")</f>
        <v>0.008242</v>
      </c>
      <c r="N243" s="4" t="str">
        <f>HYPERLINK("http://141.218.60.56/~jnz1568/getInfo.php?workbook=08_02.xlsx&amp;sheet=A0&amp;row=243&amp;col=14&amp;number=&amp;sourceID=30","")</f>
        <v/>
      </c>
      <c r="O243" s="4" t="str">
        <f>HYPERLINK("http://141.218.60.56/~jnz1568/getInfo.php?workbook=08_02.xlsx&amp;sheet=A0&amp;row=243&amp;col=15&amp;number=&amp;sourceID=32","")</f>
        <v/>
      </c>
      <c r="P243" s="4" t="str">
        <f>HYPERLINK("http://141.218.60.56/~jnz1568/getInfo.php?workbook=08_02.xlsx&amp;sheet=A0&amp;row=243&amp;col=16&amp;number=35910&amp;sourceID=32","35910")</f>
        <v>35910</v>
      </c>
      <c r="Q243" s="4" t="str">
        <f>HYPERLINK("http://141.218.60.56/~jnz1568/getInfo.php?workbook=08_02.xlsx&amp;sheet=A0&amp;row=243&amp;col=17&amp;number=0.008264&amp;sourceID=32","0.008264")</f>
        <v>0.008264</v>
      </c>
      <c r="R243" s="4" t="str">
        <f>HYPERLINK("http://141.218.60.56/~jnz1568/getInfo.php?workbook=08_02.xlsx&amp;sheet=A0&amp;row=243&amp;col=18&amp;number=&amp;sourceID=32","")</f>
        <v/>
      </c>
      <c r="S243" s="4" t="str">
        <f>HYPERLINK("http://141.218.60.56/~jnz1568/getInfo.php?workbook=08_02.xlsx&amp;sheet=A0&amp;row=243&amp;col=19&amp;number=&amp;sourceID=1","")</f>
        <v/>
      </c>
      <c r="T243" s="4" t="str">
        <f>HYPERLINK("http://141.218.60.56/~jnz1568/getInfo.php?workbook=08_02.xlsx&amp;sheet=A0&amp;row=243&amp;col=20&amp;number=&amp;sourceID=1","")</f>
        <v/>
      </c>
    </row>
    <row r="244" spans="1:20">
      <c r="A244" s="3">
        <v>8</v>
      </c>
      <c r="B244" s="3">
        <v>2</v>
      </c>
      <c r="C244" s="3">
        <v>24</v>
      </c>
      <c r="D244" s="3">
        <v>15</v>
      </c>
      <c r="E244" s="3">
        <f>((1/(INDEX(E0!J$4:J$52,C244,1)-INDEX(E0!J$4:J$52,D244,1))))*100000000</f>
        <v>0</v>
      </c>
      <c r="F244" s="4" t="str">
        <f>HYPERLINK("http://141.218.60.56/~jnz1568/getInfo.php?workbook=08_02.xlsx&amp;sheet=A0&amp;row=244&amp;col=6&amp;number=&amp;sourceID=27","")</f>
        <v/>
      </c>
      <c r="G244" s="4" t="str">
        <f>HYPERLINK("http://141.218.60.56/~jnz1568/getInfo.php?workbook=08_02.xlsx&amp;sheet=A0&amp;row=244&amp;col=7&amp;number=&amp;sourceID=34","")</f>
        <v/>
      </c>
      <c r="H244" s="4" t="str">
        <f>HYPERLINK("http://141.218.60.56/~jnz1568/getInfo.php?workbook=08_02.xlsx&amp;sheet=A0&amp;row=244&amp;col=8&amp;number=&amp;sourceID=34","")</f>
        <v/>
      </c>
      <c r="I244" s="4" t="str">
        <f>HYPERLINK("http://141.218.60.56/~jnz1568/getInfo.php?workbook=08_02.xlsx&amp;sheet=A0&amp;row=244&amp;col=9&amp;number=&amp;sourceID=34","")</f>
        <v/>
      </c>
      <c r="J244" s="4" t="str">
        <f>HYPERLINK("http://141.218.60.56/~jnz1568/getInfo.php?workbook=08_02.xlsx&amp;sheet=A0&amp;row=244&amp;col=10&amp;number=&amp;sourceID=34","")</f>
        <v/>
      </c>
      <c r="K244" s="4" t="str">
        <f>HYPERLINK("http://141.218.60.56/~jnz1568/getInfo.php?workbook=08_02.xlsx&amp;sheet=A0&amp;row=244&amp;col=11&amp;number=&amp;sourceID=30","")</f>
        <v/>
      </c>
      <c r="L244" s="4" t="str">
        <f>HYPERLINK("http://141.218.60.56/~jnz1568/getInfo.php?workbook=08_02.xlsx&amp;sheet=A0&amp;row=244&amp;col=12&amp;number=55580&amp;sourceID=30","55580")</f>
        <v>55580</v>
      </c>
      <c r="M244" s="4" t="str">
        <f>HYPERLINK("http://141.218.60.56/~jnz1568/getInfo.php?workbook=08_02.xlsx&amp;sheet=A0&amp;row=244&amp;col=13&amp;number=0.004701&amp;sourceID=30","0.004701")</f>
        <v>0.004701</v>
      </c>
      <c r="N244" s="4" t="str">
        <f>HYPERLINK("http://141.218.60.56/~jnz1568/getInfo.php?workbook=08_02.xlsx&amp;sheet=A0&amp;row=244&amp;col=14&amp;number=&amp;sourceID=30","")</f>
        <v/>
      </c>
      <c r="O244" s="4" t="str">
        <f>HYPERLINK("http://141.218.60.56/~jnz1568/getInfo.php?workbook=08_02.xlsx&amp;sheet=A0&amp;row=244&amp;col=15&amp;number=&amp;sourceID=32","")</f>
        <v/>
      </c>
      <c r="P244" s="4" t="str">
        <f>HYPERLINK("http://141.218.60.56/~jnz1568/getInfo.php?workbook=08_02.xlsx&amp;sheet=A0&amp;row=244&amp;col=16&amp;number=55520&amp;sourceID=32","55520")</f>
        <v>55520</v>
      </c>
      <c r="Q244" s="4" t="str">
        <f>HYPERLINK("http://141.218.60.56/~jnz1568/getInfo.php?workbook=08_02.xlsx&amp;sheet=A0&amp;row=244&amp;col=17&amp;number=0.004546&amp;sourceID=32","0.004546")</f>
        <v>0.004546</v>
      </c>
      <c r="R244" s="4" t="str">
        <f>HYPERLINK("http://141.218.60.56/~jnz1568/getInfo.php?workbook=08_02.xlsx&amp;sheet=A0&amp;row=244&amp;col=18&amp;number=&amp;sourceID=32","")</f>
        <v/>
      </c>
      <c r="S244" s="4" t="str">
        <f>HYPERLINK("http://141.218.60.56/~jnz1568/getInfo.php?workbook=08_02.xlsx&amp;sheet=A0&amp;row=244&amp;col=19&amp;number=&amp;sourceID=1","")</f>
        <v/>
      </c>
      <c r="T244" s="4" t="str">
        <f>HYPERLINK("http://141.218.60.56/~jnz1568/getInfo.php?workbook=08_02.xlsx&amp;sheet=A0&amp;row=244&amp;col=20&amp;number=&amp;sourceID=1","")</f>
        <v/>
      </c>
    </row>
    <row r="245" spans="1:20">
      <c r="A245" s="3">
        <v>8</v>
      </c>
      <c r="B245" s="3">
        <v>2</v>
      </c>
      <c r="C245" s="3">
        <v>24</v>
      </c>
      <c r="D245" s="3">
        <v>16</v>
      </c>
      <c r="E245" s="3">
        <f>((1/(INDEX(E0!J$4:J$52,C245,1)-INDEX(E0!J$4:J$52,D245,1))))*100000000</f>
        <v>0</v>
      </c>
      <c r="F245" s="4" t="str">
        <f>HYPERLINK("http://141.218.60.56/~jnz1568/getInfo.php?workbook=08_02.xlsx&amp;sheet=A0&amp;row=245&amp;col=6&amp;number=&amp;sourceID=27","")</f>
        <v/>
      </c>
      <c r="G245" s="4" t="str">
        <f>HYPERLINK("http://141.218.60.56/~jnz1568/getInfo.php?workbook=08_02.xlsx&amp;sheet=A0&amp;row=245&amp;col=7&amp;number=&amp;sourceID=34","")</f>
        <v/>
      </c>
      <c r="H245" s="4" t="str">
        <f>HYPERLINK("http://141.218.60.56/~jnz1568/getInfo.php?workbook=08_02.xlsx&amp;sheet=A0&amp;row=245&amp;col=8&amp;number=&amp;sourceID=34","")</f>
        <v/>
      </c>
      <c r="I245" s="4" t="str">
        <f>HYPERLINK("http://141.218.60.56/~jnz1568/getInfo.php?workbook=08_02.xlsx&amp;sheet=A0&amp;row=245&amp;col=9&amp;number=&amp;sourceID=34","")</f>
        <v/>
      </c>
      <c r="J245" s="4" t="str">
        <f>HYPERLINK("http://141.218.60.56/~jnz1568/getInfo.php?workbook=08_02.xlsx&amp;sheet=A0&amp;row=245&amp;col=10&amp;number=&amp;sourceID=34","")</f>
        <v/>
      </c>
      <c r="K245" s="4" t="str">
        <f>HYPERLINK("http://141.218.60.56/~jnz1568/getInfo.php?workbook=08_02.xlsx&amp;sheet=A0&amp;row=245&amp;col=11&amp;number=&amp;sourceID=30","")</f>
        <v/>
      </c>
      <c r="L245" s="4" t="str">
        <f>HYPERLINK("http://141.218.60.56/~jnz1568/getInfo.php?workbook=08_02.xlsx&amp;sheet=A0&amp;row=245&amp;col=12&amp;number=140&amp;sourceID=30","140")</f>
        <v>140</v>
      </c>
      <c r="M245" s="4" t="str">
        <f>HYPERLINK("http://141.218.60.56/~jnz1568/getInfo.php?workbook=08_02.xlsx&amp;sheet=A0&amp;row=245&amp;col=13&amp;number=0.00435&amp;sourceID=30","0.00435")</f>
        <v>0.00435</v>
      </c>
      <c r="N245" s="4" t="str">
        <f>HYPERLINK("http://141.218.60.56/~jnz1568/getInfo.php?workbook=08_02.xlsx&amp;sheet=A0&amp;row=245&amp;col=14&amp;number=&amp;sourceID=30","")</f>
        <v/>
      </c>
      <c r="O245" s="4" t="str">
        <f>HYPERLINK("http://141.218.60.56/~jnz1568/getInfo.php?workbook=08_02.xlsx&amp;sheet=A0&amp;row=245&amp;col=15&amp;number=&amp;sourceID=32","")</f>
        <v/>
      </c>
      <c r="P245" s="4" t="str">
        <f>HYPERLINK("http://141.218.60.56/~jnz1568/getInfo.php?workbook=08_02.xlsx&amp;sheet=A0&amp;row=245&amp;col=16&amp;number=176.8&amp;sourceID=32","176.8")</f>
        <v>176.8</v>
      </c>
      <c r="Q245" s="4" t="str">
        <f>HYPERLINK("http://141.218.60.56/~jnz1568/getInfo.php?workbook=08_02.xlsx&amp;sheet=A0&amp;row=245&amp;col=17&amp;number=0.003895&amp;sourceID=32","0.003895")</f>
        <v>0.003895</v>
      </c>
      <c r="R245" s="4" t="str">
        <f>HYPERLINK("http://141.218.60.56/~jnz1568/getInfo.php?workbook=08_02.xlsx&amp;sheet=A0&amp;row=245&amp;col=18&amp;number=&amp;sourceID=32","")</f>
        <v/>
      </c>
      <c r="S245" s="4" t="str">
        <f>HYPERLINK("http://141.218.60.56/~jnz1568/getInfo.php?workbook=08_02.xlsx&amp;sheet=A0&amp;row=245&amp;col=19&amp;number=&amp;sourceID=1","")</f>
        <v/>
      </c>
      <c r="T245" s="4" t="str">
        <f>HYPERLINK("http://141.218.60.56/~jnz1568/getInfo.php?workbook=08_02.xlsx&amp;sheet=A0&amp;row=245&amp;col=20&amp;number=&amp;sourceID=1","")</f>
        <v/>
      </c>
    </row>
    <row r="246" spans="1:20">
      <c r="A246" s="3">
        <v>8</v>
      </c>
      <c r="B246" s="3">
        <v>2</v>
      </c>
      <c r="C246" s="3">
        <v>24</v>
      </c>
      <c r="D246" s="3">
        <v>17</v>
      </c>
      <c r="E246" s="3">
        <f>((1/(INDEX(E0!J$4:J$52,C246,1)-INDEX(E0!J$4:J$52,D246,1))))*100000000</f>
        <v>0</v>
      </c>
      <c r="F246" s="4" t="str">
        <f>HYPERLINK("http://141.218.60.56/~jnz1568/getInfo.php?workbook=08_02.xlsx&amp;sheet=A0&amp;row=246&amp;col=6&amp;number=&amp;sourceID=27","")</f>
        <v/>
      </c>
      <c r="G246" s="4" t="str">
        <f>HYPERLINK("http://141.218.60.56/~jnz1568/getInfo.php?workbook=08_02.xlsx&amp;sheet=A0&amp;row=246&amp;col=7&amp;number=&amp;sourceID=34","")</f>
        <v/>
      </c>
      <c r="H246" s="4" t="str">
        <f>HYPERLINK("http://141.218.60.56/~jnz1568/getInfo.php?workbook=08_02.xlsx&amp;sheet=A0&amp;row=246&amp;col=8&amp;number=&amp;sourceID=34","")</f>
        <v/>
      </c>
      <c r="I246" s="4" t="str">
        <f>HYPERLINK("http://141.218.60.56/~jnz1568/getInfo.php?workbook=08_02.xlsx&amp;sheet=A0&amp;row=246&amp;col=9&amp;number=&amp;sourceID=34","")</f>
        <v/>
      </c>
      <c r="J246" s="4" t="str">
        <f>HYPERLINK("http://141.218.60.56/~jnz1568/getInfo.php?workbook=08_02.xlsx&amp;sheet=A0&amp;row=246&amp;col=10&amp;number=&amp;sourceID=34","")</f>
        <v/>
      </c>
      <c r="K246" s="4" t="str">
        <f>HYPERLINK("http://141.218.60.56/~jnz1568/getInfo.php?workbook=08_02.xlsx&amp;sheet=A0&amp;row=246&amp;col=11&amp;number=102600000&amp;sourceID=30","102600000")</f>
        <v>102600000</v>
      </c>
      <c r="L246" s="4" t="str">
        <f>HYPERLINK("http://141.218.60.56/~jnz1568/getInfo.php?workbook=08_02.xlsx&amp;sheet=A0&amp;row=246&amp;col=12&amp;number=&amp;sourceID=30","")</f>
        <v/>
      </c>
      <c r="M246" s="4" t="str">
        <f>HYPERLINK("http://141.218.60.56/~jnz1568/getInfo.php?workbook=08_02.xlsx&amp;sheet=A0&amp;row=246&amp;col=13&amp;number=&amp;sourceID=30","")</f>
        <v/>
      </c>
      <c r="N246" s="4" t="str">
        <f>HYPERLINK("http://141.218.60.56/~jnz1568/getInfo.php?workbook=08_02.xlsx&amp;sheet=A0&amp;row=246&amp;col=14&amp;number=0.9589&amp;sourceID=30","0.9589")</f>
        <v>0.9589</v>
      </c>
      <c r="O246" s="4" t="str">
        <f>HYPERLINK("http://141.218.60.56/~jnz1568/getInfo.php?workbook=08_02.xlsx&amp;sheet=A0&amp;row=246&amp;col=15&amp;number=130700000&amp;sourceID=32","130700000")</f>
        <v>130700000</v>
      </c>
      <c r="P246" s="4" t="str">
        <f>HYPERLINK("http://141.218.60.56/~jnz1568/getInfo.php?workbook=08_02.xlsx&amp;sheet=A0&amp;row=246&amp;col=16&amp;number=&amp;sourceID=32","")</f>
        <v/>
      </c>
      <c r="Q246" s="4" t="str">
        <f>HYPERLINK("http://141.218.60.56/~jnz1568/getInfo.php?workbook=08_02.xlsx&amp;sheet=A0&amp;row=246&amp;col=17&amp;number=&amp;sourceID=32","")</f>
        <v/>
      </c>
      <c r="R246" s="4" t="str">
        <f>HYPERLINK("http://141.218.60.56/~jnz1568/getInfo.php?workbook=08_02.xlsx&amp;sheet=A0&amp;row=246&amp;col=18&amp;number=0.9205&amp;sourceID=32","0.9205")</f>
        <v>0.9205</v>
      </c>
      <c r="S246" s="4" t="str">
        <f>HYPERLINK("http://141.218.60.56/~jnz1568/getInfo.php?workbook=08_02.xlsx&amp;sheet=A0&amp;row=246&amp;col=19&amp;number=&amp;sourceID=1","")</f>
        <v/>
      </c>
      <c r="T246" s="4" t="str">
        <f>HYPERLINK("http://141.218.60.56/~jnz1568/getInfo.php?workbook=08_02.xlsx&amp;sheet=A0&amp;row=246&amp;col=20&amp;number=&amp;sourceID=1","")</f>
        <v/>
      </c>
    </row>
    <row r="247" spans="1:20">
      <c r="A247" s="3">
        <v>8</v>
      </c>
      <c r="B247" s="3">
        <v>2</v>
      </c>
      <c r="C247" s="3">
        <v>24</v>
      </c>
      <c r="D247" s="3">
        <v>18</v>
      </c>
      <c r="E247" s="3">
        <f>((1/(INDEX(E0!J$4:J$52,C247,1)-INDEX(E0!J$4:J$52,D247,1))))*100000000</f>
        <v>0</v>
      </c>
      <c r="F247" s="4" t="str">
        <f>HYPERLINK("http://141.218.60.56/~jnz1568/getInfo.php?workbook=08_02.xlsx&amp;sheet=A0&amp;row=247&amp;col=6&amp;number=&amp;sourceID=27","")</f>
        <v/>
      </c>
      <c r="G247" s="4" t="str">
        <f>HYPERLINK("http://141.218.60.56/~jnz1568/getInfo.php?workbook=08_02.xlsx&amp;sheet=A0&amp;row=247&amp;col=7&amp;number=&amp;sourceID=34","")</f>
        <v/>
      </c>
      <c r="H247" s="4" t="str">
        <f>HYPERLINK("http://141.218.60.56/~jnz1568/getInfo.php?workbook=08_02.xlsx&amp;sheet=A0&amp;row=247&amp;col=8&amp;number=&amp;sourceID=34","")</f>
        <v/>
      </c>
      <c r="I247" s="4" t="str">
        <f>HYPERLINK("http://141.218.60.56/~jnz1568/getInfo.php?workbook=08_02.xlsx&amp;sheet=A0&amp;row=247&amp;col=9&amp;number=&amp;sourceID=34","")</f>
        <v/>
      </c>
      <c r="J247" s="4" t="str">
        <f>HYPERLINK("http://141.218.60.56/~jnz1568/getInfo.php?workbook=08_02.xlsx&amp;sheet=A0&amp;row=247&amp;col=10&amp;number=&amp;sourceID=34","")</f>
        <v/>
      </c>
      <c r="K247" s="4" t="str">
        <f>HYPERLINK("http://141.218.60.56/~jnz1568/getInfo.php?workbook=08_02.xlsx&amp;sheet=A0&amp;row=247&amp;col=11&amp;number=&amp;sourceID=30","")</f>
        <v/>
      </c>
      <c r="L247" s="4" t="str">
        <f>HYPERLINK("http://141.218.60.56/~jnz1568/getInfo.php?workbook=08_02.xlsx&amp;sheet=A0&amp;row=247&amp;col=12&amp;number=0.3191&amp;sourceID=30","0.3191")</f>
        <v>0.3191</v>
      </c>
      <c r="M247" s="4" t="str">
        <f>HYPERLINK("http://141.218.60.56/~jnz1568/getInfo.php?workbook=08_02.xlsx&amp;sheet=A0&amp;row=247&amp;col=13&amp;number=8.606e-07&amp;sourceID=30","8.606e-07")</f>
        <v>8.606e-07</v>
      </c>
      <c r="N247" s="4" t="str">
        <f>HYPERLINK("http://141.218.60.56/~jnz1568/getInfo.php?workbook=08_02.xlsx&amp;sheet=A0&amp;row=247&amp;col=14&amp;number=&amp;sourceID=30","")</f>
        <v/>
      </c>
      <c r="O247" s="4" t="str">
        <f>HYPERLINK("http://141.218.60.56/~jnz1568/getInfo.php?workbook=08_02.xlsx&amp;sheet=A0&amp;row=247&amp;col=15&amp;number=&amp;sourceID=32","")</f>
        <v/>
      </c>
      <c r="P247" s="4" t="str">
        <f>HYPERLINK("http://141.218.60.56/~jnz1568/getInfo.php?workbook=08_02.xlsx&amp;sheet=A0&amp;row=247&amp;col=16&amp;number=0.3267&amp;sourceID=32","0.3267")</f>
        <v>0.3267</v>
      </c>
      <c r="Q247" s="4" t="str">
        <f>HYPERLINK("http://141.218.60.56/~jnz1568/getInfo.php?workbook=08_02.xlsx&amp;sheet=A0&amp;row=247&amp;col=17&amp;number=9.226e-07&amp;sourceID=32","9.226e-07")</f>
        <v>9.226e-07</v>
      </c>
      <c r="R247" s="4" t="str">
        <f>HYPERLINK("http://141.218.60.56/~jnz1568/getInfo.php?workbook=08_02.xlsx&amp;sheet=A0&amp;row=247&amp;col=18&amp;number=&amp;sourceID=32","")</f>
        <v/>
      </c>
      <c r="S247" s="4" t="str">
        <f>HYPERLINK("http://141.218.60.56/~jnz1568/getInfo.php?workbook=08_02.xlsx&amp;sheet=A0&amp;row=247&amp;col=19&amp;number=&amp;sourceID=1","")</f>
        <v/>
      </c>
      <c r="T247" s="4" t="str">
        <f>HYPERLINK("http://141.218.60.56/~jnz1568/getInfo.php?workbook=08_02.xlsx&amp;sheet=A0&amp;row=247&amp;col=20&amp;number=&amp;sourceID=1","")</f>
        <v/>
      </c>
    </row>
    <row r="248" spans="1:20">
      <c r="A248" s="3">
        <v>8</v>
      </c>
      <c r="B248" s="3">
        <v>2</v>
      </c>
      <c r="C248" s="3">
        <v>24</v>
      </c>
      <c r="D248" s="3">
        <v>19</v>
      </c>
      <c r="E248" s="3">
        <f>((1/(INDEX(E0!J$4:J$52,C248,1)-INDEX(E0!J$4:J$52,D248,1))))*100000000</f>
        <v>0</v>
      </c>
      <c r="F248" s="4" t="str">
        <f>HYPERLINK("http://141.218.60.56/~jnz1568/getInfo.php?workbook=08_02.xlsx&amp;sheet=A0&amp;row=248&amp;col=6&amp;number=&amp;sourceID=27","")</f>
        <v/>
      </c>
      <c r="G248" s="4" t="str">
        <f>HYPERLINK("http://141.218.60.56/~jnz1568/getInfo.php?workbook=08_02.xlsx&amp;sheet=A0&amp;row=248&amp;col=7&amp;number=&amp;sourceID=34","")</f>
        <v/>
      </c>
      <c r="H248" s="4" t="str">
        <f>HYPERLINK("http://141.218.60.56/~jnz1568/getInfo.php?workbook=08_02.xlsx&amp;sheet=A0&amp;row=248&amp;col=8&amp;number=&amp;sourceID=34","")</f>
        <v/>
      </c>
      <c r="I248" s="4" t="str">
        <f>HYPERLINK("http://141.218.60.56/~jnz1568/getInfo.php?workbook=08_02.xlsx&amp;sheet=A0&amp;row=248&amp;col=9&amp;number=&amp;sourceID=34","")</f>
        <v/>
      </c>
      <c r="J248" s="4" t="str">
        <f>HYPERLINK("http://141.218.60.56/~jnz1568/getInfo.php?workbook=08_02.xlsx&amp;sheet=A0&amp;row=248&amp;col=10&amp;number=&amp;sourceID=34","")</f>
        <v/>
      </c>
      <c r="K248" s="4" t="str">
        <f>HYPERLINK("http://141.218.60.56/~jnz1568/getInfo.php?workbook=08_02.xlsx&amp;sheet=A0&amp;row=248&amp;col=11&amp;number=&amp;sourceID=30","")</f>
        <v/>
      </c>
      <c r="L248" s="4" t="str">
        <f>HYPERLINK("http://141.218.60.56/~jnz1568/getInfo.php?workbook=08_02.xlsx&amp;sheet=A0&amp;row=248&amp;col=12&amp;number=&amp;sourceID=30","")</f>
        <v/>
      </c>
      <c r="M248" s="4" t="str">
        <f>HYPERLINK("http://141.218.60.56/~jnz1568/getInfo.php?workbook=08_02.xlsx&amp;sheet=A0&amp;row=248&amp;col=13&amp;number=&amp;sourceID=30","")</f>
        <v/>
      </c>
      <c r="N248" s="4" t="str">
        <f>HYPERLINK("http://141.218.60.56/~jnz1568/getInfo.php?workbook=08_02.xlsx&amp;sheet=A0&amp;row=248&amp;col=14&amp;number=6.059e-10&amp;sourceID=30","6.059e-10")</f>
        <v>6.059e-10</v>
      </c>
      <c r="O248" s="4" t="str">
        <f>HYPERLINK("http://141.218.60.56/~jnz1568/getInfo.php?workbook=08_02.xlsx&amp;sheet=A0&amp;row=248&amp;col=15&amp;number=&amp;sourceID=32","")</f>
        <v/>
      </c>
      <c r="P248" s="4" t="str">
        <f>HYPERLINK("http://141.218.60.56/~jnz1568/getInfo.php?workbook=08_02.xlsx&amp;sheet=A0&amp;row=248&amp;col=16&amp;number=&amp;sourceID=32","")</f>
        <v/>
      </c>
      <c r="Q248" s="4" t="str">
        <f>HYPERLINK("http://141.218.60.56/~jnz1568/getInfo.php?workbook=08_02.xlsx&amp;sheet=A0&amp;row=248&amp;col=17&amp;number=&amp;sourceID=32","")</f>
        <v/>
      </c>
      <c r="R248" s="4" t="str">
        <f>HYPERLINK("http://141.218.60.56/~jnz1568/getInfo.php?workbook=08_02.xlsx&amp;sheet=A0&amp;row=248&amp;col=18&amp;number=6.534e-10&amp;sourceID=32","6.534e-10")</f>
        <v>6.534e-10</v>
      </c>
      <c r="S248" s="4" t="str">
        <f>HYPERLINK("http://141.218.60.56/~jnz1568/getInfo.php?workbook=08_02.xlsx&amp;sheet=A0&amp;row=248&amp;col=19&amp;number=&amp;sourceID=1","")</f>
        <v/>
      </c>
      <c r="T248" s="4" t="str">
        <f>HYPERLINK("http://141.218.60.56/~jnz1568/getInfo.php?workbook=08_02.xlsx&amp;sheet=A0&amp;row=248&amp;col=20&amp;number=&amp;sourceID=1","")</f>
        <v/>
      </c>
    </row>
    <row r="249" spans="1:20">
      <c r="A249" s="3">
        <v>8</v>
      </c>
      <c r="B249" s="3">
        <v>2</v>
      </c>
      <c r="C249" s="3">
        <v>24</v>
      </c>
      <c r="D249" s="3">
        <v>20</v>
      </c>
      <c r="E249" s="3">
        <f>((1/(INDEX(E0!J$4:J$52,C249,1)-INDEX(E0!J$4:J$52,D249,1))))*100000000</f>
        <v>0</v>
      </c>
      <c r="F249" s="4" t="str">
        <f>HYPERLINK("http://141.218.60.56/~jnz1568/getInfo.php?workbook=08_02.xlsx&amp;sheet=A0&amp;row=249&amp;col=6&amp;number=&amp;sourceID=27","")</f>
        <v/>
      </c>
      <c r="G249" s="4" t="str">
        <f>HYPERLINK("http://141.218.60.56/~jnz1568/getInfo.php?workbook=08_02.xlsx&amp;sheet=A0&amp;row=249&amp;col=7&amp;number=208000&amp;sourceID=34","208000")</f>
        <v>208000</v>
      </c>
      <c r="H249" s="4" t="str">
        <f>HYPERLINK("http://141.218.60.56/~jnz1568/getInfo.php?workbook=08_02.xlsx&amp;sheet=A0&amp;row=249&amp;col=8&amp;number=&amp;sourceID=34","")</f>
        <v/>
      </c>
      <c r="I249" s="4" t="str">
        <f>HYPERLINK("http://141.218.60.56/~jnz1568/getInfo.php?workbook=08_02.xlsx&amp;sheet=A0&amp;row=249&amp;col=9&amp;number=&amp;sourceID=34","")</f>
        <v/>
      </c>
      <c r="J249" s="4" t="str">
        <f>HYPERLINK("http://141.218.60.56/~jnz1568/getInfo.php?workbook=08_02.xlsx&amp;sheet=A0&amp;row=249&amp;col=10&amp;number=&amp;sourceID=34","")</f>
        <v/>
      </c>
      <c r="K249" s="4" t="str">
        <f>HYPERLINK("http://141.218.60.56/~jnz1568/getInfo.php?workbook=08_02.xlsx&amp;sheet=A0&amp;row=249&amp;col=11&amp;number=238000&amp;sourceID=30","238000")</f>
        <v>238000</v>
      </c>
      <c r="L249" s="4" t="str">
        <f>HYPERLINK("http://141.218.60.56/~jnz1568/getInfo.php?workbook=08_02.xlsx&amp;sheet=A0&amp;row=249&amp;col=12&amp;number=&amp;sourceID=30","")</f>
        <v/>
      </c>
      <c r="M249" s="4" t="str">
        <f>HYPERLINK("http://141.218.60.56/~jnz1568/getInfo.php?workbook=08_02.xlsx&amp;sheet=A0&amp;row=249&amp;col=13&amp;number=&amp;sourceID=30","")</f>
        <v/>
      </c>
      <c r="N249" s="4" t="str">
        <f>HYPERLINK("http://141.218.60.56/~jnz1568/getInfo.php?workbook=08_02.xlsx&amp;sheet=A0&amp;row=249&amp;col=14&amp;number=1.297e-08&amp;sourceID=30","1.297e-08")</f>
        <v>1.297e-08</v>
      </c>
      <c r="O249" s="4" t="str">
        <f>HYPERLINK("http://141.218.60.56/~jnz1568/getInfo.php?workbook=08_02.xlsx&amp;sheet=A0&amp;row=249&amp;col=15&amp;number=259300&amp;sourceID=32","259300")</f>
        <v>259300</v>
      </c>
      <c r="P249" s="4" t="str">
        <f>HYPERLINK("http://141.218.60.56/~jnz1568/getInfo.php?workbook=08_02.xlsx&amp;sheet=A0&amp;row=249&amp;col=16&amp;number=&amp;sourceID=32","")</f>
        <v/>
      </c>
      <c r="Q249" s="4" t="str">
        <f>HYPERLINK("http://141.218.60.56/~jnz1568/getInfo.php?workbook=08_02.xlsx&amp;sheet=A0&amp;row=249&amp;col=17&amp;number=&amp;sourceID=32","")</f>
        <v/>
      </c>
      <c r="R249" s="4" t="str">
        <f>HYPERLINK("http://141.218.60.56/~jnz1568/getInfo.php?workbook=08_02.xlsx&amp;sheet=A0&amp;row=249&amp;col=18&amp;number=1.466e-08&amp;sourceID=32","1.466e-08")</f>
        <v>1.466e-08</v>
      </c>
      <c r="S249" s="4" t="str">
        <f>HYPERLINK("http://141.218.60.56/~jnz1568/getInfo.php?workbook=08_02.xlsx&amp;sheet=A0&amp;row=249&amp;col=19&amp;number=&amp;sourceID=1","")</f>
        <v/>
      </c>
      <c r="T249" s="4" t="str">
        <f>HYPERLINK("http://141.218.60.56/~jnz1568/getInfo.php?workbook=08_02.xlsx&amp;sheet=A0&amp;row=249&amp;col=20&amp;number=&amp;sourceID=1","")</f>
        <v/>
      </c>
    </row>
    <row r="250" spans="1:20">
      <c r="A250" s="3">
        <v>8</v>
      </c>
      <c r="B250" s="3">
        <v>2</v>
      </c>
      <c r="C250" s="3">
        <v>24</v>
      </c>
      <c r="D250" s="3">
        <v>21</v>
      </c>
      <c r="E250" s="3">
        <f>((1/(INDEX(E0!J$4:J$52,C250,1)-INDEX(E0!J$4:J$52,D250,1))))*100000000</f>
        <v>0</v>
      </c>
      <c r="F250" s="4" t="str">
        <f>HYPERLINK("http://141.218.60.56/~jnz1568/getInfo.php?workbook=08_02.xlsx&amp;sheet=A0&amp;row=250&amp;col=6&amp;number=&amp;sourceID=27","")</f>
        <v/>
      </c>
      <c r="G250" s="4" t="str">
        <f>HYPERLINK("http://141.218.60.56/~jnz1568/getInfo.php?workbook=08_02.xlsx&amp;sheet=A0&amp;row=250&amp;col=7&amp;number=69400&amp;sourceID=34","69400")</f>
        <v>69400</v>
      </c>
      <c r="H250" s="4" t="str">
        <f>HYPERLINK("http://141.218.60.56/~jnz1568/getInfo.php?workbook=08_02.xlsx&amp;sheet=A0&amp;row=250&amp;col=8&amp;number=&amp;sourceID=34","")</f>
        <v/>
      </c>
      <c r="I250" s="4" t="str">
        <f>HYPERLINK("http://141.218.60.56/~jnz1568/getInfo.php?workbook=08_02.xlsx&amp;sheet=A0&amp;row=250&amp;col=9&amp;number=&amp;sourceID=34","")</f>
        <v/>
      </c>
      <c r="J250" s="4" t="str">
        <f>HYPERLINK("http://141.218.60.56/~jnz1568/getInfo.php?workbook=08_02.xlsx&amp;sheet=A0&amp;row=250&amp;col=10&amp;number=&amp;sourceID=34","")</f>
        <v/>
      </c>
      <c r="K250" s="4" t="str">
        <f>HYPERLINK("http://141.218.60.56/~jnz1568/getInfo.php?workbook=08_02.xlsx&amp;sheet=A0&amp;row=250&amp;col=11&amp;number=74630&amp;sourceID=30","74630")</f>
        <v>74630</v>
      </c>
      <c r="L250" s="4" t="str">
        <f>HYPERLINK("http://141.218.60.56/~jnz1568/getInfo.php?workbook=08_02.xlsx&amp;sheet=A0&amp;row=250&amp;col=12&amp;number=&amp;sourceID=30","")</f>
        <v/>
      </c>
      <c r="M250" s="4" t="str">
        <f>HYPERLINK("http://141.218.60.56/~jnz1568/getInfo.php?workbook=08_02.xlsx&amp;sheet=A0&amp;row=250&amp;col=13&amp;number=&amp;sourceID=30","")</f>
        <v/>
      </c>
      <c r="N250" s="4" t="str">
        <f>HYPERLINK("http://141.218.60.56/~jnz1568/getInfo.php?workbook=08_02.xlsx&amp;sheet=A0&amp;row=250&amp;col=14&amp;number=4.911e-09&amp;sourceID=30","4.911e-09")</f>
        <v>4.911e-09</v>
      </c>
      <c r="O250" s="4" t="str">
        <f>HYPERLINK("http://141.218.60.56/~jnz1568/getInfo.php?workbook=08_02.xlsx&amp;sheet=A0&amp;row=250&amp;col=15&amp;number=81340&amp;sourceID=32","81340")</f>
        <v>81340</v>
      </c>
      <c r="P250" s="4" t="str">
        <f>HYPERLINK("http://141.218.60.56/~jnz1568/getInfo.php?workbook=08_02.xlsx&amp;sheet=A0&amp;row=250&amp;col=16&amp;number=&amp;sourceID=32","")</f>
        <v/>
      </c>
      <c r="Q250" s="4" t="str">
        <f>HYPERLINK("http://141.218.60.56/~jnz1568/getInfo.php?workbook=08_02.xlsx&amp;sheet=A0&amp;row=250&amp;col=17&amp;number=&amp;sourceID=32","")</f>
        <v/>
      </c>
      <c r="R250" s="4" t="str">
        <f>HYPERLINK("http://141.218.60.56/~jnz1568/getInfo.php?workbook=08_02.xlsx&amp;sheet=A0&amp;row=250&amp;col=18&amp;number=5.514e-09&amp;sourceID=32","5.514e-09")</f>
        <v>5.514e-09</v>
      </c>
      <c r="S250" s="4" t="str">
        <f>HYPERLINK("http://141.218.60.56/~jnz1568/getInfo.php?workbook=08_02.xlsx&amp;sheet=A0&amp;row=250&amp;col=19&amp;number=&amp;sourceID=1","")</f>
        <v/>
      </c>
      <c r="T250" s="4" t="str">
        <f>HYPERLINK("http://141.218.60.56/~jnz1568/getInfo.php?workbook=08_02.xlsx&amp;sheet=A0&amp;row=250&amp;col=20&amp;number=&amp;sourceID=1","")</f>
        <v/>
      </c>
    </row>
    <row r="251" spans="1:20">
      <c r="A251" s="3">
        <v>8</v>
      </c>
      <c r="B251" s="3">
        <v>2</v>
      </c>
      <c r="C251" s="3">
        <v>24</v>
      </c>
      <c r="D251" s="3">
        <v>22</v>
      </c>
      <c r="E251" s="3">
        <f>((1/(INDEX(E0!J$4:J$52,C251,1)-INDEX(E0!J$4:J$52,D251,1))))*100000000</f>
        <v>0</v>
      </c>
      <c r="F251" s="4" t="str">
        <f>HYPERLINK("http://141.218.60.56/~jnz1568/getInfo.php?workbook=08_02.xlsx&amp;sheet=A0&amp;row=251&amp;col=6&amp;number=&amp;sourceID=27","")</f>
        <v/>
      </c>
      <c r="G251" s="4" t="str">
        <f>HYPERLINK("http://141.218.60.56/~jnz1568/getInfo.php?workbook=08_02.xlsx&amp;sheet=A0&amp;row=251&amp;col=7&amp;number=&amp;sourceID=34","")</f>
        <v/>
      </c>
      <c r="H251" s="4" t="str">
        <f>HYPERLINK("http://141.218.60.56/~jnz1568/getInfo.php?workbook=08_02.xlsx&amp;sheet=A0&amp;row=251&amp;col=8&amp;number=&amp;sourceID=34","")</f>
        <v/>
      </c>
      <c r="I251" s="4" t="str">
        <f>HYPERLINK("http://141.218.60.56/~jnz1568/getInfo.php?workbook=08_02.xlsx&amp;sheet=A0&amp;row=251&amp;col=9&amp;number=&amp;sourceID=34","")</f>
        <v/>
      </c>
      <c r="J251" s="4" t="str">
        <f>HYPERLINK("http://141.218.60.56/~jnz1568/getInfo.php?workbook=08_02.xlsx&amp;sheet=A0&amp;row=251&amp;col=10&amp;number=&amp;sourceID=34","")</f>
        <v/>
      </c>
      <c r="K251" s="4" t="str">
        <f>HYPERLINK("http://141.218.60.56/~jnz1568/getInfo.php?workbook=08_02.xlsx&amp;sheet=A0&amp;row=251&amp;col=11&amp;number=&amp;sourceID=30","")</f>
        <v/>
      </c>
      <c r="L251" s="4" t="str">
        <f>HYPERLINK("http://141.218.60.56/~jnz1568/getInfo.php?workbook=08_02.xlsx&amp;sheet=A0&amp;row=251&amp;col=12&amp;number=3.72e-06&amp;sourceID=30","3.72e-06")</f>
        <v>3.72e-06</v>
      </c>
      <c r="M251" s="4" t="str">
        <f>HYPERLINK("http://141.218.60.56/~jnz1568/getInfo.php?workbook=08_02.xlsx&amp;sheet=A0&amp;row=251&amp;col=13&amp;number=&amp;sourceID=30","")</f>
        <v/>
      </c>
      <c r="N251" s="4" t="str">
        <f>HYPERLINK("http://141.218.60.56/~jnz1568/getInfo.php?workbook=08_02.xlsx&amp;sheet=A0&amp;row=251&amp;col=14&amp;number=&amp;sourceID=30","")</f>
        <v/>
      </c>
      <c r="O251" s="4" t="str">
        <f>HYPERLINK("http://141.218.60.56/~jnz1568/getInfo.php?workbook=08_02.xlsx&amp;sheet=A0&amp;row=251&amp;col=15&amp;number=&amp;sourceID=32","")</f>
        <v/>
      </c>
      <c r="P251" s="4" t="str">
        <f>HYPERLINK("http://141.218.60.56/~jnz1568/getInfo.php?workbook=08_02.xlsx&amp;sheet=A0&amp;row=251&amp;col=16&amp;number=1.777e-05&amp;sourceID=32","1.777e-05")</f>
        <v>1.777e-05</v>
      </c>
      <c r="Q251" s="4" t="str">
        <f>HYPERLINK("http://141.218.60.56/~jnz1568/getInfo.php?workbook=08_02.xlsx&amp;sheet=A0&amp;row=251&amp;col=17&amp;number=&amp;sourceID=32","")</f>
        <v/>
      </c>
      <c r="R251" s="4" t="str">
        <f>HYPERLINK("http://141.218.60.56/~jnz1568/getInfo.php?workbook=08_02.xlsx&amp;sheet=A0&amp;row=251&amp;col=18&amp;number=&amp;sourceID=32","")</f>
        <v/>
      </c>
      <c r="S251" s="4" t="str">
        <f>HYPERLINK("http://141.218.60.56/~jnz1568/getInfo.php?workbook=08_02.xlsx&amp;sheet=A0&amp;row=251&amp;col=19&amp;number=&amp;sourceID=1","")</f>
        <v/>
      </c>
      <c r="T251" s="4" t="str">
        <f>HYPERLINK("http://141.218.60.56/~jnz1568/getInfo.php?workbook=08_02.xlsx&amp;sheet=A0&amp;row=251&amp;col=20&amp;number=&amp;sourceID=1","")</f>
        <v/>
      </c>
    </row>
    <row r="252" spans="1:20">
      <c r="A252" s="3">
        <v>8</v>
      </c>
      <c r="B252" s="3">
        <v>2</v>
      </c>
      <c r="C252" s="3">
        <v>24</v>
      </c>
      <c r="D252" s="3">
        <v>23</v>
      </c>
      <c r="E252" s="3">
        <f>((1/(INDEX(E0!J$4:J$52,C252,1)-INDEX(E0!J$4:J$52,D252,1))))*100000000</f>
        <v>0</v>
      </c>
      <c r="F252" s="4" t="str">
        <f>HYPERLINK("http://141.218.60.56/~jnz1568/getInfo.php?workbook=08_02.xlsx&amp;sheet=A0&amp;row=252&amp;col=6&amp;number=&amp;sourceID=27","")</f>
        <v/>
      </c>
      <c r="G252" s="4" t="str">
        <f>HYPERLINK("http://141.218.60.56/~jnz1568/getInfo.php?workbook=08_02.xlsx&amp;sheet=A0&amp;row=252&amp;col=7&amp;number=&amp;sourceID=34","")</f>
        <v/>
      </c>
      <c r="H252" s="4" t="str">
        <f>HYPERLINK("http://141.218.60.56/~jnz1568/getInfo.php?workbook=08_02.xlsx&amp;sheet=A0&amp;row=252&amp;col=8&amp;number=&amp;sourceID=34","")</f>
        <v/>
      </c>
      <c r="I252" s="4" t="str">
        <f>HYPERLINK("http://141.218.60.56/~jnz1568/getInfo.php?workbook=08_02.xlsx&amp;sheet=A0&amp;row=252&amp;col=9&amp;number=&amp;sourceID=34","")</f>
        <v/>
      </c>
      <c r="J252" s="4" t="str">
        <f>HYPERLINK("http://141.218.60.56/~jnz1568/getInfo.php?workbook=08_02.xlsx&amp;sheet=A0&amp;row=252&amp;col=10&amp;number=&amp;sourceID=34","")</f>
        <v/>
      </c>
      <c r="K252" s="4" t="str">
        <f>HYPERLINK("http://141.218.60.56/~jnz1568/getInfo.php?workbook=08_02.xlsx&amp;sheet=A0&amp;row=252&amp;col=11&amp;number=&amp;sourceID=30","")</f>
        <v/>
      </c>
      <c r="L252" s="4" t="str">
        <f>HYPERLINK("http://141.218.60.56/~jnz1568/getInfo.php?workbook=08_02.xlsx&amp;sheet=A0&amp;row=252&amp;col=12&amp;number=0&amp;sourceID=30","0")</f>
        <v>0</v>
      </c>
      <c r="M252" s="4" t="str">
        <f>HYPERLINK("http://141.218.60.56/~jnz1568/getInfo.php?workbook=08_02.xlsx&amp;sheet=A0&amp;row=252&amp;col=13&amp;number=1.858e-09&amp;sourceID=30","1.858e-09")</f>
        <v>1.858e-09</v>
      </c>
      <c r="N252" s="4" t="str">
        <f>HYPERLINK("http://141.218.60.56/~jnz1568/getInfo.php?workbook=08_02.xlsx&amp;sheet=A0&amp;row=252&amp;col=14&amp;number=&amp;sourceID=30","")</f>
        <v/>
      </c>
      <c r="O252" s="4" t="str">
        <f>HYPERLINK("http://141.218.60.56/~jnz1568/getInfo.php?workbook=08_02.xlsx&amp;sheet=A0&amp;row=252&amp;col=15&amp;number=&amp;sourceID=32","")</f>
        <v/>
      </c>
      <c r="P252" s="4" t="str">
        <f>HYPERLINK("http://141.218.60.56/~jnz1568/getInfo.php?workbook=08_02.xlsx&amp;sheet=A0&amp;row=252&amp;col=16&amp;number=&amp;sourceID=32","")</f>
        <v/>
      </c>
      <c r="Q252" s="4" t="str">
        <f>HYPERLINK("http://141.218.60.56/~jnz1568/getInfo.php?workbook=08_02.xlsx&amp;sheet=A0&amp;row=252&amp;col=17&amp;number=&amp;sourceID=32","")</f>
        <v/>
      </c>
      <c r="R252" s="4" t="str">
        <f>HYPERLINK("http://141.218.60.56/~jnz1568/getInfo.php?workbook=08_02.xlsx&amp;sheet=A0&amp;row=252&amp;col=18&amp;number=&amp;sourceID=32","")</f>
        <v/>
      </c>
      <c r="S252" s="4" t="str">
        <f>HYPERLINK("http://141.218.60.56/~jnz1568/getInfo.php?workbook=08_02.xlsx&amp;sheet=A0&amp;row=252&amp;col=19&amp;number=&amp;sourceID=1","")</f>
        <v/>
      </c>
      <c r="T252" s="4" t="str">
        <f>HYPERLINK("http://141.218.60.56/~jnz1568/getInfo.php?workbook=08_02.xlsx&amp;sheet=A0&amp;row=252&amp;col=20&amp;number=&amp;sourceID=1","")</f>
        <v/>
      </c>
    </row>
    <row r="253" spans="1:20">
      <c r="A253" s="3">
        <v>8</v>
      </c>
      <c r="B253" s="3">
        <v>2</v>
      </c>
      <c r="C253" s="3">
        <v>25</v>
      </c>
      <c r="D253" s="3">
        <v>5</v>
      </c>
      <c r="E253" s="3">
        <f>((1/(INDEX(E0!J$4:J$52,C253,1)-INDEX(E0!J$4:J$52,D253,1))))*100000000</f>
        <v>0</v>
      </c>
      <c r="F253" s="4" t="str">
        <f>HYPERLINK("http://141.218.60.56/~jnz1568/getInfo.php?workbook=08_02.xlsx&amp;sheet=A0&amp;row=253&amp;col=6&amp;number=&amp;sourceID=27","")</f>
        <v/>
      </c>
      <c r="G253" s="4" t="str">
        <f>HYPERLINK("http://141.218.60.56/~jnz1568/getInfo.php?workbook=08_02.xlsx&amp;sheet=A0&amp;row=253&amp;col=7&amp;number=&amp;sourceID=34","")</f>
        <v/>
      </c>
      <c r="H253" s="4" t="str">
        <f>HYPERLINK("http://141.218.60.56/~jnz1568/getInfo.php?workbook=08_02.xlsx&amp;sheet=A0&amp;row=253&amp;col=8&amp;number=&amp;sourceID=34","")</f>
        <v/>
      </c>
      <c r="I253" s="4" t="str">
        <f>HYPERLINK("http://141.218.60.56/~jnz1568/getInfo.php?workbook=08_02.xlsx&amp;sheet=A0&amp;row=253&amp;col=9&amp;number=&amp;sourceID=34","")</f>
        <v/>
      </c>
      <c r="J253" s="4" t="str">
        <f>HYPERLINK("http://141.218.60.56/~jnz1568/getInfo.php?workbook=08_02.xlsx&amp;sheet=A0&amp;row=253&amp;col=10&amp;number=&amp;sourceID=34","")</f>
        <v/>
      </c>
      <c r="K253" s="4" t="str">
        <f>HYPERLINK("http://141.218.60.56/~jnz1568/getInfo.php?workbook=08_02.xlsx&amp;sheet=A0&amp;row=253&amp;col=11&amp;number=&amp;sourceID=30","")</f>
        <v/>
      </c>
      <c r="L253" s="4" t="str">
        <f>HYPERLINK("http://141.218.60.56/~jnz1568/getInfo.php?workbook=08_02.xlsx&amp;sheet=A0&amp;row=253&amp;col=12&amp;number=7357000&amp;sourceID=30","7357000")</f>
        <v>7357000</v>
      </c>
      <c r="M253" s="4" t="str">
        <f>HYPERLINK("http://141.218.60.56/~jnz1568/getInfo.php?workbook=08_02.xlsx&amp;sheet=A0&amp;row=253&amp;col=13&amp;number=&amp;sourceID=30","")</f>
        <v/>
      </c>
      <c r="N253" s="4" t="str">
        <f>HYPERLINK("http://141.218.60.56/~jnz1568/getInfo.php?workbook=08_02.xlsx&amp;sheet=A0&amp;row=253&amp;col=14&amp;number=&amp;sourceID=30","")</f>
        <v/>
      </c>
      <c r="O253" s="4" t="str">
        <f>HYPERLINK("http://141.218.60.56/~jnz1568/getInfo.php?workbook=08_02.xlsx&amp;sheet=A0&amp;row=253&amp;col=15&amp;number=&amp;sourceID=32","")</f>
        <v/>
      </c>
      <c r="P253" s="4" t="str">
        <f>HYPERLINK("http://141.218.60.56/~jnz1568/getInfo.php?workbook=08_02.xlsx&amp;sheet=A0&amp;row=253&amp;col=16&amp;number=&amp;sourceID=32","")</f>
        <v/>
      </c>
      <c r="Q253" s="4" t="str">
        <f>HYPERLINK("http://141.218.60.56/~jnz1568/getInfo.php?workbook=08_02.xlsx&amp;sheet=A0&amp;row=253&amp;col=17&amp;number=&amp;sourceID=32","")</f>
        <v/>
      </c>
      <c r="R253" s="4" t="str">
        <f>HYPERLINK("http://141.218.60.56/~jnz1568/getInfo.php?workbook=08_02.xlsx&amp;sheet=A0&amp;row=253&amp;col=18&amp;number=&amp;sourceID=32","")</f>
        <v/>
      </c>
      <c r="S253" s="4" t="str">
        <f>HYPERLINK("http://141.218.60.56/~jnz1568/getInfo.php?workbook=08_02.xlsx&amp;sheet=A0&amp;row=253&amp;col=19&amp;number=&amp;sourceID=1","")</f>
        <v/>
      </c>
      <c r="T253" s="4" t="str">
        <f>HYPERLINK("http://141.218.60.56/~jnz1568/getInfo.php?workbook=08_02.xlsx&amp;sheet=A0&amp;row=253&amp;col=20&amp;number=&amp;sourceID=1","")</f>
        <v/>
      </c>
    </row>
    <row r="254" spans="1:20">
      <c r="A254" s="3">
        <v>8</v>
      </c>
      <c r="B254" s="3">
        <v>2</v>
      </c>
      <c r="C254" s="3">
        <v>25</v>
      </c>
      <c r="D254" s="3">
        <v>11</v>
      </c>
      <c r="E254" s="3">
        <f>((1/(INDEX(E0!J$4:J$52,C254,1)-INDEX(E0!J$4:J$52,D254,1))))*100000000</f>
        <v>0</v>
      </c>
      <c r="F254" s="4" t="str">
        <f>HYPERLINK("http://141.218.60.56/~jnz1568/getInfo.php?workbook=08_02.xlsx&amp;sheet=A0&amp;row=254&amp;col=6&amp;number=&amp;sourceID=27","")</f>
        <v/>
      </c>
      <c r="G254" s="4" t="str">
        <f>HYPERLINK("http://141.218.60.56/~jnz1568/getInfo.php?workbook=08_02.xlsx&amp;sheet=A0&amp;row=254&amp;col=7&amp;number=&amp;sourceID=34","")</f>
        <v/>
      </c>
      <c r="H254" s="4" t="str">
        <f>HYPERLINK("http://141.218.60.56/~jnz1568/getInfo.php?workbook=08_02.xlsx&amp;sheet=A0&amp;row=254&amp;col=8&amp;number=&amp;sourceID=34","")</f>
        <v/>
      </c>
      <c r="I254" s="4" t="str">
        <f>HYPERLINK("http://141.218.60.56/~jnz1568/getInfo.php?workbook=08_02.xlsx&amp;sheet=A0&amp;row=254&amp;col=9&amp;number=&amp;sourceID=34","")</f>
        <v/>
      </c>
      <c r="J254" s="4" t="str">
        <f>HYPERLINK("http://141.218.60.56/~jnz1568/getInfo.php?workbook=08_02.xlsx&amp;sheet=A0&amp;row=254&amp;col=10&amp;number=&amp;sourceID=34","")</f>
        <v/>
      </c>
      <c r="K254" s="4" t="str">
        <f>HYPERLINK("http://141.218.60.56/~jnz1568/getInfo.php?workbook=08_02.xlsx&amp;sheet=A0&amp;row=254&amp;col=11&amp;number=&amp;sourceID=30","")</f>
        <v/>
      </c>
      <c r="L254" s="4" t="str">
        <f>HYPERLINK("http://141.218.60.56/~jnz1568/getInfo.php?workbook=08_02.xlsx&amp;sheet=A0&amp;row=254&amp;col=12&amp;number=758000&amp;sourceID=30","758000")</f>
        <v>758000</v>
      </c>
      <c r="M254" s="4" t="str">
        <f>HYPERLINK("http://141.218.60.56/~jnz1568/getInfo.php?workbook=08_02.xlsx&amp;sheet=A0&amp;row=254&amp;col=13&amp;number=&amp;sourceID=30","")</f>
        <v/>
      </c>
      <c r="N254" s="4" t="str">
        <f>HYPERLINK("http://141.218.60.56/~jnz1568/getInfo.php?workbook=08_02.xlsx&amp;sheet=A0&amp;row=254&amp;col=14&amp;number=&amp;sourceID=30","")</f>
        <v/>
      </c>
      <c r="O254" s="4" t="str">
        <f>HYPERLINK("http://141.218.60.56/~jnz1568/getInfo.php?workbook=08_02.xlsx&amp;sheet=A0&amp;row=254&amp;col=15&amp;number=&amp;sourceID=32","")</f>
        <v/>
      </c>
      <c r="P254" s="4" t="str">
        <f>HYPERLINK("http://141.218.60.56/~jnz1568/getInfo.php?workbook=08_02.xlsx&amp;sheet=A0&amp;row=254&amp;col=16&amp;number=&amp;sourceID=32","")</f>
        <v/>
      </c>
      <c r="Q254" s="4" t="str">
        <f>HYPERLINK("http://141.218.60.56/~jnz1568/getInfo.php?workbook=08_02.xlsx&amp;sheet=A0&amp;row=254&amp;col=17&amp;number=&amp;sourceID=32","")</f>
        <v/>
      </c>
      <c r="R254" s="4" t="str">
        <f>HYPERLINK("http://141.218.60.56/~jnz1568/getInfo.php?workbook=08_02.xlsx&amp;sheet=A0&amp;row=254&amp;col=18&amp;number=&amp;sourceID=32","")</f>
        <v/>
      </c>
      <c r="S254" s="4" t="str">
        <f>HYPERLINK("http://141.218.60.56/~jnz1568/getInfo.php?workbook=08_02.xlsx&amp;sheet=A0&amp;row=254&amp;col=19&amp;number=&amp;sourceID=1","")</f>
        <v/>
      </c>
      <c r="T254" s="4" t="str">
        <f>HYPERLINK("http://141.218.60.56/~jnz1568/getInfo.php?workbook=08_02.xlsx&amp;sheet=A0&amp;row=254&amp;col=20&amp;number=&amp;sourceID=1","")</f>
        <v/>
      </c>
    </row>
    <row r="255" spans="1:20">
      <c r="A255" s="3">
        <v>8</v>
      </c>
      <c r="B255" s="3">
        <v>2</v>
      </c>
      <c r="C255" s="3">
        <v>25</v>
      </c>
      <c r="D255" s="3">
        <v>14</v>
      </c>
      <c r="E255" s="3">
        <f>((1/(INDEX(E0!J$4:J$52,C255,1)-INDEX(E0!J$4:J$52,D255,1))))*100000000</f>
        <v>0</v>
      </c>
      <c r="F255" s="4" t="str">
        <f>HYPERLINK("http://141.218.60.56/~jnz1568/getInfo.php?workbook=08_02.xlsx&amp;sheet=A0&amp;row=255&amp;col=6&amp;number=&amp;sourceID=27","")</f>
        <v/>
      </c>
      <c r="G255" s="4" t="str">
        <f>HYPERLINK("http://141.218.60.56/~jnz1568/getInfo.php?workbook=08_02.xlsx&amp;sheet=A0&amp;row=255&amp;col=7&amp;number=&amp;sourceID=34","")</f>
        <v/>
      </c>
      <c r="H255" s="4" t="str">
        <f>HYPERLINK("http://141.218.60.56/~jnz1568/getInfo.php?workbook=08_02.xlsx&amp;sheet=A0&amp;row=255&amp;col=8&amp;number=&amp;sourceID=34","")</f>
        <v/>
      </c>
      <c r="I255" s="4" t="str">
        <f>HYPERLINK("http://141.218.60.56/~jnz1568/getInfo.php?workbook=08_02.xlsx&amp;sheet=A0&amp;row=255&amp;col=9&amp;number=&amp;sourceID=34","")</f>
        <v/>
      </c>
      <c r="J255" s="4" t="str">
        <f>HYPERLINK("http://141.218.60.56/~jnz1568/getInfo.php?workbook=08_02.xlsx&amp;sheet=A0&amp;row=255&amp;col=10&amp;number=&amp;sourceID=34","")</f>
        <v/>
      </c>
      <c r="K255" s="4" t="str">
        <f>HYPERLINK("http://141.218.60.56/~jnz1568/getInfo.php?workbook=08_02.xlsx&amp;sheet=A0&amp;row=255&amp;col=11&amp;number=&amp;sourceID=30","")</f>
        <v/>
      </c>
      <c r="L255" s="4" t="str">
        <f>HYPERLINK("http://141.218.60.56/~jnz1568/getInfo.php?workbook=08_02.xlsx&amp;sheet=A0&amp;row=255&amp;col=12&amp;number=&amp;sourceID=30","")</f>
        <v/>
      </c>
      <c r="M255" s="4" t="str">
        <f>HYPERLINK("http://141.218.60.56/~jnz1568/getInfo.php?workbook=08_02.xlsx&amp;sheet=A0&amp;row=255&amp;col=13&amp;number=&amp;sourceID=30","")</f>
        <v/>
      </c>
      <c r="N255" s="4" t="str">
        <f>HYPERLINK("http://141.218.60.56/~jnz1568/getInfo.php?workbook=08_02.xlsx&amp;sheet=A0&amp;row=255&amp;col=14&amp;number=1.473&amp;sourceID=30","1.473")</f>
        <v>1.473</v>
      </c>
      <c r="O255" s="4" t="str">
        <f>HYPERLINK("http://141.218.60.56/~jnz1568/getInfo.php?workbook=08_02.xlsx&amp;sheet=A0&amp;row=255&amp;col=15&amp;number=&amp;sourceID=32","")</f>
        <v/>
      </c>
      <c r="P255" s="4" t="str">
        <f>HYPERLINK("http://141.218.60.56/~jnz1568/getInfo.php?workbook=08_02.xlsx&amp;sheet=A0&amp;row=255&amp;col=16&amp;number=&amp;sourceID=32","")</f>
        <v/>
      </c>
      <c r="Q255" s="4" t="str">
        <f>HYPERLINK("http://141.218.60.56/~jnz1568/getInfo.php?workbook=08_02.xlsx&amp;sheet=A0&amp;row=255&amp;col=17&amp;number=&amp;sourceID=32","")</f>
        <v/>
      </c>
      <c r="R255" s="4" t="str">
        <f>HYPERLINK("http://141.218.60.56/~jnz1568/getInfo.php?workbook=08_02.xlsx&amp;sheet=A0&amp;row=255&amp;col=18&amp;number=&amp;sourceID=32","")</f>
        <v/>
      </c>
      <c r="S255" s="4" t="str">
        <f>HYPERLINK("http://141.218.60.56/~jnz1568/getInfo.php?workbook=08_02.xlsx&amp;sheet=A0&amp;row=255&amp;col=19&amp;number=&amp;sourceID=1","")</f>
        <v/>
      </c>
      <c r="T255" s="4" t="str">
        <f>HYPERLINK("http://141.218.60.56/~jnz1568/getInfo.php?workbook=08_02.xlsx&amp;sheet=A0&amp;row=255&amp;col=20&amp;number=&amp;sourceID=1","")</f>
        <v/>
      </c>
    </row>
    <row r="256" spans="1:20">
      <c r="A256" s="3">
        <v>8</v>
      </c>
      <c r="B256" s="3">
        <v>2</v>
      </c>
      <c r="C256" s="3">
        <v>25</v>
      </c>
      <c r="D256" s="3">
        <v>15</v>
      </c>
      <c r="E256" s="3">
        <f>((1/(INDEX(E0!J$4:J$52,C256,1)-INDEX(E0!J$4:J$52,D256,1))))*100000000</f>
        <v>0</v>
      </c>
      <c r="F256" s="4" t="str">
        <f>HYPERLINK("http://141.218.60.56/~jnz1568/getInfo.php?workbook=08_02.xlsx&amp;sheet=A0&amp;row=256&amp;col=6&amp;number=&amp;sourceID=27","")</f>
        <v/>
      </c>
      <c r="G256" s="4" t="str">
        <f>HYPERLINK("http://141.218.60.56/~jnz1568/getInfo.php?workbook=08_02.xlsx&amp;sheet=A0&amp;row=256&amp;col=7&amp;number=&amp;sourceID=34","")</f>
        <v/>
      </c>
      <c r="H256" s="4" t="str">
        <f>HYPERLINK("http://141.218.60.56/~jnz1568/getInfo.php?workbook=08_02.xlsx&amp;sheet=A0&amp;row=256&amp;col=8&amp;number=&amp;sourceID=34","")</f>
        <v/>
      </c>
      <c r="I256" s="4" t="str">
        <f>HYPERLINK("http://141.218.60.56/~jnz1568/getInfo.php?workbook=08_02.xlsx&amp;sheet=A0&amp;row=256&amp;col=9&amp;number=&amp;sourceID=34","")</f>
        <v/>
      </c>
      <c r="J256" s="4" t="str">
        <f>HYPERLINK("http://141.218.60.56/~jnz1568/getInfo.php?workbook=08_02.xlsx&amp;sheet=A0&amp;row=256&amp;col=10&amp;number=&amp;sourceID=34","")</f>
        <v/>
      </c>
      <c r="K256" s="4" t="str">
        <f>HYPERLINK("http://141.218.60.56/~jnz1568/getInfo.php?workbook=08_02.xlsx&amp;sheet=A0&amp;row=256&amp;col=11&amp;number=33160000000&amp;sourceID=30","33160000000")</f>
        <v>33160000000</v>
      </c>
      <c r="L256" s="4" t="str">
        <f>HYPERLINK("http://141.218.60.56/~jnz1568/getInfo.php?workbook=08_02.xlsx&amp;sheet=A0&amp;row=256&amp;col=12&amp;number=&amp;sourceID=30","")</f>
        <v/>
      </c>
      <c r="M256" s="4" t="str">
        <f>HYPERLINK("http://141.218.60.56/~jnz1568/getInfo.php?workbook=08_02.xlsx&amp;sheet=A0&amp;row=256&amp;col=13&amp;number=&amp;sourceID=30","")</f>
        <v/>
      </c>
      <c r="N256" s="4" t="str">
        <f>HYPERLINK("http://141.218.60.56/~jnz1568/getInfo.php?workbook=08_02.xlsx&amp;sheet=A0&amp;row=256&amp;col=14&amp;number=45.49&amp;sourceID=30","45.49")</f>
        <v>45.49</v>
      </c>
      <c r="O256" s="4" t="str">
        <f>HYPERLINK("http://141.218.60.56/~jnz1568/getInfo.php?workbook=08_02.xlsx&amp;sheet=A0&amp;row=256&amp;col=15&amp;number=&amp;sourceID=32","")</f>
        <v/>
      </c>
      <c r="P256" s="4" t="str">
        <f>HYPERLINK("http://141.218.60.56/~jnz1568/getInfo.php?workbook=08_02.xlsx&amp;sheet=A0&amp;row=256&amp;col=16&amp;number=&amp;sourceID=32","")</f>
        <v/>
      </c>
      <c r="Q256" s="4" t="str">
        <f>HYPERLINK("http://141.218.60.56/~jnz1568/getInfo.php?workbook=08_02.xlsx&amp;sheet=A0&amp;row=256&amp;col=17&amp;number=&amp;sourceID=32","")</f>
        <v/>
      </c>
      <c r="R256" s="4" t="str">
        <f>HYPERLINK("http://141.218.60.56/~jnz1568/getInfo.php?workbook=08_02.xlsx&amp;sheet=A0&amp;row=256&amp;col=18&amp;number=&amp;sourceID=32","")</f>
        <v/>
      </c>
      <c r="S256" s="4" t="str">
        <f>HYPERLINK("http://141.218.60.56/~jnz1568/getInfo.php?workbook=08_02.xlsx&amp;sheet=A0&amp;row=256&amp;col=19&amp;number=&amp;sourceID=1","")</f>
        <v/>
      </c>
      <c r="T256" s="4" t="str">
        <f>HYPERLINK("http://141.218.60.56/~jnz1568/getInfo.php?workbook=08_02.xlsx&amp;sheet=A0&amp;row=256&amp;col=20&amp;number=&amp;sourceID=1","")</f>
        <v/>
      </c>
    </row>
    <row r="257" spans="1:20">
      <c r="A257" s="3">
        <v>8</v>
      </c>
      <c r="B257" s="3">
        <v>2</v>
      </c>
      <c r="C257" s="3">
        <v>25</v>
      </c>
      <c r="D257" s="3">
        <v>16</v>
      </c>
      <c r="E257" s="3">
        <f>((1/(INDEX(E0!J$4:J$52,C257,1)-INDEX(E0!J$4:J$52,D257,1))))*100000000</f>
        <v>0</v>
      </c>
      <c r="F257" s="4" t="str">
        <f>HYPERLINK("http://141.218.60.56/~jnz1568/getInfo.php?workbook=08_02.xlsx&amp;sheet=A0&amp;row=257&amp;col=6&amp;number=&amp;sourceID=27","")</f>
        <v/>
      </c>
      <c r="G257" s="4" t="str">
        <f>HYPERLINK("http://141.218.60.56/~jnz1568/getInfo.php?workbook=08_02.xlsx&amp;sheet=A0&amp;row=257&amp;col=7&amp;number=&amp;sourceID=34","")</f>
        <v/>
      </c>
      <c r="H257" s="4" t="str">
        <f>HYPERLINK("http://141.218.60.56/~jnz1568/getInfo.php?workbook=08_02.xlsx&amp;sheet=A0&amp;row=257&amp;col=8&amp;number=&amp;sourceID=34","")</f>
        <v/>
      </c>
      <c r="I257" s="4" t="str">
        <f>HYPERLINK("http://141.218.60.56/~jnz1568/getInfo.php?workbook=08_02.xlsx&amp;sheet=A0&amp;row=257&amp;col=9&amp;number=&amp;sourceID=34","")</f>
        <v/>
      </c>
      <c r="J257" s="4" t="str">
        <f>HYPERLINK("http://141.218.60.56/~jnz1568/getInfo.php?workbook=08_02.xlsx&amp;sheet=A0&amp;row=257&amp;col=10&amp;number=&amp;sourceID=34","")</f>
        <v/>
      </c>
      <c r="K257" s="4" t="str">
        <f>HYPERLINK("http://141.218.60.56/~jnz1568/getInfo.php?workbook=08_02.xlsx&amp;sheet=A0&amp;row=257&amp;col=11&amp;number=&amp;sourceID=30","")</f>
        <v/>
      </c>
      <c r="L257" s="4" t="str">
        <f>HYPERLINK("http://141.218.60.56/~jnz1568/getInfo.php?workbook=08_02.xlsx&amp;sheet=A0&amp;row=257&amp;col=12&amp;number=&amp;sourceID=30","")</f>
        <v/>
      </c>
      <c r="M257" s="4" t="str">
        <f>HYPERLINK("http://141.218.60.56/~jnz1568/getInfo.php?workbook=08_02.xlsx&amp;sheet=A0&amp;row=257&amp;col=13&amp;number=&amp;sourceID=30","")</f>
        <v/>
      </c>
      <c r="N257" s="4" t="str">
        <f>HYPERLINK("http://141.218.60.56/~jnz1568/getInfo.php?workbook=08_02.xlsx&amp;sheet=A0&amp;row=257&amp;col=14&amp;number=9.255&amp;sourceID=30","9.255")</f>
        <v>9.255</v>
      </c>
      <c r="O257" s="4" t="str">
        <f>HYPERLINK("http://141.218.60.56/~jnz1568/getInfo.php?workbook=08_02.xlsx&amp;sheet=A0&amp;row=257&amp;col=15&amp;number=&amp;sourceID=32","")</f>
        <v/>
      </c>
      <c r="P257" s="4" t="str">
        <f>HYPERLINK("http://141.218.60.56/~jnz1568/getInfo.php?workbook=08_02.xlsx&amp;sheet=A0&amp;row=257&amp;col=16&amp;number=&amp;sourceID=32","")</f>
        <v/>
      </c>
      <c r="Q257" s="4" t="str">
        <f>HYPERLINK("http://141.218.60.56/~jnz1568/getInfo.php?workbook=08_02.xlsx&amp;sheet=A0&amp;row=257&amp;col=17&amp;number=&amp;sourceID=32","")</f>
        <v/>
      </c>
      <c r="R257" s="4" t="str">
        <f>HYPERLINK("http://141.218.60.56/~jnz1568/getInfo.php?workbook=08_02.xlsx&amp;sheet=A0&amp;row=257&amp;col=18&amp;number=&amp;sourceID=32","")</f>
        <v/>
      </c>
      <c r="S257" s="4" t="str">
        <f>HYPERLINK("http://141.218.60.56/~jnz1568/getInfo.php?workbook=08_02.xlsx&amp;sheet=A0&amp;row=257&amp;col=19&amp;number=&amp;sourceID=1","")</f>
        <v/>
      </c>
      <c r="T257" s="4" t="str">
        <f>HYPERLINK("http://141.218.60.56/~jnz1568/getInfo.php?workbook=08_02.xlsx&amp;sheet=A0&amp;row=257&amp;col=20&amp;number=&amp;sourceID=1","")</f>
        <v/>
      </c>
    </row>
    <row r="258" spans="1:20">
      <c r="A258" s="3">
        <v>8</v>
      </c>
      <c r="B258" s="3">
        <v>2</v>
      </c>
      <c r="C258" s="3">
        <v>25</v>
      </c>
      <c r="D258" s="3">
        <v>21</v>
      </c>
      <c r="E258" s="3">
        <f>((1/(INDEX(E0!J$4:J$52,C258,1)-INDEX(E0!J$4:J$52,D258,1))))*100000000</f>
        <v>0</v>
      </c>
      <c r="F258" s="4" t="str">
        <f>HYPERLINK("http://141.218.60.56/~jnz1568/getInfo.php?workbook=08_02.xlsx&amp;sheet=A0&amp;row=258&amp;col=6&amp;number=&amp;sourceID=27","")</f>
        <v/>
      </c>
      <c r="G258" s="4" t="str">
        <f>HYPERLINK("http://141.218.60.56/~jnz1568/getInfo.php?workbook=08_02.xlsx&amp;sheet=A0&amp;row=258&amp;col=7&amp;number=&amp;sourceID=34","")</f>
        <v/>
      </c>
      <c r="H258" s="4" t="str">
        <f>HYPERLINK("http://141.218.60.56/~jnz1568/getInfo.php?workbook=08_02.xlsx&amp;sheet=A0&amp;row=258&amp;col=8&amp;number=&amp;sourceID=34","")</f>
        <v/>
      </c>
      <c r="I258" s="4" t="str">
        <f>HYPERLINK("http://141.218.60.56/~jnz1568/getInfo.php?workbook=08_02.xlsx&amp;sheet=A0&amp;row=258&amp;col=9&amp;number=&amp;sourceID=34","")</f>
        <v/>
      </c>
      <c r="J258" s="4" t="str">
        <f>HYPERLINK("http://141.218.60.56/~jnz1568/getInfo.php?workbook=08_02.xlsx&amp;sheet=A0&amp;row=258&amp;col=10&amp;number=&amp;sourceID=34","")</f>
        <v/>
      </c>
      <c r="K258" s="4" t="str">
        <f>HYPERLINK("http://141.218.60.56/~jnz1568/getInfo.php?workbook=08_02.xlsx&amp;sheet=A0&amp;row=258&amp;col=11&amp;number=&amp;sourceID=30","")</f>
        <v/>
      </c>
      <c r="L258" s="4" t="str">
        <f>HYPERLINK("http://141.218.60.56/~jnz1568/getInfo.php?workbook=08_02.xlsx&amp;sheet=A0&amp;row=258&amp;col=12&amp;number=0.001097&amp;sourceID=30","0.001097")</f>
        <v>0.001097</v>
      </c>
      <c r="M258" s="4" t="str">
        <f>HYPERLINK("http://141.218.60.56/~jnz1568/getInfo.php?workbook=08_02.xlsx&amp;sheet=A0&amp;row=258&amp;col=13&amp;number=&amp;sourceID=30","")</f>
        <v/>
      </c>
      <c r="N258" s="4" t="str">
        <f>HYPERLINK("http://141.218.60.56/~jnz1568/getInfo.php?workbook=08_02.xlsx&amp;sheet=A0&amp;row=258&amp;col=14&amp;number=&amp;sourceID=30","")</f>
        <v/>
      </c>
      <c r="O258" s="4" t="str">
        <f>HYPERLINK("http://141.218.60.56/~jnz1568/getInfo.php?workbook=08_02.xlsx&amp;sheet=A0&amp;row=258&amp;col=15&amp;number=&amp;sourceID=32","")</f>
        <v/>
      </c>
      <c r="P258" s="4" t="str">
        <f>HYPERLINK("http://141.218.60.56/~jnz1568/getInfo.php?workbook=08_02.xlsx&amp;sheet=A0&amp;row=258&amp;col=16&amp;number=&amp;sourceID=32","")</f>
        <v/>
      </c>
      <c r="Q258" s="4" t="str">
        <f>HYPERLINK("http://141.218.60.56/~jnz1568/getInfo.php?workbook=08_02.xlsx&amp;sheet=A0&amp;row=258&amp;col=17&amp;number=&amp;sourceID=32","")</f>
        <v/>
      </c>
      <c r="R258" s="4" t="str">
        <f>HYPERLINK("http://141.218.60.56/~jnz1568/getInfo.php?workbook=08_02.xlsx&amp;sheet=A0&amp;row=258&amp;col=18&amp;number=&amp;sourceID=32","")</f>
        <v/>
      </c>
      <c r="S258" s="4" t="str">
        <f>HYPERLINK("http://141.218.60.56/~jnz1568/getInfo.php?workbook=08_02.xlsx&amp;sheet=A0&amp;row=258&amp;col=19&amp;number=&amp;sourceID=1","")</f>
        <v/>
      </c>
      <c r="T258" s="4" t="str">
        <f>HYPERLINK("http://141.218.60.56/~jnz1568/getInfo.php?workbook=08_02.xlsx&amp;sheet=A0&amp;row=258&amp;col=20&amp;number=&amp;sourceID=1","")</f>
        <v/>
      </c>
    </row>
    <row r="259" spans="1:20">
      <c r="A259" s="3">
        <v>8</v>
      </c>
      <c r="B259" s="3">
        <v>2</v>
      </c>
      <c r="C259" s="3">
        <v>25</v>
      </c>
      <c r="D259" s="3">
        <v>24</v>
      </c>
      <c r="E259" s="3">
        <f>((1/(INDEX(E0!J$4:J$52,C259,1)-INDEX(E0!J$4:J$52,D259,1))))*100000000</f>
        <v>0</v>
      </c>
      <c r="F259" s="4" t="str">
        <f>HYPERLINK("http://141.218.60.56/~jnz1568/getInfo.php?workbook=08_02.xlsx&amp;sheet=A0&amp;row=259&amp;col=6&amp;number=&amp;sourceID=27","")</f>
        <v/>
      </c>
      <c r="G259" s="4" t="str">
        <f>HYPERLINK("http://141.218.60.56/~jnz1568/getInfo.php?workbook=08_02.xlsx&amp;sheet=A0&amp;row=259&amp;col=7&amp;number=&amp;sourceID=34","")</f>
        <v/>
      </c>
      <c r="H259" s="4" t="str">
        <f>HYPERLINK("http://141.218.60.56/~jnz1568/getInfo.php?workbook=08_02.xlsx&amp;sheet=A0&amp;row=259&amp;col=8&amp;number=&amp;sourceID=34","")</f>
        <v/>
      </c>
      <c r="I259" s="4" t="str">
        <f>HYPERLINK("http://141.218.60.56/~jnz1568/getInfo.php?workbook=08_02.xlsx&amp;sheet=A0&amp;row=259&amp;col=9&amp;number=&amp;sourceID=34","")</f>
        <v/>
      </c>
      <c r="J259" s="4" t="str">
        <f>HYPERLINK("http://141.218.60.56/~jnz1568/getInfo.php?workbook=08_02.xlsx&amp;sheet=A0&amp;row=259&amp;col=10&amp;number=&amp;sourceID=34","")</f>
        <v/>
      </c>
      <c r="K259" s="4" t="str">
        <f>HYPERLINK("http://141.218.60.56/~jnz1568/getInfo.php?workbook=08_02.xlsx&amp;sheet=A0&amp;row=259&amp;col=11&amp;number=&amp;sourceID=30","")</f>
        <v/>
      </c>
      <c r="L259" s="4" t="str">
        <f>HYPERLINK("http://141.218.60.56/~jnz1568/getInfo.php?workbook=08_02.xlsx&amp;sheet=A0&amp;row=259&amp;col=12&amp;number=&amp;sourceID=30","")</f>
        <v/>
      </c>
      <c r="M259" s="4" t="str">
        <f>HYPERLINK("http://141.218.60.56/~jnz1568/getInfo.php?workbook=08_02.xlsx&amp;sheet=A0&amp;row=259&amp;col=13&amp;number=&amp;sourceID=30","")</f>
        <v/>
      </c>
      <c r="N259" s="4" t="str">
        <f>HYPERLINK("http://141.218.60.56/~jnz1568/getInfo.php?workbook=08_02.xlsx&amp;sheet=A0&amp;row=259&amp;col=14&amp;number=1e-15&amp;sourceID=30","1e-15")</f>
        <v>1e-15</v>
      </c>
      <c r="O259" s="4" t="str">
        <f>HYPERLINK("http://141.218.60.56/~jnz1568/getInfo.php?workbook=08_02.xlsx&amp;sheet=A0&amp;row=259&amp;col=15&amp;number=&amp;sourceID=32","")</f>
        <v/>
      </c>
      <c r="P259" s="4" t="str">
        <f>HYPERLINK("http://141.218.60.56/~jnz1568/getInfo.php?workbook=08_02.xlsx&amp;sheet=A0&amp;row=259&amp;col=16&amp;number=&amp;sourceID=32","")</f>
        <v/>
      </c>
      <c r="Q259" s="4" t="str">
        <f>HYPERLINK("http://141.218.60.56/~jnz1568/getInfo.php?workbook=08_02.xlsx&amp;sheet=A0&amp;row=259&amp;col=17&amp;number=&amp;sourceID=32","")</f>
        <v/>
      </c>
      <c r="R259" s="4" t="str">
        <f>HYPERLINK("http://141.218.60.56/~jnz1568/getInfo.php?workbook=08_02.xlsx&amp;sheet=A0&amp;row=259&amp;col=18&amp;number=&amp;sourceID=32","")</f>
        <v/>
      </c>
      <c r="S259" s="4" t="str">
        <f>HYPERLINK("http://141.218.60.56/~jnz1568/getInfo.php?workbook=08_02.xlsx&amp;sheet=A0&amp;row=259&amp;col=19&amp;number=&amp;sourceID=1","")</f>
        <v/>
      </c>
      <c r="T259" s="4" t="str">
        <f>HYPERLINK("http://141.218.60.56/~jnz1568/getInfo.php?workbook=08_02.xlsx&amp;sheet=A0&amp;row=259&amp;col=20&amp;number=&amp;sourceID=1","")</f>
        <v/>
      </c>
    </row>
    <row r="260" spans="1:20">
      <c r="A260" s="3">
        <v>8</v>
      </c>
      <c r="B260" s="3">
        <v>2</v>
      </c>
      <c r="C260" s="3">
        <v>25</v>
      </c>
      <c r="D260" s="3">
        <v>26</v>
      </c>
      <c r="E260" s="3">
        <f>((1/(INDEX(E0!J$4:J$52,C260,1)-INDEX(E0!J$4:J$52,D260,1))))*100000000</f>
        <v>0</v>
      </c>
      <c r="F260" s="4" t="str">
        <f>HYPERLINK("http://141.218.60.56/~jnz1568/getInfo.php?workbook=08_02.xlsx&amp;sheet=A0&amp;row=260&amp;col=6&amp;number=&amp;sourceID=27","")</f>
        <v/>
      </c>
      <c r="G260" s="4" t="str">
        <f>HYPERLINK("http://141.218.60.56/~jnz1568/getInfo.php?workbook=08_02.xlsx&amp;sheet=A0&amp;row=260&amp;col=7&amp;number=&amp;sourceID=34","")</f>
        <v/>
      </c>
      <c r="H260" s="4" t="str">
        <f>HYPERLINK("http://141.218.60.56/~jnz1568/getInfo.php?workbook=08_02.xlsx&amp;sheet=A0&amp;row=260&amp;col=8&amp;number=&amp;sourceID=34","")</f>
        <v/>
      </c>
      <c r="I260" s="4" t="str">
        <f>HYPERLINK("http://141.218.60.56/~jnz1568/getInfo.php?workbook=08_02.xlsx&amp;sheet=A0&amp;row=260&amp;col=9&amp;number=&amp;sourceID=34","")</f>
        <v/>
      </c>
      <c r="J260" s="4" t="str">
        <f>HYPERLINK("http://141.218.60.56/~jnz1568/getInfo.php?workbook=08_02.xlsx&amp;sheet=A0&amp;row=260&amp;col=10&amp;number=&amp;sourceID=34","")</f>
        <v/>
      </c>
      <c r="K260" s="4" t="str">
        <f>HYPERLINK("http://141.218.60.56/~jnz1568/getInfo.php?workbook=08_02.xlsx&amp;sheet=A0&amp;row=260&amp;col=11&amp;number=28.93&amp;sourceID=30","28.93")</f>
        <v>28.93</v>
      </c>
      <c r="L260" s="4" t="str">
        <f>HYPERLINK("http://141.218.60.56/~jnz1568/getInfo.php?workbook=08_02.xlsx&amp;sheet=A0&amp;row=260&amp;col=12&amp;number=&amp;sourceID=30","")</f>
        <v/>
      </c>
      <c r="M260" s="4" t="str">
        <f>HYPERLINK("http://141.218.60.56/~jnz1568/getInfo.php?workbook=08_02.xlsx&amp;sheet=A0&amp;row=260&amp;col=13&amp;number=&amp;sourceID=30","")</f>
        <v/>
      </c>
      <c r="N260" s="4" t="str">
        <f>HYPERLINK("http://141.218.60.56/~jnz1568/getInfo.php?workbook=08_02.xlsx&amp;sheet=A0&amp;row=260&amp;col=14&amp;number=2e-14&amp;sourceID=30","2e-14")</f>
        <v>2e-14</v>
      </c>
      <c r="O260" s="4" t="str">
        <f>HYPERLINK("http://141.218.60.56/~jnz1568/getInfo.php?workbook=08_02.xlsx&amp;sheet=A0&amp;row=260&amp;col=15&amp;number=&amp;sourceID=32","")</f>
        <v/>
      </c>
      <c r="P260" s="4" t="str">
        <f>HYPERLINK("http://141.218.60.56/~jnz1568/getInfo.php?workbook=08_02.xlsx&amp;sheet=A0&amp;row=260&amp;col=16&amp;number=&amp;sourceID=32","")</f>
        <v/>
      </c>
      <c r="Q260" s="4" t="str">
        <f>HYPERLINK("http://141.218.60.56/~jnz1568/getInfo.php?workbook=08_02.xlsx&amp;sheet=A0&amp;row=260&amp;col=17&amp;number=&amp;sourceID=32","")</f>
        <v/>
      </c>
      <c r="R260" s="4" t="str">
        <f>HYPERLINK("http://141.218.60.56/~jnz1568/getInfo.php?workbook=08_02.xlsx&amp;sheet=A0&amp;row=260&amp;col=18&amp;number=&amp;sourceID=32","")</f>
        <v/>
      </c>
      <c r="S260" s="4" t="str">
        <f>HYPERLINK("http://141.218.60.56/~jnz1568/getInfo.php?workbook=08_02.xlsx&amp;sheet=A0&amp;row=260&amp;col=19&amp;number=&amp;sourceID=1","")</f>
        <v/>
      </c>
      <c r="T260" s="4" t="str">
        <f>HYPERLINK("http://141.218.60.56/~jnz1568/getInfo.php?workbook=08_02.xlsx&amp;sheet=A0&amp;row=260&amp;col=20&amp;number=&amp;sourceID=1","")</f>
        <v/>
      </c>
    </row>
    <row r="261" spans="1:20">
      <c r="A261" s="3">
        <v>8</v>
      </c>
      <c r="B261" s="3">
        <v>2</v>
      </c>
      <c r="C261" s="3">
        <v>25</v>
      </c>
      <c r="D261" s="3">
        <v>27</v>
      </c>
      <c r="E261" s="3">
        <f>((1/(INDEX(E0!J$4:J$52,C261,1)-INDEX(E0!J$4:J$52,D261,1))))*100000000</f>
        <v>0</v>
      </c>
      <c r="F261" s="4" t="str">
        <f>HYPERLINK("http://141.218.60.56/~jnz1568/getInfo.php?workbook=08_02.xlsx&amp;sheet=A0&amp;row=261&amp;col=6&amp;number=&amp;sourceID=27","")</f>
        <v/>
      </c>
      <c r="G261" s="4" t="str">
        <f>HYPERLINK("http://141.218.60.56/~jnz1568/getInfo.php?workbook=08_02.xlsx&amp;sheet=A0&amp;row=261&amp;col=7&amp;number=&amp;sourceID=34","")</f>
        <v/>
      </c>
      <c r="H261" s="4" t="str">
        <f>HYPERLINK("http://141.218.60.56/~jnz1568/getInfo.php?workbook=08_02.xlsx&amp;sheet=A0&amp;row=261&amp;col=8&amp;number=&amp;sourceID=34","")</f>
        <v/>
      </c>
      <c r="I261" s="4" t="str">
        <f>HYPERLINK("http://141.218.60.56/~jnz1568/getInfo.php?workbook=08_02.xlsx&amp;sheet=A0&amp;row=261&amp;col=9&amp;number=&amp;sourceID=34","")</f>
        <v/>
      </c>
      <c r="J261" s="4" t="str">
        <f>HYPERLINK("http://141.218.60.56/~jnz1568/getInfo.php?workbook=08_02.xlsx&amp;sheet=A0&amp;row=261&amp;col=10&amp;number=&amp;sourceID=34","")</f>
        <v/>
      </c>
      <c r="K261" s="4" t="str">
        <f>HYPERLINK("http://141.218.60.56/~jnz1568/getInfo.php?workbook=08_02.xlsx&amp;sheet=A0&amp;row=261&amp;col=11&amp;number=&amp;sourceID=30","")</f>
        <v/>
      </c>
      <c r="L261" s="4" t="str">
        <f>HYPERLINK("http://141.218.60.56/~jnz1568/getInfo.php?workbook=08_02.xlsx&amp;sheet=A0&amp;row=261&amp;col=12&amp;number=0&amp;sourceID=30","0")</f>
        <v>0</v>
      </c>
      <c r="M261" s="4" t="str">
        <f>HYPERLINK("http://141.218.60.56/~jnz1568/getInfo.php?workbook=08_02.xlsx&amp;sheet=A0&amp;row=261&amp;col=13&amp;number=6.84e-08&amp;sourceID=30","6.84e-08")</f>
        <v>6.84e-08</v>
      </c>
      <c r="N261" s="4" t="str">
        <f>HYPERLINK("http://141.218.60.56/~jnz1568/getInfo.php?workbook=08_02.xlsx&amp;sheet=A0&amp;row=261&amp;col=14&amp;number=&amp;sourceID=30","")</f>
        <v/>
      </c>
      <c r="O261" s="4" t="str">
        <f>HYPERLINK("http://141.218.60.56/~jnz1568/getInfo.php?workbook=08_02.xlsx&amp;sheet=A0&amp;row=261&amp;col=15&amp;number=&amp;sourceID=32","")</f>
        <v/>
      </c>
      <c r="P261" s="4" t="str">
        <f>HYPERLINK("http://141.218.60.56/~jnz1568/getInfo.php?workbook=08_02.xlsx&amp;sheet=A0&amp;row=261&amp;col=16&amp;number=&amp;sourceID=32","")</f>
        <v/>
      </c>
      <c r="Q261" s="4" t="str">
        <f>HYPERLINK("http://141.218.60.56/~jnz1568/getInfo.php?workbook=08_02.xlsx&amp;sheet=A0&amp;row=261&amp;col=17&amp;number=&amp;sourceID=32","")</f>
        <v/>
      </c>
      <c r="R261" s="4" t="str">
        <f>HYPERLINK("http://141.218.60.56/~jnz1568/getInfo.php?workbook=08_02.xlsx&amp;sheet=A0&amp;row=261&amp;col=18&amp;number=&amp;sourceID=32","")</f>
        <v/>
      </c>
      <c r="S261" s="4" t="str">
        <f>HYPERLINK("http://141.218.60.56/~jnz1568/getInfo.php?workbook=08_02.xlsx&amp;sheet=A0&amp;row=261&amp;col=19&amp;number=&amp;sourceID=1","")</f>
        <v/>
      </c>
      <c r="T261" s="4" t="str">
        <f>HYPERLINK("http://141.218.60.56/~jnz1568/getInfo.php?workbook=08_02.xlsx&amp;sheet=A0&amp;row=261&amp;col=20&amp;number=&amp;sourceID=1","")</f>
        <v/>
      </c>
    </row>
    <row r="262" spans="1:20">
      <c r="A262" s="3">
        <v>8</v>
      </c>
      <c r="B262" s="3">
        <v>2</v>
      </c>
      <c r="C262" s="3">
        <v>25</v>
      </c>
      <c r="D262" s="3">
        <v>28</v>
      </c>
      <c r="E262" s="3">
        <f>((1/(INDEX(E0!J$4:J$52,C262,1)-INDEX(E0!J$4:J$52,D262,1))))*100000000</f>
        <v>0</v>
      </c>
      <c r="F262" s="4" t="str">
        <f>HYPERLINK("http://141.218.60.56/~jnz1568/getInfo.php?workbook=08_02.xlsx&amp;sheet=A0&amp;row=262&amp;col=6&amp;number=&amp;sourceID=27","")</f>
        <v/>
      </c>
      <c r="G262" s="4" t="str">
        <f>HYPERLINK("http://141.218.60.56/~jnz1568/getInfo.php?workbook=08_02.xlsx&amp;sheet=A0&amp;row=262&amp;col=7&amp;number=&amp;sourceID=34","")</f>
        <v/>
      </c>
      <c r="H262" s="4" t="str">
        <f>HYPERLINK("http://141.218.60.56/~jnz1568/getInfo.php?workbook=08_02.xlsx&amp;sheet=A0&amp;row=262&amp;col=8&amp;number=&amp;sourceID=34","")</f>
        <v/>
      </c>
      <c r="I262" s="4" t="str">
        <f>HYPERLINK("http://141.218.60.56/~jnz1568/getInfo.php?workbook=08_02.xlsx&amp;sheet=A0&amp;row=262&amp;col=9&amp;number=&amp;sourceID=34","")</f>
        <v/>
      </c>
      <c r="J262" s="4" t="str">
        <f>HYPERLINK("http://141.218.60.56/~jnz1568/getInfo.php?workbook=08_02.xlsx&amp;sheet=A0&amp;row=262&amp;col=10&amp;number=&amp;sourceID=34","")</f>
        <v/>
      </c>
      <c r="K262" s="4" t="str">
        <f>HYPERLINK("http://141.218.60.56/~jnz1568/getInfo.php?workbook=08_02.xlsx&amp;sheet=A0&amp;row=262&amp;col=11&amp;number=&amp;sourceID=30","")</f>
        <v/>
      </c>
      <c r="L262" s="4" t="str">
        <f>HYPERLINK("http://141.218.60.56/~jnz1568/getInfo.php?workbook=08_02.xlsx&amp;sheet=A0&amp;row=262&amp;col=12&amp;number=0&amp;sourceID=30","0")</f>
        <v>0</v>
      </c>
      <c r="M262" s="4" t="str">
        <f>HYPERLINK("http://141.218.60.56/~jnz1568/getInfo.php?workbook=08_02.xlsx&amp;sheet=A0&amp;row=262&amp;col=13&amp;number=&amp;sourceID=30","")</f>
        <v/>
      </c>
      <c r="N262" s="4" t="str">
        <f>HYPERLINK("http://141.218.60.56/~jnz1568/getInfo.php?workbook=08_02.xlsx&amp;sheet=A0&amp;row=262&amp;col=14&amp;number=&amp;sourceID=30","")</f>
        <v/>
      </c>
      <c r="O262" s="4" t="str">
        <f>HYPERLINK("http://141.218.60.56/~jnz1568/getInfo.php?workbook=08_02.xlsx&amp;sheet=A0&amp;row=262&amp;col=15&amp;number=&amp;sourceID=32","")</f>
        <v/>
      </c>
      <c r="P262" s="4" t="str">
        <f>HYPERLINK("http://141.218.60.56/~jnz1568/getInfo.php?workbook=08_02.xlsx&amp;sheet=A0&amp;row=262&amp;col=16&amp;number=&amp;sourceID=32","")</f>
        <v/>
      </c>
      <c r="Q262" s="4" t="str">
        <f>HYPERLINK("http://141.218.60.56/~jnz1568/getInfo.php?workbook=08_02.xlsx&amp;sheet=A0&amp;row=262&amp;col=17&amp;number=&amp;sourceID=32","")</f>
        <v/>
      </c>
      <c r="R262" s="4" t="str">
        <f>HYPERLINK("http://141.218.60.56/~jnz1568/getInfo.php?workbook=08_02.xlsx&amp;sheet=A0&amp;row=262&amp;col=18&amp;number=&amp;sourceID=32","")</f>
        <v/>
      </c>
      <c r="S262" s="4" t="str">
        <f>HYPERLINK("http://141.218.60.56/~jnz1568/getInfo.php?workbook=08_02.xlsx&amp;sheet=A0&amp;row=262&amp;col=19&amp;number=&amp;sourceID=1","")</f>
        <v/>
      </c>
      <c r="T262" s="4" t="str">
        <f>HYPERLINK("http://141.218.60.56/~jnz1568/getInfo.php?workbook=08_02.xlsx&amp;sheet=A0&amp;row=262&amp;col=20&amp;number=&amp;sourceID=1","")</f>
        <v/>
      </c>
    </row>
    <row r="263" spans="1:20">
      <c r="A263" s="3">
        <v>8</v>
      </c>
      <c r="B263" s="3">
        <v>2</v>
      </c>
      <c r="C263" s="3">
        <v>26</v>
      </c>
      <c r="D263" s="3">
        <v>2</v>
      </c>
      <c r="E263" s="3">
        <f>((1/(INDEX(E0!J$4:J$52,C263,1)-INDEX(E0!J$4:J$52,D263,1))))*100000000</f>
        <v>0</v>
      </c>
      <c r="F263" s="4" t="str">
        <f>HYPERLINK("http://141.218.60.56/~jnz1568/getInfo.php?workbook=08_02.xlsx&amp;sheet=A0&amp;row=263&amp;col=6&amp;number=&amp;sourceID=27","")</f>
        <v/>
      </c>
      <c r="G263" s="4" t="str">
        <f>HYPERLINK("http://141.218.60.56/~jnz1568/getInfo.php?workbook=08_02.xlsx&amp;sheet=A0&amp;row=263&amp;col=7&amp;number=&amp;sourceID=34","")</f>
        <v/>
      </c>
      <c r="H263" s="4" t="str">
        <f>HYPERLINK("http://141.218.60.56/~jnz1568/getInfo.php?workbook=08_02.xlsx&amp;sheet=A0&amp;row=263&amp;col=8&amp;number=&amp;sourceID=34","")</f>
        <v/>
      </c>
      <c r="I263" s="4" t="str">
        <f>HYPERLINK("http://141.218.60.56/~jnz1568/getInfo.php?workbook=08_02.xlsx&amp;sheet=A0&amp;row=263&amp;col=9&amp;number=&amp;sourceID=34","")</f>
        <v/>
      </c>
      <c r="J263" s="4" t="str">
        <f>HYPERLINK("http://141.218.60.56/~jnz1568/getInfo.php?workbook=08_02.xlsx&amp;sheet=A0&amp;row=263&amp;col=10&amp;number=&amp;sourceID=34","")</f>
        <v/>
      </c>
      <c r="K263" s="4" t="str">
        <f>HYPERLINK("http://141.218.60.56/~jnz1568/getInfo.php?workbook=08_02.xlsx&amp;sheet=A0&amp;row=263&amp;col=11&amp;number=&amp;sourceID=30","")</f>
        <v/>
      </c>
      <c r="L263" s="4" t="str">
        <f>HYPERLINK("http://141.218.60.56/~jnz1568/getInfo.php?workbook=08_02.xlsx&amp;sheet=A0&amp;row=263&amp;col=12&amp;number=1207000&amp;sourceID=30","1207000")</f>
        <v>1207000</v>
      </c>
      <c r="M263" s="4" t="str">
        <f>HYPERLINK("http://141.218.60.56/~jnz1568/getInfo.php?workbook=08_02.xlsx&amp;sheet=A0&amp;row=263&amp;col=13&amp;number=&amp;sourceID=30","")</f>
        <v/>
      </c>
      <c r="N263" s="4" t="str">
        <f>HYPERLINK("http://141.218.60.56/~jnz1568/getInfo.php?workbook=08_02.xlsx&amp;sheet=A0&amp;row=263&amp;col=14&amp;number=&amp;sourceID=30","")</f>
        <v/>
      </c>
      <c r="O263" s="4" t="str">
        <f>HYPERLINK("http://141.218.60.56/~jnz1568/getInfo.php?workbook=08_02.xlsx&amp;sheet=A0&amp;row=263&amp;col=15&amp;number=&amp;sourceID=32","")</f>
        <v/>
      </c>
      <c r="P263" s="4" t="str">
        <f>HYPERLINK("http://141.218.60.56/~jnz1568/getInfo.php?workbook=08_02.xlsx&amp;sheet=A0&amp;row=263&amp;col=16&amp;number=1297000&amp;sourceID=32","1297000")</f>
        <v>1297000</v>
      </c>
      <c r="Q263" s="4" t="str">
        <f>HYPERLINK("http://141.218.60.56/~jnz1568/getInfo.php?workbook=08_02.xlsx&amp;sheet=A0&amp;row=263&amp;col=17&amp;number=&amp;sourceID=32","")</f>
        <v/>
      </c>
      <c r="R263" s="4" t="str">
        <f>HYPERLINK("http://141.218.60.56/~jnz1568/getInfo.php?workbook=08_02.xlsx&amp;sheet=A0&amp;row=263&amp;col=18&amp;number=&amp;sourceID=32","")</f>
        <v/>
      </c>
      <c r="S263" s="4" t="str">
        <f>HYPERLINK("http://141.218.60.56/~jnz1568/getInfo.php?workbook=08_02.xlsx&amp;sheet=A0&amp;row=263&amp;col=19&amp;number=&amp;sourceID=1","")</f>
        <v/>
      </c>
      <c r="T263" s="4" t="str">
        <f>HYPERLINK("http://141.218.60.56/~jnz1568/getInfo.php?workbook=08_02.xlsx&amp;sheet=A0&amp;row=263&amp;col=20&amp;number=&amp;sourceID=1","")</f>
        <v/>
      </c>
    </row>
    <row r="264" spans="1:20">
      <c r="A264" s="3">
        <v>8</v>
      </c>
      <c r="B264" s="3">
        <v>2</v>
      </c>
      <c r="C264" s="3">
        <v>26</v>
      </c>
      <c r="D264" s="3">
        <v>4</v>
      </c>
      <c r="E264" s="3">
        <f>((1/(INDEX(E0!J$4:J$52,C264,1)-INDEX(E0!J$4:J$52,D264,1))))*100000000</f>
        <v>0</v>
      </c>
      <c r="F264" s="4" t="str">
        <f>HYPERLINK("http://141.218.60.56/~jnz1568/getInfo.php?workbook=08_02.xlsx&amp;sheet=A0&amp;row=264&amp;col=6&amp;number=&amp;sourceID=27","")</f>
        <v/>
      </c>
      <c r="G264" s="4" t="str">
        <f>HYPERLINK("http://141.218.60.56/~jnz1568/getInfo.php?workbook=08_02.xlsx&amp;sheet=A0&amp;row=264&amp;col=7&amp;number=&amp;sourceID=34","")</f>
        <v/>
      </c>
      <c r="H264" s="4" t="str">
        <f>HYPERLINK("http://141.218.60.56/~jnz1568/getInfo.php?workbook=08_02.xlsx&amp;sheet=A0&amp;row=264&amp;col=8&amp;number=&amp;sourceID=34","")</f>
        <v/>
      </c>
      <c r="I264" s="4" t="str">
        <f>HYPERLINK("http://141.218.60.56/~jnz1568/getInfo.php?workbook=08_02.xlsx&amp;sheet=A0&amp;row=264&amp;col=9&amp;number=&amp;sourceID=34","")</f>
        <v/>
      </c>
      <c r="J264" s="4" t="str">
        <f>HYPERLINK("http://141.218.60.56/~jnz1568/getInfo.php?workbook=08_02.xlsx&amp;sheet=A0&amp;row=264&amp;col=10&amp;number=&amp;sourceID=34","")</f>
        <v/>
      </c>
      <c r="K264" s="4" t="str">
        <f>HYPERLINK("http://141.218.60.56/~jnz1568/getInfo.php?workbook=08_02.xlsx&amp;sheet=A0&amp;row=264&amp;col=11&amp;number=&amp;sourceID=30","")</f>
        <v/>
      </c>
      <c r="L264" s="4" t="str">
        <f>HYPERLINK("http://141.218.60.56/~jnz1568/getInfo.php?workbook=08_02.xlsx&amp;sheet=A0&amp;row=264&amp;col=12&amp;number=&amp;sourceID=30","")</f>
        <v/>
      </c>
      <c r="M264" s="4" t="str">
        <f>HYPERLINK("http://141.218.60.56/~jnz1568/getInfo.php?workbook=08_02.xlsx&amp;sheet=A0&amp;row=264&amp;col=13&amp;number=&amp;sourceID=30","")</f>
        <v/>
      </c>
      <c r="N264" s="4" t="str">
        <f>HYPERLINK("http://141.218.60.56/~jnz1568/getInfo.php?workbook=08_02.xlsx&amp;sheet=A0&amp;row=264&amp;col=14&amp;number=15.47&amp;sourceID=30","15.47")</f>
        <v>15.47</v>
      </c>
      <c r="O264" s="4" t="str">
        <f>HYPERLINK("http://141.218.60.56/~jnz1568/getInfo.php?workbook=08_02.xlsx&amp;sheet=A0&amp;row=264&amp;col=15&amp;number=&amp;sourceID=32","")</f>
        <v/>
      </c>
      <c r="P264" s="4" t="str">
        <f>HYPERLINK("http://141.218.60.56/~jnz1568/getInfo.php?workbook=08_02.xlsx&amp;sheet=A0&amp;row=264&amp;col=16&amp;number=&amp;sourceID=32","")</f>
        <v/>
      </c>
      <c r="Q264" s="4" t="str">
        <f>HYPERLINK("http://141.218.60.56/~jnz1568/getInfo.php?workbook=08_02.xlsx&amp;sheet=A0&amp;row=264&amp;col=17&amp;number=&amp;sourceID=32","")</f>
        <v/>
      </c>
      <c r="R264" s="4" t="str">
        <f>HYPERLINK("http://141.218.60.56/~jnz1568/getInfo.php?workbook=08_02.xlsx&amp;sheet=A0&amp;row=264&amp;col=18&amp;number=15.55&amp;sourceID=32","15.55")</f>
        <v>15.55</v>
      </c>
      <c r="S264" s="4" t="str">
        <f>HYPERLINK("http://141.218.60.56/~jnz1568/getInfo.php?workbook=08_02.xlsx&amp;sheet=A0&amp;row=264&amp;col=19&amp;number=&amp;sourceID=1","")</f>
        <v/>
      </c>
      <c r="T264" s="4" t="str">
        <f>HYPERLINK("http://141.218.60.56/~jnz1568/getInfo.php?workbook=08_02.xlsx&amp;sheet=A0&amp;row=264&amp;col=20&amp;number=&amp;sourceID=1","")</f>
        <v/>
      </c>
    </row>
    <row r="265" spans="1:20">
      <c r="A265" s="3">
        <v>8</v>
      </c>
      <c r="B265" s="3">
        <v>2</v>
      </c>
      <c r="C265" s="3">
        <v>26</v>
      </c>
      <c r="D265" s="3">
        <v>5</v>
      </c>
      <c r="E265" s="3">
        <f>((1/(INDEX(E0!J$4:J$52,C265,1)-INDEX(E0!J$4:J$52,D265,1))))*100000000</f>
        <v>0</v>
      </c>
      <c r="F265" s="4" t="str">
        <f>HYPERLINK("http://141.218.60.56/~jnz1568/getInfo.php?workbook=08_02.xlsx&amp;sheet=A0&amp;row=265&amp;col=6&amp;number=&amp;sourceID=27","")</f>
        <v/>
      </c>
      <c r="G265" s="4" t="str">
        <f>HYPERLINK("http://141.218.60.56/~jnz1568/getInfo.php?workbook=08_02.xlsx&amp;sheet=A0&amp;row=265&amp;col=7&amp;number=53228571428.6&amp;sourceID=34","53228571428.6")</f>
        <v>53228571428.6</v>
      </c>
      <c r="H265" s="4" t="str">
        <f>HYPERLINK("http://141.218.60.56/~jnz1568/getInfo.php?workbook=08_02.xlsx&amp;sheet=A0&amp;row=265&amp;col=8&amp;number=&amp;sourceID=34","")</f>
        <v/>
      </c>
      <c r="I265" s="4" t="str">
        <f>HYPERLINK("http://141.218.60.56/~jnz1568/getInfo.php?workbook=08_02.xlsx&amp;sheet=A0&amp;row=265&amp;col=9&amp;number=&amp;sourceID=34","")</f>
        <v/>
      </c>
      <c r="J265" s="4" t="str">
        <f>HYPERLINK("http://141.218.60.56/~jnz1568/getInfo.php?workbook=08_02.xlsx&amp;sheet=A0&amp;row=265&amp;col=10&amp;number=&amp;sourceID=34","")</f>
        <v/>
      </c>
      <c r="K265" s="4" t="str">
        <f>HYPERLINK("http://141.218.60.56/~jnz1568/getInfo.php?workbook=08_02.xlsx&amp;sheet=A0&amp;row=265&amp;col=11&amp;number=52700000000&amp;sourceID=30","52700000000")</f>
        <v>52700000000</v>
      </c>
      <c r="L265" s="4" t="str">
        <f>HYPERLINK("http://141.218.60.56/~jnz1568/getInfo.php?workbook=08_02.xlsx&amp;sheet=A0&amp;row=265&amp;col=12&amp;number=&amp;sourceID=30","")</f>
        <v/>
      </c>
      <c r="M265" s="4" t="str">
        <f>HYPERLINK("http://141.218.60.56/~jnz1568/getInfo.php?workbook=08_02.xlsx&amp;sheet=A0&amp;row=265&amp;col=13&amp;number=&amp;sourceID=30","")</f>
        <v/>
      </c>
      <c r="N265" s="4" t="str">
        <f>HYPERLINK("http://141.218.60.56/~jnz1568/getInfo.php?workbook=08_02.xlsx&amp;sheet=A0&amp;row=265&amp;col=14&amp;number=696.8&amp;sourceID=30","696.8")</f>
        <v>696.8</v>
      </c>
      <c r="O265" s="4" t="str">
        <f>HYPERLINK("http://141.218.60.56/~jnz1568/getInfo.php?workbook=08_02.xlsx&amp;sheet=A0&amp;row=265&amp;col=15&amp;number=53160000000&amp;sourceID=32","53160000000")</f>
        <v>53160000000</v>
      </c>
      <c r="P265" s="4" t="str">
        <f>HYPERLINK("http://141.218.60.56/~jnz1568/getInfo.php?workbook=08_02.xlsx&amp;sheet=A0&amp;row=265&amp;col=16&amp;number=&amp;sourceID=32","")</f>
        <v/>
      </c>
      <c r="Q265" s="4" t="str">
        <f>HYPERLINK("http://141.218.60.56/~jnz1568/getInfo.php?workbook=08_02.xlsx&amp;sheet=A0&amp;row=265&amp;col=17&amp;number=&amp;sourceID=32","")</f>
        <v/>
      </c>
      <c r="R265" s="4" t="str">
        <f>HYPERLINK("http://141.218.60.56/~jnz1568/getInfo.php?workbook=08_02.xlsx&amp;sheet=A0&amp;row=265&amp;col=18&amp;number=705.8&amp;sourceID=32","705.8")</f>
        <v>705.8</v>
      </c>
      <c r="S265" s="4" t="str">
        <f>HYPERLINK("http://141.218.60.56/~jnz1568/getInfo.php?workbook=08_02.xlsx&amp;sheet=A0&amp;row=265&amp;col=19&amp;number=&amp;sourceID=1","")</f>
        <v/>
      </c>
      <c r="T265" s="4" t="str">
        <f>HYPERLINK("http://141.218.60.56/~jnz1568/getInfo.php?workbook=08_02.xlsx&amp;sheet=A0&amp;row=265&amp;col=20&amp;number=&amp;sourceID=1","")</f>
        <v/>
      </c>
    </row>
    <row r="266" spans="1:20">
      <c r="A266" s="3">
        <v>8</v>
      </c>
      <c r="B266" s="3">
        <v>2</v>
      </c>
      <c r="C266" s="3">
        <v>26</v>
      </c>
      <c r="D266" s="3">
        <v>7</v>
      </c>
      <c r="E266" s="3">
        <f>((1/(INDEX(E0!J$4:J$52,C266,1)-INDEX(E0!J$4:J$52,D266,1))))*100000000</f>
        <v>0</v>
      </c>
      <c r="F266" s="4" t="str">
        <f>HYPERLINK("http://141.218.60.56/~jnz1568/getInfo.php?workbook=08_02.xlsx&amp;sheet=A0&amp;row=266&amp;col=6&amp;number=&amp;sourceID=27","")</f>
        <v/>
      </c>
      <c r="G266" s="4" t="str">
        <f>HYPERLINK("http://141.218.60.56/~jnz1568/getInfo.php?workbook=08_02.xlsx&amp;sheet=A0&amp;row=266&amp;col=7&amp;number=&amp;sourceID=34","")</f>
        <v/>
      </c>
      <c r="H266" s="4" t="str">
        <f>HYPERLINK("http://141.218.60.56/~jnz1568/getInfo.php?workbook=08_02.xlsx&amp;sheet=A0&amp;row=266&amp;col=8&amp;number=&amp;sourceID=34","")</f>
        <v/>
      </c>
      <c r="I266" s="4" t="str">
        <f>HYPERLINK("http://141.218.60.56/~jnz1568/getInfo.php?workbook=08_02.xlsx&amp;sheet=A0&amp;row=266&amp;col=9&amp;number=&amp;sourceID=34","")</f>
        <v/>
      </c>
      <c r="J266" s="4" t="str">
        <f>HYPERLINK("http://141.218.60.56/~jnz1568/getInfo.php?workbook=08_02.xlsx&amp;sheet=A0&amp;row=266&amp;col=10&amp;number=&amp;sourceID=34","")</f>
        <v/>
      </c>
      <c r="K266" s="4" t="str">
        <f>HYPERLINK("http://141.218.60.56/~jnz1568/getInfo.php?workbook=08_02.xlsx&amp;sheet=A0&amp;row=266&amp;col=11&amp;number=&amp;sourceID=30","")</f>
        <v/>
      </c>
      <c r="L266" s="4" t="str">
        <f>HYPERLINK("http://141.218.60.56/~jnz1568/getInfo.php?workbook=08_02.xlsx&amp;sheet=A0&amp;row=266&amp;col=12&amp;number=&amp;sourceID=30","")</f>
        <v/>
      </c>
      <c r="M266" s="4" t="str">
        <f>HYPERLINK("http://141.218.60.56/~jnz1568/getInfo.php?workbook=08_02.xlsx&amp;sheet=A0&amp;row=266&amp;col=13&amp;number=&amp;sourceID=30","")</f>
        <v/>
      </c>
      <c r="N266" s="4" t="str">
        <f>HYPERLINK("http://141.218.60.56/~jnz1568/getInfo.php?workbook=08_02.xlsx&amp;sheet=A0&amp;row=266&amp;col=14&amp;number=212.4&amp;sourceID=30","212.4")</f>
        <v>212.4</v>
      </c>
      <c r="O266" s="4" t="str">
        <f>HYPERLINK("http://141.218.60.56/~jnz1568/getInfo.php?workbook=08_02.xlsx&amp;sheet=A0&amp;row=266&amp;col=15&amp;number=&amp;sourceID=32","")</f>
        <v/>
      </c>
      <c r="P266" s="4" t="str">
        <f>HYPERLINK("http://141.218.60.56/~jnz1568/getInfo.php?workbook=08_02.xlsx&amp;sheet=A0&amp;row=266&amp;col=16&amp;number=&amp;sourceID=32","")</f>
        <v/>
      </c>
      <c r="Q266" s="4" t="str">
        <f>HYPERLINK("http://141.218.60.56/~jnz1568/getInfo.php?workbook=08_02.xlsx&amp;sheet=A0&amp;row=266&amp;col=17&amp;number=&amp;sourceID=32","")</f>
        <v/>
      </c>
      <c r="R266" s="4" t="str">
        <f>HYPERLINK("http://141.218.60.56/~jnz1568/getInfo.php?workbook=08_02.xlsx&amp;sheet=A0&amp;row=266&amp;col=18&amp;number=210.6&amp;sourceID=32","210.6")</f>
        <v>210.6</v>
      </c>
      <c r="S266" s="4" t="str">
        <f>HYPERLINK("http://141.218.60.56/~jnz1568/getInfo.php?workbook=08_02.xlsx&amp;sheet=A0&amp;row=266&amp;col=19&amp;number=&amp;sourceID=1","")</f>
        <v/>
      </c>
      <c r="T266" s="4" t="str">
        <f>HYPERLINK("http://141.218.60.56/~jnz1568/getInfo.php?workbook=08_02.xlsx&amp;sheet=A0&amp;row=266&amp;col=20&amp;number=&amp;sourceID=1","")</f>
        <v/>
      </c>
    </row>
    <row r="267" spans="1:20">
      <c r="A267" s="3">
        <v>8</v>
      </c>
      <c r="B267" s="3">
        <v>2</v>
      </c>
      <c r="C267" s="3">
        <v>26</v>
      </c>
      <c r="D267" s="3">
        <v>8</v>
      </c>
      <c r="E267" s="3">
        <f>((1/(INDEX(E0!J$4:J$52,C267,1)-INDEX(E0!J$4:J$52,D267,1))))*100000000</f>
        <v>0</v>
      </c>
      <c r="F267" s="4" t="str">
        <f>HYPERLINK("http://141.218.60.56/~jnz1568/getInfo.php?workbook=08_02.xlsx&amp;sheet=A0&amp;row=267&amp;col=6&amp;number=&amp;sourceID=27","")</f>
        <v/>
      </c>
      <c r="G267" s="4" t="str">
        <f>HYPERLINK("http://141.218.60.56/~jnz1568/getInfo.php?workbook=08_02.xlsx&amp;sheet=A0&amp;row=267&amp;col=7&amp;number=&amp;sourceID=34","")</f>
        <v/>
      </c>
      <c r="H267" s="4" t="str">
        <f>HYPERLINK("http://141.218.60.56/~jnz1568/getInfo.php?workbook=08_02.xlsx&amp;sheet=A0&amp;row=267&amp;col=8&amp;number=&amp;sourceID=34","")</f>
        <v/>
      </c>
      <c r="I267" s="4" t="str">
        <f>HYPERLINK("http://141.218.60.56/~jnz1568/getInfo.php?workbook=08_02.xlsx&amp;sheet=A0&amp;row=267&amp;col=9&amp;number=&amp;sourceID=34","")</f>
        <v/>
      </c>
      <c r="J267" s="4" t="str">
        <f>HYPERLINK("http://141.218.60.56/~jnz1568/getInfo.php?workbook=08_02.xlsx&amp;sheet=A0&amp;row=267&amp;col=10&amp;number=&amp;sourceID=34","")</f>
        <v/>
      </c>
      <c r="K267" s="4" t="str">
        <f>HYPERLINK("http://141.218.60.56/~jnz1568/getInfo.php?workbook=08_02.xlsx&amp;sheet=A0&amp;row=267&amp;col=11&amp;number=&amp;sourceID=30","")</f>
        <v/>
      </c>
      <c r="L267" s="4" t="str">
        <f>HYPERLINK("http://141.218.60.56/~jnz1568/getInfo.php?workbook=08_02.xlsx&amp;sheet=A0&amp;row=267&amp;col=12&amp;number=536900&amp;sourceID=30","536900")</f>
        <v>536900</v>
      </c>
      <c r="M267" s="4" t="str">
        <f>HYPERLINK("http://141.218.60.56/~jnz1568/getInfo.php?workbook=08_02.xlsx&amp;sheet=A0&amp;row=267&amp;col=13&amp;number=&amp;sourceID=30","")</f>
        <v/>
      </c>
      <c r="N267" s="4" t="str">
        <f>HYPERLINK("http://141.218.60.56/~jnz1568/getInfo.php?workbook=08_02.xlsx&amp;sheet=A0&amp;row=267&amp;col=14&amp;number=&amp;sourceID=30","")</f>
        <v/>
      </c>
      <c r="O267" s="4" t="str">
        <f>HYPERLINK("http://141.218.60.56/~jnz1568/getInfo.php?workbook=08_02.xlsx&amp;sheet=A0&amp;row=267&amp;col=15&amp;number=&amp;sourceID=32","")</f>
        <v/>
      </c>
      <c r="P267" s="4" t="str">
        <f>HYPERLINK("http://141.218.60.56/~jnz1568/getInfo.php?workbook=08_02.xlsx&amp;sheet=A0&amp;row=267&amp;col=16&amp;number=540200&amp;sourceID=32","540200")</f>
        <v>540200</v>
      </c>
      <c r="Q267" s="4" t="str">
        <f>HYPERLINK("http://141.218.60.56/~jnz1568/getInfo.php?workbook=08_02.xlsx&amp;sheet=A0&amp;row=267&amp;col=17&amp;number=&amp;sourceID=32","")</f>
        <v/>
      </c>
      <c r="R267" s="4" t="str">
        <f>HYPERLINK("http://141.218.60.56/~jnz1568/getInfo.php?workbook=08_02.xlsx&amp;sheet=A0&amp;row=267&amp;col=18&amp;number=&amp;sourceID=32","")</f>
        <v/>
      </c>
      <c r="S267" s="4" t="str">
        <f>HYPERLINK("http://141.218.60.56/~jnz1568/getInfo.php?workbook=08_02.xlsx&amp;sheet=A0&amp;row=267&amp;col=19&amp;number=&amp;sourceID=1","")</f>
        <v/>
      </c>
      <c r="T267" s="4" t="str">
        <f>HYPERLINK("http://141.218.60.56/~jnz1568/getInfo.php?workbook=08_02.xlsx&amp;sheet=A0&amp;row=267&amp;col=20&amp;number=&amp;sourceID=1","")</f>
        <v/>
      </c>
    </row>
    <row r="268" spans="1:20">
      <c r="A268" s="3">
        <v>8</v>
      </c>
      <c r="B268" s="3">
        <v>2</v>
      </c>
      <c r="C268" s="3">
        <v>26</v>
      </c>
      <c r="D268" s="3">
        <v>10</v>
      </c>
      <c r="E268" s="3">
        <f>((1/(INDEX(E0!J$4:J$52,C268,1)-INDEX(E0!J$4:J$52,D268,1))))*100000000</f>
        <v>0</v>
      </c>
      <c r="F268" s="4" t="str">
        <f>HYPERLINK("http://141.218.60.56/~jnz1568/getInfo.php?workbook=08_02.xlsx&amp;sheet=A0&amp;row=268&amp;col=6&amp;number=&amp;sourceID=27","")</f>
        <v/>
      </c>
      <c r="G268" s="4" t="str">
        <f>HYPERLINK("http://141.218.60.56/~jnz1568/getInfo.php?workbook=08_02.xlsx&amp;sheet=A0&amp;row=268&amp;col=7&amp;number=&amp;sourceID=34","")</f>
        <v/>
      </c>
      <c r="H268" s="4" t="str">
        <f>HYPERLINK("http://141.218.60.56/~jnz1568/getInfo.php?workbook=08_02.xlsx&amp;sheet=A0&amp;row=268&amp;col=8&amp;number=&amp;sourceID=34","")</f>
        <v/>
      </c>
      <c r="I268" s="4" t="str">
        <f>HYPERLINK("http://141.218.60.56/~jnz1568/getInfo.php?workbook=08_02.xlsx&amp;sheet=A0&amp;row=268&amp;col=9&amp;number=&amp;sourceID=34","")</f>
        <v/>
      </c>
      <c r="J268" s="4" t="str">
        <f>HYPERLINK("http://141.218.60.56/~jnz1568/getInfo.php?workbook=08_02.xlsx&amp;sheet=A0&amp;row=268&amp;col=10&amp;number=&amp;sourceID=34","")</f>
        <v/>
      </c>
      <c r="K268" s="4" t="str">
        <f>HYPERLINK("http://141.218.60.56/~jnz1568/getInfo.php?workbook=08_02.xlsx&amp;sheet=A0&amp;row=268&amp;col=11&amp;number=&amp;sourceID=30","")</f>
        <v/>
      </c>
      <c r="L268" s="4" t="str">
        <f>HYPERLINK("http://141.218.60.56/~jnz1568/getInfo.php?workbook=08_02.xlsx&amp;sheet=A0&amp;row=268&amp;col=12&amp;number=&amp;sourceID=30","")</f>
        <v/>
      </c>
      <c r="M268" s="4" t="str">
        <f>HYPERLINK("http://141.218.60.56/~jnz1568/getInfo.php?workbook=08_02.xlsx&amp;sheet=A0&amp;row=268&amp;col=13&amp;number=&amp;sourceID=30","")</f>
        <v/>
      </c>
      <c r="N268" s="4" t="str">
        <f>HYPERLINK("http://141.218.60.56/~jnz1568/getInfo.php?workbook=08_02.xlsx&amp;sheet=A0&amp;row=268&amp;col=14&amp;number=0.3306&amp;sourceID=30","0.3306")</f>
        <v>0.3306</v>
      </c>
      <c r="O268" s="4" t="str">
        <f>HYPERLINK("http://141.218.60.56/~jnz1568/getInfo.php?workbook=08_02.xlsx&amp;sheet=A0&amp;row=268&amp;col=15&amp;number=&amp;sourceID=32","")</f>
        <v/>
      </c>
      <c r="P268" s="4" t="str">
        <f>HYPERLINK("http://141.218.60.56/~jnz1568/getInfo.php?workbook=08_02.xlsx&amp;sheet=A0&amp;row=268&amp;col=16&amp;number=&amp;sourceID=32","")</f>
        <v/>
      </c>
      <c r="Q268" s="4" t="str">
        <f>HYPERLINK("http://141.218.60.56/~jnz1568/getInfo.php?workbook=08_02.xlsx&amp;sheet=A0&amp;row=268&amp;col=17&amp;number=&amp;sourceID=32","")</f>
        <v/>
      </c>
      <c r="R268" s="4" t="str">
        <f>HYPERLINK("http://141.218.60.56/~jnz1568/getInfo.php?workbook=08_02.xlsx&amp;sheet=A0&amp;row=268&amp;col=18&amp;number=0.3332&amp;sourceID=32","0.3332")</f>
        <v>0.3332</v>
      </c>
      <c r="S268" s="4" t="str">
        <f>HYPERLINK("http://141.218.60.56/~jnz1568/getInfo.php?workbook=08_02.xlsx&amp;sheet=A0&amp;row=268&amp;col=19&amp;number=&amp;sourceID=1","")</f>
        <v/>
      </c>
      <c r="T268" s="4" t="str">
        <f>HYPERLINK("http://141.218.60.56/~jnz1568/getInfo.php?workbook=08_02.xlsx&amp;sheet=A0&amp;row=268&amp;col=20&amp;number=&amp;sourceID=1","")</f>
        <v/>
      </c>
    </row>
    <row r="269" spans="1:20">
      <c r="A269" s="3">
        <v>8</v>
      </c>
      <c r="B269" s="3">
        <v>2</v>
      </c>
      <c r="C269" s="3">
        <v>26</v>
      </c>
      <c r="D269" s="3">
        <v>11</v>
      </c>
      <c r="E269" s="3">
        <f>((1/(INDEX(E0!J$4:J$52,C269,1)-INDEX(E0!J$4:J$52,D269,1))))*100000000</f>
        <v>0</v>
      </c>
      <c r="F269" s="4" t="str">
        <f>HYPERLINK("http://141.218.60.56/~jnz1568/getInfo.php?workbook=08_02.xlsx&amp;sheet=A0&amp;row=269&amp;col=6&amp;number=&amp;sourceID=27","")</f>
        <v/>
      </c>
      <c r="G269" s="4" t="str">
        <f>HYPERLINK("http://141.218.60.56/~jnz1568/getInfo.php?workbook=08_02.xlsx&amp;sheet=A0&amp;row=269&amp;col=7&amp;number=16771428571.4&amp;sourceID=34","16771428571.4")</f>
        <v>16771428571.4</v>
      </c>
      <c r="H269" s="4" t="str">
        <f>HYPERLINK("http://141.218.60.56/~jnz1568/getInfo.php?workbook=08_02.xlsx&amp;sheet=A0&amp;row=269&amp;col=8&amp;number=&amp;sourceID=34","")</f>
        <v/>
      </c>
      <c r="I269" s="4" t="str">
        <f>HYPERLINK("http://141.218.60.56/~jnz1568/getInfo.php?workbook=08_02.xlsx&amp;sheet=A0&amp;row=269&amp;col=9&amp;number=&amp;sourceID=34","")</f>
        <v/>
      </c>
      <c r="J269" s="4" t="str">
        <f>HYPERLINK("http://141.218.60.56/~jnz1568/getInfo.php?workbook=08_02.xlsx&amp;sheet=A0&amp;row=269&amp;col=10&amp;number=&amp;sourceID=34","")</f>
        <v/>
      </c>
      <c r="K269" s="4" t="str">
        <f>HYPERLINK("http://141.218.60.56/~jnz1568/getInfo.php?workbook=08_02.xlsx&amp;sheet=A0&amp;row=269&amp;col=11&amp;number=16630000000&amp;sourceID=30","16630000000")</f>
        <v>16630000000</v>
      </c>
      <c r="L269" s="4" t="str">
        <f>HYPERLINK("http://141.218.60.56/~jnz1568/getInfo.php?workbook=08_02.xlsx&amp;sheet=A0&amp;row=269&amp;col=12&amp;number=&amp;sourceID=30","")</f>
        <v/>
      </c>
      <c r="M269" s="4" t="str">
        <f>HYPERLINK("http://141.218.60.56/~jnz1568/getInfo.php?workbook=08_02.xlsx&amp;sheet=A0&amp;row=269&amp;col=13&amp;number=&amp;sourceID=30","")</f>
        <v/>
      </c>
      <c r="N269" s="4" t="str">
        <f>HYPERLINK("http://141.218.60.56/~jnz1568/getInfo.php?workbook=08_02.xlsx&amp;sheet=A0&amp;row=269&amp;col=14&amp;number=14.87&amp;sourceID=30","14.87")</f>
        <v>14.87</v>
      </c>
      <c r="O269" s="4" t="str">
        <f>HYPERLINK("http://141.218.60.56/~jnz1568/getInfo.php?workbook=08_02.xlsx&amp;sheet=A0&amp;row=269&amp;col=15&amp;number=16680000000&amp;sourceID=32","16680000000")</f>
        <v>16680000000</v>
      </c>
      <c r="P269" s="4" t="str">
        <f>HYPERLINK("http://141.218.60.56/~jnz1568/getInfo.php?workbook=08_02.xlsx&amp;sheet=A0&amp;row=269&amp;col=16&amp;number=&amp;sourceID=32","")</f>
        <v/>
      </c>
      <c r="Q269" s="4" t="str">
        <f>HYPERLINK("http://141.218.60.56/~jnz1568/getInfo.php?workbook=08_02.xlsx&amp;sheet=A0&amp;row=269&amp;col=17&amp;number=&amp;sourceID=32","")</f>
        <v/>
      </c>
      <c r="R269" s="4" t="str">
        <f>HYPERLINK("http://141.218.60.56/~jnz1568/getInfo.php?workbook=08_02.xlsx&amp;sheet=A0&amp;row=269&amp;col=18&amp;number=14.95&amp;sourceID=32","14.95")</f>
        <v>14.95</v>
      </c>
      <c r="S269" s="4" t="str">
        <f>HYPERLINK("http://141.218.60.56/~jnz1568/getInfo.php?workbook=08_02.xlsx&amp;sheet=A0&amp;row=269&amp;col=19&amp;number=&amp;sourceID=1","")</f>
        <v/>
      </c>
      <c r="T269" s="4" t="str">
        <f>HYPERLINK("http://141.218.60.56/~jnz1568/getInfo.php?workbook=08_02.xlsx&amp;sheet=A0&amp;row=269&amp;col=20&amp;number=&amp;sourceID=1","")</f>
        <v/>
      </c>
    </row>
    <row r="270" spans="1:20">
      <c r="A270" s="3">
        <v>8</v>
      </c>
      <c r="B270" s="3">
        <v>2</v>
      </c>
      <c r="C270" s="3">
        <v>26</v>
      </c>
      <c r="D270" s="3">
        <v>13</v>
      </c>
      <c r="E270" s="3">
        <f>((1/(INDEX(E0!J$4:J$52,C270,1)-INDEX(E0!J$4:J$52,D270,1))))*100000000</f>
        <v>0</v>
      </c>
      <c r="F270" s="4" t="str">
        <f>HYPERLINK("http://141.218.60.56/~jnz1568/getInfo.php?workbook=08_02.xlsx&amp;sheet=A0&amp;row=270&amp;col=6&amp;number=&amp;sourceID=27","")</f>
        <v/>
      </c>
      <c r="G270" s="4" t="str">
        <f>HYPERLINK("http://141.218.60.56/~jnz1568/getInfo.php?workbook=08_02.xlsx&amp;sheet=A0&amp;row=270&amp;col=7&amp;number=&amp;sourceID=34","")</f>
        <v/>
      </c>
      <c r="H270" s="4" t="str">
        <f>HYPERLINK("http://141.218.60.56/~jnz1568/getInfo.php?workbook=08_02.xlsx&amp;sheet=A0&amp;row=270&amp;col=8&amp;number=&amp;sourceID=34","")</f>
        <v/>
      </c>
      <c r="I270" s="4" t="str">
        <f>HYPERLINK("http://141.218.60.56/~jnz1568/getInfo.php?workbook=08_02.xlsx&amp;sheet=A0&amp;row=270&amp;col=9&amp;number=&amp;sourceID=34","")</f>
        <v/>
      </c>
      <c r="J270" s="4" t="str">
        <f>HYPERLINK("http://141.218.60.56/~jnz1568/getInfo.php?workbook=08_02.xlsx&amp;sheet=A0&amp;row=270&amp;col=10&amp;number=&amp;sourceID=34","")</f>
        <v/>
      </c>
      <c r="K270" s="4" t="str">
        <f>HYPERLINK("http://141.218.60.56/~jnz1568/getInfo.php?workbook=08_02.xlsx&amp;sheet=A0&amp;row=270&amp;col=11&amp;number=&amp;sourceID=30","")</f>
        <v/>
      </c>
      <c r="L270" s="4" t="str">
        <f>HYPERLINK("http://141.218.60.56/~jnz1568/getInfo.php?workbook=08_02.xlsx&amp;sheet=A0&amp;row=270&amp;col=12&amp;number=3990&amp;sourceID=30","3990")</f>
        <v>3990</v>
      </c>
      <c r="M270" s="4" t="str">
        <f>HYPERLINK("http://141.218.60.56/~jnz1568/getInfo.php?workbook=08_02.xlsx&amp;sheet=A0&amp;row=270&amp;col=13&amp;number=&amp;sourceID=30","")</f>
        <v/>
      </c>
      <c r="N270" s="4" t="str">
        <f>HYPERLINK("http://141.218.60.56/~jnz1568/getInfo.php?workbook=08_02.xlsx&amp;sheet=A0&amp;row=270&amp;col=14&amp;number=&amp;sourceID=30","")</f>
        <v/>
      </c>
      <c r="O270" s="4" t="str">
        <f>HYPERLINK("http://141.218.60.56/~jnz1568/getInfo.php?workbook=08_02.xlsx&amp;sheet=A0&amp;row=270&amp;col=15&amp;number=&amp;sourceID=32","")</f>
        <v/>
      </c>
      <c r="P270" s="4" t="str">
        <f>HYPERLINK("http://141.218.60.56/~jnz1568/getInfo.php?workbook=08_02.xlsx&amp;sheet=A0&amp;row=270&amp;col=16&amp;number=3994&amp;sourceID=32","3994")</f>
        <v>3994</v>
      </c>
      <c r="Q270" s="4" t="str">
        <f>HYPERLINK("http://141.218.60.56/~jnz1568/getInfo.php?workbook=08_02.xlsx&amp;sheet=A0&amp;row=270&amp;col=17&amp;number=&amp;sourceID=32","")</f>
        <v/>
      </c>
      <c r="R270" s="4" t="str">
        <f>HYPERLINK("http://141.218.60.56/~jnz1568/getInfo.php?workbook=08_02.xlsx&amp;sheet=A0&amp;row=270&amp;col=18&amp;number=&amp;sourceID=32","")</f>
        <v/>
      </c>
      <c r="S270" s="4" t="str">
        <f>HYPERLINK("http://141.218.60.56/~jnz1568/getInfo.php?workbook=08_02.xlsx&amp;sheet=A0&amp;row=270&amp;col=19&amp;number=&amp;sourceID=1","")</f>
        <v/>
      </c>
      <c r="T270" s="4" t="str">
        <f>HYPERLINK("http://141.218.60.56/~jnz1568/getInfo.php?workbook=08_02.xlsx&amp;sheet=A0&amp;row=270&amp;col=20&amp;number=&amp;sourceID=1","")</f>
        <v/>
      </c>
    </row>
    <row r="271" spans="1:20">
      <c r="A271" s="3">
        <v>8</v>
      </c>
      <c r="B271" s="3">
        <v>2</v>
      </c>
      <c r="C271" s="3">
        <v>26</v>
      </c>
      <c r="D271" s="3">
        <v>14</v>
      </c>
      <c r="E271" s="3">
        <f>((1/(INDEX(E0!J$4:J$52,C271,1)-INDEX(E0!J$4:J$52,D271,1))))*100000000</f>
        <v>0</v>
      </c>
      <c r="F271" s="4" t="str">
        <f>HYPERLINK("http://141.218.60.56/~jnz1568/getInfo.php?workbook=08_02.xlsx&amp;sheet=A0&amp;row=271&amp;col=6&amp;number=&amp;sourceID=27","")</f>
        <v/>
      </c>
      <c r="G271" s="4" t="str">
        <f>HYPERLINK("http://141.218.60.56/~jnz1568/getInfo.php?workbook=08_02.xlsx&amp;sheet=A0&amp;row=271&amp;col=7&amp;number=&amp;sourceID=34","")</f>
        <v/>
      </c>
      <c r="H271" s="4" t="str">
        <f>HYPERLINK("http://141.218.60.56/~jnz1568/getInfo.php?workbook=08_02.xlsx&amp;sheet=A0&amp;row=271&amp;col=8&amp;number=&amp;sourceID=34","")</f>
        <v/>
      </c>
      <c r="I271" s="4" t="str">
        <f>HYPERLINK("http://141.218.60.56/~jnz1568/getInfo.php?workbook=08_02.xlsx&amp;sheet=A0&amp;row=271&amp;col=9&amp;number=&amp;sourceID=34","")</f>
        <v/>
      </c>
      <c r="J271" s="4" t="str">
        <f>HYPERLINK("http://141.218.60.56/~jnz1568/getInfo.php?workbook=08_02.xlsx&amp;sheet=A0&amp;row=271&amp;col=10&amp;number=&amp;sourceID=34","")</f>
        <v/>
      </c>
      <c r="K271" s="4" t="str">
        <f>HYPERLINK("http://141.218.60.56/~jnz1568/getInfo.php?workbook=08_02.xlsx&amp;sheet=A0&amp;row=271&amp;col=11&amp;number=&amp;sourceID=30","")</f>
        <v/>
      </c>
      <c r="L271" s="4" t="str">
        <f>HYPERLINK("http://141.218.60.56/~jnz1568/getInfo.php?workbook=08_02.xlsx&amp;sheet=A0&amp;row=271&amp;col=12&amp;number=39510&amp;sourceID=30","39510")</f>
        <v>39510</v>
      </c>
      <c r="M271" s="4" t="str">
        <f>HYPERLINK("http://141.218.60.56/~jnz1568/getInfo.php?workbook=08_02.xlsx&amp;sheet=A0&amp;row=271&amp;col=13&amp;number=0.003538&amp;sourceID=30","0.003538")</f>
        <v>0.003538</v>
      </c>
      <c r="N271" s="4" t="str">
        <f>HYPERLINK("http://141.218.60.56/~jnz1568/getInfo.php?workbook=08_02.xlsx&amp;sheet=A0&amp;row=271&amp;col=14&amp;number=&amp;sourceID=30","")</f>
        <v/>
      </c>
      <c r="O271" s="4" t="str">
        <f>HYPERLINK("http://141.218.60.56/~jnz1568/getInfo.php?workbook=08_02.xlsx&amp;sheet=A0&amp;row=271&amp;col=15&amp;number=&amp;sourceID=32","")</f>
        <v/>
      </c>
      <c r="P271" s="4" t="str">
        <f>HYPERLINK("http://141.218.60.56/~jnz1568/getInfo.php?workbook=08_02.xlsx&amp;sheet=A0&amp;row=271&amp;col=16&amp;number=39420&amp;sourceID=32","39420")</f>
        <v>39420</v>
      </c>
      <c r="Q271" s="4" t="str">
        <f>HYPERLINK("http://141.218.60.56/~jnz1568/getInfo.php?workbook=08_02.xlsx&amp;sheet=A0&amp;row=271&amp;col=17&amp;number=0.003726&amp;sourceID=32","0.003726")</f>
        <v>0.003726</v>
      </c>
      <c r="R271" s="4" t="str">
        <f>HYPERLINK("http://141.218.60.56/~jnz1568/getInfo.php?workbook=08_02.xlsx&amp;sheet=A0&amp;row=271&amp;col=18&amp;number=&amp;sourceID=32","")</f>
        <v/>
      </c>
      <c r="S271" s="4" t="str">
        <f>HYPERLINK("http://141.218.60.56/~jnz1568/getInfo.php?workbook=08_02.xlsx&amp;sheet=A0&amp;row=271&amp;col=19&amp;number=&amp;sourceID=1","")</f>
        <v/>
      </c>
      <c r="T271" s="4" t="str">
        <f>HYPERLINK("http://141.218.60.56/~jnz1568/getInfo.php?workbook=08_02.xlsx&amp;sheet=A0&amp;row=271&amp;col=20&amp;number=&amp;sourceID=1","")</f>
        <v/>
      </c>
    </row>
    <row r="272" spans="1:20">
      <c r="A272" s="3">
        <v>8</v>
      </c>
      <c r="B272" s="3">
        <v>2</v>
      </c>
      <c r="C272" s="3">
        <v>26</v>
      </c>
      <c r="D272" s="3">
        <v>15</v>
      </c>
      <c r="E272" s="3">
        <f>((1/(INDEX(E0!J$4:J$52,C272,1)-INDEX(E0!J$4:J$52,D272,1))))*100000000</f>
        <v>0</v>
      </c>
      <c r="F272" s="4" t="str">
        <f>HYPERLINK("http://141.218.60.56/~jnz1568/getInfo.php?workbook=08_02.xlsx&amp;sheet=A0&amp;row=272&amp;col=6&amp;number=&amp;sourceID=27","")</f>
        <v/>
      </c>
      <c r="G272" s="4" t="str">
        <f>HYPERLINK("http://141.218.60.56/~jnz1568/getInfo.php?workbook=08_02.xlsx&amp;sheet=A0&amp;row=272&amp;col=7&amp;number=&amp;sourceID=34","")</f>
        <v/>
      </c>
      <c r="H272" s="4" t="str">
        <f>HYPERLINK("http://141.218.60.56/~jnz1568/getInfo.php?workbook=08_02.xlsx&amp;sheet=A0&amp;row=272&amp;col=8&amp;number=&amp;sourceID=34","")</f>
        <v/>
      </c>
      <c r="I272" s="4" t="str">
        <f>HYPERLINK("http://141.218.60.56/~jnz1568/getInfo.php?workbook=08_02.xlsx&amp;sheet=A0&amp;row=272&amp;col=9&amp;number=&amp;sourceID=34","")</f>
        <v/>
      </c>
      <c r="J272" s="4" t="str">
        <f>HYPERLINK("http://141.218.60.56/~jnz1568/getInfo.php?workbook=08_02.xlsx&amp;sheet=A0&amp;row=272&amp;col=10&amp;number=&amp;sourceID=34","")</f>
        <v/>
      </c>
      <c r="K272" s="4" t="str">
        <f>HYPERLINK("http://141.218.60.56/~jnz1568/getInfo.php?workbook=08_02.xlsx&amp;sheet=A0&amp;row=272&amp;col=11&amp;number=&amp;sourceID=30","")</f>
        <v/>
      </c>
      <c r="L272" s="4" t="str">
        <f>HYPERLINK("http://141.218.60.56/~jnz1568/getInfo.php?workbook=08_02.xlsx&amp;sheet=A0&amp;row=272&amp;col=12&amp;number=96020&amp;sourceID=30","96020")</f>
        <v>96020</v>
      </c>
      <c r="M272" s="4" t="str">
        <f>HYPERLINK("http://141.218.60.56/~jnz1568/getInfo.php?workbook=08_02.xlsx&amp;sheet=A0&amp;row=272&amp;col=13&amp;number=0.01644&amp;sourceID=30","0.01644")</f>
        <v>0.01644</v>
      </c>
      <c r="N272" s="4" t="str">
        <f>HYPERLINK("http://141.218.60.56/~jnz1568/getInfo.php?workbook=08_02.xlsx&amp;sheet=A0&amp;row=272&amp;col=14&amp;number=&amp;sourceID=30","")</f>
        <v/>
      </c>
      <c r="O272" s="4" t="str">
        <f>HYPERLINK("http://141.218.60.56/~jnz1568/getInfo.php?workbook=08_02.xlsx&amp;sheet=A0&amp;row=272&amp;col=15&amp;number=&amp;sourceID=32","")</f>
        <v/>
      </c>
      <c r="P272" s="4" t="str">
        <f>HYPERLINK("http://141.218.60.56/~jnz1568/getInfo.php?workbook=08_02.xlsx&amp;sheet=A0&amp;row=272&amp;col=16&amp;number=96120&amp;sourceID=32","96120")</f>
        <v>96120</v>
      </c>
      <c r="Q272" s="4" t="str">
        <f>HYPERLINK("http://141.218.60.56/~jnz1568/getInfo.php?workbook=08_02.xlsx&amp;sheet=A0&amp;row=272&amp;col=17&amp;number=0.0156&amp;sourceID=32","0.0156")</f>
        <v>0.0156</v>
      </c>
      <c r="R272" s="4" t="str">
        <f>HYPERLINK("http://141.218.60.56/~jnz1568/getInfo.php?workbook=08_02.xlsx&amp;sheet=A0&amp;row=272&amp;col=18&amp;number=&amp;sourceID=32","")</f>
        <v/>
      </c>
      <c r="S272" s="4" t="str">
        <f>HYPERLINK("http://141.218.60.56/~jnz1568/getInfo.php?workbook=08_02.xlsx&amp;sheet=A0&amp;row=272&amp;col=19&amp;number=&amp;sourceID=1","")</f>
        <v/>
      </c>
      <c r="T272" s="4" t="str">
        <f>HYPERLINK("http://141.218.60.56/~jnz1568/getInfo.php?workbook=08_02.xlsx&amp;sheet=A0&amp;row=272&amp;col=20&amp;number=&amp;sourceID=1","")</f>
        <v/>
      </c>
    </row>
    <row r="273" spans="1:20">
      <c r="A273" s="3">
        <v>8</v>
      </c>
      <c r="B273" s="3">
        <v>2</v>
      </c>
      <c r="C273" s="3">
        <v>26</v>
      </c>
      <c r="D273" s="3">
        <v>16</v>
      </c>
      <c r="E273" s="3">
        <f>((1/(INDEX(E0!J$4:J$52,C273,1)-INDEX(E0!J$4:J$52,D273,1))))*100000000</f>
        <v>0</v>
      </c>
      <c r="F273" s="4" t="str">
        <f>HYPERLINK("http://141.218.60.56/~jnz1568/getInfo.php?workbook=08_02.xlsx&amp;sheet=A0&amp;row=273&amp;col=6&amp;number=&amp;sourceID=27","")</f>
        <v/>
      </c>
      <c r="G273" s="4" t="str">
        <f>HYPERLINK("http://141.218.60.56/~jnz1568/getInfo.php?workbook=08_02.xlsx&amp;sheet=A0&amp;row=273&amp;col=7&amp;number=&amp;sourceID=34","")</f>
        <v/>
      </c>
      <c r="H273" s="4" t="str">
        <f>HYPERLINK("http://141.218.60.56/~jnz1568/getInfo.php?workbook=08_02.xlsx&amp;sheet=A0&amp;row=273&amp;col=8&amp;number=&amp;sourceID=34","")</f>
        <v/>
      </c>
      <c r="I273" s="4" t="str">
        <f>HYPERLINK("http://141.218.60.56/~jnz1568/getInfo.php?workbook=08_02.xlsx&amp;sheet=A0&amp;row=273&amp;col=9&amp;number=&amp;sourceID=34","")</f>
        <v/>
      </c>
      <c r="J273" s="4" t="str">
        <f>HYPERLINK("http://141.218.60.56/~jnz1568/getInfo.php?workbook=08_02.xlsx&amp;sheet=A0&amp;row=273&amp;col=10&amp;number=&amp;sourceID=34","")</f>
        <v/>
      </c>
      <c r="K273" s="4" t="str">
        <f>HYPERLINK("http://141.218.60.56/~jnz1568/getInfo.php?workbook=08_02.xlsx&amp;sheet=A0&amp;row=273&amp;col=11&amp;number=&amp;sourceID=30","")</f>
        <v/>
      </c>
      <c r="L273" s="4" t="str">
        <f>HYPERLINK("http://141.218.60.56/~jnz1568/getInfo.php?workbook=08_02.xlsx&amp;sheet=A0&amp;row=273&amp;col=12&amp;number=507.2&amp;sourceID=30","507.2")</f>
        <v>507.2</v>
      </c>
      <c r="M273" s="4" t="str">
        <f>HYPERLINK("http://141.218.60.56/~jnz1568/getInfo.php?workbook=08_02.xlsx&amp;sheet=A0&amp;row=273&amp;col=13&amp;number=0.0006375&amp;sourceID=30","0.0006375")</f>
        <v>0.0006375</v>
      </c>
      <c r="N273" s="4" t="str">
        <f>HYPERLINK("http://141.218.60.56/~jnz1568/getInfo.php?workbook=08_02.xlsx&amp;sheet=A0&amp;row=273&amp;col=14&amp;number=&amp;sourceID=30","")</f>
        <v/>
      </c>
      <c r="O273" s="4" t="str">
        <f>HYPERLINK("http://141.218.60.56/~jnz1568/getInfo.php?workbook=08_02.xlsx&amp;sheet=A0&amp;row=273&amp;col=15&amp;number=&amp;sourceID=32","")</f>
        <v/>
      </c>
      <c r="P273" s="4" t="str">
        <f>HYPERLINK("http://141.218.60.56/~jnz1568/getInfo.php?workbook=08_02.xlsx&amp;sheet=A0&amp;row=273&amp;col=16&amp;number=633.6&amp;sourceID=32","633.6")</f>
        <v>633.6</v>
      </c>
      <c r="Q273" s="4" t="str">
        <f>HYPERLINK("http://141.218.60.56/~jnz1568/getInfo.php?workbook=08_02.xlsx&amp;sheet=A0&amp;row=273&amp;col=17&amp;number=0.0006708&amp;sourceID=32","0.0006708")</f>
        <v>0.0006708</v>
      </c>
      <c r="R273" s="4" t="str">
        <f>HYPERLINK("http://141.218.60.56/~jnz1568/getInfo.php?workbook=08_02.xlsx&amp;sheet=A0&amp;row=273&amp;col=18&amp;number=&amp;sourceID=32","")</f>
        <v/>
      </c>
      <c r="S273" s="4" t="str">
        <f>HYPERLINK("http://141.218.60.56/~jnz1568/getInfo.php?workbook=08_02.xlsx&amp;sheet=A0&amp;row=273&amp;col=19&amp;number=&amp;sourceID=1","")</f>
        <v/>
      </c>
      <c r="T273" s="4" t="str">
        <f>HYPERLINK("http://141.218.60.56/~jnz1568/getInfo.php?workbook=08_02.xlsx&amp;sheet=A0&amp;row=273&amp;col=20&amp;number=&amp;sourceID=1","")</f>
        <v/>
      </c>
    </row>
    <row r="274" spans="1:20">
      <c r="A274" s="3">
        <v>8</v>
      </c>
      <c r="B274" s="3">
        <v>2</v>
      </c>
      <c r="C274" s="3">
        <v>26</v>
      </c>
      <c r="D274" s="3">
        <v>17</v>
      </c>
      <c r="E274" s="3">
        <f>((1/(INDEX(E0!J$4:J$52,C274,1)-INDEX(E0!J$4:J$52,D274,1))))*100000000</f>
        <v>0</v>
      </c>
      <c r="F274" s="4" t="str">
        <f>HYPERLINK("http://141.218.60.56/~jnz1568/getInfo.php?workbook=08_02.xlsx&amp;sheet=A0&amp;row=274&amp;col=6&amp;number=&amp;sourceID=27","")</f>
        <v/>
      </c>
      <c r="G274" s="4" t="str">
        <f>HYPERLINK("http://141.218.60.56/~jnz1568/getInfo.php?workbook=08_02.xlsx&amp;sheet=A0&amp;row=274&amp;col=7&amp;number=&amp;sourceID=34","")</f>
        <v/>
      </c>
      <c r="H274" s="4" t="str">
        <f>HYPERLINK("http://141.218.60.56/~jnz1568/getInfo.php?workbook=08_02.xlsx&amp;sheet=A0&amp;row=274&amp;col=8&amp;number=&amp;sourceID=34","")</f>
        <v/>
      </c>
      <c r="I274" s="4" t="str">
        <f>HYPERLINK("http://141.218.60.56/~jnz1568/getInfo.php?workbook=08_02.xlsx&amp;sheet=A0&amp;row=274&amp;col=9&amp;number=&amp;sourceID=34","")</f>
        <v/>
      </c>
      <c r="J274" s="4" t="str">
        <f>HYPERLINK("http://141.218.60.56/~jnz1568/getInfo.php?workbook=08_02.xlsx&amp;sheet=A0&amp;row=274&amp;col=10&amp;number=&amp;sourceID=34","")</f>
        <v/>
      </c>
      <c r="K274" s="4" t="str">
        <f>HYPERLINK("http://141.218.60.56/~jnz1568/getInfo.php?workbook=08_02.xlsx&amp;sheet=A0&amp;row=274&amp;col=11&amp;number=&amp;sourceID=30","")</f>
        <v/>
      </c>
      <c r="L274" s="4" t="str">
        <f>HYPERLINK("http://141.218.60.56/~jnz1568/getInfo.php?workbook=08_02.xlsx&amp;sheet=A0&amp;row=274&amp;col=12&amp;number=&amp;sourceID=30","")</f>
        <v/>
      </c>
      <c r="M274" s="4" t="str">
        <f>HYPERLINK("http://141.218.60.56/~jnz1568/getInfo.php?workbook=08_02.xlsx&amp;sheet=A0&amp;row=274&amp;col=13&amp;number=&amp;sourceID=30","")</f>
        <v/>
      </c>
      <c r="N274" s="4" t="str">
        <f>HYPERLINK("http://141.218.60.56/~jnz1568/getInfo.php?workbook=08_02.xlsx&amp;sheet=A0&amp;row=274&amp;col=14&amp;number=4.994&amp;sourceID=30","4.994")</f>
        <v>4.994</v>
      </c>
      <c r="O274" s="4" t="str">
        <f>HYPERLINK("http://141.218.60.56/~jnz1568/getInfo.php?workbook=08_02.xlsx&amp;sheet=A0&amp;row=274&amp;col=15&amp;number=&amp;sourceID=32","")</f>
        <v/>
      </c>
      <c r="P274" s="4" t="str">
        <f>HYPERLINK("http://141.218.60.56/~jnz1568/getInfo.php?workbook=08_02.xlsx&amp;sheet=A0&amp;row=274&amp;col=16&amp;number=&amp;sourceID=32","")</f>
        <v/>
      </c>
      <c r="Q274" s="4" t="str">
        <f>HYPERLINK("http://141.218.60.56/~jnz1568/getInfo.php?workbook=08_02.xlsx&amp;sheet=A0&amp;row=274&amp;col=17&amp;number=&amp;sourceID=32","")</f>
        <v/>
      </c>
      <c r="R274" s="4" t="str">
        <f>HYPERLINK("http://141.218.60.56/~jnz1568/getInfo.php?workbook=08_02.xlsx&amp;sheet=A0&amp;row=274&amp;col=18&amp;number=4.995&amp;sourceID=32","4.995")</f>
        <v>4.995</v>
      </c>
      <c r="S274" s="4" t="str">
        <f>HYPERLINK("http://141.218.60.56/~jnz1568/getInfo.php?workbook=08_02.xlsx&amp;sheet=A0&amp;row=274&amp;col=19&amp;number=&amp;sourceID=1","")</f>
        <v/>
      </c>
      <c r="T274" s="4" t="str">
        <f>HYPERLINK("http://141.218.60.56/~jnz1568/getInfo.php?workbook=08_02.xlsx&amp;sheet=A0&amp;row=274&amp;col=20&amp;number=&amp;sourceID=1","")</f>
        <v/>
      </c>
    </row>
    <row r="275" spans="1:20">
      <c r="A275" s="3">
        <v>8</v>
      </c>
      <c r="B275" s="3">
        <v>2</v>
      </c>
      <c r="C275" s="3">
        <v>26</v>
      </c>
      <c r="D275" s="3">
        <v>18</v>
      </c>
      <c r="E275" s="3">
        <f>((1/(INDEX(E0!J$4:J$52,C275,1)-INDEX(E0!J$4:J$52,D275,1))))*100000000</f>
        <v>0</v>
      </c>
      <c r="F275" s="4" t="str">
        <f>HYPERLINK("http://141.218.60.56/~jnz1568/getInfo.php?workbook=08_02.xlsx&amp;sheet=A0&amp;row=275&amp;col=6&amp;number=&amp;sourceID=27","")</f>
        <v/>
      </c>
      <c r="G275" s="4" t="str">
        <f>HYPERLINK("http://141.218.60.56/~jnz1568/getInfo.php?workbook=08_02.xlsx&amp;sheet=A0&amp;row=275&amp;col=7&amp;number=&amp;sourceID=34","")</f>
        <v/>
      </c>
      <c r="H275" s="4" t="str">
        <f>HYPERLINK("http://141.218.60.56/~jnz1568/getInfo.php?workbook=08_02.xlsx&amp;sheet=A0&amp;row=275&amp;col=8&amp;number=&amp;sourceID=34","")</f>
        <v/>
      </c>
      <c r="I275" s="4" t="str">
        <f>HYPERLINK("http://141.218.60.56/~jnz1568/getInfo.php?workbook=08_02.xlsx&amp;sheet=A0&amp;row=275&amp;col=9&amp;number=&amp;sourceID=34","")</f>
        <v/>
      </c>
      <c r="J275" s="4" t="str">
        <f>HYPERLINK("http://141.218.60.56/~jnz1568/getInfo.php?workbook=08_02.xlsx&amp;sheet=A0&amp;row=275&amp;col=10&amp;number=&amp;sourceID=34","")</f>
        <v/>
      </c>
      <c r="K275" s="4" t="str">
        <f>HYPERLINK("http://141.218.60.56/~jnz1568/getInfo.php?workbook=08_02.xlsx&amp;sheet=A0&amp;row=275&amp;col=11&amp;number=&amp;sourceID=30","")</f>
        <v/>
      </c>
      <c r="L275" s="4" t="str">
        <f>HYPERLINK("http://141.218.60.56/~jnz1568/getInfo.php?workbook=08_02.xlsx&amp;sheet=A0&amp;row=275&amp;col=12&amp;number=0.3249&amp;sourceID=30","0.3249")</f>
        <v>0.3249</v>
      </c>
      <c r="M275" s="4" t="str">
        <f>HYPERLINK("http://141.218.60.56/~jnz1568/getInfo.php?workbook=08_02.xlsx&amp;sheet=A0&amp;row=275&amp;col=13&amp;number=&amp;sourceID=30","")</f>
        <v/>
      </c>
      <c r="N275" s="4" t="str">
        <f>HYPERLINK("http://141.218.60.56/~jnz1568/getInfo.php?workbook=08_02.xlsx&amp;sheet=A0&amp;row=275&amp;col=14&amp;number=&amp;sourceID=30","")</f>
        <v/>
      </c>
      <c r="O275" s="4" t="str">
        <f>HYPERLINK("http://141.218.60.56/~jnz1568/getInfo.php?workbook=08_02.xlsx&amp;sheet=A0&amp;row=275&amp;col=15&amp;number=&amp;sourceID=32","")</f>
        <v/>
      </c>
      <c r="P275" s="4" t="str">
        <f>HYPERLINK("http://141.218.60.56/~jnz1568/getInfo.php?workbook=08_02.xlsx&amp;sheet=A0&amp;row=275&amp;col=16&amp;number=0.3333&amp;sourceID=32","0.3333")</f>
        <v>0.3333</v>
      </c>
      <c r="Q275" s="4" t="str">
        <f>HYPERLINK("http://141.218.60.56/~jnz1568/getInfo.php?workbook=08_02.xlsx&amp;sheet=A0&amp;row=275&amp;col=17&amp;number=&amp;sourceID=32","")</f>
        <v/>
      </c>
      <c r="R275" s="4" t="str">
        <f>HYPERLINK("http://141.218.60.56/~jnz1568/getInfo.php?workbook=08_02.xlsx&amp;sheet=A0&amp;row=275&amp;col=18&amp;number=&amp;sourceID=32","")</f>
        <v/>
      </c>
      <c r="S275" s="4" t="str">
        <f>HYPERLINK("http://141.218.60.56/~jnz1568/getInfo.php?workbook=08_02.xlsx&amp;sheet=A0&amp;row=275&amp;col=19&amp;number=&amp;sourceID=1","")</f>
        <v/>
      </c>
      <c r="T275" s="4" t="str">
        <f>HYPERLINK("http://141.218.60.56/~jnz1568/getInfo.php?workbook=08_02.xlsx&amp;sheet=A0&amp;row=275&amp;col=20&amp;number=&amp;sourceID=1","")</f>
        <v/>
      </c>
    </row>
    <row r="276" spans="1:20">
      <c r="A276" s="3">
        <v>8</v>
      </c>
      <c r="B276" s="3">
        <v>2</v>
      </c>
      <c r="C276" s="3">
        <v>26</v>
      </c>
      <c r="D276" s="3">
        <v>20</v>
      </c>
      <c r="E276" s="3">
        <f>((1/(INDEX(E0!J$4:J$52,C276,1)-INDEX(E0!J$4:J$52,D276,1))))*100000000</f>
        <v>0</v>
      </c>
      <c r="F276" s="4" t="str">
        <f>HYPERLINK("http://141.218.60.56/~jnz1568/getInfo.php?workbook=08_02.xlsx&amp;sheet=A0&amp;row=276&amp;col=6&amp;number=&amp;sourceID=27","")</f>
        <v/>
      </c>
      <c r="G276" s="4" t="str">
        <f>HYPERLINK("http://141.218.60.56/~jnz1568/getInfo.php?workbook=08_02.xlsx&amp;sheet=A0&amp;row=276&amp;col=7&amp;number=&amp;sourceID=34","")</f>
        <v/>
      </c>
      <c r="H276" s="4" t="str">
        <f>HYPERLINK("http://141.218.60.56/~jnz1568/getInfo.php?workbook=08_02.xlsx&amp;sheet=A0&amp;row=276&amp;col=8&amp;number=&amp;sourceID=34","")</f>
        <v/>
      </c>
      <c r="I276" s="4" t="str">
        <f>HYPERLINK("http://141.218.60.56/~jnz1568/getInfo.php?workbook=08_02.xlsx&amp;sheet=A0&amp;row=276&amp;col=9&amp;number=&amp;sourceID=34","")</f>
        <v/>
      </c>
      <c r="J276" s="4" t="str">
        <f>HYPERLINK("http://141.218.60.56/~jnz1568/getInfo.php?workbook=08_02.xlsx&amp;sheet=A0&amp;row=276&amp;col=10&amp;number=&amp;sourceID=34","")</f>
        <v/>
      </c>
      <c r="K276" s="4" t="str">
        <f>HYPERLINK("http://141.218.60.56/~jnz1568/getInfo.php?workbook=08_02.xlsx&amp;sheet=A0&amp;row=276&amp;col=11&amp;number=&amp;sourceID=30","")</f>
        <v/>
      </c>
      <c r="L276" s="4" t="str">
        <f>HYPERLINK("http://141.218.60.56/~jnz1568/getInfo.php?workbook=08_02.xlsx&amp;sheet=A0&amp;row=276&amp;col=12&amp;number=&amp;sourceID=30","")</f>
        <v/>
      </c>
      <c r="M276" s="4" t="str">
        <f>HYPERLINK("http://141.218.60.56/~jnz1568/getInfo.php?workbook=08_02.xlsx&amp;sheet=A0&amp;row=276&amp;col=13&amp;number=&amp;sourceID=30","")</f>
        <v/>
      </c>
      <c r="N276" s="4" t="str">
        <f>HYPERLINK("http://141.218.60.56/~jnz1568/getInfo.php?workbook=08_02.xlsx&amp;sheet=A0&amp;row=276&amp;col=14&amp;number=1.121e-09&amp;sourceID=30","1.121e-09")</f>
        <v>1.121e-09</v>
      </c>
      <c r="O276" s="4" t="str">
        <f>HYPERLINK("http://141.218.60.56/~jnz1568/getInfo.php?workbook=08_02.xlsx&amp;sheet=A0&amp;row=276&amp;col=15&amp;number=&amp;sourceID=32","")</f>
        <v/>
      </c>
      <c r="P276" s="4" t="str">
        <f>HYPERLINK("http://141.218.60.56/~jnz1568/getInfo.php?workbook=08_02.xlsx&amp;sheet=A0&amp;row=276&amp;col=16&amp;number=&amp;sourceID=32","")</f>
        <v/>
      </c>
      <c r="Q276" s="4" t="str">
        <f>HYPERLINK("http://141.218.60.56/~jnz1568/getInfo.php?workbook=08_02.xlsx&amp;sheet=A0&amp;row=276&amp;col=17&amp;number=&amp;sourceID=32","")</f>
        <v/>
      </c>
      <c r="R276" s="4" t="str">
        <f>HYPERLINK("http://141.218.60.56/~jnz1568/getInfo.php?workbook=08_02.xlsx&amp;sheet=A0&amp;row=276&amp;col=18&amp;number=1.304e-09&amp;sourceID=32","1.304e-09")</f>
        <v>1.304e-09</v>
      </c>
      <c r="S276" s="4" t="str">
        <f>HYPERLINK("http://141.218.60.56/~jnz1568/getInfo.php?workbook=08_02.xlsx&amp;sheet=A0&amp;row=276&amp;col=19&amp;number=&amp;sourceID=1","")</f>
        <v/>
      </c>
      <c r="T276" s="4" t="str">
        <f>HYPERLINK("http://141.218.60.56/~jnz1568/getInfo.php?workbook=08_02.xlsx&amp;sheet=A0&amp;row=276&amp;col=20&amp;number=&amp;sourceID=1","")</f>
        <v/>
      </c>
    </row>
    <row r="277" spans="1:20">
      <c r="A277" s="3">
        <v>8</v>
      </c>
      <c r="B277" s="3">
        <v>2</v>
      </c>
      <c r="C277" s="3">
        <v>26</v>
      </c>
      <c r="D277" s="3">
        <v>21</v>
      </c>
      <c r="E277" s="3">
        <f>((1/(INDEX(E0!J$4:J$52,C277,1)-INDEX(E0!J$4:J$52,D277,1))))*100000000</f>
        <v>0</v>
      </c>
      <c r="F277" s="4" t="str">
        <f>HYPERLINK("http://141.218.60.56/~jnz1568/getInfo.php?workbook=08_02.xlsx&amp;sheet=A0&amp;row=277&amp;col=6&amp;number=&amp;sourceID=27","")</f>
        <v/>
      </c>
      <c r="G277" s="4" t="str">
        <f>HYPERLINK("http://141.218.60.56/~jnz1568/getInfo.php?workbook=08_02.xlsx&amp;sheet=A0&amp;row=277&amp;col=7&amp;number=418571.428571&amp;sourceID=34","418571.428571")</f>
        <v>418571.428571</v>
      </c>
      <c r="H277" s="4" t="str">
        <f>HYPERLINK("http://141.218.60.56/~jnz1568/getInfo.php?workbook=08_02.xlsx&amp;sheet=A0&amp;row=277&amp;col=8&amp;number=&amp;sourceID=34","")</f>
        <v/>
      </c>
      <c r="I277" s="4" t="str">
        <f>HYPERLINK("http://141.218.60.56/~jnz1568/getInfo.php?workbook=08_02.xlsx&amp;sheet=A0&amp;row=277&amp;col=9&amp;number=&amp;sourceID=34","")</f>
        <v/>
      </c>
      <c r="J277" s="4" t="str">
        <f>HYPERLINK("http://141.218.60.56/~jnz1568/getInfo.php?workbook=08_02.xlsx&amp;sheet=A0&amp;row=277&amp;col=10&amp;number=&amp;sourceID=34","")</f>
        <v/>
      </c>
      <c r="K277" s="4" t="str">
        <f>HYPERLINK("http://141.218.60.56/~jnz1568/getInfo.php?workbook=08_02.xlsx&amp;sheet=A0&amp;row=277&amp;col=11&amp;number=306200&amp;sourceID=30","306200")</f>
        <v>306200</v>
      </c>
      <c r="L277" s="4" t="str">
        <f>HYPERLINK("http://141.218.60.56/~jnz1568/getInfo.php?workbook=08_02.xlsx&amp;sheet=A0&amp;row=277&amp;col=12&amp;number=&amp;sourceID=30","")</f>
        <v/>
      </c>
      <c r="M277" s="4" t="str">
        <f>HYPERLINK("http://141.218.60.56/~jnz1568/getInfo.php?workbook=08_02.xlsx&amp;sheet=A0&amp;row=277&amp;col=13&amp;number=&amp;sourceID=30","")</f>
        <v/>
      </c>
      <c r="N277" s="4" t="str">
        <f>HYPERLINK("http://141.218.60.56/~jnz1568/getInfo.php?workbook=08_02.xlsx&amp;sheet=A0&amp;row=277&amp;col=14&amp;number=4.579e-08&amp;sourceID=30","4.579e-08")</f>
        <v>4.579e-08</v>
      </c>
      <c r="O277" s="4" t="str">
        <f>HYPERLINK("http://141.218.60.56/~jnz1568/getInfo.php?workbook=08_02.xlsx&amp;sheet=A0&amp;row=277&amp;col=15&amp;number=334400&amp;sourceID=32","334400")</f>
        <v>334400</v>
      </c>
      <c r="P277" s="4" t="str">
        <f>HYPERLINK("http://141.218.60.56/~jnz1568/getInfo.php?workbook=08_02.xlsx&amp;sheet=A0&amp;row=277&amp;col=16&amp;number=&amp;sourceID=32","")</f>
        <v/>
      </c>
      <c r="Q277" s="4" t="str">
        <f>HYPERLINK("http://141.218.60.56/~jnz1568/getInfo.php?workbook=08_02.xlsx&amp;sheet=A0&amp;row=277&amp;col=17&amp;number=&amp;sourceID=32","")</f>
        <v/>
      </c>
      <c r="R277" s="4" t="str">
        <f>HYPERLINK("http://141.218.60.56/~jnz1568/getInfo.php?workbook=08_02.xlsx&amp;sheet=A0&amp;row=277&amp;col=18&amp;number=5.308e-08&amp;sourceID=32","5.308e-08")</f>
        <v>5.308e-08</v>
      </c>
      <c r="S277" s="4" t="str">
        <f>HYPERLINK("http://141.218.60.56/~jnz1568/getInfo.php?workbook=08_02.xlsx&amp;sheet=A0&amp;row=277&amp;col=19&amp;number=&amp;sourceID=1","")</f>
        <v/>
      </c>
      <c r="T277" s="4" t="str">
        <f>HYPERLINK("http://141.218.60.56/~jnz1568/getInfo.php?workbook=08_02.xlsx&amp;sheet=A0&amp;row=277&amp;col=20&amp;number=&amp;sourceID=1","")</f>
        <v/>
      </c>
    </row>
    <row r="278" spans="1:20">
      <c r="A278" s="3">
        <v>8</v>
      </c>
      <c r="B278" s="3">
        <v>2</v>
      </c>
      <c r="C278" s="3">
        <v>26</v>
      </c>
      <c r="D278" s="3">
        <v>23</v>
      </c>
      <c r="E278" s="3">
        <f>((1/(INDEX(E0!J$4:J$52,C278,1)-INDEX(E0!J$4:J$52,D278,1))))*100000000</f>
        <v>0</v>
      </c>
      <c r="F278" s="4" t="str">
        <f>HYPERLINK("http://141.218.60.56/~jnz1568/getInfo.php?workbook=08_02.xlsx&amp;sheet=A0&amp;row=278&amp;col=6&amp;number=&amp;sourceID=27","")</f>
        <v/>
      </c>
      <c r="G278" s="4" t="str">
        <f>HYPERLINK("http://141.218.60.56/~jnz1568/getInfo.php?workbook=08_02.xlsx&amp;sheet=A0&amp;row=278&amp;col=7&amp;number=&amp;sourceID=34","")</f>
        <v/>
      </c>
      <c r="H278" s="4" t="str">
        <f>HYPERLINK("http://141.218.60.56/~jnz1568/getInfo.php?workbook=08_02.xlsx&amp;sheet=A0&amp;row=278&amp;col=8&amp;number=&amp;sourceID=34","")</f>
        <v/>
      </c>
      <c r="I278" s="4" t="str">
        <f>HYPERLINK("http://141.218.60.56/~jnz1568/getInfo.php?workbook=08_02.xlsx&amp;sheet=A0&amp;row=278&amp;col=9&amp;number=&amp;sourceID=34","")</f>
        <v/>
      </c>
      <c r="J278" s="4" t="str">
        <f>HYPERLINK("http://141.218.60.56/~jnz1568/getInfo.php?workbook=08_02.xlsx&amp;sheet=A0&amp;row=278&amp;col=10&amp;number=&amp;sourceID=34","")</f>
        <v/>
      </c>
      <c r="K278" s="4" t="str">
        <f>HYPERLINK("http://141.218.60.56/~jnz1568/getInfo.php?workbook=08_02.xlsx&amp;sheet=A0&amp;row=278&amp;col=11&amp;number=&amp;sourceID=30","")</f>
        <v/>
      </c>
      <c r="L278" s="4" t="str">
        <f>HYPERLINK("http://141.218.60.56/~jnz1568/getInfo.php?workbook=08_02.xlsx&amp;sheet=A0&amp;row=278&amp;col=12&amp;number=1e-15&amp;sourceID=30","1e-15")</f>
        <v>1e-15</v>
      </c>
      <c r="M278" s="4" t="str">
        <f>HYPERLINK("http://141.218.60.56/~jnz1568/getInfo.php?workbook=08_02.xlsx&amp;sheet=A0&amp;row=278&amp;col=13&amp;number=&amp;sourceID=30","")</f>
        <v/>
      </c>
      <c r="N278" s="4" t="str">
        <f>HYPERLINK("http://141.218.60.56/~jnz1568/getInfo.php?workbook=08_02.xlsx&amp;sheet=A0&amp;row=278&amp;col=14&amp;number=&amp;sourceID=30","")</f>
        <v/>
      </c>
      <c r="O278" s="4" t="str">
        <f>HYPERLINK("http://141.218.60.56/~jnz1568/getInfo.php?workbook=08_02.xlsx&amp;sheet=A0&amp;row=278&amp;col=15&amp;number=&amp;sourceID=32","")</f>
        <v/>
      </c>
      <c r="P278" s="4" t="str">
        <f>HYPERLINK("http://141.218.60.56/~jnz1568/getInfo.php?workbook=08_02.xlsx&amp;sheet=A0&amp;row=278&amp;col=16&amp;number=&amp;sourceID=32","")</f>
        <v/>
      </c>
      <c r="Q278" s="4" t="str">
        <f>HYPERLINK("http://141.218.60.56/~jnz1568/getInfo.php?workbook=08_02.xlsx&amp;sheet=A0&amp;row=278&amp;col=17&amp;number=&amp;sourceID=32","")</f>
        <v/>
      </c>
      <c r="R278" s="4" t="str">
        <f>HYPERLINK("http://141.218.60.56/~jnz1568/getInfo.php?workbook=08_02.xlsx&amp;sheet=A0&amp;row=278&amp;col=18&amp;number=&amp;sourceID=32","")</f>
        <v/>
      </c>
      <c r="S278" s="4" t="str">
        <f>HYPERLINK("http://141.218.60.56/~jnz1568/getInfo.php?workbook=08_02.xlsx&amp;sheet=A0&amp;row=278&amp;col=19&amp;number=&amp;sourceID=1","")</f>
        <v/>
      </c>
      <c r="T278" s="4" t="str">
        <f>HYPERLINK("http://141.218.60.56/~jnz1568/getInfo.php?workbook=08_02.xlsx&amp;sheet=A0&amp;row=278&amp;col=20&amp;number=&amp;sourceID=1","")</f>
        <v/>
      </c>
    </row>
    <row r="279" spans="1:20">
      <c r="A279" s="3">
        <v>8</v>
      </c>
      <c r="B279" s="3">
        <v>2</v>
      </c>
      <c r="C279" s="3">
        <v>26</v>
      </c>
      <c r="D279" s="3">
        <v>24</v>
      </c>
      <c r="E279" s="3">
        <f>((1/(INDEX(E0!J$4:J$52,C279,1)-INDEX(E0!J$4:J$52,D279,1))))*100000000</f>
        <v>0</v>
      </c>
      <c r="F279" s="4" t="str">
        <f>HYPERLINK("http://141.218.60.56/~jnz1568/getInfo.php?workbook=08_02.xlsx&amp;sheet=A0&amp;row=279&amp;col=6&amp;number=&amp;sourceID=27","")</f>
        <v/>
      </c>
      <c r="G279" s="4" t="str">
        <f>HYPERLINK("http://141.218.60.56/~jnz1568/getInfo.php?workbook=08_02.xlsx&amp;sheet=A0&amp;row=279&amp;col=7&amp;number=&amp;sourceID=34","")</f>
        <v/>
      </c>
      <c r="H279" s="4" t="str">
        <f>HYPERLINK("http://141.218.60.56/~jnz1568/getInfo.php?workbook=08_02.xlsx&amp;sheet=A0&amp;row=279&amp;col=8&amp;number=&amp;sourceID=34","")</f>
        <v/>
      </c>
      <c r="I279" s="4" t="str">
        <f>HYPERLINK("http://141.218.60.56/~jnz1568/getInfo.php?workbook=08_02.xlsx&amp;sheet=A0&amp;row=279&amp;col=9&amp;number=&amp;sourceID=34","")</f>
        <v/>
      </c>
      <c r="J279" s="4" t="str">
        <f>HYPERLINK("http://141.218.60.56/~jnz1568/getInfo.php?workbook=08_02.xlsx&amp;sheet=A0&amp;row=279&amp;col=10&amp;number=&amp;sourceID=34","")</f>
        <v/>
      </c>
      <c r="K279" s="4" t="str">
        <f>HYPERLINK("http://141.218.60.56/~jnz1568/getInfo.php?workbook=08_02.xlsx&amp;sheet=A0&amp;row=279&amp;col=11&amp;number=&amp;sourceID=30","")</f>
        <v/>
      </c>
      <c r="L279" s="4" t="str">
        <f>HYPERLINK("http://141.218.60.56/~jnz1568/getInfo.php?workbook=08_02.xlsx&amp;sheet=A0&amp;row=279&amp;col=12&amp;number=3e-15&amp;sourceID=30","3e-15")</f>
        <v>3e-15</v>
      </c>
      <c r="M279" s="4" t="str">
        <f>HYPERLINK("http://141.218.60.56/~jnz1568/getInfo.php?workbook=08_02.xlsx&amp;sheet=A0&amp;row=279&amp;col=13&amp;number=1.457e-07&amp;sourceID=30","1.457e-07")</f>
        <v>1.457e-07</v>
      </c>
      <c r="N279" s="4" t="str">
        <f>HYPERLINK("http://141.218.60.56/~jnz1568/getInfo.php?workbook=08_02.xlsx&amp;sheet=A0&amp;row=279&amp;col=14&amp;number=&amp;sourceID=30","")</f>
        <v/>
      </c>
      <c r="O279" s="4" t="str">
        <f>HYPERLINK("http://141.218.60.56/~jnz1568/getInfo.php?workbook=08_02.xlsx&amp;sheet=A0&amp;row=279&amp;col=15&amp;number=&amp;sourceID=32","")</f>
        <v/>
      </c>
      <c r="P279" s="4" t="str">
        <f>HYPERLINK("http://141.218.60.56/~jnz1568/getInfo.php?workbook=08_02.xlsx&amp;sheet=A0&amp;row=279&amp;col=16&amp;number=&amp;sourceID=32","")</f>
        <v/>
      </c>
      <c r="Q279" s="4" t="str">
        <f>HYPERLINK("http://141.218.60.56/~jnz1568/getInfo.php?workbook=08_02.xlsx&amp;sheet=A0&amp;row=279&amp;col=17&amp;number=&amp;sourceID=32","")</f>
        <v/>
      </c>
      <c r="R279" s="4" t="str">
        <f>HYPERLINK("http://141.218.60.56/~jnz1568/getInfo.php?workbook=08_02.xlsx&amp;sheet=A0&amp;row=279&amp;col=18&amp;number=&amp;sourceID=32","")</f>
        <v/>
      </c>
      <c r="S279" s="4" t="str">
        <f>HYPERLINK("http://141.218.60.56/~jnz1568/getInfo.php?workbook=08_02.xlsx&amp;sheet=A0&amp;row=279&amp;col=19&amp;number=&amp;sourceID=1","")</f>
        <v/>
      </c>
      <c r="T279" s="4" t="str">
        <f>HYPERLINK("http://141.218.60.56/~jnz1568/getInfo.php?workbook=08_02.xlsx&amp;sheet=A0&amp;row=279&amp;col=20&amp;number=&amp;sourceID=1","")</f>
        <v/>
      </c>
    </row>
    <row r="280" spans="1:20">
      <c r="A280" s="3">
        <v>8</v>
      </c>
      <c r="B280" s="3">
        <v>2</v>
      </c>
      <c r="C280" s="3">
        <v>27</v>
      </c>
      <c r="D280" s="3">
        <v>2</v>
      </c>
      <c r="E280" s="3">
        <f>((1/(INDEX(E0!J$4:J$52,C280,1)-INDEX(E0!J$4:J$52,D280,1))))*100000000</f>
        <v>0</v>
      </c>
      <c r="F280" s="4" t="str">
        <f>HYPERLINK("http://141.218.60.56/~jnz1568/getInfo.php?workbook=08_02.xlsx&amp;sheet=A0&amp;row=280&amp;col=6&amp;number=&amp;sourceID=27","")</f>
        <v/>
      </c>
      <c r="G280" s="4" t="str">
        <f>HYPERLINK("http://141.218.60.56/~jnz1568/getInfo.php?workbook=08_02.xlsx&amp;sheet=A0&amp;row=280&amp;col=7&amp;number=&amp;sourceID=34","")</f>
        <v/>
      </c>
      <c r="H280" s="4" t="str">
        <f>HYPERLINK("http://141.218.60.56/~jnz1568/getInfo.php?workbook=08_02.xlsx&amp;sheet=A0&amp;row=280&amp;col=8&amp;number=&amp;sourceID=34","")</f>
        <v/>
      </c>
      <c r="I280" s="4" t="str">
        <f>HYPERLINK("http://141.218.60.56/~jnz1568/getInfo.php?workbook=08_02.xlsx&amp;sheet=A0&amp;row=280&amp;col=9&amp;number=&amp;sourceID=34","")</f>
        <v/>
      </c>
      <c r="J280" s="4" t="str">
        <f>HYPERLINK("http://141.218.60.56/~jnz1568/getInfo.php?workbook=08_02.xlsx&amp;sheet=A0&amp;row=280&amp;col=10&amp;number=&amp;sourceID=34","")</f>
        <v/>
      </c>
      <c r="K280" s="4" t="str">
        <f>HYPERLINK("http://141.218.60.56/~jnz1568/getInfo.php?workbook=08_02.xlsx&amp;sheet=A0&amp;row=280&amp;col=11&amp;number=&amp;sourceID=30","")</f>
        <v/>
      </c>
      <c r="L280" s="4" t="str">
        <f>HYPERLINK("http://141.218.60.56/~jnz1568/getInfo.php?workbook=08_02.xlsx&amp;sheet=A0&amp;row=280&amp;col=12&amp;number=&amp;sourceID=30","")</f>
        <v/>
      </c>
      <c r="M280" s="4" t="str">
        <f>HYPERLINK("http://141.218.60.56/~jnz1568/getInfo.php?workbook=08_02.xlsx&amp;sheet=A0&amp;row=280&amp;col=13&amp;number=&amp;sourceID=30","")</f>
        <v/>
      </c>
      <c r="N280" s="4" t="str">
        <f>HYPERLINK("http://141.218.60.56/~jnz1568/getInfo.php?workbook=08_02.xlsx&amp;sheet=A0&amp;row=280&amp;col=14&amp;number=1.686e-06&amp;sourceID=30","1.686e-06")</f>
        <v>1.686e-06</v>
      </c>
      <c r="O280" s="4" t="str">
        <f>HYPERLINK("http://141.218.60.56/~jnz1568/getInfo.php?workbook=08_02.xlsx&amp;sheet=A0&amp;row=280&amp;col=15&amp;number=&amp;sourceID=32","")</f>
        <v/>
      </c>
      <c r="P280" s="4" t="str">
        <f>HYPERLINK("http://141.218.60.56/~jnz1568/getInfo.php?workbook=08_02.xlsx&amp;sheet=A0&amp;row=280&amp;col=16&amp;number=&amp;sourceID=32","")</f>
        <v/>
      </c>
      <c r="Q280" s="4" t="str">
        <f>HYPERLINK("http://141.218.60.56/~jnz1568/getInfo.php?workbook=08_02.xlsx&amp;sheet=A0&amp;row=280&amp;col=17&amp;number=&amp;sourceID=32","")</f>
        <v/>
      </c>
      <c r="R280" s="4" t="str">
        <f>HYPERLINK("http://141.218.60.56/~jnz1568/getInfo.php?workbook=08_02.xlsx&amp;sheet=A0&amp;row=280&amp;col=18&amp;number=2.45e-06&amp;sourceID=32","2.45e-06")</f>
        <v>2.45e-06</v>
      </c>
      <c r="S280" s="4" t="str">
        <f>HYPERLINK("http://141.218.60.56/~jnz1568/getInfo.php?workbook=08_02.xlsx&amp;sheet=A0&amp;row=280&amp;col=19&amp;number=&amp;sourceID=1","")</f>
        <v/>
      </c>
      <c r="T280" s="4" t="str">
        <f>HYPERLINK("http://141.218.60.56/~jnz1568/getInfo.php?workbook=08_02.xlsx&amp;sheet=A0&amp;row=280&amp;col=20&amp;number=&amp;sourceID=1","")</f>
        <v/>
      </c>
    </row>
    <row r="281" spans="1:20">
      <c r="A281" s="3">
        <v>8</v>
      </c>
      <c r="B281" s="3">
        <v>2</v>
      </c>
      <c r="C281" s="3">
        <v>27</v>
      </c>
      <c r="D281" s="3">
        <v>4</v>
      </c>
      <c r="E281" s="3">
        <f>((1/(INDEX(E0!J$4:J$52,C281,1)-INDEX(E0!J$4:J$52,D281,1))))*100000000</f>
        <v>0</v>
      </c>
      <c r="F281" s="4" t="str">
        <f>HYPERLINK("http://141.218.60.56/~jnz1568/getInfo.php?workbook=08_02.xlsx&amp;sheet=A0&amp;row=281&amp;col=6&amp;number=&amp;sourceID=27","")</f>
        <v/>
      </c>
      <c r="G281" s="4" t="str">
        <f>HYPERLINK("http://141.218.60.56/~jnz1568/getInfo.php?workbook=08_02.xlsx&amp;sheet=A0&amp;row=281&amp;col=7&amp;number=&amp;sourceID=34","")</f>
        <v/>
      </c>
      <c r="H281" s="4" t="str">
        <f>HYPERLINK("http://141.218.60.56/~jnz1568/getInfo.php?workbook=08_02.xlsx&amp;sheet=A0&amp;row=281&amp;col=8&amp;number=&amp;sourceID=34","")</f>
        <v/>
      </c>
      <c r="I281" s="4" t="str">
        <f>HYPERLINK("http://141.218.60.56/~jnz1568/getInfo.php?workbook=08_02.xlsx&amp;sheet=A0&amp;row=281&amp;col=9&amp;number=&amp;sourceID=34","")</f>
        <v/>
      </c>
      <c r="J281" s="4" t="str">
        <f>HYPERLINK("http://141.218.60.56/~jnz1568/getInfo.php?workbook=08_02.xlsx&amp;sheet=A0&amp;row=281&amp;col=10&amp;number=&amp;sourceID=34","")</f>
        <v/>
      </c>
      <c r="K281" s="4" t="str">
        <f>HYPERLINK("http://141.218.60.56/~jnz1568/getInfo.php?workbook=08_02.xlsx&amp;sheet=A0&amp;row=281&amp;col=11&amp;number=&amp;sourceID=30","")</f>
        <v/>
      </c>
      <c r="L281" s="4" t="str">
        <f>HYPERLINK("http://141.218.60.56/~jnz1568/getInfo.php?workbook=08_02.xlsx&amp;sheet=A0&amp;row=281&amp;col=12&amp;number=3086000&amp;sourceID=30","3086000")</f>
        <v>3086000</v>
      </c>
      <c r="M281" s="4" t="str">
        <f>HYPERLINK("http://141.218.60.56/~jnz1568/getInfo.php?workbook=08_02.xlsx&amp;sheet=A0&amp;row=281&amp;col=13&amp;number=&amp;sourceID=30","")</f>
        <v/>
      </c>
      <c r="N281" s="4" t="str">
        <f>HYPERLINK("http://141.218.60.56/~jnz1568/getInfo.php?workbook=08_02.xlsx&amp;sheet=A0&amp;row=281&amp;col=14&amp;number=&amp;sourceID=30","")</f>
        <v/>
      </c>
      <c r="O281" s="4" t="str">
        <f>HYPERLINK("http://141.218.60.56/~jnz1568/getInfo.php?workbook=08_02.xlsx&amp;sheet=A0&amp;row=281&amp;col=15&amp;number=&amp;sourceID=32","")</f>
        <v/>
      </c>
      <c r="P281" s="4" t="str">
        <f>HYPERLINK("http://141.218.60.56/~jnz1568/getInfo.php?workbook=08_02.xlsx&amp;sheet=A0&amp;row=281&amp;col=16&amp;number=3020000&amp;sourceID=32","3020000")</f>
        <v>3020000</v>
      </c>
      <c r="Q281" s="4" t="str">
        <f>HYPERLINK("http://141.218.60.56/~jnz1568/getInfo.php?workbook=08_02.xlsx&amp;sheet=A0&amp;row=281&amp;col=17&amp;number=&amp;sourceID=32","")</f>
        <v/>
      </c>
      <c r="R281" s="4" t="str">
        <f>HYPERLINK("http://141.218.60.56/~jnz1568/getInfo.php?workbook=08_02.xlsx&amp;sheet=A0&amp;row=281&amp;col=18&amp;number=&amp;sourceID=32","")</f>
        <v/>
      </c>
      <c r="S281" s="4" t="str">
        <f>HYPERLINK("http://141.218.60.56/~jnz1568/getInfo.php?workbook=08_02.xlsx&amp;sheet=A0&amp;row=281&amp;col=19&amp;number=&amp;sourceID=1","")</f>
        <v/>
      </c>
      <c r="T281" s="4" t="str">
        <f>HYPERLINK("http://141.218.60.56/~jnz1568/getInfo.php?workbook=08_02.xlsx&amp;sheet=A0&amp;row=281&amp;col=20&amp;number=&amp;sourceID=1","")</f>
        <v/>
      </c>
    </row>
    <row r="282" spans="1:20">
      <c r="A282" s="3">
        <v>8</v>
      </c>
      <c r="B282" s="3">
        <v>2</v>
      </c>
      <c r="C282" s="3">
        <v>27</v>
      </c>
      <c r="D282" s="3">
        <v>5</v>
      </c>
      <c r="E282" s="3">
        <f>((1/(INDEX(E0!J$4:J$52,C282,1)-INDEX(E0!J$4:J$52,D282,1))))*100000000</f>
        <v>0</v>
      </c>
      <c r="F282" s="4" t="str">
        <f>HYPERLINK("http://141.218.60.56/~jnz1568/getInfo.php?workbook=08_02.xlsx&amp;sheet=A0&amp;row=282&amp;col=6&amp;number=&amp;sourceID=27","")</f>
        <v/>
      </c>
      <c r="G282" s="4" t="str">
        <f>HYPERLINK("http://141.218.60.56/~jnz1568/getInfo.php?workbook=08_02.xlsx&amp;sheet=A0&amp;row=282&amp;col=7&amp;number=&amp;sourceID=34","")</f>
        <v/>
      </c>
      <c r="H282" s="4" t="str">
        <f>HYPERLINK("http://141.218.60.56/~jnz1568/getInfo.php?workbook=08_02.xlsx&amp;sheet=A0&amp;row=282&amp;col=8&amp;number=&amp;sourceID=34","")</f>
        <v/>
      </c>
      <c r="I282" s="4" t="str">
        <f>HYPERLINK("http://141.218.60.56/~jnz1568/getInfo.php?workbook=08_02.xlsx&amp;sheet=A0&amp;row=282&amp;col=9&amp;number=&amp;sourceID=34","")</f>
        <v/>
      </c>
      <c r="J282" s="4" t="str">
        <f>HYPERLINK("http://141.218.60.56/~jnz1568/getInfo.php?workbook=08_02.xlsx&amp;sheet=A0&amp;row=282&amp;col=10&amp;number=&amp;sourceID=34","")</f>
        <v/>
      </c>
      <c r="K282" s="4" t="str">
        <f>HYPERLINK("http://141.218.60.56/~jnz1568/getInfo.php?workbook=08_02.xlsx&amp;sheet=A0&amp;row=282&amp;col=11&amp;number=&amp;sourceID=30","")</f>
        <v/>
      </c>
      <c r="L282" s="4" t="str">
        <f>HYPERLINK("http://141.218.60.56/~jnz1568/getInfo.php?workbook=08_02.xlsx&amp;sheet=A0&amp;row=282&amp;col=12&amp;number=1508000&amp;sourceID=30","1508000")</f>
        <v>1508000</v>
      </c>
      <c r="M282" s="4" t="str">
        <f>HYPERLINK("http://141.218.60.56/~jnz1568/getInfo.php?workbook=08_02.xlsx&amp;sheet=A0&amp;row=282&amp;col=13&amp;number=0.01075&amp;sourceID=30","0.01075")</f>
        <v>0.01075</v>
      </c>
      <c r="N282" s="4" t="str">
        <f>HYPERLINK("http://141.218.60.56/~jnz1568/getInfo.php?workbook=08_02.xlsx&amp;sheet=A0&amp;row=282&amp;col=14&amp;number=&amp;sourceID=30","")</f>
        <v/>
      </c>
      <c r="O282" s="4" t="str">
        <f>HYPERLINK("http://141.218.60.56/~jnz1568/getInfo.php?workbook=08_02.xlsx&amp;sheet=A0&amp;row=282&amp;col=15&amp;number=&amp;sourceID=32","")</f>
        <v/>
      </c>
      <c r="P282" s="4" t="str">
        <f>HYPERLINK("http://141.218.60.56/~jnz1568/getInfo.php?workbook=08_02.xlsx&amp;sheet=A0&amp;row=282&amp;col=16&amp;number=1474000&amp;sourceID=32","1474000")</f>
        <v>1474000</v>
      </c>
      <c r="Q282" s="4" t="str">
        <f>HYPERLINK("http://141.218.60.56/~jnz1568/getInfo.php?workbook=08_02.xlsx&amp;sheet=A0&amp;row=282&amp;col=17&amp;number=0.01531&amp;sourceID=32","0.01531")</f>
        <v>0.01531</v>
      </c>
      <c r="R282" s="4" t="str">
        <f>HYPERLINK("http://141.218.60.56/~jnz1568/getInfo.php?workbook=08_02.xlsx&amp;sheet=A0&amp;row=282&amp;col=18&amp;number=&amp;sourceID=32","")</f>
        <v/>
      </c>
      <c r="S282" s="4" t="str">
        <f>HYPERLINK("http://141.218.60.56/~jnz1568/getInfo.php?workbook=08_02.xlsx&amp;sheet=A0&amp;row=282&amp;col=19&amp;number=&amp;sourceID=1","")</f>
        <v/>
      </c>
      <c r="T282" s="4" t="str">
        <f>HYPERLINK("http://141.218.60.56/~jnz1568/getInfo.php?workbook=08_02.xlsx&amp;sheet=A0&amp;row=282&amp;col=20&amp;number=&amp;sourceID=1","")</f>
        <v/>
      </c>
    </row>
    <row r="283" spans="1:20">
      <c r="A283" s="3">
        <v>8</v>
      </c>
      <c r="B283" s="3">
        <v>2</v>
      </c>
      <c r="C283" s="3">
        <v>27</v>
      </c>
      <c r="D283" s="3">
        <v>7</v>
      </c>
      <c r="E283" s="3">
        <f>((1/(INDEX(E0!J$4:J$52,C283,1)-INDEX(E0!J$4:J$52,D283,1))))*100000000</f>
        <v>0</v>
      </c>
      <c r="F283" s="4" t="str">
        <f>HYPERLINK("http://141.218.60.56/~jnz1568/getInfo.php?workbook=08_02.xlsx&amp;sheet=A0&amp;row=283&amp;col=6&amp;number=&amp;sourceID=27","")</f>
        <v/>
      </c>
      <c r="G283" s="4" t="str">
        <f>HYPERLINK("http://141.218.60.56/~jnz1568/getInfo.php?workbook=08_02.xlsx&amp;sheet=A0&amp;row=283&amp;col=7&amp;number=&amp;sourceID=34","")</f>
        <v/>
      </c>
      <c r="H283" s="4" t="str">
        <f>HYPERLINK("http://141.218.60.56/~jnz1568/getInfo.php?workbook=08_02.xlsx&amp;sheet=A0&amp;row=283&amp;col=8&amp;number=&amp;sourceID=34","")</f>
        <v/>
      </c>
      <c r="I283" s="4" t="str">
        <f>HYPERLINK("http://141.218.60.56/~jnz1568/getInfo.php?workbook=08_02.xlsx&amp;sheet=A0&amp;row=283&amp;col=9&amp;number=&amp;sourceID=34","")</f>
        <v/>
      </c>
      <c r="J283" s="4" t="str">
        <f>HYPERLINK("http://141.218.60.56/~jnz1568/getInfo.php?workbook=08_02.xlsx&amp;sheet=A0&amp;row=283&amp;col=10&amp;number=&amp;sourceID=34","")</f>
        <v/>
      </c>
      <c r="K283" s="4" t="str">
        <f>HYPERLINK("http://141.218.60.56/~jnz1568/getInfo.php?workbook=08_02.xlsx&amp;sheet=A0&amp;row=283&amp;col=11&amp;number=&amp;sourceID=30","")</f>
        <v/>
      </c>
      <c r="L283" s="4" t="str">
        <f>HYPERLINK("http://141.218.60.56/~jnz1568/getInfo.php?workbook=08_02.xlsx&amp;sheet=A0&amp;row=283&amp;col=12&amp;number=2649000&amp;sourceID=30","2649000")</f>
        <v>2649000</v>
      </c>
      <c r="M283" s="4" t="str">
        <f>HYPERLINK("http://141.218.60.56/~jnz1568/getInfo.php?workbook=08_02.xlsx&amp;sheet=A0&amp;row=283&amp;col=13&amp;number=&amp;sourceID=30","")</f>
        <v/>
      </c>
      <c r="N283" s="4" t="str">
        <f>HYPERLINK("http://141.218.60.56/~jnz1568/getInfo.php?workbook=08_02.xlsx&amp;sheet=A0&amp;row=283&amp;col=14&amp;number=&amp;sourceID=30","")</f>
        <v/>
      </c>
      <c r="O283" s="4" t="str">
        <f>HYPERLINK("http://141.218.60.56/~jnz1568/getInfo.php?workbook=08_02.xlsx&amp;sheet=A0&amp;row=283&amp;col=15&amp;number=&amp;sourceID=32","")</f>
        <v/>
      </c>
      <c r="P283" s="4" t="str">
        <f>HYPERLINK("http://141.218.60.56/~jnz1568/getInfo.php?workbook=08_02.xlsx&amp;sheet=A0&amp;row=283&amp;col=16&amp;number=2787000&amp;sourceID=32","2787000")</f>
        <v>2787000</v>
      </c>
      <c r="Q283" s="4" t="str">
        <f>HYPERLINK("http://141.218.60.56/~jnz1568/getInfo.php?workbook=08_02.xlsx&amp;sheet=A0&amp;row=283&amp;col=17&amp;number=&amp;sourceID=32","")</f>
        <v/>
      </c>
      <c r="R283" s="4" t="str">
        <f>HYPERLINK("http://141.218.60.56/~jnz1568/getInfo.php?workbook=08_02.xlsx&amp;sheet=A0&amp;row=283&amp;col=18&amp;number=&amp;sourceID=32","")</f>
        <v/>
      </c>
      <c r="S283" s="4" t="str">
        <f>HYPERLINK("http://141.218.60.56/~jnz1568/getInfo.php?workbook=08_02.xlsx&amp;sheet=A0&amp;row=283&amp;col=19&amp;number=&amp;sourceID=1","")</f>
        <v/>
      </c>
      <c r="T283" s="4" t="str">
        <f>HYPERLINK("http://141.218.60.56/~jnz1568/getInfo.php?workbook=08_02.xlsx&amp;sheet=A0&amp;row=283&amp;col=20&amp;number=&amp;sourceID=1","")</f>
        <v/>
      </c>
    </row>
    <row r="284" spans="1:20">
      <c r="A284" s="3">
        <v>8</v>
      </c>
      <c r="B284" s="3">
        <v>2</v>
      </c>
      <c r="C284" s="3">
        <v>27</v>
      </c>
      <c r="D284" s="3">
        <v>8</v>
      </c>
      <c r="E284" s="3">
        <f>((1/(INDEX(E0!J$4:J$52,C284,1)-INDEX(E0!J$4:J$52,D284,1))))*100000000</f>
        <v>0</v>
      </c>
      <c r="F284" s="4" t="str">
        <f>HYPERLINK("http://141.218.60.56/~jnz1568/getInfo.php?workbook=08_02.xlsx&amp;sheet=A0&amp;row=284&amp;col=6&amp;number=&amp;sourceID=27","")</f>
        <v/>
      </c>
      <c r="G284" s="4" t="str">
        <f>HYPERLINK("http://141.218.60.56/~jnz1568/getInfo.php?workbook=08_02.xlsx&amp;sheet=A0&amp;row=284&amp;col=7&amp;number=&amp;sourceID=34","")</f>
        <v/>
      </c>
      <c r="H284" s="4" t="str">
        <f>HYPERLINK("http://141.218.60.56/~jnz1568/getInfo.php?workbook=08_02.xlsx&amp;sheet=A0&amp;row=284&amp;col=8&amp;number=&amp;sourceID=34","")</f>
        <v/>
      </c>
      <c r="I284" s="4" t="str">
        <f>HYPERLINK("http://141.218.60.56/~jnz1568/getInfo.php?workbook=08_02.xlsx&amp;sheet=A0&amp;row=284&amp;col=9&amp;number=&amp;sourceID=34","")</f>
        <v/>
      </c>
      <c r="J284" s="4" t="str">
        <f>HYPERLINK("http://141.218.60.56/~jnz1568/getInfo.php?workbook=08_02.xlsx&amp;sheet=A0&amp;row=284&amp;col=10&amp;number=&amp;sourceID=34","")</f>
        <v/>
      </c>
      <c r="K284" s="4" t="str">
        <f>HYPERLINK("http://141.218.60.56/~jnz1568/getInfo.php?workbook=08_02.xlsx&amp;sheet=A0&amp;row=284&amp;col=11&amp;number=&amp;sourceID=30","")</f>
        <v/>
      </c>
      <c r="L284" s="4" t="str">
        <f>HYPERLINK("http://141.218.60.56/~jnz1568/getInfo.php?workbook=08_02.xlsx&amp;sheet=A0&amp;row=284&amp;col=12&amp;number=&amp;sourceID=30","")</f>
        <v/>
      </c>
      <c r="M284" s="4" t="str">
        <f>HYPERLINK("http://141.218.60.56/~jnz1568/getInfo.php?workbook=08_02.xlsx&amp;sheet=A0&amp;row=284&amp;col=13&amp;number=&amp;sourceID=30","")</f>
        <v/>
      </c>
      <c r="N284" s="4" t="str">
        <f>HYPERLINK("http://141.218.60.56/~jnz1568/getInfo.php?workbook=08_02.xlsx&amp;sheet=A0&amp;row=284&amp;col=14&amp;number=8.536e-10&amp;sourceID=30","8.536e-10")</f>
        <v>8.536e-10</v>
      </c>
      <c r="O284" s="4" t="str">
        <f>HYPERLINK("http://141.218.60.56/~jnz1568/getInfo.php?workbook=08_02.xlsx&amp;sheet=A0&amp;row=284&amp;col=15&amp;number=&amp;sourceID=32","")</f>
        <v/>
      </c>
      <c r="P284" s="4" t="str">
        <f>HYPERLINK("http://141.218.60.56/~jnz1568/getInfo.php?workbook=08_02.xlsx&amp;sheet=A0&amp;row=284&amp;col=16&amp;number=&amp;sourceID=32","")</f>
        <v/>
      </c>
      <c r="Q284" s="4" t="str">
        <f>HYPERLINK("http://141.218.60.56/~jnz1568/getInfo.php?workbook=08_02.xlsx&amp;sheet=A0&amp;row=284&amp;col=17&amp;number=&amp;sourceID=32","")</f>
        <v/>
      </c>
      <c r="R284" s="4" t="str">
        <f>HYPERLINK("http://141.218.60.56/~jnz1568/getInfo.php?workbook=08_02.xlsx&amp;sheet=A0&amp;row=284&amp;col=18&amp;number=1.268e-10&amp;sourceID=32","1.268e-10")</f>
        <v>1.268e-10</v>
      </c>
      <c r="S284" s="4" t="str">
        <f>HYPERLINK("http://141.218.60.56/~jnz1568/getInfo.php?workbook=08_02.xlsx&amp;sheet=A0&amp;row=284&amp;col=19&amp;number=&amp;sourceID=1","")</f>
        <v/>
      </c>
      <c r="T284" s="4" t="str">
        <f>HYPERLINK("http://141.218.60.56/~jnz1568/getInfo.php?workbook=08_02.xlsx&amp;sheet=A0&amp;row=284&amp;col=20&amp;number=&amp;sourceID=1","")</f>
        <v/>
      </c>
    </row>
    <row r="285" spans="1:20">
      <c r="A285" s="3">
        <v>8</v>
      </c>
      <c r="B285" s="3">
        <v>2</v>
      </c>
      <c r="C285" s="3">
        <v>27</v>
      </c>
      <c r="D285" s="3">
        <v>10</v>
      </c>
      <c r="E285" s="3">
        <f>((1/(INDEX(E0!J$4:J$52,C285,1)-INDEX(E0!J$4:J$52,D285,1))))*100000000</f>
        <v>0</v>
      </c>
      <c r="F285" s="4" t="str">
        <f>HYPERLINK("http://141.218.60.56/~jnz1568/getInfo.php?workbook=08_02.xlsx&amp;sheet=A0&amp;row=285&amp;col=6&amp;number=&amp;sourceID=27","")</f>
        <v/>
      </c>
      <c r="G285" s="4" t="str">
        <f>HYPERLINK("http://141.218.60.56/~jnz1568/getInfo.php?workbook=08_02.xlsx&amp;sheet=A0&amp;row=285&amp;col=7&amp;number=&amp;sourceID=34","")</f>
        <v/>
      </c>
      <c r="H285" s="4" t="str">
        <f>HYPERLINK("http://141.218.60.56/~jnz1568/getInfo.php?workbook=08_02.xlsx&amp;sheet=A0&amp;row=285&amp;col=8&amp;number=&amp;sourceID=34","")</f>
        <v/>
      </c>
      <c r="I285" s="4" t="str">
        <f>HYPERLINK("http://141.218.60.56/~jnz1568/getInfo.php?workbook=08_02.xlsx&amp;sheet=A0&amp;row=285&amp;col=9&amp;number=&amp;sourceID=34","")</f>
        <v/>
      </c>
      <c r="J285" s="4" t="str">
        <f>HYPERLINK("http://141.218.60.56/~jnz1568/getInfo.php?workbook=08_02.xlsx&amp;sheet=A0&amp;row=285&amp;col=10&amp;number=&amp;sourceID=34","")</f>
        <v/>
      </c>
      <c r="K285" s="4" t="str">
        <f>HYPERLINK("http://141.218.60.56/~jnz1568/getInfo.php?workbook=08_02.xlsx&amp;sheet=A0&amp;row=285&amp;col=11&amp;number=&amp;sourceID=30","")</f>
        <v/>
      </c>
      <c r="L285" s="4" t="str">
        <f>HYPERLINK("http://141.218.60.56/~jnz1568/getInfo.php?workbook=08_02.xlsx&amp;sheet=A0&amp;row=285&amp;col=12&amp;number=318800&amp;sourceID=30","318800")</f>
        <v>318800</v>
      </c>
      <c r="M285" s="4" t="str">
        <f>HYPERLINK("http://141.218.60.56/~jnz1568/getInfo.php?workbook=08_02.xlsx&amp;sheet=A0&amp;row=285&amp;col=13&amp;number=&amp;sourceID=30","")</f>
        <v/>
      </c>
      <c r="N285" s="4" t="str">
        <f>HYPERLINK("http://141.218.60.56/~jnz1568/getInfo.php?workbook=08_02.xlsx&amp;sheet=A0&amp;row=285&amp;col=14&amp;number=&amp;sourceID=30","")</f>
        <v/>
      </c>
      <c r="O285" s="4" t="str">
        <f>HYPERLINK("http://141.218.60.56/~jnz1568/getInfo.php?workbook=08_02.xlsx&amp;sheet=A0&amp;row=285&amp;col=15&amp;number=&amp;sourceID=32","")</f>
        <v/>
      </c>
      <c r="P285" s="4" t="str">
        <f>HYPERLINK("http://141.218.60.56/~jnz1568/getInfo.php?workbook=08_02.xlsx&amp;sheet=A0&amp;row=285&amp;col=16&amp;number=316400&amp;sourceID=32","316400")</f>
        <v>316400</v>
      </c>
      <c r="Q285" s="4" t="str">
        <f>HYPERLINK("http://141.218.60.56/~jnz1568/getInfo.php?workbook=08_02.xlsx&amp;sheet=A0&amp;row=285&amp;col=17&amp;number=&amp;sourceID=32","")</f>
        <v/>
      </c>
      <c r="R285" s="4" t="str">
        <f>HYPERLINK("http://141.218.60.56/~jnz1568/getInfo.php?workbook=08_02.xlsx&amp;sheet=A0&amp;row=285&amp;col=18&amp;number=&amp;sourceID=32","")</f>
        <v/>
      </c>
      <c r="S285" s="4" t="str">
        <f>HYPERLINK("http://141.218.60.56/~jnz1568/getInfo.php?workbook=08_02.xlsx&amp;sheet=A0&amp;row=285&amp;col=19&amp;number=&amp;sourceID=1","")</f>
        <v/>
      </c>
      <c r="T285" s="4" t="str">
        <f>HYPERLINK("http://141.218.60.56/~jnz1568/getInfo.php?workbook=08_02.xlsx&amp;sheet=A0&amp;row=285&amp;col=20&amp;number=&amp;sourceID=1","")</f>
        <v/>
      </c>
    </row>
    <row r="286" spans="1:20">
      <c r="A286" s="3">
        <v>8</v>
      </c>
      <c r="B286" s="3">
        <v>2</v>
      </c>
      <c r="C286" s="3">
        <v>27</v>
      </c>
      <c r="D286" s="3">
        <v>11</v>
      </c>
      <c r="E286" s="3">
        <f>((1/(INDEX(E0!J$4:J$52,C286,1)-INDEX(E0!J$4:J$52,D286,1))))*100000000</f>
        <v>0</v>
      </c>
      <c r="F286" s="4" t="str">
        <f>HYPERLINK("http://141.218.60.56/~jnz1568/getInfo.php?workbook=08_02.xlsx&amp;sheet=A0&amp;row=286&amp;col=6&amp;number=&amp;sourceID=27","")</f>
        <v/>
      </c>
      <c r="G286" s="4" t="str">
        <f>HYPERLINK("http://141.218.60.56/~jnz1568/getInfo.php?workbook=08_02.xlsx&amp;sheet=A0&amp;row=286&amp;col=7&amp;number=&amp;sourceID=34","")</f>
        <v/>
      </c>
      <c r="H286" s="4" t="str">
        <f>HYPERLINK("http://141.218.60.56/~jnz1568/getInfo.php?workbook=08_02.xlsx&amp;sheet=A0&amp;row=286&amp;col=8&amp;number=&amp;sourceID=34","")</f>
        <v/>
      </c>
      <c r="I286" s="4" t="str">
        <f>HYPERLINK("http://141.218.60.56/~jnz1568/getInfo.php?workbook=08_02.xlsx&amp;sheet=A0&amp;row=286&amp;col=9&amp;number=&amp;sourceID=34","")</f>
        <v/>
      </c>
      <c r="J286" s="4" t="str">
        <f>HYPERLINK("http://141.218.60.56/~jnz1568/getInfo.php?workbook=08_02.xlsx&amp;sheet=A0&amp;row=286&amp;col=10&amp;number=&amp;sourceID=34","")</f>
        <v/>
      </c>
      <c r="K286" s="4" t="str">
        <f>HYPERLINK("http://141.218.60.56/~jnz1568/getInfo.php?workbook=08_02.xlsx&amp;sheet=A0&amp;row=286&amp;col=11&amp;number=&amp;sourceID=30","")</f>
        <v/>
      </c>
      <c r="L286" s="4" t="str">
        <f>HYPERLINK("http://141.218.60.56/~jnz1568/getInfo.php?workbook=08_02.xlsx&amp;sheet=A0&amp;row=286&amp;col=12&amp;number=155300&amp;sourceID=30","155300")</f>
        <v>155300</v>
      </c>
      <c r="M286" s="4" t="str">
        <f>HYPERLINK("http://141.218.60.56/~jnz1568/getInfo.php?workbook=08_02.xlsx&amp;sheet=A0&amp;row=286&amp;col=13&amp;number=0.0003937&amp;sourceID=30","0.0003937")</f>
        <v>0.0003937</v>
      </c>
      <c r="N286" s="4" t="str">
        <f>HYPERLINK("http://141.218.60.56/~jnz1568/getInfo.php?workbook=08_02.xlsx&amp;sheet=A0&amp;row=286&amp;col=14&amp;number=&amp;sourceID=30","")</f>
        <v/>
      </c>
      <c r="O286" s="4" t="str">
        <f>HYPERLINK("http://141.218.60.56/~jnz1568/getInfo.php?workbook=08_02.xlsx&amp;sheet=A0&amp;row=286&amp;col=15&amp;number=&amp;sourceID=32","")</f>
        <v/>
      </c>
      <c r="P286" s="4" t="str">
        <f>HYPERLINK("http://141.218.60.56/~jnz1568/getInfo.php?workbook=08_02.xlsx&amp;sheet=A0&amp;row=286&amp;col=16&amp;number=153900&amp;sourceID=32","153900")</f>
        <v>153900</v>
      </c>
      <c r="Q286" s="4" t="str">
        <f>HYPERLINK("http://141.218.60.56/~jnz1568/getInfo.php?workbook=08_02.xlsx&amp;sheet=A0&amp;row=286&amp;col=17&amp;number=0.0006202&amp;sourceID=32","0.0006202")</f>
        <v>0.0006202</v>
      </c>
      <c r="R286" s="4" t="str">
        <f>HYPERLINK("http://141.218.60.56/~jnz1568/getInfo.php?workbook=08_02.xlsx&amp;sheet=A0&amp;row=286&amp;col=18&amp;number=&amp;sourceID=32","")</f>
        <v/>
      </c>
      <c r="S286" s="4" t="str">
        <f>HYPERLINK("http://141.218.60.56/~jnz1568/getInfo.php?workbook=08_02.xlsx&amp;sheet=A0&amp;row=286&amp;col=19&amp;number=&amp;sourceID=1","")</f>
        <v/>
      </c>
      <c r="T286" s="4" t="str">
        <f>HYPERLINK("http://141.218.60.56/~jnz1568/getInfo.php?workbook=08_02.xlsx&amp;sheet=A0&amp;row=286&amp;col=20&amp;number=&amp;sourceID=1","")</f>
        <v/>
      </c>
    </row>
    <row r="287" spans="1:20">
      <c r="A287" s="3">
        <v>8</v>
      </c>
      <c r="B287" s="3">
        <v>2</v>
      </c>
      <c r="C287" s="3">
        <v>27</v>
      </c>
      <c r="D287" s="3">
        <v>13</v>
      </c>
      <c r="E287" s="3">
        <f>((1/(INDEX(E0!J$4:J$52,C287,1)-INDEX(E0!J$4:J$52,D287,1))))*100000000</f>
        <v>0</v>
      </c>
      <c r="F287" s="4" t="str">
        <f>HYPERLINK("http://141.218.60.56/~jnz1568/getInfo.php?workbook=08_02.xlsx&amp;sheet=A0&amp;row=287&amp;col=6&amp;number=&amp;sourceID=27","")</f>
        <v/>
      </c>
      <c r="G287" s="4" t="str">
        <f>HYPERLINK("http://141.218.60.56/~jnz1568/getInfo.php?workbook=08_02.xlsx&amp;sheet=A0&amp;row=287&amp;col=7&amp;number=&amp;sourceID=34","")</f>
        <v/>
      </c>
      <c r="H287" s="4" t="str">
        <f>HYPERLINK("http://141.218.60.56/~jnz1568/getInfo.php?workbook=08_02.xlsx&amp;sheet=A0&amp;row=287&amp;col=8&amp;number=&amp;sourceID=34","")</f>
        <v/>
      </c>
      <c r="I287" s="4" t="str">
        <f>HYPERLINK("http://141.218.60.56/~jnz1568/getInfo.php?workbook=08_02.xlsx&amp;sheet=A0&amp;row=287&amp;col=9&amp;number=&amp;sourceID=34","")</f>
        <v/>
      </c>
      <c r="J287" s="4" t="str">
        <f>HYPERLINK("http://141.218.60.56/~jnz1568/getInfo.php?workbook=08_02.xlsx&amp;sheet=A0&amp;row=287&amp;col=10&amp;number=&amp;sourceID=34","")</f>
        <v/>
      </c>
      <c r="K287" s="4" t="str">
        <f>HYPERLINK("http://141.218.60.56/~jnz1568/getInfo.php?workbook=08_02.xlsx&amp;sheet=A0&amp;row=287&amp;col=11&amp;number=&amp;sourceID=30","")</f>
        <v/>
      </c>
      <c r="L287" s="4" t="str">
        <f>HYPERLINK("http://141.218.60.56/~jnz1568/getInfo.php?workbook=08_02.xlsx&amp;sheet=A0&amp;row=287&amp;col=12&amp;number=&amp;sourceID=30","")</f>
        <v/>
      </c>
      <c r="M287" s="4" t="str">
        <f>HYPERLINK("http://141.218.60.56/~jnz1568/getInfo.php?workbook=08_02.xlsx&amp;sheet=A0&amp;row=287&amp;col=13&amp;number=&amp;sourceID=30","")</f>
        <v/>
      </c>
      <c r="N287" s="4" t="str">
        <f>HYPERLINK("http://141.218.60.56/~jnz1568/getInfo.php?workbook=08_02.xlsx&amp;sheet=A0&amp;row=287&amp;col=14&amp;number=0.6122&amp;sourceID=30","0.6122")</f>
        <v>0.6122</v>
      </c>
      <c r="O287" s="4" t="str">
        <f>HYPERLINK("http://141.218.60.56/~jnz1568/getInfo.php?workbook=08_02.xlsx&amp;sheet=A0&amp;row=287&amp;col=15&amp;number=&amp;sourceID=32","")</f>
        <v/>
      </c>
      <c r="P287" s="4" t="str">
        <f>HYPERLINK("http://141.218.60.56/~jnz1568/getInfo.php?workbook=08_02.xlsx&amp;sheet=A0&amp;row=287&amp;col=16&amp;number=&amp;sourceID=32","")</f>
        <v/>
      </c>
      <c r="Q287" s="4" t="str">
        <f>HYPERLINK("http://141.218.60.56/~jnz1568/getInfo.php?workbook=08_02.xlsx&amp;sheet=A0&amp;row=287&amp;col=17&amp;number=&amp;sourceID=32","")</f>
        <v/>
      </c>
      <c r="R287" s="4" t="str">
        <f>HYPERLINK("http://141.218.60.56/~jnz1568/getInfo.php?workbook=08_02.xlsx&amp;sheet=A0&amp;row=287&amp;col=18&amp;number=0.6488&amp;sourceID=32","0.6488")</f>
        <v>0.6488</v>
      </c>
      <c r="S287" s="4" t="str">
        <f>HYPERLINK("http://141.218.60.56/~jnz1568/getInfo.php?workbook=08_02.xlsx&amp;sheet=A0&amp;row=287&amp;col=19&amp;number=&amp;sourceID=1","")</f>
        <v/>
      </c>
      <c r="T287" s="4" t="str">
        <f>HYPERLINK("http://141.218.60.56/~jnz1568/getInfo.php?workbook=08_02.xlsx&amp;sheet=A0&amp;row=287&amp;col=20&amp;number=&amp;sourceID=1","")</f>
        <v/>
      </c>
    </row>
    <row r="288" spans="1:20">
      <c r="A288" s="3">
        <v>8</v>
      </c>
      <c r="B288" s="3">
        <v>2</v>
      </c>
      <c r="C288" s="3">
        <v>27</v>
      </c>
      <c r="D288" s="3">
        <v>14</v>
      </c>
      <c r="E288" s="3">
        <f>((1/(INDEX(E0!J$4:J$52,C288,1)-INDEX(E0!J$4:J$52,D288,1))))*100000000</f>
        <v>0</v>
      </c>
      <c r="F288" s="4" t="str">
        <f>HYPERLINK("http://141.218.60.56/~jnz1568/getInfo.php?workbook=08_02.xlsx&amp;sheet=A0&amp;row=288&amp;col=6&amp;number=&amp;sourceID=27","")</f>
        <v/>
      </c>
      <c r="G288" s="4" t="str">
        <f>HYPERLINK("http://141.218.60.56/~jnz1568/getInfo.php?workbook=08_02.xlsx&amp;sheet=A0&amp;row=288&amp;col=7&amp;number=&amp;sourceID=34","")</f>
        <v/>
      </c>
      <c r="H288" s="4" t="str">
        <f>HYPERLINK("http://141.218.60.56/~jnz1568/getInfo.php?workbook=08_02.xlsx&amp;sheet=A0&amp;row=288&amp;col=8&amp;number=&amp;sourceID=34","")</f>
        <v/>
      </c>
      <c r="I288" s="4" t="str">
        <f>HYPERLINK("http://141.218.60.56/~jnz1568/getInfo.php?workbook=08_02.xlsx&amp;sheet=A0&amp;row=288&amp;col=9&amp;number=&amp;sourceID=34","")</f>
        <v/>
      </c>
      <c r="J288" s="4" t="str">
        <f>HYPERLINK("http://141.218.60.56/~jnz1568/getInfo.php?workbook=08_02.xlsx&amp;sheet=A0&amp;row=288&amp;col=10&amp;number=&amp;sourceID=34","")</f>
        <v/>
      </c>
      <c r="K288" s="4" t="str">
        <f>HYPERLINK("http://141.218.60.56/~jnz1568/getInfo.php?workbook=08_02.xlsx&amp;sheet=A0&amp;row=288&amp;col=11&amp;number=21460000000&amp;sourceID=30","21460000000")</f>
        <v>21460000000</v>
      </c>
      <c r="L288" s="4" t="str">
        <f>HYPERLINK("http://141.218.60.56/~jnz1568/getInfo.php?workbook=08_02.xlsx&amp;sheet=A0&amp;row=288&amp;col=12&amp;number=&amp;sourceID=30","")</f>
        <v/>
      </c>
      <c r="M288" s="4" t="str">
        <f>HYPERLINK("http://141.218.60.56/~jnz1568/getInfo.php?workbook=08_02.xlsx&amp;sheet=A0&amp;row=288&amp;col=13&amp;number=&amp;sourceID=30","")</f>
        <v/>
      </c>
      <c r="N288" s="4" t="str">
        <f>HYPERLINK("http://141.218.60.56/~jnz1568/getInfo.php?workbook=08_02.xlsx&amp;sheet=A0&amp;row=288&amp;col=14&amp;number=4.114&amp;sourceID=30","4.114")</f>
        <v>4.114</v>
      </c>
      <c r="O288" s="4" t="str">
        <f>HYPERLINK("http://141.218.60.56/~jnz1568/getInfo.php?workbook=08_02.xlsx&amp;sheet=A0&amp;row=288&amp;col=15&amp;number=21610000000&amp;sourceID=32","21610000000")</f>
        <v>21610000000</v>
      </c>
      <c r="P288" s="4" t="str">
        <f>HYPERLINK("http://141.218.60.56/~jnz1568/getInfo.php?workbook=08_02.xlsx&amp;sheet=A0&amp;row=288&amp;col=16&amp;number=&amp;sourceID=32","")</f>
        <v/>
      </c>
      <c r="Q288" s="4" t="str">
        <f>HYPERLINK("http://141.218.60.56/~jnz1568/getInfo.php?workbook=08_02.xlsx&amp;sheet=A0&amp;row=288&amp;col=17&amp;number=&amp;sourceID=32","")</f>
        <v/>
      </c>
      <c r="R288" s="4" t="str">
        <f>HYPERLINK("http://141.218.60.56/~jnz1568/getInfo.php?workbook=08_02.xlsx&amp;sheet=A0&amp;row=288&amp;col=18&amp;number=4.019&amp;sourceID=32","4.019")</f>
        <v>4.019</v>
      </c>
      <c r="S288" s="4" t="str">
        <f>HYPERLINK("http://141.218.60.56/~jnz1568/getInfo.php?workbook=08_02.xlsx&amp;sheet=A0&amp;row=288&amp;col=19&amp;number=&amp;sourceID=1","")</f>
        <v/>
      </c>
      <c r="T288" s="4" t="str">
        <f>HYPERLINK("http://141.218.60.56/~jnz1568/getInfo.php?workbook=08_02.xlsx&amp;sheet=A0&amp;row=288&amp;col=20&amp;number=&amp;sourceID=1","")</f>
        <v/>
      </c>
    </row>
    <row r="289" spans="1:20">
      <c r="A289" s="3">
        <v>8</v>
      </c>
      <c r="B289" s="3">
        <v>2</v>
      </c>
      <c r="C289" s="3">
        <v>27</v>
      </c>
      <c r="D289" s="3">
        <v>15</v>
      </c>
      <c r="E289" s="3">
        <f>((1/(INDEX(E0!J$4:J$52,C289,1)-INDEX(E0!J$4:J$52,D289,1))))*100000000</f>
        <v>0</v>
      </c>
      <c r="F289" s="4" t="str">
        <f>HYPERLINK("http://141.218.60.56/~jnz1568/getInfo.php?workbook=08_02.xlsx&amp;sheet=A0&amp;row=289&amp;col=6&amp;number=&amp;sourceID=27","")</f>
        <v/>
      </c>
      <c r="G289" s="4" t="str">
        <f>HYPERLINK("http://141.218.60.56/~jnz1568/getInfo.php?workbook=08_02.xlsx&amp;sheet=A0&amp;row=289&amp;col=7&amp;number=&amp;sourceID=34","")</f>
        <v/>
      </c>
      <c r="H289" s="4" t="str">
        <f>HYPERLINK("http://141.218.60.56/~jnz1568/getInfo.php?workbook=08_02.xlsx&amp;sheet=A0&amp;row=289&amp;col=8&amp;number=&amp;sourceID=34","")</f>
        <v/>
      </c>
      <c r="I289" s="4" t="str">
        <f>HYPERLINK("http://141.218.60.56/~jnz1568/getInfo.php?workbook=08_02.xlsx&amp;sheet=A0&amp;row=289&amp;col=9&amp;number=&amp;sourceID=34","")</f>
        <v/>
      </c>
      <c r="J289" s="4" t="str">
        <f>HYPERLINK("http://141.218.60.56/~jnz1568/getInfo.php?workbook=08_02.xlsx&amp;sheet=A0&amp;row=289&amp;col=10&amp;number=&amp;sourceID=34","")</f>
        <v/>
      </c>
      <c r="K289" s="4" t="str">
        <f>HYPERLINK("http://141.218.60.56/~jnz1568/getInfo.php?workbook=08_02.xlsx&amp;sheet=A0&amp;row=289&amp;col=11&amp;number=2264000000&amp;sourceID=30","2264000000")</f>
        <v>2264000000</v>
      </c>
      <c r="L289" s="4" t="str">
        <f>HYPERLINK("http://141.218.60.56/~jnz1568/getInfo.php?workbook=08_02.xlsx&amp;sheet=A0&amp;row=289&amp;col=12&amp;number=&amp;sourceID=30","")</f>
        <v/>
      </c>
      <c r="M289" s="4" t="str">
        <f>HYPERLINK("http://141.218.60.56/~jnz1568/getInfo.php?workbook=08_02.xlsx&amp;sheet=A0&amp;row=289&amp;col=13&amp;number=&amp;sourceID=30","")</f>
        <v/>
      </c>
      <c r="N289" s="4" t="str">
        <f>HYPERLINK("http://141.218.60.56/~jnz1568/getInfo.php?workbook=08_02.xlsx&amp;sheet=A0&amp;row=289&amp;col=14&amp;number=0.01363&amp;sourceID=30","0.01363")</f>
        <v>0.01363</v>
      </c>
      <c r="O289" s="4" t="str">
        <f>HYPERLINK("http://141.218.60.56/~jnz1568/getInfo.php?workbook=08_02.xlsx&amp;sheet=A0&amp;row=289&amp;col=15&amp;number=2233000000&amp;sourceID=32","2233000000")</f>
        <v>2233000000</v>
      </c>
      <c r="P289" s="4" t="str">
        <f>HYPERLINK("http://141.218.60.56/~jnz1568/getInfo.php?workbook=08_02.xlsx&amp;sheet=A0&amp;row=289&amp;col=16&amp;number=&amp;sourceID=32","")</f>
        <v/>
      </c>
      <c r="Q289" s="4" t="str">
        <f>HYPERLINK("http://141.218.60.56/~jnz1568/getInfo.php?workbook=08_02.xlsx&amp;sheet=A0&amp;row=289&amp;col=17&amp;number=&amp;sourceID=32","")</f>
        <v/>
      </c>
      <c r="R289" s="4" t="str">
        <f>HYPERLINK("http://141.218.60.56/~jnz1568/getInfo.php?workbook=08_02.xlsx&amp;sheet=A0&amp;row=289&amp;col=18&amp;number=0.008762&amp;sourceID=32","0.008762")</f>
        <v>0.008762</v>
      </c>
      <c r="S289" s="4" t="str">
        <f>HYPERLINK("http://141.218.60.56/~jnz1568/getInfo.php?workbook=08_02.xlsx&amp;sheet=A0&amp;row=289&amp;col=19&amp;number=&amp;sourceID=1","")</f>
        <v/>
      </c>
      <c r="T289" s="4" t="str">
        <f>HYPERLINK("http://141.218.60.56/~jnz1568/getInfo.php?workbook=08_02.xlsx&amp;sheet=A0&amp;row=289&amp;col=20&amp;number=&amp;sourceID=1","")</f>
        <v/>
      </c>
    </row>
    <row r="290" spans="1:20">
      <c r="A290" s="3">
        <v>8</v>
      </c>
      <c r="B290" s="3">
        <v>2</v>
      </c>
      <c r="C290" s="3">
        <v>27</v>
      </c>
      <c r="D290" s="3">
        <v>16</v>
      </c>
      <c r="E290" s="3">
        <f>((1/(INDEX(E0!J$4:J$52,C290,1)-INDEX(E0!J$4:J$52,D290,1))))*100000000</f>
        <v>0</v>
      </c>
      <c r="F290" s="4" t="str">
        <f>HYPERLINK("http://141.218.60.56/~jnz1568/getInfo.php?workbook=08_02.xlsx&amp;sheet=A0&amp;row=290&amp;col=6&amp;number=&amp;sourceID=27","")</f>
        <v/>
      </c>
      <c r="G290" s="4" t="str">
        <f>HYPERLINK("http://141.218.60.56/~jnz1568/getInfo.php?workbook=08_02.xlsx&amp;sheet=A0&amp;row=290&amp;col=7&amp;number=&amp;sourceID=34","")</f>
        <v/>
      </c>
      <c r="H290" s="4" t="str">
        <f>HYPERLINK("http://141.218.60.56/~jnz1568/getInfo.php?workbook=08_02.xlsx&amp;sheet=A0&amp;row=290&amp;col=8&amp;number=&amp;sourceID=34","")</f>
        <v/>
      </c>
      <c r="I290" s="4" t="str">
        <f>HYPERLINK("http://141.218.60.56/~jnz1568/getInfo.php?workbook=08_02.xlsx&amp;sheet=A0&amp;row=290&amp;col=9&amp;number=&amp;sourceID=34","")</f>
        <v/>
      </c>
      <c r="J290" s="4" t="str">
        <f>HYPERLINK("http://141.218.60.56/~jnz1568/getInfo.php?workbook=08_02.xlsx&amp;sheet=A0&amp;row=290&amp;col=10&amp;number=&amp;sourceID=34","")</f>
        <v/>
      </c>
      <c r="K290" s="4" t="str">
        <f>HYPERLINK("http://141.218.60.56/~jnz1568/getInfo.php?workbook=08_02.xlsx&amp;sheet=A0&amp;row=290&amp;col=11&amp;number=9423000000&amp;sourceID=30","9423000000")</f>
        <v>9423000000</v>
      </c>
      <c r="L290" s="4" t="str">
        <f>HYPERLINK("http://141.218.60.56/~jnz1568/getInfo.php?workbook=08_02.xlsx&amp;sheet=A0&amp;row=290&amp;col=12&amp;number=&amp;sourceID=30","")</f>
        <v/>
      </c>
      <c r="M290" s="4" t="str">
        <f>HYPERLINK("http://141.218.60.56/~jnz1568/getInfo.php?workbook=08_02.xlsx&amp;sheet=A0&amp;row=290&amp;col=13&amp;number=&amp;sourceID=30","")</f>
        <v/>
      </c>
      <c r="N290" s="4" t="str">
        <f>HYPERLINK("http://141.218.60.56/~jnz1568/getInfo.php?workbook=08_02.xlsx&amp;sheet=A0&amp;row=290&amp;col=14&amp;number=0.9265&amp;sourceID=30","0.9265")</f>
        <v>0.9265</v>
      </c>
      <c r="O290" s="4" t="str">
        <f>HYPERLINK("http://141.218.60.56/~jnz1568/getInfo.php?workbook=08_02.xlsx&amp;sheet=A0&amp;row=290&amp;col=15&amp;number=9306000000&amp;sourceID=32","9306000000")</f>
        <v>9306000000</v>
      </c>
      <c r="P290" s="4" t="str">
        <f>HYPERLINK("http://141.218.60.56/~jnz1568/getInfo.php?workbook=08_02.xlsx&amp;sheet=A0&amp;row=290&amp;col=16&amp;number=&amp;sourceID=32","")</f>
        <v/>
      </c>
      <c r="Q290" s="4" t="str">
        <f>HYPERLINK("http://141.218.60.56/~jnz1568/getInfo.php?workbook=08_02.xlsx&amp;sheet=A0&amp;row=290&amp;col=17&amp;number=&amp;sourceID=32","")</f>
        <v/>
      </c>
      <c r="R290" s="4" t="str">
        <f>HYPERLINK("http://141.218.60.56/~jnz1568/getInfo.php?workbook=08_02.xlsx&amp;sheet=A0&amp;row=290&amp;col=18&amp;number=0.9596&amp;sourceID=32","0.9596")</f>
        <v>0.9596</v>
      </c>
      <c r="S290" s="4" t="str">
        <f>HYPERLINK("http://141.218.60.56/~jnz1568/getInfo.php?workbook=08_02.xlsx&amp;sheet=A0&amp;row=290&amp;col=19&amp;number=&amp;sourceID=1","")</f>
        <v/>
      </c>
      <c r="T290" s="4" t="str">
        <f>HYPERLINK("http://141.218.60.56/~jnz1568/getInfo.php?workbook=08_02.xlsx&amp;sheet=A0&amp;row=290&amp;col=20&amp;number=&amp;sourceID=1","")</f>
        <v/>
      </c>
    </row>
    <row r="291" spans="1:20">
      <c r="A291" s="3">
        <v>8</v>
      </c>
      <c r="B291" s="3">
        <v>2</v>
      </c>
      <c r="C291" s="3">
        <v>27</v>
      </c>
      <c r="D291" s="3">
        <v>17</v>
      </c>
      <c r="E291" s="3">
        <f>((1/(INDEX(E0!J$4:J$52,C291,1)-INDEX(E0!J$4:J$52,D291,1))))*100000000</f>
        <v>0</v>
      </c>
      <c r="F291" s="4" t="str">
        <f>HYPERLINK("http://141.218.60.56/~jnz1568/getInfo.php?workbook=08_02.xlsx&amp;sheet=A0&amp;row=291&amp;col=6&amp;number=&amp;sourceID=27","")</f>
        <v/>
      </c>
      <c r="G291" s="4" t="str">
        <f>HYPERLINK("http://141.218.60.56/~jnz1568/getInfo.php?workbook=08_02.xlsx&amp;sheet=A0&amp;row=291&amp;col=7&amp;number=&amp;sourceID=34","")</f>
        <v/>
      </c>
      <c r="H291" s="4" t="str">
        <f>HYPERLINK("http://141.218.60.56/~jnz1568/getInfo.php?workbook=08_02.xlsx&amp;sheet=A0&amp;row=291&amp;col=8&amp;number=&amp;sourceID=34","")</f>
        <v/>
      </c>
      <c r="I291" s="4" t="str">
        <f>HYPERLINK("http://141.218.60.56/~jnz1568/getInfo.php?workbook=08_02.xlsx&amp;sheet=A0&amp;row=291&amp;col=9&amp;number=&amp;sourceID=34","")</f>
        <v/>
      </c>
      <c r="J291" s="4" t="str">
        <f>HYPERLINK("http://141.218.60.56/~jnz1568/getInfo.php?workbook=08_02.xlsx&amp;sheet=A0&amp;row=291&amp;col=10&amp;number=&amp;sourceID=34","")</f>
        <v/>
      </c>
      <c r="K291" s="4" t="str">
        <f>HYPERLINK("http://141.218.60.56/~jnz1568/getInfo.php?workbook=08_02.xlsx&amp;sheet=A0&amp;row=291&amp;col=11&amp;number=&amp;sourceID=30","")</f>
        <v/>
      </c>
      <c r="L291" s="4" t="str">
        <f>HYPERLINK("http://141.218.60.56/~jnz1568/getInfo.php?workbook=08_02.xlsx&amp;sheet=A0&amp;row=291&amp;col=12&amp;number=244900&amp;sourceID=30","244900")</f>
        <v>244900</v>
      </c>
      <c r="M291" s="4" t="str">
        <f>HYPERLINK("http://141.218.60.56/~jnz1568/getInfo.php?workbook=08_02.xlsx&amp;sheet=A0&amp;row=291&amp;col=13&amp;number=&amp;sourceID=30","")</f>
        <v/>
      </c>
      <c r="N291" s="4" t="str">
        <f>HYPERLINK("http://141.218.60.56/~jnz1568/getInfo.php?workbook=08_02.xlsx&amp;sheet=A0&amp;row=291&amp;col=14&amp;number=&amp;sourceID=30","")</f>
        <v/>
      </c>
      <c r="O291" s="4" t="str">
        <f>HYPERLINK("http://141.218.60.56/~jnz1568/getInfo.php?workbook=08_02.xlsx&amp;sheet=A0&amp;row=291&amp;col=15&amp;number=&amp;sourceID=32","")</f>
        <v/>
      </c>
      <c r="P291" s="4" t="str">
        <f>HYPERLINK("http://141.218.60.56/~jnz1568/getInfo.php?workbook=08_02.xlsx&amp;sheet=A0&amp;row=291&amp;col=16&amp;number=252200&amp;sourceID=32","252200")</f>
        <v>252200</v>
      </c>
      <c r="Q291" s="4" t="str">
        <f>HYPERLINK("http://141.218.60.56/~jnz1568/getInfo.php?workbook=08_02.xlsx&amp;sheet=A0&amp;row=291&amp;col=17&amp;number=&amp;sourceID=32","")</f>
        <v/>
      </c>
      <c r="R291" s="4" t="str">
        <f>HYPERLINK("http://141.218.60.56/~jnz1568/getInfo.php?workbook=08_02.xlsx&amp;sheet=A0&amp;row=291&amp;col=18&amp;number=&amp;sourceID=32","")</f>
        <v/>
      </c>
      <c r="S291" s="4" t="str">
        <f>HYPERLINK("http://141.218.60.56/~jnz1568/getInfo.php?workbook=08_02.xlsx&amp;sheet=A0&amp;row=291&amp;col=19&amp;number=&amp;sourceID=1","")</f>
        <v/>
      </c>
      <c r="T291" s="4" t="str">
        <f>HYPERLINK("http://141.218.60.56/~jnz1568/getInfo.php?workbook=08_02.xlsx&amp;sheet=A0&amp;row=291&amp;col=20&amp;number=&amp;sourceID=1","")</f>
        <v/>
      </c>
    </row>
    <row r="292" spans="1:20">
      <c r="A292" s="3">
        <v>8</v>
      </c>
      <c r="B292" s="3">
        <v>2</v>
      </c>
      <c r="C292" s="3">
        <v>27</v>
      </c>
      <c r="D292" s="3">
        <v>18</v>
      </c>
      <c r="E292" s="3">
        <f>((1/(INDEX(E0!J$4:J$52,C292,1)-INDEX(E0!J$4:J$52,D292,1))))*100000000</f>
        <v>0</v>
      </c>
      <c r="F292" s="4" t="str">
        <f>HYPERLINK("http://141.218.60.56/~jnz1568/getInfo.php?workbook=08_02.xlsx&amp;sheet=A0&amp;row=292&amp;col=6&amp;number=&amp;sourceID=27","")</f>
        <v/>
      </c>
      <c r="G292" s="4" t="str">
        <f>HYPERLINK("http://141.218.60.56/~jnz1568/getInfo.php?workbook=08_02.xlsx&amp;sheet=A0&amp;row=292&amp;col=7&amp;number=&amp;sourceID=34","")</f>
        <v/>
      </c>
      <c r="H292" s="4" t="str">
        <f>HYPERLINK("http://141.218.60.56/~jnz1568/getInfo.php?workbook=08_02.xlsx&amp;sheet=A0&amp;row=292&amp;col=8&amp;number=&amp;sourceID=34","")</f>
        <v/>
      </c>
      <c r="I292" s="4" t="str">
        <f>HYPERLINK("http://141.218.60.56/~jnz1568/getInfo.php?workbook=08_02.xlsx&amp;sheet=A0&amp;row=292&amp;col=9&amp;number=&amp;sourceID=34","")</f>
        <v/>
      </c>
      <c r="J292" s="4" t="str">
        <f>HYPERLINK("http://141.218.60.56/~jnz1568/getInfo.php?workbook=08_02.xlsx&amp;sheet=A0&amp;row=292&amp;col=10&amp;number=&amp;sourceID=34","")</f>
        <v/>
      </c>
      <c r="K292" s="4" t="str">
        <f>HYPERLINK("http://141.218.60.56/~jnz1568/getInfo.php?workbook=08_02.xlsx&amp;sheet=A0&amp;row=292&amp;col=11&amp;number=&amp;sourceID=30","")</f>
        <v/>
      </c>
      <c r="L292" s="4" t="str">
        <f>HYPERLINK("http://141.218.60.56/~jnz1568/getInfo.php?workbook=08_02.xlsx&amp;sheet=A0&amp;row=292&amp;col=12&amp;number=&amp;sourceID=30","")</f>
        <v/>
      </c>
      <c r="M292" s="4" t="str">
        <f>HYPERLINK("http://141.218.60.56/~jnz1568/getInfo.php?workbook=08_02.xlsx&amp;sheet=A0&amp;row=292&amp;col=13&amp;number=&amp;sourceID=30","")</f>
        <v/>
      </c>
      <c r="N292" s="4" t="str">
        <f>HYPERLINK("http://141.218.60.56/~jnz1568/getInfo.php?workbook=08_02.xlsx&amp;sheet=A0&amp;row=292&amp;col=14&amp;number=3e-15&amp;sourceID=30","3e-15")</f>
        <v>3e-15</v>
      </c>
      <c r="O292" s="4" t="str">
        <f>HYPERLINK("http://141.218.60.56/~jnz1568/getInfo.php?workbook=08_02.xlsx&amp;sheet=A0&amp;row=292&amp;col=15&amp;number=&amp;sourceID=32","")</f>
        <v/>
      </c>
      <c r="P292" s="4" t="str">
        <f>HYPERLINK("http://141.218.60.56/~jnz1568/getInfo.php?workbook=08_02.xlsx&amp;sheet=A0&amp;row=292&amp;col=16&amp;number=&amp;sourceID=32","")</f>
        <v/>
      </c>
      <c r="Q292" s="4" t="str">
        <f>HYPERLINK("http://141.218.60.56/~jnz1568/getInfo.php?workbook=08_02.xlsx&amp;sheet=A0&amp;row=292&amp;col=17&amp;number=&amp;sourceID=32","")</f>
        <v/>
      </c>
      <c r="R292" s="4" t="str">
        <f>HYPERLINK("http://141.218.60.56/~jnz1568/getInfo.php?workbook=08_02.xlsx&amp;sheet=A0&amp;row=292&amp;col=18&amp;number=3e-15&amp;sourceID=32","3e-15")</f>
        <v>3e-15</v>
      </c>
      <c r="S292" s="4" t="str">
        <f>HYPERLINK("http://141.218.60.56/~jnz1568/getInfo.php?workbook=08_02.xlsx&amp;sheet=A0&amp;row=292&amp;col=19&amp;number=&amp;sourceID=1","")</f>
        <v/>
      </c>
      <c r="T292" s="4" t="str">
        <f>HYPERLINK("http://141.218.60.56/~jnz1568/getInfo.php?workbook=08_02.xlsx&amp;sheet=A0&amp;row=292&amp;col=20&amp;number=&amp;sourceID=1","")</f>
        <v/>
      </c>
    </row>
    <row r="293" spans="1:20">
      <c r="A293" s="3">
        <v>8</v>
      </c>
      <c r="B293" s="3">
        <v>2</v>
      </c>
      <c r="C293" s="3">
        <v>27</v>
      </c>
      <c r="D293" s="3">
        <v>20</v>
      </c>
      <c r="E293" s="3">
        <f>((1/(INDEX(E0!J$4:J$52,C293,1)-INDEX(E0!J$4:J$52,D293,1))))*100000000</f>
        <v>0</v>
      </c>
      <c r="F293" s="4" t="str">
        <f>HYPERLINK("http://141.218.60.56/~jnz1568/getInfo.php?workbook=08_02.xlsx&amp;sheet=A0&amp;row=293&amp;col=6&amp;number=&amp;sourceID=27","")</f>
        <v/>
      </c>
      <c r="G293" s="4" t="str">
        <f>HYPERLINK("http://141.218.60.56/~jnz1568/getInfo.php?workbook=08_02.xlsx&amp;sheet=A0&amp;row=293&amp;col=7&amp;number=&amp;sourceID=34","")</f>
        <v/>
      </c>
      <c r="H293" s="4" t="str">
        <f>HYPERLINK("http://141.218.60.56/~jnz1568/getInfo.php?workbook=08_02.xlsx&amp;sheet=A0&amp;row=293&amp;col=8&amp;number=&amp;sourceID=34","")</f>
        <v/>
      </c>
      <c r="I293" s="4" t="str">
        <f>HYPERLINK("http://141.218.60.56/~jnz1568/getInfo.php?workbook=08_02.xlsx&amp;sheet=A0&amp;row=293&amp;col=9&amp;number=&amp;sourceID=34","")</f>
        <v/>
      </c>
      <c r="J293" s="4" t="str">
        <f>HYPERLINK("http://141.218.60.56/~jnz1568/getInfo.php?workbook=08_02.xlsx&amp;sheet=A0&amp;row=293&amp;col=10&amp;number=&amp;sourceID=34","")</f>
        <v/>
      </c>
      <c r="K293" s="4" t="str">
        <f>HYPERLINK("http://141.218.60.56/~jnz1568/getInfo.php?workbook=08_02.xlsx&amp;sheet=A0&amp;row=293&amp;col=11&amp;number=&amp;sourceID=30","")</f>
        <v/>
      </c>
      <c r="L293" s="4" t="str">
        <f>HYPERLINK("http://141.218.60.56/~jnz1568/getInfo.php?workbook=08_02.xlsx&amp;sheet=A0&amp;row=293&amp;col=12&amp;number=0.0004931&amp;sourceID=30","0.0004931")</f>
        <v>0.0004931</v>
      </c>
      <c r="M293" s="4" t="str">
        <f>HYPERLINK("http://141.218.60.56/~jnz1568/getInfo.php?workbook=08_02.xlsx&amp;sheet=A0&amp;row=293&amp;col=13&amp;number=&amp;sourceID=30","")</f>
        <v/>
      </c>
      <c r="N293" s="4" t="str">
        <f>HYPERLINK("http://141.218.60.56/~jnz1568/getInfo.php?workbook=08_02.xlsx&amp;sheet=A0&amp;row=293&amp;col=14&amp;number=&amp;sourceID=30","")</f>
        <v/>
      </c>
      <c r="O293" s="4" t="str">
        <f>HYPERLINK("http://141.218.60.56/~jnz1568/getInfo.php?workbook=08_02.xlsx&amp;sheet=A0&amp;row=293&amp;col=15&amp;number=&amp;sourceID=32","")</f>
        <v/>
      </c>
      <c r="P293" s="4" t="str">
        <f>HYPERLINK("http://141.218.60.56/~jnz1568/getInfo.php?workbook=08_02.xlsx&amp;sheet=A0&amp;row=293&amp;col=16&amp;number=0.0005832&amp;sourceID=32","0.0005832")</f>
        <v>0.0005832</v>
      </c>
      <c r="Q293" s="4" t="str">
        <f>HYPERLINK("http://141.218.60.56/~jnz1568/getInfo.php?workbook=08_02.xlsx&amp;sheet=A0&amp;row=293&amp;col=17&amp;number=&amp;sourceID=32","")</f>
        <v/>
      </c>
      <c r="R293" s="4" t="str">
        <f>HYPERLINK("http://141.218.60.56/~jnz1568/getInfo.php?workbook=08_02.xlsx&amp;sheet=A0&amp;row=293&amp;col=18&amp;number=&amp;sourceID=32","")</f>
        <v/>
      </c>
      <c r="S293" s="4" t="str">
        <f>HYPERLINK("http://141.218.60.56/~jnz1568/getInfo.php?workbook=08_02.xlsx&amp;sheet=A0&amp;row=293&amp;col=19&amp;number=&amp;sourceID=1","")</f>
        <v/>
      </c>
      <c r="T293" s="4" t="str">
        <f>HYPERLINK("http://141.218.60.56/~jnz1568/getInfo.php?workbook=08_02.xlsx&amp;sheet=A0&amp;row=293&amp;col=20&amp;number=&amp;sourceID=1","")</f>
        <v/>
      </c>
    </row>
    <row r="294" spans="1:20">
      <c r="A294" s="3">
        <v>8</v>
      </c>
      <c r="B294" s="3">
        <v>2</v>
      </c>
      <c r="C294" s="3">
        <v>27</v>
      </c>
      <c r="D294" s="3">
        <v>21</v>
      </c>
      <c r="E294" s="3">
        <f>((1/(INDEX(E0!J$4:J$52,C294,1)-INDEX(E0!J$4:J$52,D294,1))))*100000000</f>
        <v>0</v>
      </c>
      <c r="F294" s="4" t="str">
        <f>HYPERLINK("http://141.218.60.56/~jnz1568/getInfo.php?workbook=08_02.xlsx&amp;sheet=A0&amp;row=294&amp;col=6&amp;number=&amp;sourceID=27","")</f>
        <v/>
      </c>
      <c r="G294" s="4" t="str">
        <f>HYPERLINK("http://141.218.60.56/~jnz1568/getInfo.php?workbook=08_02.xlsx&amp;sheet=A0&amp;row=294&amp;col=7&amp;number=&amp;sourceID=34","")</f>
        <v/>
      </c>
      <c r="H294" s="4" t="str">
        <f>HYPERLINK("http://141.218.60.56/~jnz1568/getInfo.php?workbook=08_02.xlsx&amp;sheet=A0&amp;row=294&amp;col=8&amp;number=&amp;sourceID=34","")</f>
        <v/>
      </c>
      <c r="I294" s="4" t="str">
        <f>HYPERLINK("http://141.218.60.56/~jnz1568/getInfo.php?workbook=08_02.xlsx&amp;sheet=A0&amp;row=294&amp;col=9&amp;number=&amp;sourceID=34","")</f>
        <v/>
      </c>
      <c r="J294" s="4" t="str">
        <f>HYPERLINK("http://141.218.60.56/~jnz1568/getInfo.php?workbook=08_02.xlsx&amp;sheet=A0&amp;row=294&amp;col=10&amp;number=&amp;sourceID=34","")</f>
        <v/>
      </c>
      <c r="K294" s="4" t="str">
        <f>HYPERLINK("http://141.218.60.56/~jnz1568/getInfo.php?workbook=08_02.xlsx&amp;sheet=A0&amp;row=294&amp;col=11&amp;number=&amp;sourceID=30","")</f>
        <v/>
      </c>
      <c r="L294" s="4" t="str">
        <f>HYPERLINK("http://141.218.60.56/~jnz1568/getInfo.php?workbook=08_02.xlsx&amp;sheet=A0&amp;row=294&amp;col=12&amp;number=0.0002194&amp;sourceID=30","0.0002194")</f>
        <v>0.0002194</v>
      </c>
      <c r="M294" s="4" t="str">
        <f>HYPERLINK("http://141.218.60.56/~jnz1568/getInfo.php?workbook=08_02.xlsx&amp;sheet=A0&amp;row=294&amp;col=13&amp;number=1.24e-09&amp;sourceID=30","1.24e-09")</f>
        <v>1.24e-09</v>
      </c>
      <c r="N294" s="4" t="str">
        <f>HYPERLINK("http://141.218.60.56/~jnz1568/getInfo.php?workbook=08_02.xlsx&amp;sheet=A0&amp;row=294&amp;col=14&amp;number=&amp;sourceID=30","")</f>
        <v/>
      </c>
      <c r="O294" s="4" t="str">
        <f>HYPERLINK("http://141.218.60.56/~jnz1568/getInfo.php?workbook=08_02.xlsx&amp;sheet=A0&amp;row=294&amp;col=15&amp;number=&amp;sourceID=32","")</f>
        <v/>
      </c>
      <c r="P294" s="4" t="str">
        <f>HYPERLINK("http://141.218.60.56/~jnz1568/getInfo.php?workbook=08_02.xlsx&amp;sheet=A0&amp;row=294&amp;col=16&amp;number=0.0002594&amp;sourceID=32","0.0002594")</f>
        <v>0.0002594</v>
      </c>
      <c r="Q294" s="4" t="str">
        <f>HYPERLINK("http://141.218.60.56/~jnz1568/getInfo.php?workbook=08_02.xlsx&amp;sheet=A0&amp;row=294&amp;col=17&amp;number=1.54e-09&amp;sourceID=32","1.54e-09")</f>
        <v>1.54e-09</v>
      </c>
      <c r="R294" s="4" t="str">
        <f>HYPERLINK("http://141.218.60.56/~jnz1568/getInfo.php?workbook=08_02.xlsx&amp;sheet=A0&amp;row=294&amp;col=18&amp;number=&amp;sourceID=32","")</f>
        <v/>
      </c>
      <c r="S294" s="4" t="str">
        <f>HYPERLINK("http://141.218.60.56/~jnz1568/getInfo.php?workbook=08_02.xlsx&amp;sheet=A0&amp;row=294&amp;col=19&amp;number=&amp;sourceID=1","")</f>
        <v/>
      </c>
      <c r="T294" s="4" t="str">
        <f>HYPERLINK("http://141.218.60.56/~jnz1568/getInfo.php?workbook=08_02.xlsx&amp;sheet=A0&amp;row=294&amp;col=20&amp;number=&amp;sourceID=1","")</f>
        <v/>
      </c>
    </row>
    <row r="295" spans="1:20">
      <c r="A295" s="3">
        <v>8</v>
      </c>
      <c r="B295" s="3">
        <v>2</v>
      </c>
      <c r="C295" s="3">
        <v>27</v>
      </c>
      <c r="D295" s="3">
        <v>23</v>
      </c>
      <c r="E295" s="3">
        <f>((1/(INDEX(E0!J$4:J$52,C295,1)-INDEX(E0!J$4:J$52,D295,1))))*100000000</f>
        <v>0</v>
      </c>
      <c r="F295" s="4" t="str">
        <f>HYPERLINK("http://141.218.60.56/~jnz1568/getInfo.php?workbook=08_02.xlsx&amp;sheet=A0&amp;row=295&amp;col=6&amp;number=&amp;sourceID=27","")</f>
        <v/>
      </c>
      <c r="G295" s="4" t="str">
        <f>HYPERLINK("http://141.218.60.56/~jnz1568/getInfo.php?workbook=08_02.xlsx&amp;sheet=A0&amp;row=295&amp;col=7&amp;number=&amp;sourceID=34","")</f>
        <v/>
      </c>
      <c r="H295" s="4" t="str">
        <f>HYPERLINK("http://141.218.60.56/~jnz1568/getInfo.php?workbook=08_02.xlsx&amp;sheet=A0&amp;row=295&amp;col=8&amp;number=&amp;sourceID=34","")</f>
        <v/>
      </c>
      <c r="I295" s="4" t="str">
        <f>HYPERLINK("http://141.218.60.56/~jnz1568/getInfo.php?workbook=08_02.xlsx&amp;sheet=A0&amp;row=295&amp;col=9&amp;number=&amp;sourceID=34","")</f>
        <v/>
      </c>
      <c r="J295" s="4" t="str">
        <f>HYPERLINK("http://141.218.60.56/~jnz1568/getInfo.php?workbook=08_02.xlsx&amp;sheet=A0&amp;row=295&amp;col=10&amp;number=&amp;sourceID=34","")</f>
        <v/>
      </c>
      <c r="K295" s="4" t="str">
        <f>HYPERLINK("http://141.218.60.56/~jnz1568/getInfo.php?workbook=08_02.xlsx&amp;sheet=A0&amp;row=295&amp;col=11&amp;number=&amp;sourceID=30","")</f>
        <v/>
      </c>
      <c r="L295" s="4" t="str">
        <f>HYPERLINK("http://141.218.60.56/~jnz1568/getInfo.php?workbook=08_02.xlsx&amp;sheet=A0&amp;row=295&amp;col=12&amp;number=&amp;sourceID=30","")</f>
        <v/>
      </c>
      <c r="M295" s="4" t="str">
        <f>HYPERLINK("http://141.218.60.56/~jnz1568/getInfo.php?workbook=08_02.xlsx&amp;sheet=A0&amp;row=295&amp;col=13&amp;number=&amp;sourceID=30","")</f>
        <v/>
      </c>
      <c r="N295" s="4" t="str">
        <f>HYPERLINK("http://141.218.60.56/~jnz1568/getInfo.php?workbook=08_02.xlsx&amp;sheet=A0&amp;row=295&amp;col=14&amp;number=0&amp;sourceID=30","0")</f>
        <v>0</v>
      </c>
      <c r="O295" s="4" t="str">
        <f>HYPERLINK("http://141.218.60.56/~jnz1568/getInfo.php?workbook=08_02.xlsx&amp;sheet=A0&amp;row=295&amp;col=15&amp;number=&amp;sourceID=32","")</f>
        <v/>
      </c>
      <c r="P295" s="4" t="str">
        <f>HYPERLINK("http://141.218.60.56/~jnz1568/getInfo.php?workbook=08_02.xlsx&amp;sheet=A0&amp;row=295&amp;col=16&amp;number=&amp;sourceID=32","")</f>
        <v/>
      </c>
      <c r="Q295" s="4" t="str">
        <f>HYPERLINK("http://141.218.60.56/~jnz1568/getInfo.php?workbook=08_02.xlsx&amp;sheet=A0&amp;row=295&amp;col=17&amp;number=&amp;sourceID=32","")</f>
        <v/>
      </c>
      <c r="R295" s="4" t="str">
        <f>HYPERLINK("http://141.218.60.56/~jnz1568/getInfo.php?workbook=08_02.xlsx&amp;sheet=A0&amp;row=295&amp;col=18&amp;number=1e-15&amp;sourceID=32","1e-15")</f>
        <v>1e-15</v>
      </c>
      <c r="S295" s="4" t="str">
        <f>HYPERLINK("http://141.218.60.56/~jnz1568/getInfo.php?workbook=08_02.xlsx&amp;sheet=A0&amp;row=295&amp;col=19&amp;number=&amp;sourceID=1","")</f>
        <v/>
      </c>
      <c r="T295" s="4" t="str">
        <f>HYPERLINK("http://141.218.60.56/~jnz1568/getInfo.php?workbook=08_02.xlsx&amp;sheet=A0&amp;row=295&amp;col=20&amp;number=&amp;sourceID=1","")</f>
        <v/>
      </c>
    </row>
    <row r="296" spans="1:20">
      <c r="A296" s="3">
        <v>8</v>
      </c>
      <c r="B296" s="3">
        <v>2</v>
      </c>
      <c r="C296" s="3">
        <v>27</v>
      </c>
      <c r="D296" s="3">
        <v>24</v>
      </c>
      <c r="E296" s="3">
        <f>((1/(INDEX(E0!J$4:J$52,C296,1)-INDEX(E0!J$4:J$52,D296,1))))*100000000</f>
        <v>0</v>
      </c>
      <c r="F296" s="4" t="str">
        <f>HYPERLINK("http://141.218.60.56/~jnz1568/getInfo.php?workbook=08_02.xlsx&amp;sheet=A0&amp;row=296&amp;col=6&amp;number=&amp;sourceID=27","")</f>
        <v/>
      </c>
      <c r="G296" s="4" t="str">
        <f>HYPERLINK("http://141.218.60.56/~jnz1568/getInfo.php?workbook=08_02.xlsx&amp;sheet=A0&amp;row=296&amp;col=7&amp;number=&amp;sourceID=34","")</f>
        <v/>
      </c>
      <c r="H296" s="4" t="str">
        <f>HYPERLINK("http://141.218.60.56/~jnz1568/getInfo.php?workbook=08_02.xlsx&amp;sheet=A0&amp;row=296&amp;col=8&amp;number=&amp;sourceID=34","")</f>
        <v/>
      </c>
      <c r="I296" s="4" t="str">
        <f>HYPERLINK("http://141.218.60.56/~jnz1568/getInfo.php?workbook=08_02.xlsx&amp;sheet=A0&amp;row=296&amp;col=9&amp;number=&amp;sourceID=34","")</f>
        <v/>
      </c>
      <c r="J296" s="4" t="str">
        <f>HYPERLINK("http://141.218.60.56/~jnz1568/getInfo.php?workbook=08_02.xlsx&amp;sheet=A0&amp;row=296&amp;col=10&amp;number=&amp;sourceID=34","")</f>
        <v/>
      </c>
      <c r="K296" s="4" t="str">
        <f>HYPERLINK("http://141.218.60.56/~jnz1568/getInfo.php?workbook=08_02.xlsx&amp;sheet=A0&amp;row=296&amp;col=11&amp;number=18.84&amp;sourceID=30","18.84")</f>
        <v>18.84</v>
      </c>
      <c r="L296" s="4" t="str">
        <f>HYPERLINK("http://141.218.60.56/~jnz1568/getInfo.php?workbook=08_02.xlsx&amp;sheet=A0&amp;row=296&amp;col=12&amp;number=&amp;sourceID=30","")</f>
        <v/>
      </c>
      <c r="M296" s="4" t="str">
        <f>HYPERLINK("http://141.218.60.56/~jnz1568/getInfo.php?workbook=08_02.xlsx&amp;sheet=A0&amp;row=296&amp;col=13&amp;number=&amp;sourceID=30","")</f>
        <v/>
      </c>
      <c r="N296" s="4" t="str">
        <f>HYPERLINK("http://141.218.60.56/~jnz1568/getInfo.php?workbook=08_02.xlsx&amp;sheet=A0&amp;row=296&amp;col=14&amp;number=2e-15&amp;sourceID=30","2e-15")</f>
        <v>2e-15</v>
      </c>
      <c r="O296" s="4" t="str">
        <f>HYPERLINK("http://141.218.60.56/~jnz1568/getInfo.php?workbook=08_02.xlsx&amp;sheet=A0&amp;row=296&amp;col=15&amp;number=29.76&amp;sourceID=32","29.76")</f>
        <v>29.76</v>
      </c>
      <c r="P296" s="4" t="str">
        <f>HYPERLINK("http://141.218.60.56/~jnz1568/getInfo.php?workbook=08_02.xlsx&amp;sheet=A0&amp;row=296&amp;col=16&amp;number=&amp;sourceID=32","")</f>
        <v/>
      </c>
      <c r="Q296" s="4" t="str">
        <f>HYPERLINK("http://141.218.60.56/~jnz1568/getInfo.php?workbook=08_02.xlsx&amp;sheet=A0&amp;row=296&amp;col=17&amp;number=&amp;sourceID=32","")</f>
        <v/>
      </c>
      <c r="R296" s="4" t="str">
        <f>HYPERLINK("http://141.218.60.56/~jnz1568/getInfo.php?workbook=08_02.xlsx&amp;sheet=A0&amp;row=296&amp;col=18&amp;number=4e-15&amp;sourceID=32","4e-15")</f>
        <v>4e-15</v>
      </c>
      <c r="S296" s="4" t="str">
        <f>HYPERLINK("http://141.218.60.56/~jnz1568/getInfo.php?workbook=08_02.xlsx&amp;sheet=A0&amp;row=296&amp;col=19&amp;number=&amp;sourceID=1","")</f>
        <v/>
      </c>
      <c r="T296" s="4" t="str">
        <f>HYPERLINK("http://141.218.60.56/~jnz1568/getInfo.php?workbook=08_02.xlsx&amp;sheet=A0&amp;row=296&amp;col=20&amp;number=&amp;sourceID=1","")</f>
        <v/>
      </c>
    </row>
    <row r="297" spans="1:20">
      <c r="A297" s="3">
        <v>8</v>
      </c>
      <c r="B297" s="3">
        <v>2</v>
      </c>
      <c r="C297" s="3">
        <v>27</v>
      </c>
      <c r="D297" s="3">
        <v>26</v>
      </c>
      <c r="E297" s="3">
        <f>((1/(INDEX(E0!J$4:J$52,C297,1)-INDEX(E0!J$4:J$52,D297,1))))*100000000</f>
        <v>0</v>
      </c>
      <c r="F297" s="4" t="str">
        <f>HYPERLINK("http://141.218.60.56/~jnz1568/getInfo.php?workbook=08_02.xlsx&amp;sheet=A0&amp;row=297&amp;col=6&amp;number=&amp;sourceID=27","")</f>
        <v/>
      </c>
      <c r="G297" s="4" t="str">
        <f>HYPERLINK("http://141.218.60.56/~jnz1568/getInfo.php?workbook=08_02.xlsx&amp;sheet=A0&amp;row=297&amp;col=7&amp;number=&amp;sourceID=34","")</f>
        <v/>
      </c>
      <c r="H297" s="4" t="str">
        <f>HYPERLINK("http://141.218.60.56/~jnz1568/getInfo.php?workbook=08_02.xlsx&amp;sheet=A0&amp;row=297&amp;col=8&amp;number=&amp;sourceID=34","")</f>
        <v/>
      </c>
      <c r="I297" s="4" t="str">
        <f>HYPERLINK("http://141.218.60.56/~jnz1568/getInfo.php?workbook=08_02.xlsx&amp;sheet=A0&amp;row=297&amp;col=9&amp;number=&amp;sourceID=34","")</f>
        <v/>
      </c>
      <c r="J297" s="4" t="str">
        <f>HYPERLINK("http://141.218.60.56/~jnz1568/getInfo.php?workbook=08_02.xlsx&amp;sheet=A0&amp;row=297&amp;col=10&amp;number=&amp;sourceID=34","")</f>
        <v/>
      </c>
      <c r="K297" s="4" t="str">
        <f>HYPERLINK("http://141.218.60.56/~jnz1568/getInfo.php?workbook=08_02.xlsx&amp;sheet=A0&amp;row=297&amp;col=11&amp;number=1.466&amp;sourceID=30","1.466")</f>
        <v>1.466</v>
      </c>
      <c r="L297" s="4" t="str">
        <f>HYPERLINK("http://141.218.60.56/~jnz1568/getInfo.php?workbook=08_02.xlsx&amp;sheet=A0&amp;row=297&amp;col=12&amp;number=&amp;sourceID=30","")</f>
        <v/>
      </c>
      <c r="M297" s="4" t="str">
        <f>HYPERLINK("http://141.218.60.56/~jnz1568/getInfo.php?workbook=08_02.xlsx&amp;sheet=A0&amp;row=297&amp;col=13&amp;number=&amp;sourceID=30","")</f>
        <v/>
      </c>
      <c r="N297" s="4" t="str">
        <f>HYPERLINK("http://141.218.60.56/~jnz1568/getInfo.php?workbook=08_02.xlsx&amp;sheet=A0&amp;row=297&amp;col=14&amp;number=0&amp;sourceID=30","0")</f>
        <v>0</v>
      </c>
      <c r="O297" s="4" t="str">
        <f>HYPERLINK("http://141.218.60.56/~jnz1568/getInfo.php?workbook=08_02.xlsx&amp;sheet=A0&amp;row=297&amp;col=15&amp;number=2.374&amp;sourceID=32","2.374")</f>
        <v>2.374</v>
      </c>
      <c r="P297" s="4" t="str">
        <f>HYPERLINK("http://141.218.60.56/~jnz1568/getInfo.php?workbook=08_02.xlsx&amp;sheet=A0&amp;row=297&amp;col=16&amp;number=&amp;sourceID=32","")</f>
        <v/>
      </c>
      <c r="Q297" s="4" t="str">
        <f>HYPERLINK("http://141.218.60.56/~jnz1568/getInfo.php?workbook=08_02.xlsx&amp;sheet=A0&amp;row=297&amp;col=17&amp;number=&amp;sourceID=32","")</f>
        <v/>
      </c>
      <c r="R297" s="4" t="str">
        <f>HYPERLINK("http://141.218.60.56/~jnz1568/getInfo.php?workbook=08_02.xlsx&amp;sheet=A0&amp;row=297&amp;col=18&amp;number=0&amp;sourceID=32","0")</f>
        <v>0</v>
      </c>
      <c r="S297" s="4" t="str">
        <f>HYPERLINK("http://141.218.60.56/~jnz1568/getInfo.php?workbook=08_02.xlsx&amp;sheet=A0&amp;row=297&amp;col=19&amp;number=&amp;sourceID=1","")</f>
        <v/>
      </c>
      <c r="T297" s="4" t="str">
        <f>HYPERLINK("http://141.218.60.56/~jnz1568/getInfo.php?workbook=08_02.xlsx&amp;sheet=A0&amp;row=297&amp;col=20&amp;number=&amp;sourceID=1","")</f>
        <v/>
      </c>
    </row>
    <row r="298" spans="1:20">
      <c r="A298" s="3">
        <v>8</v>
      </c>
      <c r="B298" s="3">
        <v>2</v>
      </c>
      <c r="C298" s="3">
        <v>27</v>
      </c>
      <c r="D298" s="3">
        <v>28</v>
      </c>
      <c r="E298" s="3">
        <f>((1/(INDEX(E0!J$4:J$52,C298,1)-INDEX(E0!J$4:J$52,D298,1))))*100000000</f>
        <v>0</v>
      </c>
      <c r="F298" s="4" t="str">
        <f>HYPERLINK("http://141.218.60.56/~jnz1568/getInfo.php?workbook=08_02.xlsx&amp;sheet=A0&amp;row=298&amp;col=6&amp;number=&amp;sourceID=27","")</f>
        <v/>
      </c>
      <c r="G298" s="4" t="str">
        <f>HYPERLINK("http://141.218.60.56/~jnz1568/getInfo.php?workbook=08_02.xlsx&amp;sheet=A0&amp;row=298&amp;col=7&amp;number=&amp;sourceID=34","")</f>
        <v/>
      </c>
      <c r="H298" s="4" t="str">
        <f>HYPERLINK("http://141.218.60.56/~jnz1568/getInfo.php?workbook=08_02.xlsx&amp;sheet=A0&amp;row=298&amp;col=8&amp;number=&amp;sourceID=34","")</f>
        <v/>
      </c>
      <c r="I298" s="4" t="str">
        <f>HYPERLINK("http://141.218.60.56/~jnz1568/getInfo.php?workbook=08_02.xlsx&amp;sheet=A0&amp;row=298&amp;col=9&amp;number=&amp;sourceID=34","")</f>
        <v/>
      </c>
      <c r="J298" s="4" t="str">
        <f>HYPERLINK("http://141.218.60.56/~jnz1568/getInfo.php?workbook=08_02.xlsx&amp;sheet=A0&amp;row=298&amp;col=10&amp;number=&amp;sourceID=34","")</f>
        <v/>
      </c>
      <c r="K298" s="4" t="str">
        <f>HYPERLINK("http://141.218.60.56/~jnz1568/getInfo.php?workbook=08_02.xlsx&amp;sheet=A0&amp;row=298&amp;col=11&amp;number=&amp;sourceID=30","")</f>
        <v/>
      </c>
      <c r="L298" s="4" t="str">
        <f>HYPERLINK("http://141.218.60.56/~jnz1568/getInfo.php?workbook=08_02.xlsx&amp;sheet=A0&amp;row=298&amp;col=12&amp;number=0&amp;sourceID=30","0")</f>
        <v>0</v>
      </c>
      <c r="M298" s="4" t="str">
        <f>HYPERLINK("http://141.218.60.56/~jnz1568/getInfo.php?workbook=08_02.xlsx&amp;sheet=A0&amp;row=298&amp;col=13&amp;number=2.67e-09&amp;sourceID=30","2.67e-09")</f>
        <v>2.67e-09</v>
      </c>
      <c r="N298" s="4" t="str">
        <f>HYPERLINK("http://141.218.60.56/~jnz1568/getInfo.php?workbook=08_02.xlsx&amp;sheet=A0&amp;row=298&amp;col=14&amp;number=&amp;sourceID=30","")</f>
        <v/>
      </c>
      <c r="O298" s="4" t="str">
        <f>HYPERLINK("http://141.218.60.56/~jnz1568/getInfo.php?workbook=08_02.xlsx&amp;sheet=A0&amp;row=298&amp;col=15&amp;number=&amp;sourceID=32","")</f>
        <v/>
      </c>
      <c r="P298" s="4" t="str">
        <f>HYPERLINK("http://141.218.60.56/~jnz1568/getInfo.php?workbook=08_02.xlsx&amp;sheet=A0&amp;row=298&amp;col=16&amp;number=&amp;sourceID=32","")</f>
        <v/>
      </c>
      <c r="Q298" s="4" t="str">
        <f>HYPERLINK("http://141.218.60.56/~jnz1568/getInfo.php?workbook=08_02.xlsx&amp;sheet=A0&amp;row=298&amp;col=17&amp;number=&amp;sourceID=32","")</f>
        <v/>
      </c>
      <c r="R298" s="4" t="str">
        <f>HYPERLINK("http://141.218.60.56/~jnz1568/getInfo.php?workbook=08_02.xlsx&amp;sheet=A0&amp;row=298&amp;col=18&amp;number=&amp;sourceID=32","")</f>
        <v/>
      </c>
      <c r="S298" s="4" t="str">
        <f>HYPERLINK("http://141.218.60.56/~jnz1568/getInfo.php?workbook=08_02.xlsx&amp;sheet=A0&amp;row=298&amp;col=19&amp;number=&amp;sourceID=1","")</f>
        <v/>
      </c>
      <c r="T298" s="4" t="str">
        <f>HYPERLINK("http://141.218.60.56/~jnz1568/getInfo.php?workbook=08_02.xlsx&amp;sheet=A0&amp;row=298&amp;col=20&amp;number=&amp;sourceID=1","")</f>
        <v/>
      </c>
    </row>
    <row r="299" spans="1:20">
      <c r="A299" s="3">
        <v>8</v>
      </c>
      <c r="B299" s="3">
        <v>2</v>
      </c>
      <c r="C299" s="3">
        <v>28</v>
      </c>
      <c r="D299" s="3">
        <v>1</v>
      </c>
      <c r="E299" s="3">
        <f>((1/(INDEX(E0!J$4:J$52,C299,1)-INDEX(E0!J$4:J$52,D299,1))))*100000000</f>
        <v>0</v>
      </c>
      <c r="F299" s="4" t="str">
        <f>HYPERLINK("http://141.218.60.56/~jnz1568/getInfo.php?workbook=08_02.xlsx&amp;sheet=A0&amp;row=299&amp;col=6&amp;number=&amp;sourceID=27","")</f>
        <v/>
      </c>
      <c r="G299" s="4" t="str">
        <f>HYPERLINK("http://141.218.60.56/~jnz1568/getInfo.php?workbook=08_02.xlsx&amp;sheet=A0&amp;row=299&amp;col=7&amp;number=&amp;sourceID=34","")</f>
        <v/>
      </c>
      <c r="H299" s="4" t="str">
        <f>HYPERLINK("http://141.218.60.56/~jnz1568/getInfo.php?workbook=08_02.xlsx&amp;sheet=A0&amp;row=299&amp;col=8&amp;number=&amp;sourceID=34","")</f>
        <v/>
      </c>
      <c r="I299" s="4" t="str">
        <f>HYPERLINK("http://141.218.60.56/~jnz1568/getInfo.php?workbook=08_02.xlsx&amp;sheet=A0&amp;row=299&amp;col=9&amp;number=&amp;sourceID=34","")</f>
        <v/>
      </c>
      <c r="J299" s="4" t="str">
        <f>HYPERLINK("http://141.218.60.56/~jnz1568/getInfo.php?workbook=08_02.xlsx&amp;sheet=A0&amp;row=299&amp;col=10&amp;number=&amp;sourceID=34","")</f>
        <v/>
      </c>
      <c r="K299" s="4" t="str">
        <f>HYPERLINK("http://141.218.60.56/~jnz1568/getInfo.php?workbook=08_02.xlsx&amp;sheet=A0&amp;row=299&amp;col=11&amp;number=&amp;sourceID=30","")</f>
        <v/>
      </c>
      <c r="L299" s="4" t="str">
        <f>HYPERLINK("http://141.218.60.56/~jnz1568/getInfo.php?workbook=08_02.xlsx&amp;sheet=A0&amp;row=299&amp;col=12&amp;number=&amp;sourceID=30","")</f>
        <v/>
      </c>
      <c r="M299" s="4" t="str">
        <f>HYPERLINK("http://141.218.60.56/~jnz1568/getInfo.php?workbook=08_02.xlsx&amp;sheet=A0&amp;row=299&amp;col=13&amp;number=&amp;sourceID=30","")</f>
        <v/>
      </c>
      <c r="N299" s="4" t="str">
        <f>HYPERLINK("http://141.218.60.56/~jnz1568/getInfo.php?workbook=08_02.xlsx&amp;sheet=A0&amp;row=299&amp;col=14&amp;number=0.008402&amp;sourceID=30","0.008402")</f>
        <v>0.008402</v>
      </c>
      <c r="O299" s="4" t="str">
        <f>HYPERLINK("http://141.218.60.56/~jnz1568/getInfo.php?workbook=08_02.xlsx&amp;sheet=A0&amp;row=299&amp;col=15&amp;number=&amp;sourceID=32","")</f>
        <v/>
      </c>
      <c r="P299" s="4" t="str">
        <f>HYPERLINK("http://141.218.60.56/~jnz1568/getInfo.php?workbook=08_02.xlsx&amp;sheet=A0&amp;row=299&amp;col=16&amp;number=&amp;sourceID=32","")</f>
        <v/>
      </c>
      <c r="Q299" s="4" t="str">
        <f>HYPERLINK("http://141.218.60.56/~jnz1568/getInfo.php?workbook=08_02.xlsx&amp;sheet=A0&amp;row=299&amp;col=17&amp;number=&amp;sourceID=32","")</f>
        <v/>
      </c>
      <c r="R299" s="4" t="str">
        <f>HYPERLINK("http://141.218.60.56/~jnz1568/getInfo.php?workbook=08_02.xlsx&amp;sheet=A0&amp;row=299&amp;col=18&amp;number=0.0001531&amp;sourceID=32","0.0001531")</f>
        <v>0.0001531</v>
      </c>
      <c r="S299" s="4" t="str">
        <f>HYPERLINK("http://141.218.60.56/~jnz1568/getInfo.php?workbook=08_02.xlsx&amp;sheet=A0&amp;row=299&amp;col=19&amp;number=&amp;sourceID=1","")</f>
        <v/>
      </c>
      <c r="T299" s="4" t="str">
        <f>HYPERLINK("http://141.218.60.56/~jnz1568/getInfo.php?workbook=08_02.xlsx&amp;sheet=A0&amp;row=299&amp;col=20&amp;number=&amp;sourceID=1","")</f>
        <v/>
      </c>
    </row>
    <row r="300" spans="1:20">
      <c r="A300" s="3">
        <v>8</v>
      </c>
      <c r="B300" s="3">
        <v>2</v>
      </c>
      <c r="C300" s="3">
        <v>28</v>
      </c>
      <c r="D300" s="3">
        <v>2</v>
      </c>
      <c r="E300" s="3">
        <f>((1/(INDEX(E0!J$4:J$52,C300,1)-INDEX(E0!J$4:J$52,D300,1))))*100000000</f>
        <v>0</v>
      </c>
      <c r="F300" s="4" t="str">
        <f>HYPERLINK("http://141.218.60.56/~jnz1568/getInfo.php?workbook=08_02.xlsx&amp;sheet=A0&amp;row=300&amp;col=6&amp;number=&amp;sourceID=27","")</f>
        <v/>
      </c>
      <c r="G300" s="4" t="str">
        <f>HYPERLINK("http://141.218.60.56/~jnz1568/getInfo.php?workbook=08_02.xlsx&amp;sheet=A0&amp;row=300&amp;col=7&amp;number=&amp;sourceID=34","")</f>
        <v/>
      </c>
      <c r="H300" s="4" t="str">
        <f>HYPERLINK("http://141.218.60.56/~jnz1568/getInfo.php?workbook=08_02.xlsx&amp;sheet=A0&amp;row=300&amp;col=8&amp;number=&amp;sourceID=34","")</f>
        <v/>
      </c>
      <c r="I300" s="4" t="str">
        <f>HYPERLINK("http://141.218.60.56/~jnz1568/getInfo.php?workbook=08_02.xlsx&amp;sheet=A0&amp;row=300&amp;col=9&amp;number=&amp;sourceID=34","")</f>
        <v/>
      </c>
      <c r="J300" s="4" t="str">
        <f>HYPERLINK("http://141.218.60.56/~jnz1568/getInfo.php?workbook=08_02.xlsx&amp;sheet=A0&amp;row=300&amp;col=10&amp;number=&amp;sourceID=34","")</f>
        <v/>
      </c>
      <c r="K300" s="4" t="str">
        <f>HYPERLINK("http://141.218.60.56/~jnz1568/getInfo.php?workbook=08_02.xlsx&amp;sheet=A0&amp;row=300&amp;col=11&amp;number=2.378&amp;sourceID=30","2.378")</f>
        <v>2.378</v>
      </c>
      <c r="L300" s="4" t="str">
        <f>HYPERLINK("http://141.218.60.56/~jnz1568/getInfo.php?workbook=08_02.xlsx&amp;sheet=A0&amp;row=300&amp;col=12&amp;number=&amp;sourceID=30","")</f>
        <v/>
      </c>
      <c r="M300" s="4" t="str">
        <f>HYPERLINK("http://141.218.60.56/~jnz1568/getInfo.php?workbook=08_02.xlsx&amp;sheet=A0&amp;row=300&amp;col=13&amp;number=&amp;sourceID=30","")</f>
        <v/>
      </c>
      <c r="N300" s="4" t="str">
        <f>HYPERLINK("http://141.218.60.56/~jnz1568/getInfo.php?workbook=08_02.xlsx&amp;sheet=A0&amp;row=300&amp;col=14&amp;number=1.246e-06&amp;sourceID=30","1.246e-06")</f>
        <v>1.246e-06</v>
      </c>
      <c r="O300" s="4" t="str">
        <f>HYPERLINK("http://141.218.60.56/~jnz1568/getInfo.php?workbook=08_02.xlsx&amp;sheet=A0&amp;row=300&amp;col=15&amp;number=0.2748&amp;sourceID=32","0.2748")</f>
        <v>0.2748</v>
      </c>
      <c r="P300" s="4" t="str">
        <f>HYPERLINK("http://141.218.60.56/~jnz1568/getInfo.php?workbook=08_02.xlsx&amp;sheet=A0&amp;row=300&amp;col=16&amp;number=&amp;sourceID=32","")</f>
        <v/>
      </c>
      <c r="Q300" s="4" t="str">
        <f>HYPERLINK("http://141.218.60.56/~jnz1568/getInfo.php?workbook=08_02.xlsx&amp;sheet=A0&amp;row=300&amp;col=17&amp;number=&amp;sourceID=32","")</f>
        <v/>
      </c>
      <c r="R300" s="4" t="str">
        <f>HYPERLINK("http://141.218.60.56/~jnz1568/getInfo.php?workbook=08_02.xlsx&amp;sheet=A0&amp;row=300&amp;col=18&amp;number=1.496e-06&amp;sourceID=32","1.496e-06")</f>
        <v>1.496e-06</v>
      </c>
      <c r="S300" s="4" t="str">
        <f>HYPERLINK("http://141.218.60.56/~jnz1568/getInfo.php?workbook=08_02.xlsx&amp;sheet=A0&amp;row=300&amp;col=19&amp;number=&amp;sourceID=1","")</f>
        <v/>
      </c>
      <c r="T300" s="4" t="str">
        <f>HYPERLINK("http://141.218.60.56/~jnz1568/getInfo.php?workbook=08_02.xlsx&amp;sheet=A0&amp;row=300&amp;col=20&amp;number=&amp;sourceID=1","")</f>
        <v/>
      </c>
    </row>
    <row r="301" spans="1:20">
      <c r="A301" s="3">
        <v>8</v>
      </c>
      <c r="B301" s="3">
        <v>2</v>
      </c>
      <c r="C301" s="3">
        <v>28</v>
      </c>
      <c r="D301" s="3">
        <v>3</v>
      </c>
      <c r="E301" s="3">
        <f>((1/(INDEX(E0!J$4:J$52,C301,1)-INDEX(E0!J$4:J$52,D301,1))))*100000000</f>
        <v>0</v>
      </c>
      <c r="F301" s="4" t="str">
        <f>HYPERLINK("http://141.218.60.56/~jnz1568/getInfo.php?workbook=08_02.xlsx&amp;sheet=A0&amp;row=301&amp;col=6&amp;number=&amp;sourceID=27","")</f>
        <v/>
      </c>
      <c r="G301" s="4" t="str">
        <f>HYPERLINK("http://141.218.60.56/~jnz1568/getInfo.php?workbook=08_02.xlsx&amp;sheet=A0&amp;row=301&amp;col=7&amp;number=&amp;sourceID=34","")</f>
        <v/>
      </c>
      <c r="H301" s="4" t="str">
        <f>HYPERLINK("http://141.218.60.56/~jnz1568/getInfo.php?workbook=08_02.xlsx&amp;sheet=A0&amp;row=301&amp;col=8&amp;number=&amp;sourceID=34","")</f>
        <v/>
      </c>
      <c r="I301" s="4" t="str">
        <f>HYPERLINK("http://141.218.60.56/~jnz1568/getInfo.php?workbook=08_02.xlsx&amp;sheet=A0&amp;row=301&amp;col=9&amp;number=&amp;sourceID=34","")</f>
        <v/>
      </c>
      <c r="J301" s="4" t="str">
        <f>HYPERLINK("http://141.218.60.56/~jnz1568/getInfo.php?workbook=08_02.xlsx&amp;sheet=A0&amp;row=301&amp;col=10&amp;number=&amp;sourceID=34","")</f>
        <v/>
      </c>
      <c r="K301" s="4" t="str">
        <f>HYPERLINK("http://141.218.60.56/~jnz1568/getInfo.php?workbook=08_02.xlsx&amp;sheet=A0&amp;row=301&amp;col=11&amp;number=&amp;sourceID=30","")</f>
        <v/>
      </c>
      <c r="L301" s="4" t="str">
        <f>HYPERLINK("http://141.218.60.56/~jnz1568/getInfo.php?workbook=08_02.xlsx&amp;sheet=A0&amp;row=301&amp;col=12&amp;number=3434000&amp;sourceID=30","3434000")</f>
        <v>3434000</v>
      </c>
      <c r="M301" s="4" t="str">
        <f>HYPERLINK("http://141.218.60.56/~jnz1568/getInfo.php?workbook=08_02.xlsx&amp;sheet=A0&amp;row=301&amp;col=13&amp;number=&amp;sourceID=30","")</f>
        <v/>
      </c>
      <c r="N301" s="4" t="str">
        <f>HYPERLINK("http://141.218.60.56/~jnz1568/getInfo.php?workbook=08_02.xlsx&amp;sheet=A0&amp;row=301&amp;col=14&amp;number=&amp;sourceID=30","")</f>
        <v/>
      </c>
      <c r="O301" s="4" t="str">
        <f>HYPERLINK("http://141.218.60.56/~jnz1568/getInfo.php?workbook=08_02.xlsx&amp;sheet=A0&amp;row=301&amp;col=15&amp;number=&amp;sourceID=32","")</f>
        <v/>
      </c>
      <c r="P301" s="4" t="str">
        <f>HYPERLINK("http://141.218.60.56/~jnz1568/getInfo.php?workbook=08_02.xlsx&amp;sheet=A0&amp;row=301&amp;col=16&amp;number=3404000&amp;sourceID=32","3404000")</f>
        <v>3404000</v>
      </c>
      <c r="Q301" s="4" t="str">
        <f>HYPERLINK("http://141.218.60.56/~jnz1568/getInfo.php?workbook=08_02.xlsx&amp;sheet=A0&amp;row=301&amp;col=17&amp;number=&amp;sourceID=32","")</f>
        <v/>
      </c>
      <c r="R301" s="4" t="str">
        <f>HYPERLINK("http://141.218.60.56/~jnz1568/getInfo.php?workbook=08_02.xlsx&amp;sheet=A0&amp;row=301&amp;col=18&amp;number=&amp;sourceID=32","")</f>
        <v/>
      </c>
      <c r="S301" s="4" t="str">
        <f>HYPERLINK("http://141.218.60.56/~jnz1568/getInfo.php?workbook=08_02.xlsx&amp;sheet=A0&amp;row=301&amp;col=19&amp;number=&amp;sourceID=1","")</f>
        <v/>
      </c>
      <c r="T301" s="4" t="str">
        <f>HYPERLINK("http://141.218.60.56/~jnz1568/getInfo.php?workbook=08_02.xlsx&amp;sheet=A0&amp;row=301&amp;col=20&amp;number=&amp;sourceID=1","")</f>
        <v/>
      </c>
    </row>
    <row r="302" spans="1:20">
      <c r="A302" s="3">
        <v>8</v>
      </c>
      <c r="B302" s="3">
        <v>2</v>
      </c>
      <c r="C302" s="3">
        <v>28</v>
      </c>
      <c r="D302" s="3">
        <v>4</v>
      </c>
      <c r="E302" s="3">
        <f>((1/(INDEX(E0!J$4:J$52,C302,1)-INDEX(E0!J$4:J$52,D302,1))))*100000000</f>
        <v>0</v>
      </c>
      <c r="F302" s="4" t="str">
        <f>HYPERLINK("http://141.218.60.56/~jnz1568/getInfo.php?workbook=08_02.xlsx&amp;sheet=A0&amp;row=302&amp;col=6&amp;number=&amp;sourceID=27","")</f>
        <v/>
      </c>
      <c r="G302" s="4" t="str">
        <f>HYPERLINK("http://141.218.60.56/~jnz1568/getInfo.php?workbook=08_02.xlsx&amp;sheet=A0&amp;row=302&amp;col=7&amp;number=&amp;sourceID=34","")</f>
        <v/>
      </c>
      <c r="H302" s="4" t="str">
        <f>HYPERLINK("http://141.218.60.56/~jnz1568/getInfo.php?workbook=08_02.xlsx&amp;sheet=A0&amp;row=302&amp;col=8&amp;number=&amp;sourceID=34","")</f>
        <v/>
      </c>
      <c r="I302" s="4" t="str">
        <f>HYPERLINK("http://141.218.60.56/~jnz1568/getInfo.php?workbook=08_02.xlsx&amp;sheet=A0&amp;row=302&amp;col=9&amp;number=&amp;sourceID=34","")</f>
        <v/>
      </c>
      <c r="J302" s="4" t="str">
        <f>HYPERLINK("http://141.218.60.56/~jnz1568/getInfo.php?workbook=08_02.xlsx&amp;sheet=A0&amp;row=302&amp;col=10&amp;number=&amp;sourceID=34","")</f>
        <v/>
      </c>
      <c r="K302" s="4" t="str">
        <f>HYPERLINK("http://141.218.60.56/~jnz1568/getInfo.php?workbook=08_02.xlsx&amp;sheet=A0&amp;row=302&amp;col=11&amp;number=&amp;sourceID=30","")</f>
        <v/>
      </c>
      <c r="L302" s="4" t="str">
        <f>HYPERLINK("http://141.218.60.56/~jnz1568/getInfo.php?workbook=08_02.xlsx&amp;sheet=A0&amp;row=302&amp;col=12&amp;number=3434000&amp;sourceID=30","3434000")</f>
        <v>3434000</v>
      </c>
      <c r="M302" s="4" t="str">
        <f>HYPERLINK("http://141.218.60.56/~jnz1568/getInfo.php?workbook=08_02.xlsx&amp;sheet=A0&amp;row=302&amp;col=13&amp;number=0.004727&amp;sourceID=30","0.004727")</f>
        <v>0.004727</v>
      </c>
      <c r="N302" s="4" t="str">
        <f>HYPERLINK("http://141.218.60.56/~jnz1568/getInfo.php?workbook=08_02.xlsx&amp;sheet=A0&amp;row=302&amp;col=14&amp;number=&amp;sourceID=30","")</f>
        <v/>
      </c>
      <c r="O302" s="4" t="str">
        <f>HYPERLINK("http://141.218.60.56/~jnz1568/getInfo.php?workbook=08_02.xlsx&amp;sheet=A0&amp;row=302&amp;col=15&amp;number=&amp;sourceID=32","")</f>
        <v/>
      </c>
      <c r="P302" s="4" t="str">
        <f>HYPERLINK("http://141.218.60.56/~jnz1568/getInfo.php?workbook=08_02.xlsx&amp;sheet=A0&amp;row=302&amp;col=16&amp;number=3403000&amp;sourceID=32","3403000")</f>
        <v>3403000</v>
      </c>
      <c r="Q302" s="4" t="str">
        <f>HYPERLINK("http://141.218.60.56/~jnz1568/getInfo.php?workbook=08_02.xlsx&amp;sheet=A0&amp;row=302&amp;col=17&amp;number=0.006266&amp;sourceID=32","0.006266")</f>
        <v>0.006266</v>
      </c>
      <c r="R302" s="4" t="str">
        <f>HYPERLINK("http://141.218.60.56/~jnz1568/getInfo.php?workbook=08_02.xlsx&amp;sheet=A0&amp;row=302&amp;col=18&amp;number=&amp;sourceID=32","")</f>
        <v/>
      </c>
      <c r="S302" s="4" t="str">
        <f>HYPERLINK("http://141.218.60.56/~jnz1568/getInfo.php?workbook=08_02.xlsx&amp;sheet=A0&amp;row=302&amp;col=19&amp;number=&amp;sourceID=1","")</f>
        <v/>
      </c>
      <c r="T302" s="4" t="str">
        <f>HYPERLINK("http://141.218.60.56/~jnz1568/getInfo.php?workbook=08_02.xlsx&amp;sheet=A0&amp;row=302&amp;col=20&amp;number=&amp;sourceID=1","")</f>
        <v/>
      </c>
    </row>
    <row r="303" spans="1:20">
      <c r="A303" s="3">
        <v>8</v>
      </c>
      <c r="B303" s="3">
        <v>2</v>
      </c>
      <c r="C303" s="3">
        <v>28</v>
      </c>
      <c r="D303" s="3">
        <v>5</v>
      </c>
      <c r="E303" s="3">
        <f>((1/(INDEX(E0!J$4:J$52,C303,1)-INDEX(E0!J$4:J$52,D303,1))))*100000000</f>
        <v>0</v>
      </c>
      <c r="F303" s="4" t="str">
        <f>HYPERLINK("http://141.218.60.56/~jnz1568/getInfo.php?workbook=08_02.xlsx&amp;sheet=A0&amp;row=303&amp;col=6&amp;number=&amp;sourceID=27","")</f>
        <v/>
      </c>
      <c r="G303" s="4" t="str">
        <f>HYPERLINK("http://141.218.60.56/~jnz1568/getInfo.php?workbook=08_02.xlsx&amp;sheet=A0&amp;row=303&amp;col=7&amp;number=&amp;sourceID=34","")</f>
        <v/>
      </c>
      <c r="H303" s="4" t="str">
        <f>HYPERLINK("http://141.218.60.56/~jnz1568/getInfo.php?workbook=08_02.xlsx&amp;sheet=A0&amp;row=303&amp;col=8&amp;number=&amp;sourceID=34","")</f>
        <v/>
      </c>
      <c r="I303" s="4" t="str">
        <f>HYPERLINK("http://141.218.60.56/~jnz1568/getInfo.php?workbook=08_02.xlsx&amp;sheet=A0&amp;row=303&amp;col=9&amp;number=&amp;sourceID=34","")</f>
        <v/>
      </c>
      <c r="J303" s="4" t="str">
        <f>HYPERLINK("http://141.218.60.56/~jnz1568/getInfo.php?workbook=08_02.xlsx&amp;sheet=A0&amp;row=303&amp;col=10&amp;number=&amp;sourceID=34","")</f>
        <v/>
      </c>
      <c r="K303" s="4" t="str">
        <f>HYPERLINK("http://141.218.60.56/~jnz1568/getInfo.php?workbook=08_02.xlsx&amp;sheet=A0&amp;row=303&amp;col=11&amp;number=&amp;sourceID=30","")</f>
        <v/>
      </c>
      <c r="L303" s="4" t="str">
        <f>HYPERLINK("http://141.218.60.56/~jnz1568/getInfo.php?workbook=08_02.xlsx&amp;sheet=A0&amp;row=303&amp;col=12&amp;number=490600&amp;sourceID=30","490600")</f>
        <v>490600</v>
      </c>
      <c r="M303" s="4" t="str">
        <f>HYPERLINK("http://141.218.60.56/~jnz1568/getInfo.php?workbook=08_02.xlsx&amp;sheet=A0&amp;row=303&amp;col=13&amp;number=0.003508&amp;sourceID=30","0.003508")</f>
        <v>0.003508</v>
      </c>
      <c r="N303" s="4" t="str">
        <f>HYPERLINK("http://141.218.60.56/~jnz1568/getInfo.php?workbook=08_02.xlsx&amp;sheet=A0&amp;row=303&amp;col=14&amp;number=&amp;sourceID=30","")</f>
        <v/>
      </c>
      <c r="O303" s="4" t="str">
        <f>HYPERLINK("http://141.218.60.56/~jnz1568/getInfo.php?workbook=08_02.xlsx&amp;sheet=A0&amp;row=303&amp;col=15&amp;number=&amp;sourceID=32","")</f>
        <v/>
      </c>
      <c r="P303" s="4" t="str">
        <f>HYPERLINK("http://141.218.60.56/~jnz1568/getInfo.php?workbook=08_02.xlsx&amp;sheet=A0&amp;row=303&amp;col=16&amp;number=486300&amp;sourceID=32","486300")</f>
        <v>486300</v>
      </c>
      <c r="Q303" s="4" t="str">
        <f>HYPERLINK("http://141.218.60.56/~jnz1568/getInfo.php?workbook=08_02.xlsx&amp;sheet=A0&amp;row=303&amp;col=17&amp;number=0.00425&amp;sourceID=32","0.00425")</f>
        <v>0.00425</v>
      </c>
      <c r="R303" s="4" t="str">
        <f>HYPERLINK("http://141.218.60.56/~jnz1568/getInfo.php?workbook=08_02.xlsx&amp;sheet=A0&amp;row=303&amp;col=18&amp;number=&amp;sourceID=32","")</f>
        <v/>
      </c>
      <c r="S303" s="4" t="str">
        <f>HYPERLINK("http://141.218.60.56/~jnz1568/getInfo.php?workbook=08_02.xlsx&amp;sheet=A0&amp;row=303&amp;col=19&amp;number=&amp;sourceID=1","")</f>
        <v/>
      </c>
      <c r="T303" s="4" t="str">
        <f>HYPERLINK("http://141.218.60.56/~jnz1568/getInfo.php?workbook=08_02.xlsx&amp;sheet=A0&amp;row=303&amp;col=20&amp;number=&amp;sourceID=1","")</f>
        <v/>
      </c>
    </row>
    <row r="304" spans="1:20">
      <c r="A304" s="3">
        <v>8</v>
      </c>
      <c r="B304" s="3">
        <v>2</v>
      </c>
      <c r="C304" s="3">
        <v>28</v>
      </c>
      <c r="D304" s="3">
        <v>6</v>
      </c>
      <c r="E304" s="3">
        <f>((1/(INDEX(E0!J$4:J$52,C304,1)-INDEX(E0!J$4:J$52,D304,1))))*100000000</f>
        <v>0</v>
      </c>
      <c r="F304" s="4" t="str">
        <f>HYPERLINK("http://141.218.60.56/~jnz1568/getInfo.php?workbook=08_02.xlsx&amp;sheet=A0&amp;row=304&amp;col=6&amp;number=&amp;sourceID=27","")</f>
        <v/>
      </c>
      <c r="G304" s="4" t="str">
        <f>HYPERLINK("http://141.218.60.56/~jnz1568/getInfo.php?workbook=08_02.xlsx&amp;sheet=A0&amp;row=304&amp;col=7&amp;number=&amp;sourceID=34","")</f>
        <v/>
      </c>
      <c r="H304" s="4" t="str">
        <f>HYPERLINK("http://141.218.60.56/~jnz1568/getInfo.php?workbook=08_02.xlsx&amp;sheet=A0&amp;row=304&amp;col=8&amp;number=&amp;sourceID=34","")</f>
        <v/>
      </c>
      <c r="I304" s="4" t="str">
        <f>HYPERLINK("http://141.218.60.56/~jnz1568/getInfo.php?workbook=08_02.xlsx&amp;sheet=A0&amp;row=304&amp;col=9&amp;number=&amp;sourceID=34","")</f>
        <v/>
      </c>
      <c r="J304" s="4" t="str">
        <f>HYPERLINK("http://141.218.60.56/~jnz1568/getInfo.php?workbook=08_02.xlsx&amp;sheet=A0&amp;row=304&amp;col=10&amp;number=&amp;sourceID=34","")</f>
        <v/>
      </c>
      <c r="K304" s="4" t="str">
        <f>HYPERLINK("http://141.218.60.56/~jnz1568/getInfo.php?workbook=08_02.xlsx&amp;sheet=A0&amp;row=304&amp;col=11&amp;number=&amp;sourceID=30","")</f>
        <v/>
      </c>
      <c r="L304" s="4" t="str">
        <f>HYPERLINK("http://141.218.60.56/~jnz1568/getInfo.php?workbook=08_02.xlsx&amp;sheet=A0&amp;row=304&amp;col=12&amp;number=&amp;sourceID=30","")</f>
        <v/>
      </c>
      <c r="M304" s="4" t="str">
        <f>HYPERLINK("http://141.218.60.56/~jnz1568/getInfo.php?workbook=08_02.xlsx&amp;sheet=A0&amp;row=304&amp;col=13&amp;number=&amp;sourceID=30","")</f>
        <v/>
      </c>
      <c r="N304" s="4" t="str">
        <f>HYPERLINK("http://141.218.60.56/~jnz1568/getInfo.php?workbook=08_02.xlsx&amp;sheet=A0&amp;row=304&amp;col=14&amp;number=1.563e-07&amp;sourceID=30","1.563e-07")</f>
        <v>1.563e-07</v>
      </c>
      <c r="O304" s="4" t="str">
        <f>HYPERLINK("http://141.218.60.56/~jnz1568/getInfo.php?workbook=08_02.xlsx&amp;sheet=A0&amp;row=304&amp;col=15&amp;number=&amp;sourceID=32","")</f>
        <v/>
      </c>
      <c r="P304" s="4" t="str">
        <f>HYPERLINK("http://141.218.60.56/~jnz1568/getInfo.php?workbook=08_02.xlsx&amp;sheet=A0&amp;row=304&amp;col=16&amp;number=&amp;sourceID=32","")</f>
        <v/>
      </c>
      <c r="Q304" s="4" t="str">
        <f>HYPERLINK("http://141.218.60.56/~jnz1568/getInfo.php?workbook=08_02.xlsx&amp;sheet=A0&amp;row=304&amp;col=17&amp;number=&amp;sourceID=32","")</f>
        <v/>
      </c>
      <c r="R304" s="4" t="str">
        <f>HYPERLINK("http://141.218.60.56/~jnz1568/getInfo.php?workbook=08_02.xlsx&amp;sheet=A0&amp;row=304&amp;col=18&amp;number=2.659e-07&amp;sourceID=32","2.659e-07")</f>
        <v>2.659e-07</v>
      </c>
      <c r="S304" s="4" t="str">
        <f>HYPERLINK("http://141.218.60.56/~jnz1568/getInfo.php?workbook=08_02.xlsx&amp;sheet=A0&amp;row=304&amp;col=19&amp;number=&amp;sourceID=1","")</f>
        <v/>
      </c>
      <c r="T304" s="4" t="str">
        <f>HYPERLINK("http://141.218.60.56/~jnz1568/getInfo.php?workbook=08_02.xlsx&amp;sheet=A0&amp;row=304&amp;col=20&amp;number=&amp;sourceID=1","")</f>
        <v/>
      </c>
    </row>
    <row r="305" spans="1:20">
      <c r="A305" s="3">
        <v>8</v>
      </c>
      <c r="B305" s="3">
        <v>2</v>
      </c>
      <c r="C305" s="3">
        <v>28</v>
      </c>
      <c r="D305" s="3">
        <v>7</v>
      </c>
      <c r="E305" s="3">
        <f>((1/(INDEX(E0!J$4:J$52,C305,1)-INDEX(E0!J$4:J$52,D305,1))))*100000000</f>
        <v>0</v>
      </c>
      <c r="F305" s="4" t="str">
        <f>HYPERLINK("http://141.218.60.56/~jnz1568/getInfo.php?workbook=08_02.xlsx&amp;sheet=A0&amp;row=305&amp;col=6&amp;number=&amp;sourceID=27","")</f>
        <v/>
      </c>
      <c r="G305" s="4" t="str">
        <f>HYPERLINK("http://141.218.60.56/~jnz1568/getInfo.php?workbook=08_02.xlsx&amp;sheet=A0&amp;row=305&amp;col=7&amp;number=&amp;sourceID=34","")</f>
        <v/>
      </c>
      <c r="H305" s="4" t="str">
        <f>HYPERLINK("http://141.218.60.56/~jnz1568/getInfo.php?workbook=08_02.xlsx&amp;sheet=A0&amp;row=305&amp;col=8&amp;number=&amp;sourceID=34","")</f>
        <v/>
      </c>
      <c r="I305" s="4" t="str">
        <f>HYPERLINK("http://141.218.60.56/~jnz1568/getInfo.php?workbook=08_02.xlsx&amp;sheet=A0&amp;row=305&amp;col=9&amp;number=&amp;sourceID=34","")</f>
        <v/>
      </c>
      <c r="J305" s="4" t="str">
        <f>HYPERLINK("http://141.218.60.56/~jnz1568/getInfo.php?workbook=08_02.xlsx&amp;sheet=A0&amp;row=305&amp;col=10&amp;number=&amp;sourceID=34","")</f>
        <v/>
      </c>
      <c r="K305" s="4" t="str">
        <f>HYPERLINK("http://141.218.60.56/~jnz1568/getInfo.php?workbook=08_02.xlsx&amp;sheet=A0&amp;row=305&amp;col=11&amp;number=&amp;sourceID=30","")</f>
        <v/>
      </c>
      <c r="L305" s="4" t="str">
        <f>HYPERLINK("http://141.218.60.56/~jnz1568/getInfo.php?workbook=08_02.xlsx&amp;sheet=A0&amp;row=305&amp;col=12&amp;number=500.4&amp;sourceID=30","500.4")</f>
        <v>500.4</v>
      </c>
      <c r="M305" s="4" t="str">
        <f>HYPERLINK("http://141.218.60.56/~jnz1568/getInfo.php?workbook=08_02.xlsx&amp;sheet=A0&amp;row=305&amp;col=13&amp;number=0.007831&amp;sourceID=30","0.007831")</f>
        <v>0.007831</v>
      </c>
      <c r="N305" s="4" t="str">
        <f>HYPERLINK("http://141.218.60.56/~jnz1568/getInfo.php?workbook=08_02.xlsx&amp;sheet=A0&amp;row=305&amp;col=14&amp;number=&amp;sourceID=30","")</f>
        <v/>
      </c>
      <c r="O305" s="4" t="str">
        <f>HYPERLINK("http://141.218.60.56/~jnz1568/getInfo.php?workbook=08_02.xlsx&amp;sheet=A0&amp;row=305&amp;col=15&amp;number=&amp;sourceID=32","")</f>
        <v/>
      </c>
      <c r="P305" s="4" t="str">
        <f>HYPERLINK("http://141.218.60.56/~jnz1568/getInfo.php?workbook=08_02.xlsx&amp;sheet=A0&amp;row=305&amp;col=16&amp;number=519&amp;sourceID=32","519")</f>
        <v>519</v>
      </c>
      <c r="Q305" s="4" t="str">
        <f>HYPERLINK("http://141.218.60.56/~jnz1568/getInfo.php?workbook=08_02.xlsx&amp;sheet=A0&amp;row=305&amp;col=17&amp;number=0.01035&amp;sourceID=32","0.01035")</f>
        <v>0.01035</v>
      </c>
      <c r="R305" s="4" t="str">
        <f>HYPERLINK("http://141.218.60.56/~jnz1568/getInfo.php?workbook=08_02.xlsx&amp;sheet=A0&amp;row=305&amp;col=18&amp;number=&amp;sourceID=32","")</f>
        <v/>
      </c>
      <c r="S305" s="4" t="str">
        <f>HYPERLINK("http://141.218.60.56/~jnz1568/getInfo.php?workbook=08_02.xlsx&amp;sheet=A0&amp;row=305&amp;col=19&amp;number=&amp;sourceID=1","")</f>
        <v/>
      </c>
      <c r="T305" s="4" t="str">
        <f>HYPERLINK("http://141.218.60.56/~jnz1568/getInfo.php?workbook=08_02.xlsx&amp;sheet=A0&amp;row=305&amp;col=20&amp;number=&amp;sourceID=1","")</f>
        <v/>
      </c>
    </row>
    <row r="306" spans="1:20">
      <c r="A306" s="3">
        <v>8</v>
      </c>
      <c r="B306" s="3">
        <v>2</v>
      </c>
      <c r="C306" s="3">
        <v>28</v>
      </c>
      <c r="D306" s="3">
        <v>8</v>
      </c>
      <c r="E306" s="3">
        <f>((1/(INDEX(E0!J$4:J$52,C306,1)-INDEX(E0!J$4:J$52,D306,1))))*100000000</f>
        <v>0</v>
      </c>
      <c r="F306" s="4" t="str">
        <f>HYPERLINK("http://141.218.60.56/~jnz1568/getInfo.php?workbook=08_02.xlsx&amp;sheet=A0&amp;row=306&amp;col=6&amp;number=&amp;sourceID=27","")</f>
        <v/>
      </c>
      <c r="G306" s="4" t="str">
        <f>HYPERLINK("http://141.218.60.56/~jnz1568/getInfo.php?workbook=08_02.xlsx&amp;sheet=A0&amp;row=306&amp;col=7&amp;number=&amp;sourceID=34","")</f>
        <v/>
      </c>
      <c r="H306" s="4" t="str">
        <f>HYPERLINK("http://141.218.60.56/~jnz1568/getInfo.php?workbook=08_02.xlsx&amp;sheet=A0&amp;row=306&amp;col=8&amp;number=&amp;sourceID=34","")</f>
        <v/>
      </c>
      <c r="I306" s="4" t="str">
        <f>HYPERLINK("http://141.218.60.56/~jnz1568/getInfo.php?workbook=08_02.xlsx&amp;sheet=A0&amp;row=306&amp;col=9&amp;number=&amp;sourceID=34","")</f>
        <v/>
      </c>
      <c r="J306" s="4" t="str">
        <f>HYPERLINK("http://141.218.60.56/~jnz1568/getInfo.php?workbook=08_02.xlsx&amp;sheet=A0&amp;row=306&amp;col=10&amp;number=&amp;sourceID=34","")</f>
        <v/>
      </c>
      <c r="K306" s="4" t="str">
        <f>HYPERLINK("http://141.218.60.56/~jnz1568/getInfo.php?workbook=08_02.xlsx&amp;sheet=A0&amp;row=306&amp;col=11&amp;number=470.7&amp;sourceID=30","470.7")</f>
        <v>470.7</v>
      </c>
      <c r="L306" s="4" t="str">
        <f>HYPERLINK("http://141.218.60.56/~jnz1568/getInfo.php?workbook=08_02.xlsx&amp;sheet=A0&amp;row=306&amp;col=12&amp;number=&amp;sourceID=30","")</f>
        <v/>
      </c>
      <c r="M306" s="4" t="str">
        <f>HYPERLINK("http://141.218.60.56/~jnz1568/getInfo.php?workbook=08_02.xlsx&amp;sheet=A0&amp;row=306&amp;col=13&amp;number=&amp;sourceID=30","")</f>
        <v/>
      </c>
      <c r="N306" s="4" t="str">
        <f>HYPERLINK("http://141.218.60.56/~jnz1568/getInfo.php?workbook=08_02.xlsx&amp;sheet=A0&amp;row=306&amp;col=14&amp;number=1.024e-07&amp;sourceID=30","1.024e-07")</f>
        <v>1.024e-07</v>
      </c>
      <c r="O306" s="4" t="str">
        <f>HYPERLINK("http://141.218.60.56/~jnz1568/getInfo.php?workbook=08_02.xlsx&amp;sheet=A0&amp;row=306&amp;col=15&amp;number=480.3&amp;sourceID=32","480.3")</f>
        <v>480.3</v>
      </c>
      <c r="P306" s="4" t="str">
        <f>HYPERLINK("http://141.218.60.56/~jnz1568/getInfo.php?workbook=08_02.xlsx&amp;sheet=A0&amp;row=306&amp;col=16&amp;number=&amp;sourceID=32","")</f>
        <v/>
      </c>
      <c r="Q306" s="4" t="str">
        <f>HYPERLINK("http://141.218.60.56/~jnz1568/getInfo.php?workbook=08_02.xlsx&amp;sheet=A0&amp;row=306&amp;col=17&amp;number=&amp;sourceID=32","")</f>
        <v/>
      </c>
      <c r="R306" s="4" t="str">
        <f>HYPERLINK("http://141.218.60.56/~jnz1568/getInfo.php?workbook=08_02.xlsx&amp;sheet=A0&amp;row=306&amp;col=18&amp;number=1.139e-07&amp;sourceID=32","1.139e-07")</f>
        <v>1.139e-07</v>
      </c>
      <c r="S306" s="4" t="str">
        <f>HYPERLINK("http://141.218.60.56/~jnz1568/getInfo.php?workbook=08_02.xlsx&amp;sheet=A0&amp;row=306&amp;col=19&amp;number=&amp;sourceID=1","")</f>
        <v/>
      </c>
      <c r="T306" s="4" t="str">
        <f>HYPERLINK("http://141.218.60.56/~jnz1568/getInfo.php?workbook=08_02.xlsx&amp;sheet=A0&amp;row=306&amp;col=20&amp;number=&amp;sourceID=1","")</f>
        <v/>
      </c>
    </row>
    <row r="307" spans="1:20">
      <c r="A307" s="3">
        <v>8</v>
      </c>
      <c r="B307" s="3">
        <v>2</v>
      </c>
      <c r="C307" s="3">
        <v>28</v>
      </c>
      <c r="D307" s="3">
        <v>9</v>
      </c>
      <c r="E307" s="3">
        <f>((1/(INDEX(E0!J$4:J$52,C307,1)-INDEX(E0!J$4:J$52,D307,1))))*100000000</f>
        <v>0</v>
      </c>
      <c r="F307" s="4" t="str">
        <f>HYPERLINK("http://141.218.60.56/~jnz1568/getInfo.php?workbook=08_02.xlsx&amp;sheet=A0&amp;row=307&amp;col=6&amp;number=&amp;sourceID=27","")</f>
        <v/>
      </c>
      <c r="G307" s="4" t="str">
        <f>HYPERLINK("http://141.218.60.56/~jnz1568/getInfo.php?workbook=08_02.xlsx&amp;sheet=A0&amp;row=307&amp;col=7&amp;number=&amp;sourceID=34","")</f>
        <v/>
      </c>
      <c r="H307" s="4" t="str">
        <f>HYPERLINK("http://141.218.60.56/~jnz1568/getInfo.php?workbook=08_02.xlsx&amp;sheet=A0&amp;row=307&amp;col=8&amp;number=&amp;sourceID=34","")</f>
        <v/>
      </c>
      <c r="I307" s="4" t="str">
        <f>HYPERLINK("http://141.218.60.56/~jnz1568/getInfo.php?workbook=08_02.xlsx&amp;sheet=A0&amp;row=307&amp;col=9&amp;number=&amp;sourceID=34","")</f>
        <v/>
      </c>
      <c r="J307" s="4" t="str">
        <f>HYPERLINK("http://141.218.60.56/~jnz1568/getInfo.php?workbook=08_02.xlsx&amp;sheet=A0&amp;row=307&amp;col=10&amp;number=&amp;sourceID=34","")</f>
        <v/>
      </c>
      <c r="K307" s="4" t="str">
        <f>HYPERLINK("http://141.218.60.56/~jnz1568/getInfo.php?workbook=08_02.xlsx&amp;sheet=A0&amp;row=307&amp;col=11&amp;number=&amp;sourceID=30","")</f>
        <v/>
      </c>
      <c r="L307" s="4" t="str">
        <f>HYPERLINK("http://141.218.60.56/~jnz1568/getInfo.php?workbook=08_02.xlsx&amp;sheet=A0&amp;row=307&amp;col=12&amp;number=354400&amp;sourceID=30","354400")</f>
        <v>354400</v>
      </c>
      <c r="M307" s="4" t="str">
        <f>HYPERLINK("http://141.218.60.56/~jnz1568/getInfo.php?workbook=08_02.xlsx&amp;sheet=A0&amp;row=307&amp;col=13&amp;number=&amp;sourceID=30","")</f>
        <v/>
      </c>
      <c r="N307" s="4" t="str">
        <f>HYPERLINK("http://141.218.60.56/~jnz1568/getInfo.php?workbook=08_02.xlsx&amp;sheet=A0&amp;row=307&amp;col=14&amp;number=&amp;sourceID=30","")</f>
        <v/>
      </c>
      <c r="O307" s="4" t="str">
        <f>HYPERLINK("http://141.218.60.56/~jnz1568/getInfo.php?workbook=08_02.xlsx&amp;sheet=A0&amp;row=307&amp;col=15&amp;number=&amp;sourceID=32","")</f>
        <v/>
      </c>
      <c r="P307" s="4" t="str">
        <f>HYPERLINK("http://141.218.60.56/~jnz1568/getInfo.php?workbook=08_02.xlsx&amp;sheet=A0&amp;row=307&amp;col=16&amp;number=356300&amp;sourceID=32","356300")</f>
        <v>356300</v>
      </c>
      <c r="Q307" s="4" t="str">
        <f>HYPERLINK("http://141.218.60.56/~jnz1568/getInfo.php?workbook=08_02.xlsx&amp;sheet=A0&amp;row=307&amp;col=17&amp;number=&amp;sourceID=32","")</f>
        <v/>
      </c>
      <c r="R307" s="4" t="str">
        <f>HYPERLINK("http://141.218.60.56/~jnz1568/getInfo.php?workbook=08_02.xlsx&amp;sheet=A0&amp;row=307&amp;col=18&amp;number=&amp;sourceID=32","")</f>
        <v/>
      </c>
      <c r="S307" s="4" t="str">
        <f>HYPERLINK("http://141.218.60.56/~jnz1568/getInfo.php?workbook=08_02.xlsx&amp;sheet=A0&amp;row=307&amp;col=19&amp;number=&amp;sourceID=1","")</f>
        <v/>
      </c>
      <c r="T307" s="4" t="str">
        <f>HYPERLINK("http://141.218.60.56/~jnz1568/getInfo.php?workbook=08_02.xlsx&amp;sheet=A0&amp;row=307&amp;col=20&amp;number=&amp;sourceID=1","")</f>
        <v/>
      </c>
    </row>
    <row r="308" spans="1:20">
      <c r="A308" s="3">
        <v>8</v>
      </c>
      <c r="B308" s="3">
        <v>2</v>
      </c>
      <c r="C308" s="3">
        <v>28</v>
      </c>
      <c r="D308" s="3">
        <v>10</v>
      </c>
      <c r="E308" s="3">
        <f>((1/(INDEX(E0!J$4:J$52,C308,1)-INDEX(E0!J$4:J$52,D308,1))))*100000000</f>
        <v>0</v>
      </c>
      <c r="F308" s="4" t="str">
        <f>HYPERLINK("http://141.218.60.56/~jnz1568/getInfo.php?workbook=08_02.xlsx&amp;sheet=A0&amp;row=308&amp;col=6&amp;number=&amp;sourceID=27","")</f>
        <v/>
      </c>
      <c r="G308" s="4" t="str">
        <f>HYPERLINK("http://141.218.60.56/~jnz1568/getInfo.php?workbook=08_02.xlsx&amp;sheet=A0&amp;row=308&amp;col=7&amp;number=&amp;sourceID=34","")</f>
        <v/>
      </c>
      <c r="H308" s="4" t="str">
        <f>HYPERLINK("http://141.218.60.56/~jnz1568/getInfo.php?workbook=08_02.xlsx&amp;sheet=A0&amp;row=308&amp;col=8&amp;number=&amp;sourceID=34","")</f>
        <v/>
      </c>
      <c r="I308" s="4" t="str">
        <f>HYPERLINK("http://141.218.60.56/~jnz1568/getInfo.php?workbook=08_02.xlsx&amp;sheet=A0&amp;row=308&amp;col=9&amp;number=&amp;sourceID=34","")</f>
        <v/>
      </c>
      <c r="J308" s="4" t="str">
        <f>HYPERLINK("http://141.218.60.56/~jnz1568/getInfo.php?workbook=08_02.xlsx&amp;sheet=A0&amp;row=308&amp;col=10&amp;number=&amp;sourceID=34","")</f>
        <v/>
      </c>
      <c r="K308" s="4" t="str">
        <f>HYPERLINK("http://141.218.60.56/~jnz1568/getInfo.php?workbook=08_02.xlsx&amp;sheet=A0&amp;row=308&amp;col=11&amp;number=&amp;sourceID=30","")</f>
        <v/>
      </c>
      <c r="L308" s="4" t="str">
        <f>HYPERLINK("http://141.218.60.56/~jnz1568/getInfo.php?workbook=08_02.xlsx&amp;sheet=A0&amp;row=308&amp;col=12&amp;number=354300&amp;sourceID=30","354300")</f>
        <v>354300</v>
      </c>
      <c r="M308" s="4" t="str">
        <f>HYPERLINK("http://141.218.60.56/~jnz1568/getInfo.php?workbook=08_02.xlsx&amp;sheet=A0&amp;row=308&amp;col=13&amp;number=0.000172&amp;sourceID=30","0.000172")</f>
        <v>0.000172</v>
      </c>
      <c r="N308" s="4" t="str">
        <f>HYPERLINK("http://141.218.60.56/~jnz1568/getInfo.php?workbook=08_02.xlsx&amp;sheet=A0&amp;row=308&amp;col=14&amp;number=&amp;sourceID=30","")</f>
        <v/>
      </c>
      <c r="O308" s="4" t="str">
        <f>HYPERLINK("http://141.218.60.56/~jnz1568/getInfo.php?workbook=08_02.xlsx&amp;sheet=A0&amp;row=308&amp;col=15&amp;number=&amp;sourceID=32","")</f>
        <v/>
      </c>
      <c r="P308" s="4" t="str">
        <f>HYPERLINK("http://141.218.60.56/~jnz1568/getInfo.php?workbook=08_02.xlsx&amp;sheet=A0&amp;row=308&amp;col=16&amp;number=356200&amp;sourceID=32","356200")</f>
        <v>356200</v>
      </c>
      <c r="Q308" s="4" t="str">
        <f>HYPERLINK("http://141.218.60.56/~jnz1568/getInfo.php?workbook=08_02.xlsx&amp;sheet=A0&amp;row=308&amp;col=17&amp;number=0.0002507&amp;sourceID=32","0.0002507")</f>
        <v>0.0002507</v>
      </c>
      <c r="R308" s="4" t="str">
        <f>HYPERLINK("http://141.218.60.56/~jnz1568/getInfo.php?workbook=08_02.xlsx&amp;sheet=A0&amp;row=308&amp;col=18&amp;number=&amp;sourceID=32","")</f>
        <v/>
      </c>
      <c r="S308" s="4" t="str">
        <f>HYPERLINK("http://141.218.60.56/~jnz1568/getInfo.php?workbook=08_02.xlsx&amp;sheet=A0&amp;row=308&amp;col=19&amp;number=&amp;sourceID=1","")</f>
        <v/>
      </c>
      <c r="T308" s="4" t="str">
        <f>HYPERLINK("http://141.218.60.56/~jnz1568/getInfo.php?workbook=08_02.xlsx&amp;sheet=A0&amp;row=308&amp;col=20&amp;number=&amp;sourceID=1","")</f>
        <v/>
      </c>
    </row>
    <row r="309" spans="1:20">
      <c r="A309" s="3">
        <v>8</v>
      </c>
      <c r="B309" s="3">
        <v>2</v>
      </c>
      <c r="C309" s="3">
        <v>28</v>
      </c>
      <c r="D309" s="3">
        <v>11</v>
      </c>
      <c r="E309" s="3">
        <f>((1/(INDEX(E0!J$4:J$52,C309,1)-INDEX(E0!J$4:J$52,D309,1))))*100000000</f>
        <v>0</v>
      </c>
      <c r="F309" s="4" t="str">
        <f>HYPERLINK("http://141.218.60.56/~jnz1568/getInfo.php?workbook=08_02.xlsx&amp;sheet=A0&amp;row=309&amp;col=6&amp;number=&amp;sourceID=27","")</f>
        <v/>
      </c>
      <c r="G309" s="4" t="str">
        <f>HYPERLINK("http://141.218.60.56/~jnz1568/getInfo.php?workbook=08_02.xlsx&amp;sheet=A0&amp;row=309&amp;col=7&amp;number=&amp;sourceID=34","")</f>
        <v/>
      </c>
      <c r="H309" s="4" t="str">
        <f>HYPERLINK("http://141.218.60.56/~jnz1568/getInfo.php?workbook=08_02.xlsx&amp;sheet=A0&amp;row=309&amp;col=8&amp;number=&amp;sourceID=34","")</f>
        <v/>
      </c>
      <c r="I309" s="4" t="str">
        <f>HYPERLINK("http://141.218.60.56/~jnz1568/getInfo.php?workbook=08_02.xlsx&amp;sheet=A0&amp;row=309&amp;col=9&amp;number=&amp;sourceID=34","")</f>
        <v/>
      </c>
      <c r="J309" s="4" t="str">
        <f>HYPERLINK("http://141.218.60.56/~jnz1568/getInfo.php?workbook=08_02.xlsx&amp;sheet=A0&amp;row=309&amp;col=10&amp;number=&amp;sourceID=34","")</f>
        <v/>
      </c>
      <c r="K309" s="4" t="str">
        <f>HYPERLINK("http://141.218.60.56/~jnz1568/getInfo.php?workbook=08_02.xlsx&amp;sheet=A0&amp;row=309&amp;col=11&amp;number=&amp;sourceID=30","")</f>
        <v/>
      </c>
      <c r="L309" s="4" t="str">
        <f>HYPERLINK("http://141.218.60.56/~jnz1568/getInfo.php?workbook=08_02.xlsx&amp;sheet=A0&amp;row=309&amp;col=12&amp;number=50520&amp;sourceID=30","50520")</f>
        <v>50520</v>
      </c>
      <c r="M309" s="4" t="str">
        <f>HYPERLINK("http://141.218.60.56/~jnz1568/getInfo.php?workbook=08_02.xlsx&amp;sheet=A0&amp;row=309&amp;col=13&amp;number=0.0001253&amp;sourceID=30","0.0001253")</f>
        <v>0.0001253</v>
      </c>
      <c r="N309" s="4" t="str">
        <f>HYPERLINK("http://141.218.60.56/~jnz1568/getInfo.php?workbook=08_02.xlsx&amp;sheet=A0&amp;row=309&amp;col=14&amp;number=&amp;sourceID=30","")</f>
        <v/>
      </c>
      <c r="O309" s="4" t="str">
        <f>HYPERLINK("http://141.218.60.56/~jnz1568/getInfo.php?workbook=08_02.xlsx&amp;sheet=A0&amp;row=309&amp;col=15&amp;number=&amp;sourceID=32","")</f>
        <v/>
      </c>
      <c r="P309" s="4" t="str">
        <f>HYPERLINK("http://141.218.60.56/~jnz1568/getInfo.php?workbook=08_02.xlsx&amp;sheet=A0&amp;row=309&amp;col=16&amp;number=50780&amp;sourceID=32","50780")</f>
        <v>50780</v>
      </c>
      <c r="Q309" s="4" t="str">
        <f>HYPERLINK("http://141.218.60.56/~jnz1568/getInfo.php?workbook=08_02.xlsx&amp;sheet=A0&amp;row=309&amp;col=17&amp;number=0.0001648&amp;sourceID=32","0.0001648")</f>
        <v>0.0001648</v>
      </c>
      <c r="R309" s="4" t="str">
        <f>HYPERLINK("http://141.218.60.56/~jnz1568/getInfo.php?workbook=08_02.xlsx&amp;sheet=A0&amp;row=309&amp;col=18&amp;number=&amp;sourceID=32","")</f>
        <v/>
      </c>
      <c r="S309" s="4" t="str">
        <f>HYPERLINK("http://141.218.60.56/~jnz1568/getInfo.php?workbook=08_02.xlsx&amp;sheet=A0&amp;row=309&amp;col=19&amp;number=&amp;sourceID=1","")</f>
        <v/>
      </c>
      <c r="T309" s="4" t="str">
        <f>HYPERLINK("http://141.218.60.56/~jnz1568/getInfo.php?workbook=08_02.xlsx&amp;sheet=A0&amp;row=309&amp;col=20&amp;number=&amp;sourceID=1","")</f>
        <v/>
      </c>
    </row>
    <row r="310" spans="1:20">
      <c r="A310" s="3">
        <v>8</v>
      </c>
      <c r="B310" s="3">
        <v>2</v>
      </c>
      <c r="C310" s="3">
        <v>28</v>
      </c>
      <c r="D310" s="3">
        <v>12</v>
      </c>
      <c r="E310" s="3">
        <f>((1/(INDEX(E0!J$4:J$52,C310,1)-INDEX(E0!J$4:J$52,D310,1))))*100000000</f>
        <v>0</v>
      </c>
      <c r="F310" s="4" t="str">
        <f>HYPERLINK("http://141.218.60.56/~jnz1568/getInfo.php?workbook=08_02.xlsx&amp;sheet=A0&amp;row=310&amp;col=6&amp;number=&amp;sourceID=27","")</f>
        <v/>
      </c>
      <c r="G310" s="4" t="str">
        <f>HYPERLINK("http://141.218.60.56/~jnz1568/getInfo.php?workbook=08_02.xlsx&amp;sheet=A0&amp;row=310&amp;col=7&amp;number=&amp;sourceID=34","")</f>
        <v/>
      </c>
      <c r="H310" s="4" t="str">
        <f>HYPERLINK("http://141.218.60.56/~jnz1568/getInfo.php?workbook=08_02.xlsx&amp;sheet=A0&amp;row=310&amp;col=8&amp;number=&amp;sourceID=34","")</f>
        <v/>
      </c>
      <c r="I310" s="4" t="str">
        <f>HYPERLINK("http://141.218.60.56/~jnz1568/getInfo.php?workbook=08_02.xlsx&amp;sheet=A0&amp;row=310&amp;col=9&amp;number=&amp;sourceID=34","")</f>
        <v/>
      </c>
      <c r="J310" s="4" t="str">
        <f>HYPERLINK("http://141.218.60.56/~jnz1568/getInfo.php?workbook=08_02.xlsx&amp;sheet=A0&amp;row=310&amp;col=10&amp;number=&amp;sourceID=34","")</f>
        <v/>
      </c>
      <c r="K310" s="4" t="str">
        <f>HYPERLINK("http://141.218.60.56/~jnz1568/getInfo.php?workbook=08_02.xlsx&amp;sheet=A0&amp;row=310&amp;col=11&amp;number=&amp;sourceID=30","")</f>
        <v/>
      </c>
      <c r="L310" s="4" t="str">
        <f>HYPERLINK("http://141.218.60.56/~jnz1568/getInfo.php?workbook=08_02.xlsx&amp;sheet=A0&amp;row=310&amp;col=12&amp;number=&amp;sourceID=30","")</f>
        <v/>
      </c>
      <c r="M310" s="4" t="str">
        <f>HYPERLINK("http://141.218.60.56/~jnz1568/getInfo.php?workbook=08_02.xlsx&amp;sheet=A0&amp;row=310&amp;col=13&amp;number=&amp;sourceID=30","")</f>
        <v/>
      </c>
      <c r="N310" s="4" t="str">
        <f>HYPERLINK("http://141.218.60.56/~jnz1568/getInfo.php?workbook=08_02.xlsx&amp;sheet=A0&amp;row=310&amp;col=14&amp;number=1.019e-08&amp;sourceID=30","1.019e-08")</f>
        <v>1.019e-08</v>
      </c>
      <c r="O310" s="4" t="str">
        <f>HYPERLINK("http://141.218.60.56/~jnz1568/getInfo.php?workbook=08_02.xlsx&amp;sheet=A0&amp;row=310&amp;col=15&amp;number=&amp;sourceID=32","")</f>
        <v/>
      </c>
      <c r="P310" s="4" t="str">
        <f>HYPERLINK("http://141.218.60.56/~jnz1568/getInfo.php?workbook=08_02.xlsx&amp;sheet=A0&amp;row=310&amp;col=16&amp;number=&amp;sourceID=32","")</f>
        <v/>
      </c>
      <c r="Q310" s="4" t="str">
        <f>HYPERLINK("http://141.218.60.56/~jnz1568/getInfo.php?workbook=08_02.xlsx&amp;sheet=A0&amp;row=310&amp;col=17&amp;number=&amp;sourceID=32","")</f>
        <v/>
      </c>
      <c r="R310" s="4" t="str">
        <f>HYPERLINK("http://141.218.60.56/~jnz1568/getInfo.php?workbook=08_02.xlsx&amp;sheet=A0&amp;row=310&amp;col=18&amp;number=1.353e-08&amp;sourceID=32","1.353e-08")</f>
        <v>1.353e-08</v>
      </c>
      <c r="S310" s="4" t="str">
        <f>HYPERLINK("http://141.218.60.56/~jnz1568/getInfo.php?workbook=08_02.xlsx&amp;sheet=A0&amp;row=310&amp;col=19&amp;number=&amp;sourceID=1","")</f>
        <v/>
      </c>
      <c r="T310" s="4" t="str">
        <f>HYPERLINK("http://141.218.60.56/~jnz1568/getInfo.php?workbook=08_02.xlsx&amp;sheet=A0&amp;row=310&amp;col=20&amp;number=&amp;sourceID=1","")</f>
        <v/>
      </c>
    </row>
    <row r="311" spans="1:20">
      <c r="A311" s="3">
        <v>8</v>
      </c>
      <c r="B311" s="3">
        <v>2</v>
      </c>
      <c r="C311" s="3">
        <v>28</v>
      </c>
      <c r="D311" s="3">
        <v>13</v>
      </c>
      <c r="E311" s="3">
        <f>((1/(INDEX(E0!J$4:J$52,C311,1)-INDEX(E0!J$4:J$52,D311,1))))*100000000</f>
        <v>0</v>
      </c>
      <c r="F311" s="4" t="str">
        <f>HYPERLINK("http://141.218.60.56/~jnz1568/getInfo.php?workbook=08_02.xlsx&amp;sheet=A0&amp;row=311&amp;col=6&amp;number=&amp;sourceID=27","")</f>
        <v/>
      </c>
      <c r="G311" s="4" t="str">
        <f>HYPERLINK("http://141.218.60.56/~jnz1568/getInfo.php?workbook=08_02.xlsx&amp;sheet=A0&amp;row=311&amp;col=7&amp;number=&amp;sourceID=34","")</f>
        <v/>
      </c>
      <c r="H311" s="4" t="str">
        <f>HYPERLINK("http://141.218.60.56/~jnz1568/getInfo.php?workbook=08_02.xlsx&amp;sheet=A0&amp;row=311&amp;col=8&amp;number=&amp;sourceID=34","")</f>
        <v/>
      </c>
      <c r="I311" s="4" t="str">
        <f>HYPERLINK("http://141.218.60.56/~jnz1568/getInfo.php?workbook=08_02.xlsx&amp;sheet=A0&amp;row=311&amp;col=9&amp;number=&amp;sourceID=34","")</f>
        <v/>
      </c>
      <c r="J311" s="4" t="str">
        <f>HYPERLINK("http://141.218.60.56/~jnz1568/getInfo.php?workbook=08_02.xlsx&amp;sheet=A0&amp;row=311&amp;col=10&amp;number=&amp;sourceID=34","")</f>
        <v/>
      </c>
      <c r="K311" s="4" t="str">
        <f>HYPERLINK("http://141.218.60.56/~jnz1568/getInfo.php?workbook=08_02.xlsx&amp;sheet=A0&amp;row=311&amp;col=11&amp;number=27860000000&amp;sourceID=30","27860000000")</f>
        <v>27860000000</v>
      </c>
      <c r="L311" s="4" t="str">
        <f>HYPERLINK("http://141.218.60.56/~jnz1568/getInfo.php?workbook=08_02.xlsx&amp;sheet=A0&amp;row=311&amp;col=12&amp;number=&amp;sourceID=30","")</f>
        <v/>
      </c>
      <c r="M311" s="4" t="str">
        <f>HYPERLINK("http://141.218.60.56/~jnz1568/getInfo.php?workbook=08_02.xlsx&amp;sheet=A0&amp;row=311&amp;col=13&amp;number=&amp;sourceID=30","")</f>
        <v/>
      </c>
      <c r="N311" s="4" t="str">
        <f>HYPERLINK("http://141.218.60.56/~jnz1568/getInfo.php?workbook=08_02.xlsx&amp;sheet=A0&amp;row=311&amp;col=14&amp;number=3.901&amp;sourceID=30","3.901")</f>
        <v>3.901</v>
      </c>
      <c r="O311" s="4" t="str">
        <f>HYPERLINK("http://141.218.60.56/~jnz1568/getInfo.php?workbook=08_02.xlsx&amp;sheet=A0&amp;row=311&amp;col=15&amp;number=27860000000&amp;sourceID=32","27860000000")</f>
        <v>27860000000</v>
      </c>
      <c r="P311" s="4" t="str">
        <f>HYPERLINK("http://141.218.60.56/~jnz1568/getInfo.php?workbook=08_02.xlsx&amp;sheet=A0&amp;row=311&amp;col=16&amp;number=&amp;sourceID=32","")</f>
        <v/>
      </c>
      <c r="Q311" s="4" t="str">
        <f>HYPERLINK("http://141.218.60.56/~jnz1568/getInfo.php?workbook=08_02.xlsx&amp;sheet=A0&amp;row=311&amp;col=17&amp;number=&amp;sourceID=32","")</f>
        <v/>
      </c>
      <c r="R311" s="4" t="str">
        <f>HYPERLINK("http://141.218.60.56/~jnz1568/getInfo.php?workbook=08_02.xlsx&amp;sheet=A0&amp;row=311&amp;col=18&amp;number=3.907&amp;sourceID=32","3.907")</f>
        <v>3.907</v>
      </c>
      <c r="S311" s="4" t="str">
        <f>HYPERLINK("http://141.218.60.56/~jnz1568/getInfo.php?workbook=08_02.xlsx&amp;sheet=A0&amp;row=311&amp;col=19&amp;number=&amp;sourceID=1","")</f>
        <v/>
      </c>
      <c r="T311" s="4" t="str">
        <f>HYPERLINK("http://141.218.60.56/~jnz1568/getInfo.php?workbook=08_02.xlsx&amp;sheet=A0&amp;row=311&amp;col=20&amp;number=&amp;sourceID=1","")</f>
        <v/>
      </c>
    </row>
    <row r="312" spans="1:20">
      <c r="A312" s="3">
        <v>8</v>
      </c>
      <c r="B312" s="3">
        <v>2</v>
      </c>
      <c r="C312" s="3">
        <v>28</v>
      </c>
      <c r="D312" s="3">
        <v>14</v>
      </c>
      <c r="E312" s="3">
        <f>((1/(INDEX(E0!J$4:J$52,C312,1)-INDEX(E0!J$4:J$52,D312,1))))*100000000</f>
        <v>0</v>
      </c>
      <c r="F312" s="4" t="str">
        <f>HYPERLINK("http://141.218.60.56/~jnz1568/getInfo.php?workbook=08_02.xlsx&amp;sheet=A0&amp;row=312&amp;col=6&amp;number=&amp;sourceID=27","")</f>
        <v/>
      </c>
      <c r="G312" s="4" t="str">
        <f>HYPERLINK("http://141.218.60.56/~jnz1568/getInfo.php?workbook=08_02.xlsx&amp;sheet=A0&amp;row=312&amp;col=7&amp;number=&amp;sourceID=34","")</f>
        <v/>
      </c>
      <c r="H312" s="4" t="str">
        <f>HYPERLINK("http://141.218.60.56/~jnz1568/getInfo.php?workbook=08_02.xlsx&amp;sheet=A0&amp;row=312&amp;col=8&amp;number=&amp;sourceID=34","")</f>
        <v/>
      </c>
      <c r="I312" s="4" t="str">
        <f>HYPERLINK("http://141.218.60.56/~jnz1568/getInfo.php?workbook=08_02.xlsx&amp;sheet=A0&amp;row=312&amp;col=9&amp;number=&amp;sourceID=34","")</f>
        <v/>
      </c>
      <c r="J312" s="4" t="str">
        <f>HYPERLINK("http://141.218.60.56/~jnz1568/getInfo.php?workbook=08_02.xlsx&amp;sheet=A0&amp;row=312&amp;col=10&amp;number=&amp;sourceID=34","")</f>
        <v/>
      </c>
      <c r="K312" s="4" t="str">
        <f>HYPERLINK("http://141.218.60.56/~jnz1568/getInfo.php?workbook=08_02.xlsx&amp;sheet=A0&amp;row=312&amp;col=11&amp;number=5093000000&amp;sourceID=30","5093000000")</f>
        <v>5093000000</v>
      </c>
      <c r="L312" s="4" t="str">
        <f>HYPERLINK("http://141.218.60.56/~jnz1568/getInfo.php?workbook=08_02.xlsx&amp;sheet=A0&amp;row=312&amp;col=12&amp;number=&amp;sourceID=30","")</f>
        <v/>
      </c>
      <c r="M312" s="4" t="str">
        <f>HYPERLINK("http://141.218.60.56/~jnz1568/getInfo.php?workbook=08_02.xlsx&amp;sheet=A0&amp;row=312&amp;col=13&amp;number=&amp;sourceID=30","")</f>
        <v/>
      </c>
      <c r="N312" s="4" t="str">
        <f>HYPERLINK("http://141.218.60.56/~jnz1568/getInfo.php?workbook=08_02.xlsx&amp;sheet=A0&amp;row=312&amp;col=14&amp;number=1.182&amp;sourceID=30","1.182")</f>
        <v>1.182</v>
      </c>
      <c r="O312" s="4" t="str">
        <f>HYPERLINK("http://141.218.60.56/~jnz1568/getInfo.php?workbook=08_02.xlsx&amp;sheet=A0&amp;row=312&amp;col=15&amp;number=5077000000&amp;sourceID=32","5077000000")</f>
        <v>5077000000</v>
      </c>
      <c r="P312" s="4" t="str">
        <f>HYPERLINK("http://141.218.60.56/~jnz1568/getInfo.php?workbook=08_02.xlsx&amp;sheet=A0&amp;row=312&amp;col=16&amp;number=&amp;sourceID=32","")</f>
        <v/>
      </c>
      <c r="Q312" s="4" t="str">
        <f>HYPERLINK("http://141.218.60.56/~jnz1568/getInfo.php?workbook=08_02.xlsx&amp;sheet=A0&amp;row=312&amp;col=17&amp;number=&amp;sourceID=32","")</f>
        <v/>
      </c>
      <c r="R312" s="4" t="str">
        <f>HYPERLINK("http://141.218.60.56/~jnz1568/getInfo.php?workbook=08_02.xlsx&amp;sheet=A0&amp;row=312&amp;col=18&amp;number=1.205&amp;sourceID=32","1.205")</f>
        <v>1.205</v>
      </c>
      <c r="S312" s="4" t="str">
        <f>HYPERLINK("http://141.218.60.56/~jnz1568/getInfo.php?workbook=08_02.xlsx&amp;sheet=A0&amp;row=312&amp;col=19&amp;number=&amp;sourceID=1","")</f>
        <v/>
      </c>
      <c r="T312" s="4" t="str">
        <f>HYPERLINK("http://141.218.60.56/~jnz1568/getInfo.php?workbook=08_02.xlsx&amp;sheet=A0&amp;row=312&amp;col=20&amp;number=&amp;sourceID=1","")</f>
        <v/>
      </c>
    </row>
    <row r="313" spans="1:20">
      <c r="A313" s="3">
        <v>8</v>
      </c>
      <c r="B313" s="3">
        <v>2</v>
      </c>
      <c r="C313" s="3">
        <v>28</v>
      </c>
      <c r="D313" s="3">
        <v>15</v>
      </c>
      <c r="E313" s="3">
        <f>((1/(INDEX(E0!J$4:J$52,C313,1)-INDEX(E0!J$4:J$52,D313,1))))*100000000</f>
        <v>0</v>
      </c>
      <c r="F313" s="4" t="str">
        <f>HYPERLINK("http://141.218.60.56/~jnz1568/getInfo.php?workbook=08_02.xlsx&amp;sheet=A0&amp;row=313&amp;col=6&amp;number=&amp;sourceID=27","")</f>
        <v/>
      </c>
      <c r="G313" s="4" t="str">
        <f>HYPERLINK("http://141.218.60.56/~jnz1568/getInfo.php?workbook=08_02.xlsx&amp;sheet=A0&amp;row=313&amp;col=7&amp;number=&amp;sourceID=34","")</f>
        <v/>
      </c>
      <c r="H313" s="4" t="str">
        <f>HYPERLINK("http://141.218.60.56/~jnz1568/getInfo.php?workbook=08_02.xlsx&amp;sheet=A0&amp;row=313&amp;col=8&amp;number=&amp;sourceID=34","")</f>
        <v/>
      </c>
      <c r="I313" s="4" t="str">
        <f>HYPERLINK("http://141.218.60.56/~jnz1568/getInfo.php?workbook=08_02.xlsx&amp;sheet=A0&amp;row=313&amp;col=9&amp;number=&amp;sourceID=34","")</f>
        <v/>
      </c>
      <c r="J313" s="4" t="str">
        <f>HYPERLINK("http://141.218.60.56/~jnz1568/getInfo.php?workbook=08_02.xlsx&amp;sheet=A0&amp;row=313&amp;col=10&amp;number=&amp;sourceID=34","")</f>
        <v/>
      </c>
      <c r="K313" s="4" t="str">
        <f>HYPERLINK("http://141.218.60.56/~jnz1568/getInfo.php?workbook=08_02.xlsx&amp;sheet=A0&amp;row=313&amp;col=11&amp;number=147300000&amp;sourceID=30","147300000")</f>
        <v>147300000</v>
      </c>
      <c r="L313" s="4" t="str">
        <f>HYPERLINK("http://141.218.60.56/~jnz1568/getInfo.php?workbook=08_02.xlsx&amp;sheet=A0&amp;row=313&amp;col=12&amp;number=&amp;sourceID=30","")</f>
        <v/>
      </c>
      <c r="M313" s="4" t="str">
        <f>HYPERLINK("http://141.218.60.56/~jnz1568/getInfo.php?workbook=08_02.xlsx&amp;sheet=A0&amp;row=313&amp;col=13&amp;number=&amp;sourceID=30","")</f>
        <v/>
      </c>
      <c r="N313" s="4" t="str">
        <f>HYPERLINK("http://141.218.60.56/~jnz1568/getInfo.php?workbook=08_02.xlsx&amp;sheet=A0&amp;row=313&amp;col=14&amp;number=1.885e-10&amp;sourceID=30","1.885e-10")</f>
        <v>1.885e-10</v>
      </c>
      <c r="O313" s="4" t="str">
        <f>HYPERLINK("http://141.218.60.56/~jnz1568/getInfo.php?workbook=08_02.xlsx&amp;sheet=A0&amp;row=313&amp;col=15&amp;number=147300000&amp;sourceID=32","147300000")</f>
        <v>147300000</v>
      </c>
      <c r="P313" s="4" t="str">
        <f>HYPERLINK("http://141.218.60.56/~jnz1568/getInfo.php?workbook=08_02.xlsx&amp;sheet=A0&amp;row=313&amp;col=16&amp;number=&amp;sourceID=32","")</f>
        <v/>
      </c>
      <c r="Q313" s="4" t="str">
        <f>HYPERLINK("http://141.218.60.56/~jnz1568/getInfo.php?workbook=08_02.xlsx&amp;sheet=A0&amp;row=313&amp;col=17&amp;number=&amp;sourceID=32","")</f>
        <v/>
      </c>
      <c r="R313" s="4" t="str">
        <f>HYPERLINK("http://141.218.60.56/~jnz1568/getInfo.php?workbook=08_02.xlsx&amp;sheet=A0&amp;row=313&amp;col=18&amp;number=2.685e-08&amp;sourceID=32","2.685e-08")</f>
        <v>2.685e-08</v>
      </c>
      <c r="S313" s="4" t="str">
        <f>HYPERLINK("http://141.218.60.56/~jnz1568/getInfo.php?workbook=08_02.xlsx&amp;sheet=A0&amp;row=313&amp;col=19&amp;number=&amp;sourceID=1","")</f>
        <v/>
      </c>
      <c r="T313" s="4" t="str">
        <f>HYPERLINK("http://141.218.60.56/~jnz1568/getInfo.php?workbook=08_02.xlsx&amp;sheet=A0&amp;row=313&amp;col=20&amp;number=&amp;sourceID=1","")</f>
        <v/>
      </c>
    </row>
    <row r="314" spans="1:20">
      <c r="A314" s="3">
        <v>8</v>
      </c>
      <c r="B314" s="3">
        <v>2</v>
      </c>
      <c r="C314" s="3">
        <v>28</v>
      </c>
      <c r="D314" s="3">
        <v>16</v>
      </c>
      <c r="E314" s="3">
        <f>((1/(INDEX(E0!J$4:J$52,C314,1)-INDEX(E0!J$4:J$52,D314,1))))*100000000</f>
        <v>0</v>
      </c>
      <c r="F314" s="4" t="str">
        <f>HYPERLINK("http://141.218.60.56/~jnz1568/getInfo.php?workbook=08_02.xlsx&amp;sheet=A0&amp;row=314&amp;col=6&amp;number=&amp;sourceID=27","")</f>
        <v/>
      </c>
      <c r="G314" s="4" t="str">
        <f>HYPERLINK("http://141.218.60.56/~jnz1568/getInfo.php?workbook=08_02.xlsx&amp;sheet=A0&amp;row=314&amp;col=7&amp;number=&amp;sourceID=34","")</f>
        <v/>
      </c>
      <c r="H314" s="4" t="str">
        <f>HYPERLINK("http://141.218.60.56/~jnz1568/getInfo.php?workbook=08_02.xlsx&amp;sheet=A0&amp;row=314&amp;col=8&amp;number=&amp;sourceID=34","")</f>
        <v/>
      </c>
      <c r="I314" s="4" t="str">
        <f>HYPERLINK("http://141.218.60.56/~jnz1568/getInfo.php?workbook=08_02.xlsx&amp;sheet=A0&amp;row=314&amp;col=9&amp;number=&amp;sourceID=34","")</f>
        <v/>
      </c>
      <c r="J314" s="4" t="str">
        <f>HYPERLINK("http://141.218.60.56/~jnz1568/getInfo.php?workbook=08_02.xlsx&amp;sheet=A0&amp;row=314&amp;col=10&amp;number=&amp;sourceID=34","")</f>
        <v/>
      </c>
      <c r="K314" s="4" t="str">
        <f>HYPERLINK("http://141.218.60.56/~jnz1568/getInfo.php?workbook=08_02.xlsx&amp;sheet=A0&amp;row=314&amp;col=11&amp;number=65340000&amp;sourceID=30","65340000")</f>
        <v>65340000</v>
      </c>
      <c r="L314" s="4" t="str">
        <f>HYPERLINK("http://141.218.60.56/~jnz1568/getInfo.php?workbook=08_02.xlsx&amp;sheet=A0&amp;row=314&amp;col=12&amp;number=&amp;sourceID=30","")</f>
        <v/>
      </c>
      <c r="M314" s="4" t="str">
        <f>HYPERLINK("http://141.218.60.56/~jnz1568/getInfo.php?workbook=08_02.xlsx&amp;sheet=A0&amp;row=314&amp;col=13&amp;number=&amp;sourceID=30","")</f>
        <v/>
      </c>
      <c r="N314" s="4" t="str">
        <f>HYPERLINK("http://141.218.60.56/~jnz1568/getInfo.php?workbook=08_02.xlsx&amp;sheet=A0&amp;row=314&amp;col=14&amp;number=0.487&amp;sourceID=30","0.487")</f>
        <v>0.487</v>
      </c>
      <c r="O314" s="4" t="str">
        <f>HYPERLINK("http://141.218.60.56/~jnz1568/getInfo.php?workbook=08_02.xlsx&amp;sheet=A0&amp;row=314&amp;col=15&amp;number=81570000&amp;sourceID=32","81570000")</f>
        <v>81570000</v>
      </c>
      <c r="P314" s="4" t="str">
        <f>HYPERLINK("http://141.218.60.56/~jnz1568/getInfo.php?workbook=08_02.xlsx&amp;sheet=A0&amp;row=314&amp;col=16&amp;number=&amp;sourceID=32","")</f>
        <v/>
      </c>
      <c r="Q314" s="4" t="str">
        <f>HYPERLINK("http://141.218.60.56/~jnz1568/getInfo.php?workbook=08_02.xlsx&amp;sheet=A0&amp;row=314&amp;col=17&amp;number=&amp;sourceID=32","")</f>
        <v/>
      </c>
      <c r="R314" s="4" t="str">
        <f>HYPERLINK("http://141.218.60.56/~jnz1568/getInfo.php?workbook=08_02.xlsx&amp;sheet=A0&amp;row=314&amp;col=18&amp;number=0.468&amp;sourceID=32","0.468")</f>
        <v>0.468</v>
      </c>
      <c r="S314" s="4" t="str">
        <f>HYPERLINK("http://141.218.60.56/~jnz1568/getInfo.php?workbook=08_02.xlsx&amp;sheet=A0&amp;row=314&amp;col=19&amp;number=&amp;sourceID=1","")</f>
        <v/>
      </c>
      <c r="T314" s="4" t="str">
        <f>HYPERLINK("http://141.218.60.56/~jnz1568/getInfo.php?workbook=08_02.xlsx&amp;sheet=A0&amp;row=314&amp;col=20&amp;number=&amp;sourceID=1","")</f>
        <v/>
      </c>
    </row>
    <row r="315" spans="1:20">
      <c r="A315" s="3">
        <v>8</v>
      </c>
      <c r="B315" s="3">
        <v>2</v>
      </c>
      <c r="C315" s="3">
        <v>28</v>
      </c>
      <c r="D315" s="3">
        <v>17</v>
      </c>
      <c r="E315" s="3">
        <f>((1/(INDEX(E0!J$4:J$52,C315,1)-INDEX(E0!J$4:J$52,D315,1))))*100000000</f>
        <v>0</v>
      </c>
      <c r="F315" s="4" t="str">
        <f>HYPERLINK("http://141.218.60.56/~jnz1568/getInfo.php?workbook=08_02.xlsx&amp;sheet=A0&amp;row=315&amp;col=6&amp;number=&amp;sourceID=27","")</f>
        <v/>
      </c>
      <c r="G315" s="4" t="str">
        <f>HYPERLINK("http://141.218.60.56/~jnz1568/getInfo.php?workbook=08_02.xlsx&amp;sheet=A0&amp;row=315&amp;col=7&amp;number=&amp;sourceID=34","")</f>
        <v/>
      </c>
      <c r="H315" s="4" t="str">
        <f>HYPERLINK("http://141.218.60.56/~jnz1568/getInfo.php?workbook=08_02.xlsx&amp;sheet=A0&amp;row=315&amp;col=8&amp;number=&amp;sourceID=34","")</f>
        <v/>
      </c>
      <c r="I315" s="4" t="str">
        <f>HYPERLINK("http://141.218.60.56/~jnz1568/getInfo.php?workbook=08_02.xlsx&amp;sheet=A0&amp;row=315&amp;col=9&amp;number=&amp;sourceID=34","")</f>
        <v/>
      </c>
      <c r="J315" s="4" t="str">
        <f>HYPERLINK("http://141.218.60.56/~jnz1568/getInfo.php?workbook=08_02.xlsx&amp;sheet=A0&amp;row=315&amp;col=10&amp;number=&amp;sourceID=34","")</f>
        <v/>
      </c>
      <c r="K315" s="4" t="str">
        <f>HYPERLINK("http://141.218.60.56/~jnz1568/getInfo.php?workbook=08_02.xlsx&amp;sheet=A0&amp;row=315&amp;col=11&amp;number=&amp;sourceID=30","")</f>
        <v/>
      </c>
      <c r="L315" s="4" t="str">
        <f>HYPERLINK("http://141.218.60.56/~jnz1568/getInfo.php?workbook=08_02.xlsx&amp;sheet=A0&amp;row=315&amp;col=12&amp;number=48.54&amp;sourceID=30","48.54")</f>
        <v>48.54</v>
      </c>
      <c r="M315" s="4" t="str">
        <f>HYPERLINK("http://141.218.60.56/~jnz1568/getInfo.php?workbook=08_02.xlsx&amp;sheet=A0&amp;row=315&amp;col=13&amp;number=0.0002379&amp;sourceID=30","0.0002379")</f>
        <v>0.0002379</v>
      </c>
      <c r="N315" s="4" t="str">
        <f>HYPERLINK("http://141.218.60.56/~jnz1568/getInfo.php?workbook=08_02.xlsx&amp;sheet=A0&amp;row=315&amp;col=14&amp;number=&amp;sourceID=30","")</f>
        <v/>
      </c>
      <c r="O315" s="4" t="str">
        <f>HYPERLINK("http://141.218.60.56/~jnz1568/getInfo.php?workbook=08_02.xlsx&amp;sheet=A0&amp;row=315&amp;col=15&amp;number=&amp;sourceID=32","")</f>
        <v/>
      </c>
      <c r="P315" s="4" t="str">
        <f>HYPERLINK("http://141.218.60.56/~jnz1568/getInfo.php?workbook=08_02.xlsx&amp;sheet=A0&amp;row=315&amp;col=16&amp;number=52.46&amp;sourceID=32","52.46")</f>
        <v>52.46</v>
      </c>
      <c r="Q315" s="4" t="str">
        <f>HYPERLINK("http://141.218.60.56/~jnz1568/getInfo.php?workbook=08_02.xlsx&amp;sheet=A0&amp;row=315&amp;col=17&amp;number=0.0003683&amp;sourceID=32","0.0003683")</f>
        <v>0.0003683</v>
      </c>
      <c r="R315" s="4" t="str">
        <f>HYPERLINK("http://141.218.60.56/~jnz1568/getInfo.php?workbook=08_02.xlsx&amp;sheet=A0&amp;row=315&amp;col=18&amp;number=&amp;sourceID=32","")</f>
        <v/>
      </c>
      <c r="S315" s="4" t="str">
        <f>HYPERLINK("http://141.218.60.56/~jnz1568/getInfo.php?workbook=08_02.xlsx&amp;sheet=A0&amp;row=315&amp;col=19&amp;number=&amp;sourceID=1","")</f>
        <v/>
      </c>
      <c r="T315" s="4" t="str">
        <f>HYPERLINK("http://141.218.60.56/~jnz1568/getInfo.php?workbook=08_02.xlsx&amp;sheet=A0&amp;row=315&amp;col=20&amp;number=&amp;sourceID=1","")</f>
        <v/>
      </c>
    </row>
    <row r="316" spans="1:20">
      <c r="A316" s="3">
        <v>8</v>
      </c>
      <c r="B316" s="3">
        <v>2</v>
      </c>
      <c r="C316" s="3">
        <v>28</v>
      </c>
      <c r="D316" s="3">
        <v>18</v>
      </c>
      <c r="E316" s="3">
        <f>((1/(INDEX(E0!J$4:J$52,C316,1)-INDEX(E0!J$4:J$52,D316,1))))*100000000</f>
        <v>0</v>
      </c>
      <c r="F316" s="4" t="str">
        <f>HYPERLINK("http://141.218.60.56/~jnz1568/getInfo.php?workbook=08_02.xlsx&amp;sheet=A0&amp;row=316&amp;col=6&amp;number=&amp;sourceID=27","")</f>
        <v/>
      </c>
      <c r="G316" s="4" t="str">
        <f>HYPERLINK("http://141.218.60.56/~jnz1568/getInfo.php?workbook=08_02.xlsx&amp;sheet=A0&amp;row=316&amp;col=7&amp;number=&amp;sourceID=34","")</f>
        <v/>
      </c>
      <c r="H316" s="4" t="str">
        <f>HYPERLINK("http://141.218.60.56/~jnz1568/getInfo.php?workbook=08_02.xlsx&amp;sheet=A0&amp;row=316&amp;col=8&amp;number=&amp;sourceID=34","")</f>
        <v/>
      </c>
      <c r="I316" s="4" t="str">
        <f>HYPERLINK("http://141.218.60.56/~jnz1568/getInfo.php?workbook=08_02.xlsx&amp;sheet=A0&amp;row=316&amp;col=9&amp;number=&amp;sourceID=34","")</f>
        <v/>
      </c>
      <c r="J316" s="4" t="str">
        <f>HYPERLINK("http://141.218.60.56/~jnz1568/getInfo.php?workbook=08_02.xlsx&amp;sheet=A0&amp;row=316&amp;col=10&amp;number=&amp;sourceID=34","")</f>
        <v/>
      </c>
      <c r="K316" s="4" t="str">
        <f>HYPERLINK("http://141.218.60.56/~jnz1568/getInfo.php?workbook=08_02.xlsx&amp;sheet=A0&amp;row=316&amp;col=11&amp;number=0.07282&amp;sourceID=30","0.07282")</f>
        <v>0.07282</v>
      </c>
      <c r="L316" s="4" t="str">
        <f>HYPERLINK("http://141.218.60.56/~jnz1568/getInfo.php?workbook=08_02.xlsx&amp;sheet=A0&amp;row=316&amp;col=12&amp;number=&amp;sourceID=30","")</f>
        <v/>
      </c>
      <c r="M316" s="4" t="str">
        <f>HYPERLINK("http://141.218.60.56/~jnz1568/getInfo.php?workbook=08_02.xlsx&amp;sheet=A0&amp;row=316&amp;col=13&amp;number=&amp;sourceID=30","")</f>
        <v/>
      </c>
      <c r="N316" s="4" t="str">
        <f>HYPERLINK("http://141.218.60.56/~jnz1568/getInfo.php?workbook=08_02.xlsx&amp;sheet=A0&amp;row=316&amp;col=14&amp;number=1e-14&amp;sourceID=30","1e-14")</f>
        <v>1e-14</v>
      </c>
      <c r="O316" s="4" t="str">
        <f>HYPERLINK("http://141.218.60.56/~jnz1568/getInfo.php?workbook=08_02.xlsx&amp;sheet=A0&amp;row=316&amp;col=15&amp;number=0.07595&amp;sourceID=32","0.07595")</f>
        <v>0.07595</v>
      </c>
      <c r="P316" s="4" t="str">
        <f>HYPERLINK("http://141.218.60.56/~jnz1568/getInfo.php?workbook=08_02.xlsx&amp;sheet=A0&amp;row=316&amp;col=16&amp;number=&amp;sourceID=32","")</f>
        <v/>
      </c>
      <c r="Q316" s="4" t="str">
        <f>HYPERLINK("http://141.218.60.56/~jnz1568/getInfo.php?workbook=08_02.xlsx&amp;sheet=A0&amp;row=316&amp;col=17&amp;number=&amp;sourceID=32","")</f>
        <v/>
      </c>
      <c r="R316" s="4" t="str">
        <f>HYPERLINK("http://141.218.60.56/~jnz1568/getInfo.php?workbook=08_02.xlsx&amp;sheet=A0&amp;row=316&amp;col=18&amp;number=1.1e-14&amp;sourceID=32","1.1e-14")</f>
        <v>1.1e-14</v>
      </c>
      <c r="S316" s="4" t="str">
        <f>HYPERLINK("http://141.218.60.56/~jnz1568/getInfo.php?workbook=08_02.xlsx&amp;sheet=A0&amp;row=316&amp;col=19&amp;number=&amp;sourceID=1","")</f>
        <v/>
      </c>
      <c r="T316" s="4" t="str">
        <f>HYPERLINK("http://141.218.60.56/~jnz1568/getInfo.php?workbook=08_02.xlsx&amp;sheet=A0&amp;row=316&amp;col=20&amp;number=&amp;sourceID=1","")</f>
        <v/>
      </c>
    </row>
    <row r="317" spans="1:20">
      <c r="A317" s="3">
        <v>8</v>
      </c>
      <c r="B317" s="3">
        <v>2</v>
      </c>
      <c r="C317" s="3">
        <v>28</v>
      </c>
      <c r="D317" s="3">
        <v>19</v>
      </c>
      <c r="E317" s="3">
        <f>((1/(INDEX(E0!J$4:J$52,C317,1)-INDEX(E0!J$4:J$52,D317,1))))*100000000</f>
        <v>0</v>
      </c>
      <c r="F317" s="4" t="str">
        <f>HYPERLINK("http://141.218.60.56/~jnz1568/getInfo.php?workbook=08_02.xlsx&amp;sheet=A0&amp;row=317&amp;col=6&amp;number=&amp;sourceID=27","")</f>
        <v/>
      </c>
      <c r="G317" s="4" t="str">
        <f>HYPERLINK("http://141.218.60.56/~jnz1568/getInfo.php?workbook=08_02.xlsx&amp;sheet=A0&amp;row=317&amp;col=7&amp;number=&amp;sourceID=34","")</f>
        <v/>
      </c>
      <c r="H317" s="4" t="str">
        <f>HYPERLINK("http://141.218.60.56/~jnz1568/getInfo.php?workbook=08_02.xlsx&amp;sheet=A0&amp;row=317&amp;col=8&amp;number=&amp;sourceID=34","")</f>
        <v/>
      </c>
      <c r="I317" s="4" t="str">
        <f>HYPERLINK("http://141.218.60.56/~jnz1568/getInfo.php?workbook=08_02.xlsx&amp;sheet=A0&amp;row=317&amp;col=9&amp;number=&amp;sourceID=34","")</f>
        <v/>
      </c>
      <c r="J317" s="4" t="str">
        <f>HYPERLINK("http://141.218.60.56/~jnz1568/getInfo.php?workbook=08_02.xlsx&amp;sheet=A0&amp;row=317&amp;col=10&amp;number=&amp;sourceID=34","")</f>
        <v/>
      </c>
      <c r="K317" s="4" t="str">
        <f>HYPERLINK("http://141.218.60.56/~jnz1568/getInfo.php?workbook=08_02.xlsx&amp;sheet=A0&amp;row=317&amp;col=11&amp;number=&amp;sourceID=30","")</f>
        <v/>
      </c>
      <c r="L317" s="4" t="str">
        <f>HYPERLINK("http://141.218.60.56/~jnz1568/getInfo.php?workbook=08_02.xlsx&amp;sheet=A0&amp;row=317&amp;col=12&amp;number=0.0005596&amp;sourceID=30","0.0005596")</f>
        <v>0.0005596</v>
      </c>
      <c r="M317" s="4" t="str">
        <f>HYPERLINK("http://141.218.60.56/~jnz1568/getInfo.php?workbook=08_02.xlsx&amp;sheet=A0&amp;row=317&amp;col=13&amp;number=&amp;sourceID=30","")</f>
        <v/>
      </c>
      <c r="N317" s="4" t="str">
        <f>HYPERLINK("http://141.218.60.56/~jnz1568/getInfo.php?workbook=08_02.xlsx&amp;sheet=A0&amp;row=317&amp;col=14&amp;number=&amp;sourceID=30","")</f>
        <v/>
      </c>
      <c r="O317" s="4" t="str">
        <f>HYPERLINK("http://141.218.60.56/~jnz1568/getInfo.php?workbook=08_02.xlsx&amp;sheet=A0&amp;row=317&amp;col=15&amp;number=&amp;sourceID=32","")</f>
        <v/>
      </c>
      <c r="P317" s="4" t="str">
        <f>HYPERLINK("http://141.218.60.56/~jnz1568/getInfo.php?workbook=08_02.xlsx&amp;sheet=A0&amp;row=317&amp;col=16&amp;number=0.00067&amp;sourceID=32","0.00067")</f>
        <v>0.00067</v>
      </c>
      <c r="Q317" s="4" t="str">
        <f>HYPERLINK("http://141.218.60.56/~jnz1568/getInfo.php?workbook=08_02.xlsx&amp;sheet=A0&amp;row=317&amp;col=17&amp;number=&amp;sourceID=32","")</f>
        <v/>
      </c>
      <c r="R317" s="4" t="str">
        <f>HYPERLINK("http://141.218.60.56/~jnz1568/getInfo.php?workbook=08_02.xlsx&amp;sheet=A0&amp;row=317&amp;col=18&amp;number=&amp;sourceID=32","")</f>
        <v/>
      </c>
      <c r="S317" s="4" t="str">
        <f>HYPERLINK("http://141.218.60.56/~jnz1568/getInfo.php?workbook=08_02.xlsx&amp;sheet=A0&amp;row=317&amp;col=19&amp;number=&amp;sourceID=1","")</f>
        <v/>
      </c>
      <c r="T317" s="4" t="str">
        <f>HYPERLINK("http://141.218.60.56/~jnz1568/getInfo.php?workbook=08_02.xlsx&amp;sheet=A0&amp;row=317&amp;col=20&amp;number=&amp;sourceID=1","")</f>
        <v/>
      </c>
    </row>
    <row r="318" spans="1:20">
      <c r="A318" s="3">
        <v>8</v>
      </c>
      <c r="B318" s="3">
        <v>2</v>
      </c>
      <c r="C318" s="3">
        <v>28</v>
      </c>
      <c r="D318" s="3">
        <v>20</v>
      </c>
      <c r="E318" s="3">
        <f>((1/(INDEX(E0!J$4:J$52,C318,1)-INDEX(E0!J$4:J$52,D318,1))))*100000000</f>
        <v>0</v>
      </c>
      <c r="F318" s="4" t="str">
        <f>HYPERLINK("http://141.218.60.56/~jnz1568/getInfo.php?workbook=08_02.xlsx&amp;sheet=A0&amp;row=318&amp;col=6&amp;number=&amp;sourceID=27","")</f>
        <v/>
      </c>
      <c r="G318" s="4" t="str">
        <f>HYPERLINK("http://141.218.60.56/~jnz1568/getInfo.php?workbook=08_02.xlsx&amp;sheet=A0&amp;row=318&amp;col=7&amp;number=&amp;sourceID=34","")</f>
        <v/>
      </c>
      <c r="H318" s="4" t="str">
        <f>HYPERLINK("http://141.218.60.56/~jnz1568/getInfo.php?workbook=08_02.xlsx&amp;sheet=A0&amp;row=318&amp;col=8&amp;number=&amp;sourceID=34","")</f>
        <v/>
      </c>
      <c r="I318" s="4" t="str">
        <f>HYPERLINK("http://141.218.60.56/~jnz1568/getInfo.php?workbook=08_02.xlsx&amp;sheet=A0&amp;row=318&amp;col=9&amp;number=&amp;sourceID=34","")</f>
        <v/>
      </c>
      <c r="J318" s="4" t="str">
        <f>HYPERLINK("http://141.218.60.56/~jnz1568/getInfo.php?workbook=08_02.xlsx&amp;sheet=A0&amp;row=318&amp;col=10&amp;number=&amp;sourceID=34","")</f>
        <v/>
      </c>
      <c r="K318" s="4" t="str">
        <f>HYPERLINK("http://141.218.60.56/~jnz1568/getInfo.php?workbook=08_02.xlsx&amp;sheet=A0&amp;row=318&amp;col=11&amp;number=&amp;sourceID=30","")</f>
        <v/>
      </c>
      <c r="L318" s="4" t="str">
        <f>HYPERLINK("http://141.218.60.56/~jnz1568/getInfo.php?workbook=08_02.xlsx&amp;sheet=A0&amp;row=318&amp;col=12&amp;number=0.0005517&amp;sourceID=30","0.0005517")</f>
        <v>0.0005517</v>
      </c>
      <c r="M318" s="4" t="str">
        <f>HYPERLINK("http://141.218.60.56/~jnz1568/getInfo.php?workbook=08_02.xlsx&amp;sheet=A0&amp;row=318&amp;col=13&amp;number=5.309e-10&amp;sourceID=30","5.309e-10")</f>
        <v>5.309e-10</v>
      </c>
      <c r="N318" s="4" t="str">
        <f>HYPERLINK("http://141.218.60.56/~jnz1568/getInfo.php?workbook=08_02.xlsx&amp;sheet=A0&amp;row=318&amp;col=14&amp;number=&amp;sourceID=30","")</f>
        <v/>
      </c>
      <c r="O318" s="4" t="str">
        <f>HYPERLINK("http://141.218.60.56/~jnz1568/getInfo.php?workbook=08_02.xlsx&amp;sheet=A0&amp;row=318&amp;col=15&amp;number=&amp;sourceID=32","")</f>
        <v/>
      </c>
      <c r="P318" s="4" t="str">
        <f>HYPERLINK("http://141.218.60.56/~jnz1568/getInfo.php?workbook=08_02.xlsx&amp;sheet=A0&amp;row=318&amp;col=16&amp;number=0.0006604&amp;sourceID=32","0.0006604")</f>
        <v>0.0006604</v>
      </c>
      <c r="Q318" s="4" t="str">
        <f>HYPERLINK("http://141.218.60.56/~jnz1568/getInfo.php?workbook=08_02.xlsx&amp;sheet=A0&amp;row=318&amp;col=17&amp;number=5.461e-10&amp;sourceID=32","5.461e-10")</f>
        <v>5.461e-10</v>
      </c>
      <c r="R318" s="4" t="str">
        <f>HYPERLINK("http://141.218.60.56/~jnz1568/getInfo.php?workbook=08_02.xlsx&amp;sheet=A0&amp;row=318&amp;col=18&amp;number=&amp;sourceID=32","")</f>
        <v/>
      </c>
      <c r="S318" s="4" t="str">
        <f>HYPERLINK("http://141.218.60.56/~jnz1568/getInfo.php?workbook=08_02.xlsx&amp;sheet=A0&amp;row=318&amp;col=19&amp;number=&amp;sourceID=1","")</f>
        <v/>
      </c>
      <c r="T318" s="4" t="str">
        <f>HYPERLINK("http://141.218.60.56/~jnz1568/getInfo.php?workbook=08_02.xlsx&amp;sheet=A0&amp;row=318&amp;col=20&amp;number=&amp;sourceID=1","")</f>
        <v/>
      </c>
    </row>
    <row r="319" spans="1:20">
      <c r="A319" s="3">
        <v>8</v>
      </c>
      <c r="B319" s="3">
        <v>2</v>
      </c>
      <c r="C319" s="3">
        <v>28</v>
      </c>
      <c r="D319" s="3">
        <v>21</v>
      </c>
      <c r="E319" s="3">
        <f>((1/(INDEX(E0!J$4:J$52,C319,1)-INDEX(E0!J$4:J$52,D319,1))))*100000000</f>
        <v>0</v>
      </c>
      <c r="F319" s="4" t="str">
        <f>HYPERLINK("http://141.218.60.56/~jnz1568/getInfo.php?workbook=08_02.xlsx&amp;sheet=A0&amp;row=319&amp;col=6&amp;number=&amp;sourceID=27","")</f>
        <v/>
      </c>
      <c r="G319" s="4" t="str">
        <f>HYPERLINK("http://141.218.60.56/~jnz1568/getInfo.php?workbook=08_02.xlsx&amp;sheet=A0&amp;row=319&amp;col=7&amp;number=&amp;sourceID=34","")</f>
        <v/>
      </c>
      <c r="H319" s="4" t="str">
        <f>HYPERLINK("http://141.218.60.56/~jnz1568/getInfo.php?workbook=08_02.xlsx&amp;sheet=A0&amp;row=319&amp;col=8&amp;number=&amp;sourceID=34","")</f>
        <v/>
      </c>
      <c r="I319" s="4" t="str">
        <f>HYPERLINK("http://141.218.60.56/~jnz1568/getInfo.php?workbook=08_02.xlsx&amp;sheet=A0&amp;row=319&amp;col=9&amp;number=&amp;sourceID=34","")</f>
        <v/>
      </c>
      <c r="J319" s="4" t="str">
        <f>HYPERLINK("http://141.218.60.56/~jnz1568/getInfo.php?workbook=08_02.xlsx&amp;sheet=A0&amp;row=319&amp;col=10&amp;number=&amp;sourceID=34","")</f>
        <v/>
      </c>
      <c r="K319" s="4" t="str">
        <f>HYPERLINK("http://141.218.60.56/~jnz1568/getInfo.php?workbook=08_02.xlsx&amp;sheet=A0&amp;row=319&amp;col=11&amp;number=&amp;sourceID=30","")</f>
        <v/>
      </c>
      <c r="L319" s="4" t="str">
        <f>HYPERLINK("http://141.218.60.56/~jnz1568/getInfo.php?workbook=08_02.xlsx&amp;sheet=A0&amp;row=319&amp;col=12&amp;number=7.186e-05&amp;sourceID=30","7.186e-05")</f>
        <v>7.186e-05</v>
      </c>
      <c r="M319" s="4" t="str">
        <f>HYPERLINK("http://141.218.60.56/~jnz1568/getInfo.php?workbook=08_02.xlsx&amp;sheet=A0&amp;row=319&amp;col=13&amp;number=5.382e-09&amp;sourceID=30","5.382e-09")</f>
        <v>5.382e-09</v>
      </c>
      <c r="N319" s="4" t="str">
        <f>HYPERLINK("http://141.218.60.56/~jnz1568/getInfo.php?workbook=08_02.xlsx&amp;sheet=A0&amp;row=319&amp;col=14&amp;number=&amp;sourceID=30","")</f>
        <v/>
      </c>
      <c r="O319" s="4" t="str">
        <f>HYPERLINK("http://141.218.60.56/~jnz1568/getInfo.php?workbook=08_02.xlsx&amp;sheet=A0&amp;row=319&amp;col=15&amp;number=&amp;sourceID=32","")</f>
        <v/>
      </c>
      <c r="P319" s="4" t="str">
        <f>HYPERLINK("http://141.218.60.56/~jnz1568/getInfo.php?workbook=08_02.xlsx&amp;sheet=A0&amp;row=319&amp;col=16&amp;number=8.615e-05&amp;sourceID=32","8.615e-05")</f>
        <v>8.615e-05</v>
      </c>
      <c r="Q319" s="4" t="str">
        <f>HYPERLINK("http://141.218.60.56/~jnz1568/getInfo.php?workbook=08_02.xlsx&amp;sheet=A0&amp;row=319&amp;col=17&amp;number=5.983e-09&amp;sourceID=32","5.983e-09")</f>
        <v>5.983e-09</v>
      </c>
      <c r="R319" s="4" t="str">
        <f>HYPERLINK("http://141.218.60.56/~jnz1568/getInfo.php?workbook=08_02.xlsx&amp;sheet=A0&amp;row=319&amp;col=18&amp;number=&amp;sourceID=32","")</f>
        <v/>
      </c>
      <c r="S319" s="4" t="str">
        <f>HYPERLINK("http://141.218.60.56/~jnz1568/getInfo.php?workbook=08_02.xlsx&amp;sheet=A0&amp;row=319&amp;col=19&amp;number=&amp;sourceID=1","")</f>
        <v/>
      </c>
      <c r="T319" s="4" t="str">
        <f>HYPERLINK("http://141.218.60.56/~jnz1568/getInfo.php?workbook=08_02.xlsx&amp;sheet=A0&amp;row=319&amp;col=20&amp;number=&amp;sourceID=1","")</f>
        <v/>
      </c>
    </row>
    <row r="320" spans="1:20">
      <c r="A320" s="3">
        <v>8</v>
      </c>
      <c r="B320" s="3">
        <v>2</v>
      </c>
      <c r="C320" s="3">
        <v>28</v>
      </c>
      <c r="D320" s="3">
        <v>22</v>
      </c>
      <c r="E320" s="3">
        <f>((1/(INDEX(E0!J$4:J$52,C320,1)-INDEX(E0!J$4:J$52,D320,1))))*100000000</f>
        <v>0</v>
      </c>
      <c r="F320" s="4" t="str">
        <f>HYPERLINK("http://141.218.60.56/~jnz1568/getInfo.php?workbook=08_02.xlsx&amp;sheet=A0&amp;row=320&amp;col=6&amp;number=&amp;sourceID=27","")</f>
        <v/>
      </c>
      <c r="G320" s="4" t="str">
        <f>HYPERLINK("http://141.218.60.56/~jnz1568/getInfo.php?workbook=08_02.xlsx&amp;sheet=A0&amp;row=320&amp;col=7&amp;number=&amp;sourceID=34","")</f>
        <v/>
      </c>
      <c r="H320" s="4" t="str">
        <f>HYPERLINK("http://141.218.60.56/~jnz1568/getInfo.php?workbook=08_02.xlsx&amp;sheet=A0&amp;row=320&amp;col=8&amp;number=&amp;sourceID=34","")</f>
        <v/>
      </c>
      <c r="I320" s="4" t="str">
        <f>HYPERLINK("http://141.218.60.56/~jnz1568/getInfo.php?workbook=08_02.xlsx&amp;sheet=A0&amp;row=320&amp;col=9&amp;number=&amp;sourceID=34","")</f>
        <v/>
      </c>
      <c r="J320" s="4" t="str">
        <f>HYPERLINK("http://141.218.60.56/~jnz1568/getInfo.php?workbook=08_02.xlsx&amp;sheet=A0&amp;row=320&amp;col=10&amp;number=&amp;sourceID=34","")</f>
        <v/>
      </c>
      <c r="K320" s="4" t="str">
        <f>HYPERLINK("http://141.218.60.56/~jnz1568/getInfo.php?workbook=08_02.xlsx&amp;sheet=A0&amp;row=320&amp;col=11&amp;number=&amp;sourceID=30","")</f>
        <v/>
      </c>
      <c r="L320" s="4" t="str">
        <f>HYPERLINK("http://141.218.60.56/~jnz1568/getInfo.php?workbook=08_02.xlsx&amp;sheet=A0&amp;row=320&amp;col=12&amp;number=&amp;sourceID=30","")</f>
        <v/>
      </c>
      <c r="M320" s="4" t="str">
        <f>HYPERLINK("http://141.218.60.56/~jnz1568/getInfo.php?workbook=08_02.xlsx&amp;sheet=A0&amp;row=320&amp;col=13&amp;number=&amp;sourceID=30","")</f>
        <v/>
      </c>
      <c r="N320" s="4" t="str">
        <f>HYPERLINK("http://141.218.60.56/~jnz1568/getInfo.php?workbook=08_02.xlsx&amp;sheet=A0&amp;row=320&amp;col=14&amp;number=0&amp;sourceID=30","0")</f>
        <v>0</v>
      </c>
      <c r="O320" s="4" t="str">
        <f>HYPERLINK("http://141.218.60.56/~jnz1568/getInfo.php?workbook=08_02.xlsx&amp;sheet=A0&amp;row=320&amp;col=15&amp;number=&amp;sourceID=32","")</f>
        <v/>
      </c>
      <c r="P320" s="4" t="str">
        <f>HYPERLINK("http://141.218.60.56/~jnz1568/getInfo.php?workbook=08_02.xlsx&amp;sheet=A0&amp;row=320&amp;col=16&amp;number=&amp;sourceID=32","")</f>
        <v/>
      </c>
      <c r="Q320" s="4" t="str">
        <f>HYPERLINK("http://141.218.60.56/~jnz1568/getInfo.php?workbook=08_02.xlsx&amp;sheet=A0&amp;row=320&amp;col=17&amp;number=&amp;sourceID=32","")</f>
        <v/>
      </c>
      <c r="R320" s="4" t="str">
        <f>HYPERLINK("http://141.218.60.56/~jnz1568/getInfo.php?workbook=08_02.xlsx&amp;sheet=A0&amp;row=320&amp;col=18&amp;number=0&amp;sourceID=32","0")</f>
        <v>0</v>
      </c>
      <c r="S320" s="4" t="str">
        <f>HYPERLINK("http://141.218.60.56/~jnz1568/getInfo.php?workbook=08_02.xlsx&amp;sheet=A0&amp;row=320&amp;col=19&amp;number=&amp;sourceID=1","")</f>
        <v/>
      </c>
      <c r="T320" s="4" t="str">
        <f>HYPERLINK("http://141.218.60.56/~jnz1568/getInfo.php?workbook=08_02.xlsx&amp;sheet=A0&amp;row=320&amp;col=20&amp;number=&amp;sourceID=1","")</f>
        <v/>
      </c>
    </row>
    <row r="321" spans="1:20">
      <c r="A321" s="3">
        <v>8</v>
      </c>
      <c r="B321" s="3">
        <v>2</v>
      </c>
      <c r="C321" s="3">
        <v>28</v>
      </c>
      <c r="D321" s="3">
        <v>23</v>
      </c>
      <c r="E321" s="3">
        <f>((1/(INDEX(E0!J$4:J$52,C321,1)-INDEX(E0!J$4:J$52,D321,1))))*100000000</f>
        <v>0</v>
      </c>
      <c r="F321" s="4" t="str">
        <f>HYPERLINK("http://141.218.60.56/~jnz1568/getInfo.php?workbook=08_02.xlsx&amp;sheet=A0&amp;row=321&amp;col=6&amp;number=&amp;sourceID=27","")</f>
        <v/>
      </c>
      <c r="G321" s="4" t="str">
        <f>HYPERLINK("http://141.218.60.56/~jnz1568/getInfo.php?workbook=08_02.xlsx&amp;sheet=A0&amp;row=321&amp;col=7&amp;number=&amp;sourceID=34","")</f>
        <v/>
      </c>
      <c r="H321" s="4" t="str">
        <f>HYPERLINK("http://141.218.60.56/~jnz1568/getInfo.php?workbook=08_02.xlsx&amp;sheet=A0&amp;row=321&amp;col=8&amp;number=&amp;sourceID=34","")</f>
        <v/>
      </c>
      <c r="I321" s="4" t="str">
        <f>HYPERLINK("http://141.218.60.56/~jnz1568/getInfo.php?workbook=08_02.xlsx&amp;sheet=A0&amp;row=321&amp;col=9&amp;number=&amp;sourceID=34","")</f>
        <v/>
      </c>
      <c r="J321" s="4" t="str">
        <f>HYPERLINK("http://141.218.60.56/~jnz1568/getInfo.php?workbook=08_02.xlsx&amp;sheet=A0&amp;row=321&amp;col=10&amp;number=&amp;sourceID=34","")</f>
        <v/>
      </c>
      <c r="K321" s="4" t="str">
        <f>HYPERLINK("http://141.218.60.56/~jnz1568/getInfo.php?workbook=08_02.xlsx&amp;sheet=A0&amp;row=321&amp;col=11&amp;number=29.17&amp;sourceID=30","29.17")</f>
        <v>29.17</v>
      </c>
      <c r="L321" s="4" t="str">
        <f>HYPERLINK("http://141.218.60.56/~jnz1568/getInfo.php?workbook=08_02.xlsx&amp;sheet=A0&amp;row=321&amp;col=12&amp;number=&amp;sourceID=30","")</f>
        <v/>
      </c>
      <c r="M321" s="4" t="str">
        <f>HYPERLINK("http://141.218.60.56/~jnz1568/getInfo.php?workbook=08_02.xlsx&amp;sheet=A0&amp;row=321&amp;col=13&amp;number=&amp;sourceID=30","")</f>
        <v/>
      </c>
      <c r="N321" s="4" t="str">
        <f>HYPERLINK("http://141.218.60.56/~jnz1568/getInfo.php?workbook=08_02.xlsx&amp;sheet=A0&amp;row=321&amp;col=14&amp;number=2e-15&amp;sourceID=30","2e-15")</f>
        <v>2e-15</v>
      </c>
      <c r="O321" s="4" t="str">
        <f>HYPERLINK("http://141.218.60.56/~jnz1568/getInfo.php?workbook=08_02.xlsx&amp;sheet=A0&amp;row=321&amp;col=15&amp;number=44.88&amp;sourceID=32","44.88")</f>
        <v>44.88</v>
      </c>
      <c r="P321" s="4" t="str">
        <f>HYPERLINK("http://141.218.60.56/~jnz1568/getInfo.php?workbook=08_02.xlsx&amp;sheet=A0&amp;row=321&amp;col=16&amp;number=&amp;sourceID=32","")</f>
        <v/>
      </c>
      <c r="Q321" s="4" t="str">
        <f>HYPERLINK("http://141.218.60.56/~jnz1568/getInfo.php?workbook=08_02.xlsx&amp;sheet=A0&amp;row=321&amp;col=17&amp;number=&amp;sourceID=32","")</f>
        <v/>
      </c>
      <c r="R321" s="4" t="str">
        <f>HYPERLINK("http://141.218.60.56/~jnz1568/getInfo.php?workbook=08_02.xlsx&amp;sheet=A0&amp;row=321&amp;col=18&amp;number=5e-15&amp;sourceID=32","5e-15")</f>
        <v>5e-15</v>
      </c>
      <c r="S321" s="4" t="str">
        <f>HYPERLINK("http://141.218.60.56/~jnz1568/getInfo.php?workbook=08_02.xlsx&amp;sheet=A0&amp;row=321&amp;col=19&amp;number=&amp;sourceID=1","")</f>
        <v/>
      </c>
      <c r="T321" s="4" t="str">
        <f>HYPERLINK("http://141.218.60.56/~jnz1568/getInfo.php?workbook=08_02.xlsx&amp;sheet=A0&amp;row=321&amp;col=20&amp;number=&amp;sourceID=1","")</f>
        <v/>
      </c>
    </row>
    <row r="322" spans="1:20">
      <c r="A322" s="3">
        <v>8</v>
      </c>
      <c r="B322" s="3">
        <v>2</v>
      </c>
      <c r="C322" s="3">
        <v>28</v>
      </c>
      <c r="D322" s="3">
        <v>24</v>
      </c>
      <c r="E322" s="3">
        <f>((1/(INDEX(E0!J$4:J$52,C322,1)-INDEX(E0!J$4:J$52,D322,1))))*100000000</f>
        <v>0</v>
      </c>
      <c r="F322" s="4" t="str">
        <f>HYPERLINK("http://141.218.60.56/~jnz1568/getInfo.php?workbook=08_02.xlsx&amp;sheet=A0&amp;row=322&amp;col=6&amp;number=&amp;sourceID=27","")</f>
        <v/>
      </c>
      <c r="G322" s="4" t="str">
        <f>HYPERLINK("http://141.218.60.56/~jnz1568/getInfo.php?workbook=08_02.xlsx&amp;sheet=A0&amp;row=322&amp;col=7&amp;number=&amp;sourceID=34","")</f>
        <v/>
      </c>
      <c r="H322" s="4" t="str">
        <f>HYPERLINK("http://141.218.60.56/~jnz1568/getInfo.php?workbook=08_02.xlsx&amp;sheet=A0&amp;row=322&amp;col=8&amp;number=&amp;sourceID=34","")</f>
        <v/>
      </c>
      <c r="I322" s="4" t="str">
        <f>HYPERLINK("http://141.218.60.56/~jnz1568/getInfo.php?workbook=08_02.xlsx&amp;sheet=A0&amp;row=322&amp;col=9&amp;number=&amp;sourceID=34","")</f>
        <v/>
      </c>
      <c r="J322" s="4" t="str">
        <f>HYPERLINK("http://141.218.60.56/~jnz1568/getInfo.php?workbook=08_02.xlsx&amp;sheet=A0&amp;row=322&amp;col=10&amp;number=&amp;sourceID=34","")</f>
        <v/>
      </c>
      <c r="K322" s="4" t="str">
        <f>HYPERLINK("http://141.218.60.56/~jnz1568/getInfo.php?workbook=08_02.xlsx&amp;sheet=A0&amp;row=322&amp;col=11&amp;number=5.023&amp;sourceID=30","5.023")</f>
        <v>5.023</v>
      </c>
      <c r="L322" s="4" t="str">
        <f>HYPERLINK("http://141.218.60.56/~jnz1568/getInfo.php?workbook=08_02.xlsx&amp;sheet=A0&amp;row=322&amp;col=12&amp;number=&amp;sourceID=30","")</f>
        <v/>
      </c>
      <c r="M322" s="4" t="str">
        <f>HYPERLINK("http://141.218.60.56/~jnz1568/getInfo.php?workbook=08_02.xlsx&amp;sheet=A0&amp;row=322&amp;col=13&amp;number=&amp;sourceID=30","")</f>
        <v/>
      </c>
      <c r="N322" s="4" t="str">
        <f>HYPERLINK("http://141.218.60.56/~jnz1568/getInfo.php?workbook=08_02.xlsx&amp;sheet=A0&amp;row=322&amp;col=14&amp;number=1e-15&amp;sourceID=30","1e-15")</f>
        <v>1e-15</v>
      </c>
      <c r="O322" s="4" t="str">
        <f>HYPERLINK("http://141.218.60.56/~jnz1568/getInfo.php?workbook=08_02.xlsx&amp;sheet=A0&amp;row=322&amp;col=15&amp;number=7.812&amp;sourceID=32","7.812")</f>
        <v>7.812</v>
      </c>
      <c r="P322" s="4" t="str">
        <f>HYPERLINK("http://141.218.60.56/~jnz1568/getInfo.php?workbook=08_02.xlsx&amp;sheet=A0&amp;row=322&amp;col=16&amp;number=&amp;sourceID=32","")</f>
        <v/>
      </c>
      <c r="Q322" s="4" t="str">
        <f>HYPERLINK("http://141.218.60.56/~jnz1568/getInfo.php?workbook=08_02.xlsx&amp;sheet=A0&amp;row=322&amp;col=17&amp;number=&amp;sourceID=32","")</f>
        <v/>
      </c>
      <c r="R322" s="4" t="str">
        <f>HYPERLINK("http://141.218.60.56/~jnz1568/getInfo.php?workbook=08_02.xlsx&amp;sheet=A0&amp;row=322&amp;col=18&amp;number=1e-15&amp;sourceID=32","1e-15")</f>
        <v>1e-15</v>
      </c>
      <c r="S322" s="4" t="str">
        <f>HYPERLINK("http://141.218.60.56/~jnz1568/getInfo.php?workbook=08_02.xlsx&amp;sheet=A0&amp;row=322&amp;col=19&amp;number=&amp;sourceID=1","")</f>
        <v/>
      </c>
      <c r="T322" s="4" t="str">
        <f>HYPERLINK("http://141.218.60.56/~jnz1568/getInfo.php?workbook=08_02.xlsx&amp;sheet=A0&amp;row=322&amp;col=20&amp;number=&amp;sourceID=1","")</f>
        <v/>
      </c>
    </row>
    <row r="323" spans="1:20">
      <c r="A323" s="3">
        <v>8</v>
      </c>
      <c r="B323" s="3">
        <v>2</v>
      </c>
      <c r="C323" s="3">
        <v>28</v>
      </c>
      <c r="D323" s="3">
        <v>26</v>
      </c>
      <c r="E323" s="3">
        <f>((1/(INDEX(E0!J$4:J$52,C323,1)-INDEX(E0!J$4:J$52,D323,1))))*100000000</f>
        <v>0</v>
      </c>
      <c r="F323" s="4" t="str">
        <f>HYPERLINK("http://141.218.60.56/~jnz1568/getInfo.php?workbook=08_02.xlsx&amp;sheet=A0&amp;row=323&amp;col=6&amp;number=&amp;sourceID=27","")</f>
        <v/>
      </c>
      <c r="G323" s="4" t="str">
        <f>HYPERLINK("http://141.218.60.56/~jnz1568/getInfo.php?workbook=08_02.xlsx&amp;sheet=A0&amp;row=323&amp;col=7&amp;number=&amp;sourceID=34","")</f>
        <v/>
      </c>
      <c r="H323" s="4" t="str">
        <f>HYPERLINK("http://141.218.60.56/~jnz1568/getInfo.php?workbook=08_02.xlsx&amp;sheet=A0&amp;row=323&amp;col=8&amp;number=&amp;sourceID=34","")</f>
        <v/>
      </c>
      <c r="I323" s="4" t="str">
        <f>HYPERLINK("http://141.218.60.56/~jnz1568/getInfo.php?workbook=08_02.xlsx&amp;sheet=A0&amp;row=323&amp;col=9&amp;number=&amp;sourceID=34","")</f>
        <v/>
      </c>
      <c r="J323" s="4" t="str">
        <f>HYPERLINK("http://141.218.60.56/~jnz1568/getInfo.php?workbook=08_02.xlsx&amp;sheet=A0&amp;row=323&amp;col=10&amp;number=&amp;sourceID=34","")</f>
        <v/>
      </c>
      <c r="K323" s="4" t="str">
        <f>HYPERLINK("http://141.218.60.56/~jnz1568/getInfo.php?workbook=08_02.xlsx&amp;sheet=A0&amp;row=323&amp;col=11&amp;number=0.1039&amp;sourceID=30","0.1039")</f>
        <v>0.1039</v>
      </c>
      <c r="L323" s="4" t="str">
        <f>HYPERLINK("http://141.218.60.56/~jnz1568/getInfo.php?workbook=08_02.xlsx&amp;sheet=A0&amp;row=323&amp;col=12&amp;number=&amp;sourceID=30","")</f>
        <v/>
      </c>
      <c r="M323" s="4" t="str">
        <f>HYPERLINK("http://141.218.60.56/~jnz1568/getInfo.php?workbook=08_02.xlsx&amp;sheet=A0&amp;row=323&amp;col=13&amp;number=&amp;sourceID=30","")</f>
        <v/>
      </c>
      <c r="N323" s="4" t="str">
        <f>HYPERLINK("http://141.218.60.56/~jnz1568/getInfo.php?workbook=08_02.xlsx&amp;sheet=A0&amp;row=323&amp;col=14&amp;number=0&amp;sourceID=30","0")</f>
        <v>0</v>
      </c>
      <c r="O323" s="4" t="str">
        <f>HYPERLINK("http://141.218.60.56/~jnz1568/getInfo.php?workbook=08_02.xlsx&amp;sheet=A0&amp;row=323&amp;col=15&amp;number=0.1686&amp;sourceID=32","0.1686")</f>
        <v>0.1686</v>
      </c>
      <c r="P323" s="4" t="str">
        <f>HYPERLINK("http://141.218.60.56/~jnz1568/getInfo.php?workbook=08_02.xlsx&amp;sheet=A0&amp;row=323&amp;col=16&amp;number=&amp;sourceID=32","")</f>
        <v/>
      </c>
      <c r="Q323" s="4" t="str">
        <f>HYPERLINK("http://141.218.60.56/~jnz1568/getInfo.php?workbook=08_02.xlsx&amp;sheet=A0&amp;row=323&amp;col=17&amp;number=&amp;sourceID=32","")</f>
        <v/>
      </c>
      <c r="R323" s="4" t="str">
        <f>HYPERLINK("http://141.218.60.56/~jnz1568/getInfo.php?workbook=08_02.xlsx&amp;sheet=A0&amp;row=323&amp;col=18&amp;number=0&amp;sourceID=32","0")</f>
        <v>0</v>
      </c>
      <c r="S323" s="4" t="str">
        <f>HYPERLINK("http://141.218.60.56/~jnz1568/getInfo.php?workbook=08_02.xlsx&amp;sheet=A0&amp;row=323&amp;col=19&amp;number=&amp;sourceID=1","")</f>
        <v/>
      </c>
      <c r="T323" s="4" t="str">
        <f>HYPERLINK("http://141.218.60.56/~jnz1568/getInfo.php?workbook=08_02.xlsx&amp;sheet=A0&amp;row=323&amp;col=20&amp;number=&amp;sourceID=1","")</f>
        <v/>
      </c>
    </row>
    <row r="324" spans="1:20">
      <c r="A324" s="3">
        <v>8</v>
      </c>
      <c r="B324" s="3">
        <v>2</v>
      </c>
      <c r="C324" s="3">
        <v>29</v>
      </c>
      <c r="D324" s="3">
        <v>1</v>
      </c>
      <c r="E324" s="3">
        <f>((1/(INDEX(E0!J$4:J$52,C324,1)-INDEX(E0!J$4:J$52,D324,1))))*100000000</f>
        <v>0</v>
      </c>
      <c r="F324" s="4" t="str">
        <f>HYPERLINK("http://141.218.60.56/~jnz1568/getInfo.php?workbook=08_02.xlsx&amp;sheet=A0&amp;row=324&amp;col=6&amp;number=&amp;sourceID=27","")</f>
        <v/>
      </c>
      <c r="G324" s="4" t="str">
        <f>HYPERLINK("http://141.218.60.56/~jnz1568/getInfo.php?workbook=08_02.xlsx&amp;sheet=A0&amp;row=324&amp;col=7&amp;number=&amp;sourceID=34","")</f>
        <v/>
      </c>
      <c r="H324" s="4" t="str">
        <f>HYPERLINK("http://141.218.60.56/~jnz1568/getInfo.php?workbook=08_02.xlsx&amp;sheet=A0&amp;row=324&amp;col=8&amp;number=&amp;sourceID=34","")</f>
        <v/>
      </c>
      <c r="I324" s="4" t="str">
        <f>HYPERLINK("http://141.218.60.56/~jnz1568/getInfo.php?workbook=08_02.xlsx&amp;sheet=A0&amp;row=324&amp;col=9&amp;number=&amp;sourceID=34","")</f>
        <v/>
      </c>
      <c r="J324" s="4" t="str">
        <f>HYPERLINK("http://141.218.60.56/~jnz1568/getInfo.php?workbook=08_02.xlsx&amp;sheet=A0&amp;row=324&amp;col=10&amp;number=&amp;sourceID=34","")</f>
        <v/>
      </c>
      <c r="K324" s="4" t="str">
        <f>HYPERLINK("http://141.218.60.56/~jnz1568/getInfo.php?workbook=08_02.xlsx&amp;sheet=A0&amp;row=324&amp;col=11&amp;number=&amp;sourceID=30","")</f>
        <v/>
      </c>
      <c r="L324" s="4" t="str">
        <f>HYPERLINK("http://141.218.60.56/~jnz1568/getInfo.php?workbook=08_02.xlsx&amp;sheet=A0&amp;row=324&amp;col=12&amp;number=5491000&amp;sourceID=30","5491000")</f>
        <v>5491000</v>
      </c>
      <c r="M324" s="4" t="str">
        <f>HYPERLINK("http://141.218.60.56/~jnz1568/getInfo.php?workbook=08_02.xlsx&amp;sheet=A0&amp;row=324&amp;col=13&amp;number=&amp;sourceID=30","")</f>
        <v/>
      </c>
      <c r="N324" s="4" t="str">
        <f>HYPERLINK("http://141.218.60.56/~jnz1568/getInfo.php?workbook=08_02.xlsx&amp;sheet=A0&amp;row=324&amp;col=14&amp;number=&amp;sourceID=30","")</f>
        <v/>
      </c>
      <c r="O324" s="4" t="str">
        <f>HYPERLINK("http://141.218.60.56/~jnz1568/getInfo.php?workbook=08_02.xlsx&amp;sheet=A0&amp;row=324&amp;col=15&amp;number=&amp;sourceID=32","")</f>
        <v/>
      </c>
      <c r="P324" s="4" t="str">
        <f>HYPERLINK("http://141.218.60.56/~jnz1568/getInfo.php?workbook=08_02.xlsx&amp;sheet=A0&amp;row=324&amp;col=16&amp;number=79700000&amp;sourceID=32","79700000")</f>
        <v>79700000</v>
      </c>
      <c r="Q324" s="4" t="str">
        <f>HYPERLINK("http://141.218.60.56/~jnz1568/getInfo.php?workbook=08_02.xlsx&amp;sheet=A0&amp;row=324&amp;col=17&amp;number=&amp;sourceID=32","")</f>
        <v/>
      </c>
      <c r="R324" s="4" t="str">
        <f>HYPERLINK("http://141.218.60.56/~jnz1568/getInfo.php?workbook=08_02.xlsx&amp;sheet=A0&amp;row=324&amp;col=18&amp;number=&amp;sourceID=32","")</f>
        <v/>
      </c>
      <c r="S324" s="4" t="str">
        <f>HYPERLINK("http://141.218.60.56/~jnz1568/getInfo.php?workbook=08_02.xlsx&amp;sheet=A0&amp;row=324&amp;col=19&amp;number=&amp;sourceID=1","")</f>
        <v/>
      </c>
      <c r="T324" s="4" t="str">
        <f>HYPERLINK("http://141.218.60.56/~jnz1568/getInfo.php?workbook=08_02.xlsx&amp;sheet=A0&amp;row=324&amp;col=20&amp;number=&amp;sourceID=1","")</f>
        <v/>
      </c>
    </row>
    <row r="325" spans="1:20">
      <c r="A325" s="3">
        <v>8</v>
      </c>
      <c r="B325" s="3">
        <v>2</v>
      </c>
      <c r="C325" s="3">
        <v>29</v>
      </c>
      <c r="D325" s="3">
        <v>2</v>
      </c>
      <c r="E325" s="3">
        <f>((1/(INDEX(E0!J$4:J$52,C325,1)-INDEX(E0!J$4:J$52,D325,1))))*100000000</f>
        <v>0</v>
      </c>
      <c r="F325" s="4" t="str">
        <f>HYPERLINK("http://141.218.60.56/~jnz1568/getInfo.php?workbook=08_02.xlsx&amp;sheet=A0&amp;row=325&amp;col=6&amp;number=&amp;sourceID=27","")</f>
        <v/>
      </c>
      <c r="G325" s="4" t="str">
        <f>HYPERLINK("http://141.218.60.56/~jnz1568/getInfo.php?workbook=08_02.xlsx&amp;sheet=A0&amp;row=325&amp;col=7&amp;number=&amp;sourceID=34","")</f>
        <v/>
      </c>
      <c r="H325" s="4" t="str">
        <f>HYPERLINK("http://141.218.60.56/~jnz1568/getInfo.php?workbook=08_02.xlsx&amp;sheet=A0&amp;row=325&amp;col=8&amp;number=&amp;sourceID=34","")</f>
        <v/>
      </c>
      <c r="I325" s="4" t="str">
        <f>HYPERLINK("http://141.218.60.56/~jnz1568/getInfo.php?workbook=08_02.xlsx&amp;sheet=A0&amp;row=325&amp;col=9&amp;number=&amp;sourceID=34","")</f>
        <v/>
      </c>
      <c r="J325" s="4" t="str">
        <f>HYPERLINK("http://141.218.60.56/~jnz1568/getInfo.php?workbook=08_02.xlsx&amp;sheet=A0&amp;row=325&amp;col=10&amp;number=&amp;sourceID=34","")</f>
        <v/>
      </c>
      <c r="K325" s="4" t="str">
        <f>HYPERLINK("http://141.218.60.56/~jnz1568/getInfo.php?workbook=08_02.xlsx&amp;sheet=A0&amp;row=325&amp;col=11&amp;number=&amp;sourceID=30","")</f>
        <v/>
      </c>
      <c r="L325" s="4" t="str">
        <f>HYPERLINK("http://141.218.60.56/~jnz1568/getInfo.php?workbook=08_02.xlsx&amp;sheet=A0&amp;row=325&amp;col=12&amp;number=9500&amp;sourceID=30","9500")</f>
        <v>9500</v>
      </c>
      <c r="M325" s="4" t="str">
        <f>HYPERLINK("http://141.218.60.56/~jnz1568/getInfo.php?workbook=08_02.xlsx&amp;sheet=A0&amp;row=325&amp;col=13&amp;number=0.009276&amp;sourceID=30","0.009276")</f>
        <v>0.009276</v>
      </c>
      <c r="N325" s="4" t="str">
        <f>HYPERLINK("http://141.218.60.56/~jnz1568/getInfo.php?workbook=08_02.xlsx&amp;sheet=A0&amp;row=325&amp;col=14&amp;number=&amp;sourceID=30","")</f>
        <v/>
      </c>
      <c r="O325" s="4" t="str">
        <f>HYPERLINK("http://141.218.60.56/~jnz1568/getInfo.php?workbook=08_02.xlsx&amp;sheet=A0&amp;row=325&amp;col=15&amp;number=&amp;sourceID=32","")</f>
        <v/>
      </c>
      <c r="P325" s="4" t="str">
        <f>HYPERLINK("http://141.218.60.56/~jnz1568/getInfo.php?workbook=08_02.xlsx&amp;sheet=A0&amp;row=325&amp;col=16&amp;number=12820&amp;sourceID=32","12820")</f>
        <v>12820</v>
      </c>
      <c r="Q325" s="4" t="str">
        <f>HYPERLINK("http://141.218.60.56/~jnz1568/getInfo.php?workbook=08_02.xlsx&amp;sheet=A0&amp;row=325&amp;col=17&amp;number=0.01365&amp;sourceID=32","0.01365")</f>
        <v>0.01365</v>
      </c>
      <c r="R325" s="4" t="str">
        <f>HYPERLINK("http://141.218.60.56/~jnz1568/getInfo.php?workbook=08_02.xlsx&amp;sheet=A0&amp;row=325&amp;col=18&amp;number=&amp;sourceID=32","")</f>
        <v/>
      </c>
      <c r="S325" s="4" t="str">
        <f>HYPERLINK("http://141.218.60.56/~jnz1568/getInfo.php?workbook=08_02.xlsx&amp;sheet=A0&amp;row=325&amp;col=19&amp;number=&amp;sourceID=1","")</f>
        <v/>
      </c>
      <c r="T325" s="4" t="str">
        <f>HYPERLINK("http://141.218.60.56/~jnz1568/getInfo.php?workbook=08_02.xlsx&amp;sheet=A0&amp;row=325&amp;col=20&amp;number=&amp;sourceID=1","")</f>
        <v/>
      </c>
    </row>
    <row r="326" spans="1:20">
      <c r="A326" s="3">
        <v>8</v>
      </c>
      <c r="B326" s="3">
        <v>2</v>
      </c>
      <c r="C326" s="3">
        <v>29</v>
      </c>
      <c r="D326" s="3">
        <v>3</v>
      </c>
      <c r="E326" s="3">
        <f>((1/(INDEX(E0!J$4:J$52,C326,1)-INDEX(E0!J$4:J$52,D326,1))))*100000000</f>
        <v>0</v>
      </c>
      <c r="F326" s="4" t="str">
        <f>HYPERLINK("http://141.218.60.56/~jnz1568/getInfo.php?workbook=08_02.xlsx&amp;sheet=A0&amp;row=326&amp;col=6&amp;number=&amp;sourceID=27","")</f>
        <v/>
      </c>
      <c r="G326" s="4" t="str">
        <f>HYPERLINK("http://141.218.60.56/~jnz1568/getInfo.php?workbook=08_02.xlsx&amp;sheet=A0&amp;row=326&amp;col=7&amp;number=&amp;sourceID=34","")</f>
        <v/>
      </c>
      <c r="H326" s="4" t="str">
        <f>HYPERLINK("http://141.218.60.56/~jnz1568/getInfo.php?workbook=08_02.xlsx&amp;sheet=A0&amp;row=326&amp;col=8&amp;number=&amp;sourceID=34","")</f>
        <v/>
      </c>
      <c r="I326" s="4" t="str">
        <f>HYPERLINK("http://141.218.60.56/~jnz1568/getInfo.php?workbook=08_02.xlsx&amp;sheet=A0&amp;row=326&amp;col=9&amp;number=&amp;sourceID=34","")</f>
        <v/>
      </c>
      <c r="J326" s="4" t="str">
        <f>HYPERLINK("http://141.218.60.56/~jnz1568/getInfo.php?workbook=08_02.xlsx&amp;sheet=A0&amp;row=326&amp;col=10&amp;number=&amp;sourceID=34","")</f>
        <v/>
      </c>
      <c r="K326" s="4" t="str">
        <f>HYPERLINK("http://141.218.60.56/~jnz1568/getInfo.php?workbook=08_02.xlsx&amp;sheet=A0&amp;row=326&amp;col=11&amp;number=&amp;sourceID=30","")</f>
        <v/>
      </c>
      <c r="L326" s="4" t="str">
        <f>HYPERLINK("http://141.218.60.56/~jnz1568/getInfo.php?workbook=08_02.xlsx&amp;sheet=A0&amp;row=326&amp;col=12&amp;number=&amp;sourceID=30","")</f>
        <v/>
      </c>
      <c r="M326" s="4" t="str">
        <f>HYPERLINK("http://141.218.60.56/~jnz1568/getInfo.php?workbook=08_02.xlsx&amp;sheet=A0&amp;row=326&amp;col=13&amp;number=&amp;sourceID=30","")</f>
        <v/>
      </c>
      <c r="N326" s="4" t="str">
        <f>HYPERLINK("http://141.218.60.56/~jnz1568/getInfo.php?workbook=08_02.xlsx&amp;sheet=A0&amp;row=326&amp;col=14&amp;number=89.86&amp;sourceID=30","89.86")</f>
        <v>89.86</v>
      </c>
      <c r="O326" s="4" t="str">
        <f>HYPERLINK("http://141.218.60.56/~jnz1568/getInfo.php?workbook=08_02.xlsx&amp;sheet=A0&amp;row=326&amp;col=15&amp;number=&amp;sourceID=32","")</f>
        <v/>
      </c>
      <c r="P326" s="4" t="str">
        <f>HYPERLINK("http://141.218.60.56/~jnz1568/getInfo.php?workbook=08_02.xlsx&amp;sheet=A0&amp;row=326&amp;col=16&amp;number=&amp;sourceID=32","")</f>
        <v/>
      </c>
      <c r="Q326" s="4" t="str">
        <f>HYPERLINK("http://141.218.60.56/~jnz1568/getInfo.php?workbook=08_02.xlsx&amp;sheet=A0&amp;row=326&amp;col=17&amp;number=&amp;sourceID=32","")</f>
        <v/>
      </c>
      <c r="R326" s="4" t="str">
        <f>HYPERLINK("http://141.218.60.56/~jnz1568/getInfo.php?workbook=08_02.xlsx&amp;sheet=A0&amp;row=326&amp;col=18&amp;number=92.04&amp;sourceID=32","92.04")</f>
        <v>92.04</v>
      </c>
      <c r="S326" s="4" t="str">
        <f>HYPERLINK("http://141.218.60.56/~jnz1568/getInfo.php?workbook=08_02.xlsx&amp;sheet=A0&amp;row=326&amp;col=19&amp;number=&amp;sourceID=1","")</f>
        <v/>
      </c>
      <c r="T326" s="4" t="str">
        <f>HYPERLINK("http://141.218.60.56/~jnz1568/getInfo.php?workbook=08_02.xlsx&amp;sheet=A0&amp;row=326&amp;col=20&amp;number=&amp;sourceID=1","")</f>
        <v/>
      </c>
    </row>
    <row r="327" spans="1:20">
      <c r="A327" s="3">
        <v>8</v>
      </c>
      <c r="B327" s="3">
        <v>2</v>
      </c>
      <c r="C327" s="3">
        <v>29</v>
      </c>
      <c r="D327" s="3">
        <v>4</v>
      </c>
      <c r="E327" s="3">
        <f>((1/(INDEX(E0!J$4:J$52,C327,1)-INDEX(E0!J$4:J$52,D327,1))))*100000000</f>
        <v>0</v>
      </c>
      <c r="F327" s="4" t="str">
        <f>HYPERLINK("http://141.218.60.56/~jnz1568/getInfo.php?workbook=08_02.xlsx&amp;sheet=A0&amp;row=327&amp;col=6&amp;number=&amp;sourceID=27","")</f>
        <v/>
      </c>
      <c r="G327" s="4" t="str">
        <f>HYPERLINK("http://141.218.60.56/~jnz1568/getInfo.php?workbook=08_02.xlsx&amp;sheet=A0&amp;row=327&amp;col=7&amp;number=&amp;sourceID=34","")</f>
        <v/>
      </c>
      <c r="H327" s="4" t="str">
        <f>HYPERLINK("http://141.218.60.56/~jnz1568/getInfo.php?workbook=08_02.xlsx&amp;sheet=A0&amp;row=327&amp;col=8&amp;number=&amp;sourceID=34","")</f>
        <v/>
      </c>
      <c r="I327" s="4" t="str">
        <f>HYPERLINK("http://141.218.60.56/~jnz1568/getInfo.php?workbook=08_02.xlsx&amp;sheet=A0&amp;row=327&amp;col=9&amp;number=&amp;sourceID=34","")</f>
        <v/>
      </c>
      <c r="J327" s="4" t="str">
        <f>HYPERLINK("http://141.218.60.56/~jnz1568/getInfo.php?workbook=08_02.xlsx&amp;sheet=A0&amp;row=327&amp;col=10&amp;number=&amp;sourceID=34","")</f>
        <v/>
      </c>
      <c r="K327" s="4" t="str">
        <f>HYPERLINK("http://141.218.60.56/~jnz1568/getInfo.php?workbook=08_02.xlsx&amp;sheet=A0&amp;row=327&amp;col=11&amp;number=217300000&amp;sourceID=30","217300000")</f>
        <v>217300000</v>
      </c>
      <c r="L327" s="4" t="str">
        <f>HYPERLINK("http://141.218.60.56/~jnz1568/getInfo.php?workbook=08_02.xlsx&amp;sheet=A0&amp;row=327&amp;col=12&amp;number=&amp;sourceID=30","")</f>
        <v/>
      </c>
      <c r="M327" s="4" t="str">
        <f>HYPERLINK("http://141.218.60.56/~jnz1568/getInfo.php?workbook=08_02.xlsx&amp;sheet=A0&amp;row=327&amp;col=13&amp;number=&amp;sourceID=30","")</f>
        <v/>
      </c>
      <c r="N327" s="4" t="str">
        <f>HYPERLINK("http://141.218.60.56/~jnz1568/getInfo.php?workbook=08_02.xlsx&amp;sheet=A0&amp;row=327&amp;col=14&amp;number=221.2&amp;sourceID=30","221.2")</f>
        <v>221.2</v>
      </c>
      <c r="O327" s="4" t="str">
        <f>HYPERLINK("http://141.218.60.56/~jnz1568/getInfo.php?workbook=08_02.xlsx&amp;sheet=A0&amp;row=327&amp;col=15&amp;number=287100000&amp;sourceID=32","287100000")</f>
        <v>287100000</v>
      </c>
      <c r="P327" s="4" t="str">
        <f>HYPERLINK("http://141.218.60.56/~jnz1568/getInfo.php?workbook=08_02.xlsx&amp;sheet=A0&amp;row=327&amp;col=16&amp;number=&amp;sourceID=32","")</f>
        <v/>
      </c>
      <c r="Q327" s="4" t="str">
        <f>HYPERLINK("http://141.218.60.56/~jnz1568/getInfo.php?workbook=08_02.xlsx&amp;sheet=A0&amp;row=327&amp;col=17&amp;number=&amp;sourceID=32","")</f>
        <v/>
      </c>
      <c r="R327" s="4" t="str">
        <f>HYPERLINK("http://141.218.60.56/~jnz1568/getInfo.php?workbook=08_02.xlsx&amp;sheet=A0&amp;row=327&amp;col=18&amp;number=229.6&amp;sourceID=32","229.6")</f>
        <v>229.6</v>
      </c>
      <c r="S327" s="4" t="str">
        <f>HYPERLINK("http://141.218.60.56/~jnz1568/getInfo.php?workbook=08_02.xlsx&amp;sheet=A0&amp;row=327&amp;col=19&amp;number=&amp;sourceID=1","")</f>
        <v/>
      </c>
      <c r="T327" s="4" t="str">
        <f>HYPERLINK("http://141.218.60.56/~jnz1568/getInfo.php?workbook=08_02.xlsx&amp;sheet=A0&amp;row=327&amp;col=20&amp;number=&amp;sourceID=1","")</f>
        <v/>
      </c>
    </row>
    <row r="328" spans="1:20">
      <c r="A328" s="3">
        <v>8</v>
      </c>
      <c r="B328" s="3">
        <v>2</v>
      </c>
      <c r="C328" s="3">
        <v>29</v>
      </c>
      <c r="D328" s="3">
        <v>5</v>
      </c>
      <c r="E328" s="3">
        <f>((1/(INDEX(E0!J$4:J$52,C328,1)-INDEX(E0!J$4:J$52,D328,1))))*100000000</f>
        <v>0</v>
      </c>
      <c r="F328" s="4" t="str">
        <f>HYPERLINK("http://141.218.60.56/~jnz1568/getInfo.php?workbook=08_02.xlsx&amp;sheet=A0&amp;row=328&amp;col=6&amp;number=&amp;sourceID=27","")</f>
        <v/>
      </c>
      <c r="G328" s="4" t="str">
        <f>HYPERLINK("http://141.218.60.56/~jnz1568/getInfo.php?workbook=08_02.xlsx&amp;sheet=A0&amp;row=328&amp;col=7&amp;number=&amp;sourceID=34","")</f>
        <v/>
      </c>
      <c r="H328" s="4" t="str">
        <f>HYPERLINK("http://141.218.60.56/~jnz1568/getInfo.php?workbook=08_02.xlsx&amp;sheet=A0&amp;row=328&amp;col=8&amp;number=&amp;sourceID=34","")</f>
        <v/>
      </c>
      <c r="I328" s="4" t="str">
        <f>HYPERLINK("http://141.218.60.56/~jnz1568/getInfo.php?workbook=08_02.xlsx&amp;sheet=A0&amp;row=328&amp;col=9&amp;number=&amp;sourceID=34","")</f>
        <v/>
      </c>
      <c r="J328" s="4" t="str">
        <f>HYPERLINK("http://141.218.60.56/~jnz1568/getInfo.php?workbook=08_02.xlsx&amp;sheet=A0&amp;row=328&amp;col=10&amp;number=&amp;sourceID=34","")</f>
        <v/>
      </c>
      <c r="K328" s="4" t="str">
        <f>HYPERLINK("http://141.218.60.56/~jnz1568/getInfo.php?workbook=08_02.xlsx&amp;sheet=A0&amp;row=328&amp;col=11&amp;number=102800000&amp;sourceID=30","102800000")</f>
        <v>102800000</v>
      </c>
      <c r="L328" s="4" t="str">
        <f>HYPERLINK("http://141.218.60.56/~jnz1568/getInfo.php?workbook=08_02.xlsx&amp;sheet=A0&amp;row=328&amp;col=12&amp;number=&amp;sourceID=30","")</f>
        <v/>
      </c>
      <c r="M328" s="4" t="str">
        <f>HYPERLINK("http://141.218.60.56/~jnz1568/getInfo.php?workbook=08_02.xlsx&amp;sheet=A0&amp;row=328&amp;col=13&amp;number=&amp;sourceID=30","")</f>
        <v/>
      </c>
      <c r="N328" s="4" t="str">
        <f>HYPERLINK("http://141.218.60.56/~jnz1568/getInfo.php?workbook=08_02.xlsx&amp;sheet=A0&amp;row=328&amp;col=14&amp;number=168&amp;sourceID=30","168")</f>
        <v>168</v>
      </c>
      <c r="O328" s="4" t="str">
        <f>HYPERLINK("http://141.218.60.56/~jnz1568/getInfo.php?workbook=08_02.xlsx&amp;sheet=A0&amp;row=328&amp;col=15&amp;number=130400000&amp;sourceID=32","130400000")</f>
        <v>130400000</v>
      </c>
      <c r="P328" s="4" t="str">
        <f>HYPERLINK("http://141.218.60.56/~jnz1568/getInfo.php?workbook=08_02.xlsx&amp;sheet=A0&amp;row=328&amp;col=16&amp;number=&amp;sourceID=32","")</f>
        <v/>
      </c>
      <c r="Q328" s="4" t="str">
        <f>HYPERLINK("http://141.218.60.56/~jnz1568/getInfo.php?workbook=08_02.xlsx&amp;sheet=A0&amp;row=328&amp;col=17&amp;number=&amp;sourceID=32","")</f>
        <v/>
      </c>
      <c r="R328" s="4" t="str">
        <f>HYPERLINK("http://141.218.60.56/~jnz1568/getInfo.php?workbook=08_02.xlsx&amp;sheet=A0&amp;row=328&amp;col=18&amp;number=173.5&amp;sourceID=32","173.5")</f>
        <v>173.5</v>
      </c>
      <c r="S328" s="4" t="str">
        <f>HYPERLINK("http://141.218.60.56/~jnz1568/getInfo.php?workbook=08_02.xlsx&amp;sheet=A0&amp;row=328&amp;col=19&amp;number=&amp;sourceID=1","")</f>
        <v/>
      </c>
      <c r="T328" s="4" t="str">
        <f>HYPERLINK("http://141.218.60.56/~jnz1568/getInfo.php?workbook=08_02.xlsx&amp;sheet=A0&amp;row=328&amp;col=20&amp;number=&amp;sourceID=1","")</f>
        <v/>
      </c>
    </row>
    <row r="329" spans="1:20">
      <c r="A329" s="3">
        <v>8</v>
      </c>
      <c r="B329" s="3">
        <v>2</v>
      </c>
      <c r="C329" s="3">
        <v>29</v>
      </c>
      <c r="D329" s="3">
        <v>6</v>
      </c>
      <c r="E329" s="3">
        <f>((1/(INDEX(E0!J$4:J$52,C329,1)-INDEX(E0!J$4:J$52,D329,1))))*100000000</f>
        <v>0</v>
      </c>
      <c r="F329" s="4" t="str">
        <f>HYPERLINK("http://141.218.60.56/~jnz1568/getInfo.php?workbook=08_02.xlsx&amp;sheet=A0&amp;row=329&amp;col=6&amp;number=&amp;sourceID=27","")</f>
        <v/>
      </c>
      <c r="G329" s="4" t="str">
        <f>HYPERLINK("http://141.218.60.56/~jnz1568/getInfo.php?workbook=08_02.xlsx&amp;sheet=A0&amp;row=329&amp;col=7&amp;number=&amp;sourceID=34","")</f>
        <v/>
      </c>
      <c r="H329" s="4" t="str">
        <f>HYPERLINK("http://141.218.60.56/~jnz1568/getInfo.php?workbook=08_02.xlsx&amp;sheet=A0&amp;row=329&amp;col=8&amp;number=&amp;sourceID=34","")</f>
        <v/>
      </c>
      <c r="I329" s="4" t="str">
        <f>HYPERLINK("http://141.218.60.56/~jnz1568/getInfo.php?workbook=08_02.xlsx&amp;sheet=A0&amp;row=329&amp;col=9&amp;number=&amp;sourceID=34","")</f>
        <v/>
      </c>
      <c r="J329" s="4" t="str">
        <f>HYPERLINK("http://141.218.60.56/~jnz1568/getInfo.php?workbook=08_02.xlsx&amp;sheet=A0&amp;row=329&amp;col=10&amp;number=&amp;sourceID=34","")</f>
        <v/>
      </c>
      <c r="K329" s="4" t="str">
        <f>HYPERLINK("http://141.218.60.56/~jnz1568/getInfo.php?workbook=08_02.xlsx&amp;sheet=A0&amp;row=329&amp;col=11&amp;number=&amp;sourceID=30","")</f>
        <v/>
      </c>
      <c r="L329" s="4" t="str">
        <f>HYPERLINK("http://141.218.60.56/~jnz1568/getInfo.php?workbook=08_02.xlsx&amp;sheet=A0&amp;row=329&amp;col=12&amp;number=989800&amp;sourceID=30","989800")</f>
        <v>989800</v>
      </c>
      <c r="M329" s="4" t="str">
        <f>HYPERLINK("http://141.218.60.56/~jnz1568/getInfo.php?workbook=08_02.xlsx&amp;sheet=A0&amp;row=329&amp;col=13&amp;number=&amp;sourceID=30","")</f>
        <v/>
      </c>
      <c r="N329" s="4" t="str">
        <f>HYPERLINK("http://141.218.60.56/~jnz1568/getInfo.php?workbook=08_02.xlsx&amp;sheet=A0&amp;row=329&amp;col=14&amp;number=&amp;sourceID=30","")</f>
        <v/>
      </c>
      <c r="O329" s="4" t="str">
        <f>HYPERLINK("http://141.218.60.56/~jnz1568/getInfo.php?workbook=08_02.xlsx&amp;sheet=A0&amp;row=329&amp;col=15&amp;number=&amp;sourceID=32","")</f>
        <v/>
      </c>
      <c r="P329" s="4" t="str">
        <f>HYPERLINK("http://141.218.60.56/~jnz1568/getInfo.php?workbook=08_02.xlsx&amp;sheet=A0&amp;row=329&amp;col=16&amp;number=793700&amp;sourceID=32","793700")</f>
        <v>793700</v>
      </c>
      <c r="Q329" s="4" t="str">
        <f>HYPERLINK("http://141.218.60.56/~jnz1568/getInfo.php?workbook=08_02.xlsx&amp;sheet=A0&amp;row=329&amp;col=17&amp;number=&amp;sourceID=32","")</f>
        <v/>
      </c>
      <c r="R329" s="4" t="str">
        <f>HYPERLINK("http://141.218.60.56/~jnz1568/getInfo.php?workbook=08_02.xlsx&amp;sheet=A0&amp;row=329&amp;col=18&amp;number=&amp;sourceID=32","")</f>
        <v/>
      </c>
      <c r="S329" s="4" t="str">
        <f>HYPERLINK("http://141.218.60.56/~jnz1568/getInfo.php?workbook=08_02.xlsx&amp;sheet=A0&amp;row=329&amp;col=19&amp;number=&amp;sourceID=1","")</f>
        <v/>
      </c>
      <c r="T329" s="4" t="str">
        <f>HYPERLINK("http://141.218.60.56/~jnz1568/getInfo.php?workbook=08_02.xlsx&amp;sheet=A0&amp;row=329&amp;col=20&amp;number=&amp;sourceID=1","")</f>
        <v/>
      </c>
    </row>
    <row r="330" spans="1:20">
      <c r="A330" s="3">
        <v>8</v>
      </c>
      <c r="B330" s="3">
        <v>2</v>
      </c>
      <c r="C330" s="3">
        <v>29</v>
      </c>
      <c r="D330" s="3">
        <v>7</v>
      </c>
      <c r="E330" s="3">
        <f>((1/(INDEX(E0!J$4:J$52,C330,1)-INDEX(E0!J$4:J$52,D330,1))))*100000000</f>
        <v>0</v>
      </c>
      <c r="F330" s="4" t="str">
        <f>HYPERLINK("http://141.218.60.56/~jnz1568/getInfo.php?workbook=08_02.xlsx&amp;sheet=A0&amp;row=330&amp;col=6&amp;number=&amp;sourceID=27","")</f>
        <v/>
      </c>
      <c r="G330" s="4" t="str">
        <f>HYPERLINK("http://141.218.60.56/~jnz1568/getInfo.php?workbook=08_02.xlsx&amp;sheet=A0&amp;row=330&amp;col=7&amp;number=47720000000&amp;sourceID=34","47720000000")</f>
        <v>47720000000</v>
      </c>
      <c r="H330" s="4" t="str">
        <f>HYPERLINK("http://141.218.60.56/~jnz1568/getInfo.php?workbook=08_02.xlsx&amp;sheet=A0&amp;row=330&amp;col=8&amp;number=&amp;sourceID=34","")</f>
        <v/>
      </c>
      <c r="I330" s="4" t="str">
        <f>HYPERLINK("http://141.218.60.56/~jnz1568/getInfo.php?workbook=08_02.xlsx&amp;sheet=A0&amp;row=330&amp;col=9&amp;number=&amp;sourceID=34","")</f>
        <v/>
      </c>
      <c r="J330" s="4" t="str">
        <f>HYPERLINK("http://141.218.60.56/~jnz1568/getInfo.php?workbook=08_02.xlsx&amp;sheet=A0&amp;row=330&amp;col=10&amp;number=&amp;sourceID=34","")</f>
        <v/>
      </c>
      <c r="K330" s="4" t="str">
        <f>HYPERLINK("http://141.218.60.56/~jnz1568/getInfo.php?workbook=08_02.xlsx&amp;sheet=A0&amp;row=330&amp;col=11&amp;number=48910000000&amp;sourceID=30","48910000000")</f>
        <v>48910000000</v>
      </c>
      <c r="L330" s="4" t="str">
        <f>HYPERLINK("http://141.218.60.56/~jnz1568/getInfo.php?workbook=08_02.xlsx&amp;sheet=A0&amp;row=330&amp;col=12&amp;number=&amp;sourceID=30","")</f>
        <v/>
      </c>
      <c r="M330" s="4" t="str">
        <f>HYPERLINK("http://141.218.60.56/~jnz1568/getInfo.php?workbook=08_02.xlsx&amp;sheet=A0&amp;row=330&amp;col=13&amp;number=&amp;sourceID=30","")</f>
        <v/>
      </c>
      <c r="N330" s="4" t="str">
        <f>HYPERLINK("http://141.218.60.56/~jnz1568/getInfo.php?workbook=08_02.xlsx&amp;sheet=A0&amp;row=330&amp;col=14&amp;number=162.2&amp;sourceID=30","162.2")</f>
        <v>162.2</v>
      </c>
      <c r="O330" s="4" t="str">
        <f>HYPERLINK("http://141.218.60.56/~jnz1568/getInfo.php?workbook=08_02.xlsx&amp;sheet=A0&amp;row=330&amp;col=15&amp;number=47360000000&amp;sourceID=32","47360000000")</f>
        <v>47360000000</v>
      </c>
      <c r="P330" s="4" t="str">
        <f>HYPERLINK("http://141.218.60.56/~jnz1568/getInfo.php?workbook=08_02.xlsx&amp;sheet=A0&amp;row=330&amp;col=16&amp;number=&amp;sourceID=32","")</f>
        <v/>
      </c>
      <c r="Q330" s="4" t="str">
        <f>HYPERLINK("http://141.218.60.56/~jnz1568/getInfo.php?workbook=08_02.xlsx&amp;sheet=A0&amp;row=330&amp;col=17&amp;number=&amp;sourceID=32","")</f>
        <v/>
      </c>
      <c r="R330" s="4" t="str">
        <f>HYPERLINK("http://141.218.60.56/~jnz1568/getInfo.php?workbook=08_02.xlsx&amp;sheet=A0&amp;row=330&amp;col=18&amp;number=161.4&amp;sourceID=32","161.4")</f>
        <v>161.4</v>
      </c>
      <c r="S330" s="4" t="str">
        <f>HYPERLINK("http://141.218.60.56/~jnz1568/getInfo.php?workbook=08_02.xlsx&amp;sheet=A0&amp;row=330&amp;col=19&amp;number=&amp;sourceID=1","")</f>
        <v/>
      </c>
      <c r="T330" s="4" t="str">
        <f>HYPERLINK("http://141.218.60.56/~jnz1568/getInfo.php?workbook=08_02.xlsx&amp;sheet=A0&amp;row=330&amp;col=20&amp;number=&amp;sourceID=1","")</f>
        <v/>
      </c>
    </row>
    <row r="331" spans="1:20">
      <c r="A331" s="3">
        <v>8</v>
      </c>
      <c r="B331" s="3">
        <v>2</v>
      </c>
      <c r="C331" s="3">
        <v>29</v>
      </c>
      <c r="D331" s="3">
        <v>8</v>
      </c>
      <c r="E331" s="3">
        <f>((1/(INDEX(E0!J$4:J$52,C331,1)-INDEX(E0!J$4:J$52,D331,1))))*100000000</f>
        <v>0</v>
      </c>
      <c r="F331" s="4" t="str">
        <f>HYPERLINK("http://141.218.60.56/~jnz1568/getInfo.php?workbook=08_02.xlsx&amp;sheet=A0&amp;row=331&amp;col=6&amp;number=&amp;sourceID=27","")</f>
        <v/>
      </c>
      <c r="G331" s="4" t="str">
        <f>HYPERLINK("http://141.218.60.56/~jnz1568/getInfo.php?workbook=08_02.xlsx&amp;sheet=A0&amp;row=331&amp;col=7&amp;number=&amp;sourceID=34","")</f>
        <v/>
      </c>
      <c r="H331" s="4" t="str">
        <f>HYPERLINK("http://141.218.60.56/~jnz1568/getInfo.php?workbook=08_02.xlsx&amp;sheet=A0&amp;row=331&amp;col=8&amp;number=&amp;sourceID=34","")</f>
        <v/>
      </c>
      <c r="I331" s="4" t="str">
        <f>HYPERLINK("http://141.218.60.56/~jnz1568/getInfo.php?workbook=08_02.xlsx&amp;sheet=A0&amp;row=331&amp;col=9&amp;number=&amp;sourceID=34","")</f>
        <v/>
      </c>
      <c r="J331" s="4" t="str">
        <f>HYPERLINK("http://141.218.60.56/~jnz1568/getInfo.php?workbook=08_02.xlsx&amp;sheet=A0&amp;row=331&amp;col=10&amp;number=&amp;sourceID=34","")</f>
        <v/>
      </c>
      <c r="K331" s="4" t="str">
        <f>HYPERLINK("http://141.218.60.56/~jnz1568/getInfo.php?workbook=08_02.xlsx&amp;sheet=A0&amp;row=331&amp;col=11&amp;number=&amp;sourceID=30","")</f>
        <v/>
      </c>
      <c r="L331" s="4" t="str">
        <f>HYPERLINK("http://141.218.60.56/~jnz1568/getInfo.php?workbook=08_02.xlsx&amp;sheet=A0&amp;row=331&amp;col=12&amp;number=4180&amp;sourceID=30","4180")</f>
        <v>4180</v>
      </c>
      <c r="M331" s="4" t="str">
        <f>HYPERLINK("http://141.218.60.56/~jnz1568/getInfo.php?workbook=08_02.xlsx&amp;sheet=A0&amp;row=331&amp;col=13&amp;number=6.454e-05&amp;sourceID=30","6.454e-05")</f>
        <v>6.454e-05</v>
      </c>
      <c r="N331" s="4" t="str">
        <f>HYPERLINK("http://141.218.60.56/~jnz1568/getInfo.php?workbook=08_02.xlsx&amp;sheet=A0&amp;row=331&amp;col=14&amp;number=&amp;sourceID=30","")</f>
        <v/>
      </c>
      <c r="O331" s="4" t="str">
        <f>HYPERLINK("http://141.218.60.56/~jnz1568/getInfo.php?workbook=08_02.xlsx&amp;sheet=A0&amp;row=331&amp;col=15&amp;number=&amp;sourceID=32","")</f>
        <v/>
      </c>
      <c r="P331" s="4" t="str">
        <f>HYPERLINK("http://141.218.60.56/~jnz1568/getInfo.php?workbook=08_02.xlsx&amp;sheet=A0&amp;row=331&amp;col=16&amp;number=5289&amp;sourceID=32","5289")</f>
        <v>5289</v>
      </c>
      <c r="Q331" s="4" t="str">
        <f>HYPERLINK("http://141.218.60.56/~jnz1568/getInfo.php?workbook=08_02.xlsx&amp;sheet=A0&amp;row=331&amp;col=17&amp;number=9.051e-05&amp;sourceID=32","9.051e-05")</f>
        <v>9.051e-05</v>
      </c>
      <c r="R331" s="4" t="str">
        <f>HYPERLINK("http://141.218.60.56/~jnz1568/getInfo.php?workbook=08_02.xlsx&amp;sheet=A0&amp;row=331&amp;col=18&amp;number=&amp;sourceID=32","")</f>
        <v/>
      </c>
      <c r="S331" s="4" t="str">
        <f>HYPERLINK("http://141.218.60.56/~jnz1568/getInfo.php?workbook=08_02.xlsx&amp;sheet=A0&amp;row=331&amp;col=19&amp;number=&amp;sourceID=1","")</f>
        <v/>
      </c>
      <c r="T331" s="4" t="str">
        <f>HYPERLINK("http://141.218.60.56/~jnz1568/getInfo.php?workbook=08_02.xlsx&amp;sheet=A0&amp;row=331&amp;col=20&amp;number=&amp;sourceID=1","")</f>
        <v/>
      </c>
    </row>
    <row r="332" spans="1:20">
      <c r="A332" s="3">
        <v>8</v>
      </c>
      <c r="B332" s="3">
        <v>2</v>
      </c>
      <c r="C332" s="3">
        <v>29</v>
      </c>
      <c r="D332" s="3">
        <v>9</v>
      </c>
      <c r="E332" s="3">
        <f>((1/(INDEX(E0!J$4:J$52,C332,1)-INDEX(E0!J$4:J$52,D332,1))))*100000000</f>
        <v>0</v>
      </c>
      <c r="F332" s="4" t="str">
        <f>HYPERLINK("http://141.218.60.56/~jnz1568/getInfo.php?workbook=08_02.xlsx&amp;sheet=A0&amp;row=332&amp;col=6&amp;number=&amp;sourceID=27","")</f>
        <v/>
      </c>
      <c r="G332" s="4" t="str">
        <f>HYPERLINK("http://141.218.60.56/~jnz1568/getInfo.php?workbook=08_02.xlsx&amp;sheet=A0&amp;row=332&amp;col=7&amp;number=&amp;sourceID=34","")</f>
        <v/>
      </c>
      <c r="H332" s="4" t="str">
        <f>HYPERLINK("http://141.218.60.56/~jnz1568/getInfo.php?workbook=08_02.xlsx&amp;sheet=A0&amp;row=332&amp;col=8&amp;number=&amp;sourceID=34","")</f>
        <v/>
      </c>
      <c r="I332" s="4" t="str">
        <f>HYPERLINK("http://141.218.60.56/~jnz1568/getInfo.php?workbook=08_02.xlsx&amp;sheet=A0&amp;row=332&amp;col=9&amp;number=&amp;sourceID=34","")</f>
        <v/>
      </c>
      <c r="J332" s="4" t="str">
        <f>HYPERLINK("http://141.218.60.56/~jnz1568/getInfo.php?workbook=08_02.xlsx&amp;sheet=A0&amp;row=332&amp;col=10&amp;number=&amp;sourceID=34","")</f>
        <v/>
      </c>
      <c r="K332" s="4" t="str">
        <f>HYPERLINK("http://141.218.60.56/~jnz1568/getInfo.php?workbook=08_02.xlsx&amp;sheet=A0&amp;row=332&amp;col=11&amp;number=&amp;sourceID=30","")</f>
        <v/>
      </c>
      <c r="L332" s="4" t="str">
        <f>HYPERLINK("http://141.218.60.56/~jnz1568/getInfo.php?workbook=08_02.xlsx&amp;sheet=A0&amp;row=332&amp;col=12&amp;number=&amp;sourceID=30","")</f>
        <v/>
      </c>
      <c r="M332" s="4" t="str">
        <f>HYPERLINK("http://141.218.60.56/~jnz1568/getInfo.php?workbook=08_02.xlsx&amp;sheet=A0&amp;row=332&amp;col=13&amp;number=&amp;sourceID=30","")</f>
        <v/>
      </c>
      <c r="N332" s="4" t="str">
        <f>HYPERLINK("http://141.218.60.56/~jnz1568/getInfo.php?workbook=08_02.xlsx&amp;sheet=A0&amp;row=332&amp;col=14&amp;number=1.902&amp;sourceID=30","1.902")</f>
        <v>1.902</v>
      </c>
      <c r="O332" s="4" t="str">
        <f>HYPERLINK("http://141.218.60.56/~jnz1568/getInfo.php?workbook=08_02.xlsx&amp;sheet=A0&amp;row=332&amp;col=15&amp;number=&amp;sourceID=32","")</f>
        <v/>
      </c>
      <c r="P332" s="4" t="str">
        <f>HYPERLINK("http://141.218.60.56/~jnz1568/getInfo.php?workbook=08_02.xlsx&amp;sheet=A0&amp;row=332&amp;col=16&amp;number=&amp;sourceID=32","")</f>
        <v/>
      </c>
      <c r="Q332" s="4" t="str">
        <f>HYPERLINK("http://141.218.60.56/~jnz1568/getInfo.php?workbook=08_02.xlsx&amp;sheet=A0&amp;row=332&amp;col=17&amp;number=&amp;sourceID=32","")</f>
        <v/>
      </c>
      <c r="R332" s="4" t="str">
        <f>HYPERLINK("http://141.218.60.56/~jnz1568/getInfo.php?workbook=08_02.xlsx&amp;sheet=A0&amp;row=332&amp;col=18&amp;number=1.923&amp;sourceID=32","1.923")</f>
        <v>1.923</v>
      </c>
      <c r="S332" s="4" t="str">
        <f>HYPERLINK("http://141.218.60.56/~jnz1568/getInfo.php?workbook=08_02.xlsx&amp;sheet=A0&amp;row=332&amp;col=19&amp;number=&amp;sourceID=1","")</f>
        <v/>
      </c>
      <c r="T332" s="4" t="str">
        <f>HYPERLINK("http://141.218.60.56/~jnz1568/getInfo.php?workbook=08_02.xlsx&amp;sheet=A0&amp;row=332&amp;col=20&amp;number=&amp;sourceID=1","")</f>
        <v/>
      </c>
    </row>
    <row r="333" spans="1:20">
      <c r="A333" s="3">
        <v>8</v>
      </c>
      <c r="B333" s="3">
        <v>2</v>
      </c>
      <c r="C333" s="3">
        <v>29</v>
      </c>
      <c r="D333" s="3">
        <v>10</v>
      </c>
      <c r="E333" s="3">
        <f>((1/(INDEX(E0!J$4:J$52,C333,1)-INDEX(E0!J$4:J$52,D333,1))))*100000000</f>
        <v>0</v>
      </c>
      <c r="F333" s="4" t="str">
        <f>HYPERLINK("http://141.218.60.56/~jnz1568/getInfo.php?workbook=08_02.xlsx&amp;sheet=A0&amp;row=333&amp;col=6&amp;number=&amp;sourceID=27","")</f>
        <v/>
      </c>
      <c r="G333" s="4" t="str">
        <f>HYPERLINK("http://141.218.60.56/~jnz1568/getInfo.php?workbook=08_02.xlsx&amp;sheet=A0&amp;row=333&amp;col=7&amp;number=&amp;sourceID=34","")</f>
        <v/>
      </c>
      <c r="H333" s="4" t="str">
        <f>HYPERLINK("http://141.218.60.56/~jnz1568/getInfo.php?workbook=08_02.xlsx&amp;sheet=A0&amp;row=333&amp;col=8&amp;number=&amp;sourceID=34","")</f>
        <v/>
      </c>
      <c r="I333" s="4" t="str">
        <f>HYPERLINK("http://141.218.60.56/~jnz1568/getInfo.php?workbook=08_02.xlsx&amp;sheet=A0&amp;row=333&amp;col=9&amp;number=&amp;sourceID=34","")</f>
        <v/>
      </c>
      <c r="J333" s="4" t="str">
        <f>HYPERLINK("http://141.218.60.56/~jnz1568/getInfo.php?workbook=08_02.xlsx&amp;sheet=A0&amp;row=333&amp;col=10&amp;number=&amp;sourceID=34","")</f>
        <v/>
      </c>
      <c r="K333" s="4" t="str">
        <f>HYPERLINK("http://141.218.60.56/~jnz1568/getInfo.php?workbook=08_02.xlsx&amp;sheet=A0&amp;row=333&amp;col=11&amp;number=67230000&amp;sourceID=30","67230000")</f>
        <v>67230000</v>
      </c>
      <c r="L333" s="4" t="str">
        <f>HYPERLINK("http://141.218.60.56/~jnz1568/getInfo.php?workbook=08_02.xlsx&amp;sheet=A0&amp;row=333&amp;col=12&amp;number=&amp;sourceID=30","")</f>
        <v/>
      </c>
      <c r="M333" s="4" t="str">
        <f>HYPERLINK("http://141.218.60.56/~jnz1568/getInfo.php?workbook=08_02.xlsx&amp;sheet=A0&amp;row=333&amp;col=13&amp;number=&amp;sourceID=30","")</f>
        <v/>
      </c>
      <c r="N333" s="4" t="str">
        <f>HYPERLINK("http://141.218.60.56/~jnz1568/getInfo.php?workbook=08_02.xlsx&amp;sheet=A0&amp;row=333&amp;col=14&amp;number=4.681&amp;sourceID=30","4.681")</f>
        <v>4.681</v>
      </c>
      <c r="O333" s="4" t="str">
        <f>HYPERLINK("http://141.218.60.56/~jnz1568/getInfo.php?workbook=08_02.xlsx&amp;sheet=A0&amp;row=333&amp;col=15&amp;number=87730000&amp;sourceID=32","87730000")</f>
        <v>87730000</v>
      </c>
      <c r="P333" s="4" t="str">
        <f>HYPERLINK("http://141.218.60.56/~jnz1568/getInfo.php?workbook=08_02.xlsx&amp;sheet=A0&amp;row=333&amp;col=16&amp;number=&amp;sourceID=32","")</f>
        <v/>
      </c>
      <c r="Q333" s="4" t="str">
        <f>HYPERLINK("http://141.218.60.56/~jnz1568/getInfo.php?workbook=08_02.xlsx&amp;sheet=A0&amp;row=333&amp;col=17&amp;number=&amp;sourceID=32","")</f>
        <v/>
      </c>
      <c r="R333" s="4" t="str">
        <f>HYPERLINK("http://141.218.60.56/~jnz1568/getInfo.php?workbook=08_02.xlsx&amp;sheet=A0&amp;row=333&amp;col=18&amp;number=4.791&amp;sourceID=32","4.791")</f>
        <v>4.791</v>
      </c>
      <c r="S333" s="4" t="str">
        <f>HYPERLINK("http://141.218.60.56/~jnz1568/getInfo.php?workbook=08_02.xlsx&amp;sheet=A0&amp;row=333&amp;col=19&amp;number=&amp;sourceID=1","")</f>
        <v/>
      </c>
      <c r="T333" s="4" t="str">
        <f>HYPERLINK("http://141.218.60.56/~jnz1568/getInfo.php?workbook=08_02.xlsx&amp;sheet=A0&amp;row=333&amp;col=20&amp;number=&amp;sourceID=1","")</f>
        <v/>
      </c>
    </row>
    <row r="334" spans="1:20">
      <c r="A334" s="3">
        <v>8</v>
      </c>
      <c r="B334" s="3">
        <v>2</v>
      </c>
      <c r="C334" s="3">
        <v>29</v>
      </c>
      <c r="D334" s="3">
        <v>11</v>
      </c>
      <c r="E334" s="3">
        <f>((1/(INDEX(E0!J$4:J$52,C334,1)-INDEX(E0!J$4:J$52,D334,1))))*100000000</f>
        <v>0</v>
      </c>
      <c r="F334" s="4" t="str">
        <f>HYPERLINK("http://141.218.60.56/~jnz1568/getInfo.php?workbook=08_02.xlsx&amp;sheet=A0&amp;row=334&amp;col=6&amp;number=&amp;sourceID=27","")</f>
        <v/>
      </c>
      <c r="G334" s="4" t="str">
        <f>HYPERLINK("http://141.218.60.56/~jnz1568/getInfo.php?workbook=08_02.xlsx&amp;sheet=A0&amp;row=334&amp;col=7&amp;number=&amp;sourceID=34","")</f>
        <v/>
      </c>
      <c r="H334" s="4" t="str">
        <f>HYPERLINK("http://141.218.60.56/~jnz1568/getInfo.php?workbook=08_02.xlsx&amp;sheet=A0&amp;row=334&amp;col=8&amp;number=&amp;sourceID=34","")</f>
        <v/>
      </c>
      <c r="I334" s="4" t="str">
        <f>HYPERLINK("http://141.218.60.56/~jnz1568/getInfo.php?workbook=08_02.xlsx&amp;sheet=A0&amp;row=334&amp;col=9&amp;number=&amp;sourceID=34","")</f>
        <v/>
      </c>
      <c r="J334" s="4" t="str">
        <f>HYPERLINK("http://141.218.60.56/~jnz1568/getInfo.php?workbook=08_02.xlsx&amp;sheet=A0&amp;row=334&amp;col=10&amp;number=&amp;sourceID=34","")</f>
        <v/>
      </c>
      <c r="K334" s="4" t="str">
        <f>HYPERLINK("http://141.218.60.56/~jnz1568/getInfo.php?workbook=08_02.xlsx&amp;sheet=A0&amp;row=334&amp;col=11&amp;number=32240000&amp;sourceID=30","32240000")</f>
        <v>32240000</v>
      </c>
      <c r="L334" s="4" t="str">
        <f>HYPERLINK("http://141.218.60.56/~jnz1568/getInfo.php?workbook=08_02.xlsx&amp;sheet=A0&amp;row=334&amp;col=12&amp;number=&amp;sourceID=30","")</f>
        <v/>
      </c>
      <c r="M334" s="4" t="str">
        <f>HYPERLINK("http://141.218.60.56/~jnz1568/getInfo.php?workbook=08_02.xlsx&amp;sheet=A0&amp;row=334&amp;col=13&amp;number=&amp;sourceID=30","")</f>
        <v/>
      </c>
      <c r="N334" s="4" t="str">
        <f>HYPERLINK("http://141.218.60.56/~jnz1568/getInfo.php?workbook=08_02.xlsx&amp;sheet=A0&amp;row=334&amp;col=14&amp;number=3.562&amp;sourceID=30","3.562")</f>
        <v>3.562</v>
      </c>
      <c r="O334" s="4" t="str">
        <f>HYPERLINK("http://141.218.60.56/~jnz1568/getInfo.php?workbook=08_02.xlsx&amp;sheet=A0&amp;row=334&amp;col=15&amp;number=40680000&amp;sourceID=32","40680000")</f>
        <v>40680000</v>
      </c>
      <c r="P334" s="4" t="str">
        <f>HYPERLINK("http://141.218.60.56/~jnz1568/getInfo.php?workbook=08_02.xlsx&amp;sheet=A0&amp;row=334&amp;col=16&amp;number=&amp;sourceID=32","")</f>
        <v/>
      </c>
      <c r="Q334" s="4" t="str">
        <f>HYPERLINK("http://141.218.60.56/~jnz1568/getInfo.php?workbook=08_02.xlsx&amp;sheet=A0&amp;row=334&amp;col=17&amp;number=&amp;sourceID=32","")</f>
        <v/>
      </c>
      <c r="R334" s="4" t="str">
        <f>HYPERLINK("http://141.218.60.56/~jnz1568/getInfo.php?workbook=08_02.xlsx&amp;sheet=A0&amp;row=334&amp;col=18&amp;number=3.629&amp;sourceID=32","3.629")</f>
        <v>3.629</v>
      </c>
      <c r="S334" s="4" t="str">
        <f>HYPERLINK("http://141.218.60.56/~jnz1568/getInfo.php?workbook=08_02.xlsx&amp;sheet=A0&amp;row=334&amp;col=19&amp;number=&amp;sourceID=1","")</f>
        <v/>
      </c>
      <c r="T334" s="4" t="str">
        <f>HYPERLINK("http://141.218.60.56/~jnz1568/getInfo.php?workbook=08_02.xlsx&amp;sheet=A0&amp;row=334&amp;col=20&amp;number=&amp;sourceID=1","")</f>
        <v/>
      </c>
    </row>
    <row r="335" spans="1:20">
      <c r="A335" s="3">
        <v>8</v>
      </c>
      <c r="B335" s="3">
        <v>2</v>
      </c>
      <c r="C335" s="3">
        <v>29</v>
      </c>
      <c r="D335" s="3">
        <v>12</v>
      </c>
      <c r="E335" s="3">
        <f>((1/(INDEX(E0!J$4:J$52,C335,1)-INDEX(E0!J$4:J$52,D335,1))))*100000000</f>
        <v>0</v>
      </c>
      <c r="F335" s="4" t="str">
        <f>HYPERLINK("http://141.218.60.56/~jnz1568/getInfo.php?workbook=08_02.xlsx&amp;sheet=A0&amp;row=335&amp;col=6&amp;number=&amp;sourceID=27","")</f>
        <v/>
      </c>
      <c r="G335" s="4" t="str">
        <f>HYPERLINK("http://141.218.60.56/~jnz1568/getInfo.php?workbook=08_02.xlsx&amp;sheet=A0&amp;row=335&amp;col=7&amp;number=&amp;sourceID=34","")</f>
        <v/>
      </c>
      <c r="H335" s="4" t="str">
        <f>HYPERLINK("http://141.218.60.56/~jnz1568/getInfo.php?workbook=08_02.xlsx&amp;sheet=A0&amp;row=335&amp;col=8&amp;number=&amp;sourceID=34","")</f>
        <v/>
      </c>
      <c r="I335" s="4" t="str">
        <f>HYPERLINK("http://141.218.60.56/~jnz1568/getInfo.php?workbook=08_02.xlsx&amp;sheet=A0&amp;row=335&amp;col=9&amp;number=&amp;sourceID=34","")</f>
        <v/>
      </c>
      <c r="J335" s="4" t="str">
        <f>HYPERLINK("http://141.218.60.56/~jnz1568/getInfo.php?workbook=08_02.xlsx&amp;sheet=A0&amp;row=335&amp;col=10&amp;number=&amp;sourceID=34","")</f>
        <v/>
      </c>
      <c r="K335" s="4" t="str">
        <f>HYPERLINK("http://141.218.60.56/~jnz1568/getInfo.php?workbook=08_02.xlsx&amp;sheet=A0&amp;row=335&amp;col=11&amp;number=&amp;sourceID=30","")</f>
        <v/>
      </c>
      <c r="L335" s="4" t="str">
        <f>HYPERLINK("http://141.218.60.56/~jnz1568/getInfo.php?workbook=08_02.xlsx&amp;sheet=A0&amp;row=335&amp;col=12&amp;number=475100&amp;sourceID=30","475100")</f>
        <v>475100</v>
      </c>
      <c r="M335" s="4" t="str">
        <f>HYPERLINK("http://141.218.60.56/~jnz1568/getInfo.php?workbook=08_02.xlsx&amp;sheet=A0&amp;row=335&amp;col=13&amp;number=&amp;sourceID=30","")</f>
        <v/>
      </c>
      <c r="N335" s="4" t="str">
        <f>HYPERLINK("http://141.218.60.56/~jnz1568/getInfo.php?workbook=08_02.xlsx&amp;sheet=A0&amp;row=335&amp;col=14&amp;number=&amp;sourceID=30","")</f>
        <v/>
      </c>
      <c r="O335" s="4" t="str">
        <f>HYPERLINK("http://141.218.60.56/~jnz1568/getInfo.php?workbook=08_02.xlsx&amp;sheet=A0&amp;row=335&amp;col=15&amp;number=&amp;sourceID=32","")</f>
        <v/>
      </c>
      <c r="P335" s="4" t="str">
        <f>HYPERLINK("http://141.218.60.56/~jnz1568/getInfo.php?workbook=08_02.xlsx&amp;sheet=A0&amp;row=335&amp;col=16&amp;number=473100&amp;sourceID=32","473100")</f>
        <v>473100</v>
      </c>
      <c r="Q335" s="4" t="str">
        <f>HYPERLINK("http://141.218.60.56/~jnz1568/getInfo.php?workbook=08_02.xlsx&amp;sheet=A0&amp;row=335&amp;col=17&amp;number=&amp;sourceID=32","")</f>
        <v/>
      </c>
      <c r="R335" s="4" t="str">
        <f>HYPERLINK("http://141.218.60.56/~jnz1568/getInfo.php?workbook=08_02.xlsx&amp;sheet=A0&amp;row=335&amp;col=18&amp;number=&amp;sourceID=32","")</f>
        <v/>
      </c>
      <c r="S335" s="4" t="str">
        <f>HYPERLINK("http://141.218.60.56/~jnz1568/getInfo.php?workbook=08_02.xlsx&amp;sheet=A0&amp;row=335&amp;col=19&amp;number=&amp;sourceID=1","")</f>
        <v/>
      </c>
      <c r="T335" s="4" t="str">
        <f>HYPERLINK("http://141.218.60.56/~jnz1568/getInfo.php?workbook=08_02.xlsx&amp;sheet=A0&amp;row=335&amp;col=20&amp;number=&amp;sourceID=1","")</f>
        <v/>
      </c>
    </row>
    <row r="336" spans="1:20">
      <c r="A336" s="3">
        <v>8</v>
      </c>
      <c r="B336" s="3">
        <v>2</v>
      </c>
      <c r="C336" s="3">
        <v>29</v>
      </c>
      <c r="D336" s="3">
        <v>13</v>
      </c>
      <c r="E336" s="3">
        <f>((1/(INDEX(E0!J$4:J$52,C336,1)-INDEX(E0!J$4:J$52,D336,1))))*100000000</f>
        <v>0</v>
      </c>
      <c r="F336" s="4" t="str">
        <f>HYPERLINK("http://141.218.60.56/~jnz1568/getInfo.php?workbook=08_02.xlsx&amp;sheet=A0&amp;row=336&amp;col=6&amp;number=&amp;sourceID=27","")</f>
        <v/>
      </c>
      <c r="G336" s="4" t="str">
        <f>HYPERLINK("http://141.218.60.56/~jnz1568/getInfo.php?workbook=08_02.xlsx&amp;sheet=A0&amp;row=336&amp;col=7&amp;number=&amp;sourceID=34","")</f>
        <v/>
      </c>
      <c r="H336" s="4" t="str">
        <f>HYPERLINK("http://141.218.60.56/~jnz1568/getInfo.php?workbook=08_02.xlsx&amp;sheet=A0&amp;row=336&amp;col=8&amp;number=&amp;sourceID=34","")</f>
        <v/>
      </c>
      <c r="I336" s="4" t="str">
        <f>HYPERLINK("http://141.218.60.56/~jnz1568/getInfo.php?workbook=08_02.xlsx&amp;sheet=A0&amp;row=336&amp;col=9&amp;number=&amp;sourceID=34","")</f>
        <v/>
      </c>
      <c r="J336" s="4" t="str">
        <f>HYPERLINK("http://141.218.60.56/~jnz1568/getInfo.php?workbook=08_02.xlsx&amp;sheet=A0&amp;row=336&amp;col=10&amp;number=&amp;sourceID=34","")</f>
        <v/>
      </c>
      <c r="K336" s="4" t="str">
        <f>HYPERLINK("http://141.218.60.56/~jnz1568/getInfo.php?workbook=08_02.xlsx&amp;sheet=A0&amp;row=336&amp;col=11&amp;number=&amp;sourceID=30","")</f>
        <v/>
      </c>
      <c r="L336" s="4" t="str">
        <f>HYPERLINK("http://141.218.60.56/~jnz1568/getInfo.php?workbook=08_02.xlsx&amp;sheet=A0&amp;row=336&amp;col=12&amp;number=381.6&amp;sourceID=30","381.6")</f>
        <v>381.6</v>
      </c>
      <c r="M336" s="4" t="str">
        <f>HYPERLINK("http://141.218.60.56/~jnz1568/getInfo.php?workbook=08_02.xlsx&amp;sheet=A0&amp;row=336&amp;col=13&amp;number=0.002769&amp;sourceID=30","0.002769")</f>
        <v>0.002769</v>
      </c>
      <c r="N336" s="4" t="str">
        <f>HYPERLINK("http://141.218.60.56/~jnz1568/getInfo.php?workbook=08_02.xlsx&amp;sheet=A0&amp;row=336&amp;col=14&amp;number=&amp;sourceID=30","")</f>
        <v/>
      </c>
      <c r="O336" s="4" t="str">
        <f>HYPERLINK("http://141.218.60.56/~jnz1568/getInfo.php?workbook=08_02.xlsx&amp;sheet=A0&amp;row=336&amp;col=15&amp;number=&amp;sourceID=32","")</f>
        <v/>
      </c>
      <c r="P336" s="4" t="str">
        <f>HYPERLINK("http://141.218.60.56/~jnz1568/getInfo.php?workbook=08_02.xlsx&amp;sheet=A0&amp;row=336&amp;col=16&amp;number=480.5&amp;sourceID=32","480.5")</f>
        <v>480.5</v>
      </c>
      <c r="Q336" s="4" t="str">
        <f>HYPERLINK("http://141.218.60.56/~jnz1568/getInfo.php?workbook=08_02.xlsx&amp;sheet=A0&amp;row=336&amp;col=17&amp;number=0.002825&amp;sourceID=32","0.002825")</f>
        <v>0.002825</v>
      </c>
      <c r="R336" s="4" t="str">
        <f>HYPERLINK("http://141.218.60.56/~jnz1568/getInfo.php?workbook=08_02.xlsx&amp;sheet=A0&amp;row=336&amp;col=18&amp;number=&amp;sourceID=32","")</f>
        <v/>
      </c>
      <c r="S336" s="4" t="str">
        <f>HYPERLINK("http://141.218.60.56/~jnz1568/getInfo.php?workbook=08_02.xlsx&amp;sheet=A0&amp;row=336&amp;col=19&amp;number=&amp;sourceID=1","")</f>
        <v/>
      </c>
      <c r="T336" s="4" t="str">
        <f>HYPERLINK("http://141.218.60.56/~jnz1568/getInfo.php?workbook=08_02.xlsx&amp;sheet=A0&amp;row=336&amp;col=20&amp;number=&amp;sourceID=1","")</f>
        <v/>
      </c>
    </row>
    <row r="337" spans="1:20">
      <c r="A337" s="3">
        <v>8</v>
      </c>
      <c r="B337" s="3">
        <v>2</v>
      </c>
      <c r="C337" s="3">
        <v>29</v>
      </c>
      <c r="D337" s="3">
        <v>14</v>
      </c>
      <c r="E337" s="3">
        <f>((1/(INDEX(E0!J$4:J$52,C337,1)-INDEX(E0!J$4:J$52,D337,1))))*100000000</f>
        <v>0</v>
      </c>
      <c r="F337" s="4" t="str">
        <f>HYPERLINK("http://141.218.60.56/~jnz1568/getInfo.php?workbook=08_02.xlsx&amp;sheet=A0&amp;row=337&amp;col=6&amp;number=&amp;sourceID=27","")</f>
        <v/>
      </c>
      <c r="G337" s="4" t="str">
        <f>HYPERLINK("http://141.218.60.56/~jnz1568/getInfo.php?workbook=08_02.xlsx&amp;sheet=A0&amp;row=337&amp;col=7&amp;number=&amp;sourceID=34","")</f>
        <v/>
      </c>
      <c r="H337" s="4" t="str">
        <f>HYPERLINK("http://141.218.60.56/~jnz1568/getInfo.php?workbook=08_02.xlsx&amp;sheet=A0&amp;row=337&amp;col=8&amp;number=&amp;sourceID=34","")</f>
        <v/>
      </c>
      <c r="I337" s="4" t="str">
        <f>HYPERLINK("http://141.218.60.56/~jnz1568/getInfo.php?workbook=08_02.xlsx&amp;sheet=A0&amp;row=337&amp;col=9&amp;number=&amp;sourceID=34","")</f>
        <v/>
      </c>
      <c r="J337" s="4" t="str">
        <f>HYPERLINK("http://141.218.60.56/~jnz1568/getInfo.php?workbook=08_02.xlsx&amp;sheet=A0&amp;row=337&amp;col=10&amp;number=&amp;sourceID=34","")</f>
        <v/>
      </c>
      <c r="K337" s="4" t="str">
        <f>HYPERLINK("http://141.218.60.56/~jnz1568/getInfo.php?workbook=08_02.xlsx&amp;sheet=A0&amp;row=337&amp;col=11&amp;number=&amp;sourceID=30","")</f>
        <v/>
      </c>
      <c r="L337" s="4" t="str">
        <f>HYPERLINK("http://141.218.60.56/~jnz1568/getInfo.php?workbook=08_02.xlsx&amp;sheet=A0&amp;row=337&amp;col=12&amp;number=659.5&amp;sourceID=30","659.5")</f>
        <v>659.5</v>
      </c>
      <c r="M337" s="4" t="str">
        <f>HYPERLINK("http://141.218.60.56/~jnz1568/getInfo.php?workbook=08_02.xlsx&amp;sheet=A0&amp;row=337&amp;col=13&amp;number=5.788e-05&amp;sourceID=30","5.788e-05")</f>
        <v>5.788e-05</v>
      </c>
      <c r="N337" s="4" t="str">
        <f>HYPERLINK("http://141.218.60.56/~jnz1568/getInfo.php?workbook=08_02.xlsx&amp;sheet=A0&amp;row=337&amp;col=14&amp;number=&amp;sourceID=30","")</f>
        <v/>
      </c>
      <c r="O337" s="4" t="str">
        <f>HYPERLINK("http://141.218.60.56/~jnz1568/getInfo.php?workbook=08_02.xlsx&amp;sheet=A0&amp;row=337&amp;col=15&amp;number=&amp;sourceID=32","")</f>
        <v/>
      </c>
      <c r="P337" s="4" t="str">
        <f>HYPERLINK("http://141.218.60.56/~jnz1568/getInfo.php?workbook=08_02.xlsx&amp;sheet=A0&amp;row=337&amp;col=16&amp;number=815.4&amp;sourceID=32","815.4")</f>
        <v>815.4</v>
      </c>
      <c r="Q337" s="4" t="str">
        <f>HYPERLINK("http://141.218.60.56/~jnz1568/getInfo.php?workbook=08_02.xlsx&amp;sheet=A0&amp;row=337&amp;col=17&amp;number=0.0001213&amp;sourceID=32","0.0001213")</f>
        <v>0.0001213</v>
      </c>
      <c r="R337" s="4" t="str">
        <f>HYPERLINK("http://141.218.60.56/~jnz1568/getInfo.php?workbook=08_02.xlsx&amp;sheet=A0&amp;row=337&amp;col=18&amp;number=&amp;sourceID=32","")</f>
        <v/>
      </c>
      <c r="S337" s="4" t="str">
        <f>HYPERLINK("http://141.218.60.56/~jnz1568/getInfo.php?workbook=08_02.xlsx&amp;sheet=A0&amp;row=337&amp;col=19&amp;number=&amp;sourceID=1","")</f>
        <v/>
      </c>
      <c r="T337" s="4" t="str">
        <f>HYPERLINK("http://141.218.60.56/~jnz1568/getInfo.php?workbook=08_02.xlsx&amp;sheet=A0&amp;row=337&amp;col=20&amp;number=&amp;sourceID=1","")</f>
        <v/>
      </c>
    </row>
    <row r="338" spans="1:20">
      <c r="A338" s="3">
        <v>8</v>
      </c>
      <c r="B338" s="3">
        <v>2</v>
      </c>
      <c r="C338" s="3">
        <v>29</v>
      </c>
      <c r="D338" s="3">
        <v>15</v>
      </c>
      <c r="E338" s="3">
        <f>((1/(INDEX(E0!J$4:J$52,C338,1)-INDEX(E0!J$4:J$52,D338,1))))*100000000</f>
        <v>0</v>
      </c>
      <c r="F338" s="4" t="str">
        <f>HYPERLINK("http://141.218.60.56/~jnz1568/getInfo.php?workbook=08_02.xlsx&amp;sheet=A0&amp;row=338&amp;col=6&amp;number=&amp;sourceID=27","")</f>
        <v/>
      </c>
      <c r="G338" s="4" t="str">
        <f>HYPERLINK("http://141.218.60.56/~jnz1568/getInfo.php?workbook=08_02.xlsx&amp;sheet=A0&amp;row=338&amp;col=7&amp;number=&amp;sourceID=34","")</f>
        <v/>
      </c>
      <c r="H338" s="4" t="str">
        <f>HYPERLINK("http://141.218.60.56/~jnz1568/getInfo.php?workbook=08_02.xlsx&amp;sheet=A0&amp;row=338&amp;col=8&amp;number=&amp;sourceID=34","")</f>
        <v/>
      </c>
      <c r="I338" s="4" t="str">
        <f>HYPERLINK("http://141.218.60.56/~jnz1568/getInfo.php?workbook=08_02.xlsx&amp;sheet=A0&amp;row=338&amp;col=9&amp;number=&amp;sourceID=34","")</f>
        <v/>
      </c>
      <c r="J338" s="4" t="str">
        <f>HYPERLINK("http://141.218.60.56/~jnz1568/getInfo.php?workbook=08_02.xlsx&amp;sheet=A0&amp;row=338&amp;col=10&amp;number=&amp;sourceID=34","")</f>
        <v/>
      </c>
      <c r="K338" s="4" t="str">
        <f>HYPERLINK("http://141.218.60.56/~jnz1568/getInfo.php?workbook=08_02.xlsx&amp;sheet=A0&amp;row=338&amp;col=11&amp;number=&amp;sourceID=30","")</f>
        <v/>
      </c>
      <c r="L338" s="4" t="str">
        <f>HYPERLINK("http://141.218.60.56/~jnz1568/getInfo.php?workbook=08_02.xlsx&amp;sheet=A0&amp;row=338&amp;col=12&amp;number=435.6&amp;sourceID=30","435.6")</f>
        <v>435.6</v>
      </c>
      <c r="M338" s="4" t="str">
        <f>HYPERLINK("http://141.218.60.56/~jnz1568/getInfo.php?workbook=08_02.xlsx&amp;sheet=A0&amp;row=338&amp;col=13&amp;number=0.0128&amp;sourceID=30","0.0128")</f>
        <v>0.0128</v>
      </c>
      <c r="N338" s="4" t="str">
        <f>HYPERLINK("http://141.218.60.56/~jnz1568/getInfo.php?workbook=08_02.xlsx&amp;sheet=A0&amp;row=338&amp;col=14&amp;number=&amp;sourceID=30","")</f>
        <v/>
      </c>
      <c r="O338" s="4" t="str">
        <f>HYPERLINK("http://141.218.60.56/~jnz1568/getInfo.php?workbook=08_02.xlsx&amp;sheet=A0&amp;row=338&amp;col=15&amp;number=&amp;sourceID=32","")</f>
        <v/>
      </c>
      <c r="P338" s="4" t="str">
        <f>HYPERLINK("http://141.218.60.56/~jnz1568/getInfo.php?workbook=08_02.xlsx&amp;sheet=A0&amp;row=338&amp;col=16&amp;number=548.5&amp;sourceID=32","548.5")</f>
        <v>548.5</v>
      </c>
      <c r="Q338" s="4" t="str">
        <f>HYPERLINK("http://141.218.60.56/~jnz1568/getInfo.php?workbook=08_02.xlsx&amp;sheet=A0&amp;row=338&amp;col=17&amp;number=0.01205&amp;sourceID=32","0.01205")</f>
        <v>0.01205</v>
      </c>
      <c r="R338" s="4" t="str">
        <f>HYPERLINK("http://141.218.60.56/~jnz1568/getInfo.php?workbook=08_02.xlsx&amp;sheet=A0&amp;row=338&amp;col=18&amp;number=&amp;sourceID=32","")</f>
        <v/>
      </c>
      <c r="S338" s="4" t="str">
        <f>HYPERLINK("http://141.218.60.56/~jnz1568/getInfo.php?workbook=08_02.xlsx&amp;sheet=A0&amp;row=338&amp;col=19&amp;number=&amp;sourceID=1","")</f>
        <v/>
      </c>
      <c r="T338" s="4" t="str">
        <f>HYPERLINK("http://141.218.60.56/~jnz1568/getInfo.php?workbook=08_02.xlsx&amp;sheet=A0&amp;row=338&amp;col=20&amp;number=&amp;sourceID=1","")</f>
        <v/>
      </c>
    </row>
    <row r="339" spans="1:20">
      <c r="A339" s="3">
        <v>8</v>
      </c>
      <c r="B339" s="3">
        <v>2</v>
      </c>
      <c r="C339" s="3">
        <v>29</v>
      </c>
      <c r="D339" s="3">
        <v>16</v>
      </c>
      <c r="E339" s="3">
        <f>((1/(INDEX(E0!J$4:J$52,C339,1)-INDEX(E0!J$4:J$52,D339,1))))*100000000</f>
        <v>0</v>
      </c>
      <c r="F339" s="4" t="str">
        <f>HYPERLINK("http://141.218.60.56/~jnz1568/getInfo.php?workbook=08_02.xlsx&amp;sheet=A0&amp;row=339&amp;col=6&amp;number=&amp;sourceID=27","")</f>
        <v/>
      </c>
      <c r="G339" s="4" t="str">
        <f>HYPERLINK("http://141.218.60.56/~jnz1568/getInfo.php?workbook=08_02.xlsx&amp;sheet=A0&amp;row=339&amp;col=7&amp;number=&amp;sourceID=34","")</f>
        <v/>
      </c>
      <c r="H339" s="4" t="str">
        <f>HYPERLINK("http://141.218.60.56/~jnz1568/getInfo.php?workbook=08_02.xlsx&amp;sheet=A0&amp;row=339&amp;col=8&amp;number=&amp;sourceID=34","")</f>
        <v/>
      </c>
      <c r="I339" s="4" t="str">
        <f>HYPERLINK("http://141.218.60.56/~jnz1568/getInfo.php?workbook=08_02.xlsx&amp;sheet=A0&amp;row=339&amp;col=9&amp;number=&amp;sourceID=34","")</f>
        <v/>
      </c>
      <c r="J339" s="4" t="str">
        <f>HYPERLINK("http://141.218.60.56/~jnz1568/getInfo.php?workbook=08_02.xlsx&amp;sheet=A0&amp;row=339&amp;col=10&amp;number=&amp;sourceID=34","")</f>
        <v/>
      </c>
      <c r="K339" s="4" t="str">
        <f>HYPERLINK("http://141.218.60.56/~jnz1568/getInfo.php?workbook=08_02.xlsx&amp;sheet=A0&amp;row=339&amp;col=11&amp;number=&amp;sourceID=30","")</f>
        <v/>
      </c>
      <c r="L339" s="4" t="str">
        <f>HYPERLINK("http://141.218.60.56/~jnz1568/getInfo.php?workbook=08_02.xlsx&amp;sheet=A0&amp;row=339&amp;col=12&amp;number=138800&amp;sourceID=30","138800")</f>
        <v>138800</v>
      </c>
      <c r="M339" s="4" t="str">
        <f>HYPERLINK("http://141.218.60.56/~jnz1568/getInfo.php?workbook=08_02.xlsx&amp;sheet=A0&amp;row=339&amp;col=13&amp;number=0.01051&amp;sourceID=30","0.01051")</f>
        <v>0.01051</v>
      </c>
      <c r="N339" s="4" t="str">
        <f>HYPERLINK("http://141.218.60.56/~jnz1568/getInfo.php?workbook=08_02.xlsx&amp;sheet=A0&amp;row=339&amp;col=14&amp;number=&amp;sourceID=30","")</f>
        <v/>
      </c>
      <c r="O339" s="4" t="str">
        <f>HYPERLINK("http://141.218.60.56/~jnz1568/getInfo.php?workbook=08_02.xlsx&amp;sheet=A0&amp;row=339&amp;col=15&amp;number=&amp;sourceID=32","")</f>
        <v/>
      </c>
      <c r="P339" s="4" t="str">
        <f>HYPERLINK("http://141.218.60.56/~jnz1568/getInfo.php?workbook=08_02.xlsx&amp;sheet=A0&amp;row=339&amp;col=16&amp;number=138200&amp;sourceID=32","138200")</f>
        <v>138200</v>
      </c>
      <c r="Q339" s="4" t="str">
        <f>HYPERLINK("http://141.218.60.56/~jnz1568/getInfo.php?workbook=08_02.xlsx&amp;sheet=A0&amp;row=339&amp;col=17&amp;number=0.01044&amp;sourceID=32","0.01044")</f>
        <v>0.01044</v>
      </c>
      <c r="R339" s="4" t="str">
        <f>HYPERLINK("http://141.218.60.56/~jnz1568/getInfo.php?workbook=08_02.xlsx&amp;sheet=A0&amp;row=339&amp;col=18&amp;number=&amp;sourceID=32","")</f>
        <v/>
      </c>
      <c r="S339" s="4" t="str">
        <f>HYPERLINK("http://141.218.60.56/~jnz1568/getInfo.php?workbook=08_02.xlsx&amp;sheet=A0&amp;row=339&amp;col=19&amp;number=&amp;sourceID=1","")</f>
        <v/>
      </c>
      <c r="T339" s="4" t="str">
        <f>HYPERLINK("http://141.218.60.56/~jnz1568/getInfo.php?workbook=08_02.xlsx&amp;sheet=A0&amp;row=339&amp;col=20&amp;number=&amp;sourceID=1","")</f>
        <v/>
      </c>
    </row>
    <row r="340" spans="1:20">
      <c r="A340" s="3">
        <v>8</v>
      </c>
      <c r="B340" s="3">
        <v>2</v>
      </c>
      <c r="C340" s="3">
        <v>29</v>
      </c>
      <c r="D340" s="3">
        <v>17</v>
      </c>
      <c r="E340" s="3">
        <f>((1/(INDEX(E0!J$4:J$52,C340,1)-INDEX(E0!J$4:J$52,D340,1))))*100000000</f>
        <v>0</v>
      </c>
      <c r="F340" s="4" t="str">
        <f>HYPERLINK("http://141.218.60.56/~jnz1568/getInfo.php?workbook=08_02.xlsx&amp;sheet=A0&amp;row=340&amp;col=6&amp;number=&amp;sourceID=27","")</f>
        <v/>
      </c>
      <c r="G340" s="4" t="str">
        <f>HYPERLINK("http://141.218.60.56/~jnz1568/getInfo.php?workbook=08_02.xlsx&amp;sheet=A0&amp;row=340&amp;col=7&amp;number=16890000000&amp;sourceID=34","16890000000")</f>
        <v>16890000000</v>
      </c>
      <c r="H340" s="4" t="str">
        <f>HYPERLINK("http://141.218.60.56/~jnz1568/getInfo.php?workbook=08_02.xlsx&amp;sheet=A0&amp;row=340&amp;col=8&amp;number=&amp;sourceID=34","")</f>
        <v/>
      </c>
      <c r="I340" s="4" t="str">
        <f>HYPERLINK("http://141.218.60.56/~jnz1568/getInfo.php?workbook=08_02.xlsx&amp;sheet=A0&amp;row=340&amp;col=9&amp;number=&amp;sourceID=34","")</f>
        <v/>
      </c>
      <c r="J340" s="4" t="str">
        <f>HYPERLINK("http://141.218.60.56/~jnz1568/getInfo.php?workbook=08_02.xlsx&amp;sheet=A0&amp;row=340&amp;col=10&amp;number=&amp;sourceID=34","")</f>
        <v/>
      </c>
      <c r="K340" s="4" t="str">
        <f>HYPERLINK("http://141.218.60.56/~jnz1568/getInfo.php?workbook=08_02.xlsx&amp;sheet=A0&amp;row=340&amp;col=11&amp;number=17010000000&amp;sourceID=30","17010000000")</f>
        <v>17010000000</v>
      </c>
      <c r="L340" s="4" t="str">
        <f>HYPERLINK("http://141.218.60.56/~jnz1568/getInfo.php?workbook=08_02.xlsx&amp;sheet=A0&amp;row=340&amp;col=12&amp;number=&amp;sourceID=30","")</f>
        <v/>
      </c>
      <c r="M340" s="4" t="str">
        <f>HYPERLINK("http://141.218.60.56/~jnz1568/getInfo.php?workbook=08_02.xlsx&amp;sheet=A0&amp;row=340&amp;col=13&amp;number=&amp;sourceID=30","")</f>
        <v/>
      </c>
      <c r="N340" s="4" t="str">
        <f>HYPERLINK("http://141.218.60.56/~jnz1568/getInfo.php?workbook=08_02.xlsx&amp;sheet=A0&amp;row=340&amp;col=14&amp;number=3.797&amp;sourceID=30","3.797")</f>
        <v>3.797</v>
      </c>
      <c r="O340" s="4" t="str">
        <f>HYPERLINK("http://141.218.60.56/~jnz1568/getInfo.php?workbook=08_02.xlsx&amp;sheet=A0&amp;row=340&amp;col=15&amp;number=16840000000&amp;sourceID=32","16840000000")</f>
        <v>16840000000</v>
      </c>
      <c r="P340" s="4" t="str">
        <f>HYPERLINK("http://141.218.60.56/~jnz1568/getInfo.php?workbook=08_02.xlsx&amp;sheet=A0&amp;row=340&amp;col=16&amp;number=&amp;sourceID=32","")</f>
        <v/>
      </c>
      <c r="Q340" s="4" t="str">
        <f>HYPERLINK("http://141.218.60.56/~jnz1568/getInfo.php?workbook=08_02.xlsx&amp;sheet=A0&amp;row=340&amp;col=17&amp;number=&amp;sourceID=32","")</f>
        <v/>
      </c>
      <c r="R340" s="4" t="str">
        <f>HYPERLINK("http://141.218.60.56/~jnz1568/getInfo.php?workbook=08_02.xlsx&amp;sheet=A0&amp;row=340&amp;col=18&amp;number=3.838&amp;sourceID=32","3.838")</f>
        <v>3.838</v>
      </c>
      <c r="S340" s="4" t="str">
        <f>HYPERLINK("http://141.218.60.56/~jnz1568/getInfo.php?workbook=08_02.xlsx&amp;sheet=A0&amp;row=340&amp;col=19&amp;number=&amp;sourceID=1","")</f>
        <v/>
      </c>
      <c r="T340" s="4" t="str">
        <f>HYPERLINK("http://141.218.60.56/~jnz1568/getInfo.php?workbook=08_02.xlsx&amp;sheet=A0&amp;row=340&amp;col=20&amp;number=&amp;sourceID=1","")</f>
        <v/>
      </c>
    </row>
    <row r="341" spans="1:20">
      <c r="A341" s="3">
        <v>8</v>
      </c>
      <c r="B341" s="3">
        <v>2</v>
      </c>
      <c r="C341" s="3">
        <v>29</v>
      </c>
      <c r="D341" s="3">
        <v>18</v>
      </c>
      <c r="E341" s="3">
        <f>((1/(INDEX(E0!J$4:J$52,C341,1)-INDEX(E0!J$4:J$52,D341,1))))*100000000</f>
        <v>0</v>
      </c>
      <c r="F341" s="4" t="str">
        <f>HYPERLINK("http://141.218.60.56/~jnz1568/getInfo.php?workbook=08_02.xlsx&amp;sheet=A0&amp;row=341&amp;col=6&amp;number=&amp;sourceID=27","")</f>
        <v/>
      </c>
      <c r="G341" s="4" t="str">
        <f>HYPERLINK("http://141.218.60.56/~jnz1568/getInfo.php?workbook=08_02.xlsx&amp;sheet=A0&amp;row=341&amp;col=7&amp;number=&amp;sourceID=34","")</f>
        <v/>
      </c>
      <c r="H341" s="4" t="str">
        <f>HYPERLINK("http://141.218.60.56/~jnz1568/getInfo.php?workbook=08_02.xlsx&amp;sheet=A0&amp;row=341&amp;col=8&amp;number=&amp;sourceID=34","")</f>
        <v/>
      </c>
      <c r="I341" s="4" t="str">
        <f>HYPERLINK("http://141.218.60.56/~jnz1568/getInfo.php?workbook=08_02.xlsx&amp;sheet=A0&amp;row=341&amp;col=9&amp;number=&amp;sourceID=34","")</f>
        <v/>
      </c>
      <c r="J341" s="4" t="str">
        <f>HYPERLINK("http://141.218.60.56/~jnz1568/getInfo.php?workbook=08_02.xlsx&amp;sheet=A0&amp;row=341&amp;col=10&amp;number=&amp;sourceID=34","")</f>
        <v/>
      </c>
      <c r="K341" s="4" t="str">
        <f>HYPERLINK("http://141.218.60.56/~jnz1568/getInfo.php?workbook=08_02.xlsx&amp;sheet=A0&amp;row=341&amp;col=11&amp;number=&amp;sourceID=30","")</f>
        <v/>
      </c>
      <c r="L341" s="4" t="str">
        <f>HYPERLINK("http://141.218.60.56/~jnz1568/getInfo.php?workbook=08_02.xlsx&amp;sheet=A0&amp;row=341&amp;col=12&amp;number=0.00284&amp;sourceID=30","0.00284")</f>
        <v>0.00284</v>
      </c>
      <c r="M341" s="4" t="str">
        <f>HYPERLINK("http://141.218.60.56/~jnz1568/getInfo.php?workbook=08_02.xlsx&amp;sheet=A0&amp;row=341&amp;col=13&amp;number=1.758e-09&amp;sourceID=30","1.758e-09")</f>
        <v>1.758e-09</v>
      </c>
      <c r="N341" s="4" t="str">
        <f>HYPERLINK("http://141.218.60.56/~jnz1568/getInfo.php?workbook=08_02.xlsx&amp;sheet=A0&amp;row=341&amp;col=14&amp;number=&amp;sourceID=30","")</f>
        <v/>
      </c>
      <c r="O341" s="4" t="str">
        <f>HYPERLINK("http://141.218.60.56/~jnz1568/getInfo.php?workbook=08_02.xlsx&amp;sheet=A0&amp;row=341&amp;col=15&amp;number=&amp;sourceID=32","")</f>
        <v/>
      </c>
      <c r="P341" s="4" t="str">
        <f>HYPERLINK("http://141.218.60.56/~jnz1568/getInfo.php?workbook=08_02.xlsx&amp;sheet=A0&amp;row=341&amp;col=16&amp;number=0.003608&amp;sourceID=32","0.003608")</f>
        <v>0.003608</v>
      </c>
      <c r="Q341" s="4" t="str">
        <f>HYPERLINK("http://141.218.60.56/~jnz1568/getInfo.php?workbook=08_02.xlsx&amp;sheet=A0&amp;row=341&amp;col=17&amp;number=1.855e-09&amp;sourceID=32","1.855e-09")</f>
        <v>1.855e-09</v>
      </c>
      <c r="R341" s="4" t="str">
        <f>HYPERLINK("http://141.218.60.56/~jnz1568/getInfo.php?workbook=08_02.xlsx&amp;sheet=A0&amp;row=341&amp;col=18&amp;number=&amp;sourceID=32","")</f>
        <v/>
      </c>
      <c r="S341" s="4" t="str">
        <f>HYPERLINK("http://141.218.60.56/~jnz1568/getInfo.php?workbook=08_02.xlsx&amp;sheet=A0&amp;row=341&amp;col=19&amp;number=&amp;sourceID=1","")</f>
        <v/>
      </c>
      <c r="T341" s="4" t="str">
        <f>HYPERLINK("http://141.218.60.56/~jnz1568/getInfo.php?workbook=08_02.xlsx&amp;sheet=A0&amp;row=341&amp;col=20&amp;number=&amp;sourceID=1","")</f>
        <v/>
      </c>
    </row>
    <row r="342" spans="1:20">
      <c r="A342" s="3">
        <v>8</v>
      </c>
      <c r="B342" s="3">
        <v>2</v>
      </c>
      <c r="C342" s="3">
        <v>29</v>
      </c>
      <c r="D342" s="3">
        <v>19</v>
      </c>
      <c r="E342" s="3">
        <f>((1/(INDEX(E0!J$4:J$52,C342,1)-INDEX(E0!J$4:J$52,D342,1))))*100000000</f>
        <v>0</v>
      </c>
      <c r="F342" s="4" t="str">
        <f>HYPERLINK("http://141.218.60.56/~jnz1568/getInfo.php?workbook=08_02.xlsx&amp;sheet=A0&amp;row=342&amp;col=6&amp;number=&amp;sourceID=27","")</f>
        <v/>
      </c>
      <c r="G342" s="4" t="str">
        <f>HYPERLINK("http://141.218.60.56/~jnz1568/getInfo.php?workbook=08_02.xlsx&amp;sheet=A0&amp;row=342&amp;col=7&amp;number=&amp;sourceID=34","")</f>
        <v/>
      </c>
      <c r="H342" s="4" t="str">
        <f>HYPERLINK("http://141.218.60.56/~jnz1568/getInfo.php?workbook=08_02.xlsx&amp;sheet=A0&amp;row=342&amp;col=8&amp;number=&amp;sourceID=34","")</f>
        <v/>
      </c>
      <c r="I342" s="4" t="str">
        <f>HYPERLINK("http://141.218.60.56/~jnz1568/getInfo.php?workbook=08_02.xlsx&amp;sheet=A0&amp;row=342&amp;col=9&amp;number=&amp;sourceID=34","")</f>
        <v/>
      </c>
      <c r="J342" s="4" t="str">
        <f>HYPERLINK("http://141.218.60.56/~jnz1568/getInfo.php?workbook=08_02.xlsx&amp;sheet=A0&amp;row=342&amp;col=10&amp;number=&amp;sourceID=34","")</f>
        <v/>
      </c>
      <c r="K342" s="4" t="str">
        <f>HYPERLINK("http://141.218.60.56/~jnz1568/getInfo.php?workbook=08_02.xlsx&amp;sheet=A0&amp;row=342&amp;col=11&amp;number=&amp;sourceID=30","")</f>
        <v/>
      </c>
      <c r="L342" s="4" t="str">
        <f>HYPERLINK("http://141.218.60.56/~jnz1568/getInfo.php?workbook=08_02.xlsx&amp;sheet=A0&amp;row=342&amp;col=12&amp;number=&amp;sourceID=30","")</f>
        <v/>
      </c>
      <c r="M342" s="4" t="str">
        <f>HYPERLINK("http://141.218.60.56/~jnz1568/getInfo.php?workbook=08_02.xlsx&amp;sheet=A0&amp;row=342&amp;col=13&amp;number=&amp;sourceID=30","")</f>
        <v/>
      </c>
      <c r="N342" s="4" t="str">
        <f>HYPERLINK("http://141.218.60.56/~jnz1568/getInfo.php?workbook=08_02.xlsx&amp;sheet=A0&amp;row=342&amp;col=14&amp;number=9.094e-09&amp;sourceID=30","9.094e-09")</f>
        <v>9.094e-09</v>
      </c>
      <c r="O342" s="4" t="str">
        <f>HYPERLINK("http://141.218.60.56/~jnz1568/getInfo.php?workbook=08_02.xlsx&amp;sheet=A0&amp;row=342&amp;col=15&amp;number=&amp;sourceID=32","")</f>
        <v/>
      </c>
      <c r="P342" s="4" t="str">
        <f>HYPERLINK("http://141.218.60.56/~jnz1568/getInfo.php?workbook=08_02.xlsx&amp;sheet=A0&amp;row=342&amp;col=16&amp;number=&amp;sourceID=32","")</f>
        <v/>
      </c>
      <c r="Q342" s="4" t="str">
        <f>HYPERLINK("http://141.218.60.56/~jnz1568/getInfo.php?workbook=08_02.xlsx&amp;sheet=A0&amp;row=342&amp;col=17&amp;number=&amp;sourceID=32","")</f>
        <v/>
      </c>
      <c r="R342" s="4" t="str">
        <f>HYPERLINK("http://141.218.60.56/~jnz1568/getInfo.php?workbook=08_02.xlsx&amp;sheet=A0&amp;row=342&amp;col=18&amp;number=1.009e-08&amp;sourceID=32","1.009e-08")</f>
        <v>1.009e-08</v>
      </c>
      <c r="S342" s="4" t="str">
        <f>HYPERLINK("http://141.218.60.56/~jnz1568/getInfo.php?workbook=08_02.xlsx&amp;sheet=A0&amp;row=342&amp;col=19&amp;number=&amp;sourceID=1","")</f>
        <v/>
      </c>
      <c r="T342" s="4" t="str">
        <f>HYPERLINK("http://141.218.60.56/~jnz1568/getInfo.php?workbook=08_02.xlsx&amp;sheet=A0&amp;row=342&amp;col=20&amp;number=&amp;sourceID=1","")</f>
        <v/>
      </c>
    </row>
    <row r="343" spans="1:20">
      <c r="A343" s="3">
        <v>8</v>
      </c>
      <c r="B343" s="3">
        <v>2</v>
      </c>
      <c r="C343" s="3">
        <v>29</v>
      </c>
      <c r="D343" s="3">
        <v>20</v>
      </c>
      <c r="E343" s="3">
        <f>((1/(INDEX(E0!J$4:J$52,C343,1)-INDEX(E0!J$4:J$52,D343,1))))*100000000</f>
        <v>0</v>
      </c>
      <c r="F343" s="4" t="str">
        <f>HYPERLINK("http://141.218.60.56/~jnz1568/getInfo.php?workbook=08_02.xlsx&amp;sheet=A0&amp;row=343&amp;col=6&amp;number=&amp;sourceID=27","")</f>
        <v/>
      </c>
      <c r="G343" s="4" t="str">
        <f>HYPERLINK("http://141.218.60.56/~jnz1568/getInfo.php?workbook=08_02.xlsx&amp;sheet=A0&amp;row=343&amp;col=7&amp;number=&amp;sourceID=34","")</f>
        <v/>
      </c>
      <c r="H343" s="4" t="str">
        <f>HYPERLINK("http://141.218.60.56/~jnz1568/getInfo.php?workbook=08_02.xlsx&amp;sheet=A0&amp;row=343&amp;col=8&amp;number=&amp;sourceID=34","")</f>
        <v/>
      </c>
      <c r="I343" s="4" t="str">
        <f>HYPERLINK("http://141.218.60.56/~jnz1568/getInfo.php?workbook=08_02.xlsx&amp;sheet=A0&amp;row=343&amp;col=9&amp;number=&amp;sourceID=34","")</f>
        <v/>
      </c>
      <c r="J343" s="4" t="str">
        <f>HYPERLINK("http://141.218.60.56/~jnz1568/getInfo.php?workbook=08_02.xlsx&amp;sheet=A0&amp;row=343&amp;col=10&amp;number=&amp;sourceID=34","")</f>
        <v/>
      </c>
      <c r="K343" s="4" t="str">
        <f>HYPERLINK("http://141.218.60.56/~jnz1568/getInfo.php?workbook=08_02.xlsx&amp;sheet=A0&amp;row=343&amp;col=11&amp;number=1607&amp;sourceID=30","1607")</f>
        <v>1607</v>
      </c>
      <c r="L343" s="4" t="str">
        <f>HYPERLINK("http://141.218.60.56/~jnz1568/getInfo.php?workbook=08_02.xlsx&amp;sheet=A0&amp;row=343&amp;col=12&amp;number=&amp;sourceID=30","")</f>
        <v/>
      </c>
      <c r="M343" s="4" t="str">
        <f>HYPERLINK("http://141.218.60.56/~jnz1568/getInfo.php?workbook=08_02.xlsx&amp;sheet=A0&amp;row=343&amp;col=13&amp;number=&amp;sourceID=30","")</f>
        <v/>
      </c>
      <c r="N343" s="4" t="str">
        <f>HYPERLINK("http://141.218.60.56/~jnz1568/getInfo.php?workbook=08_02.xlsx&amp;sheet=A0&amp;row=343&amp;col=14&amp;number=2.207e-08&amp;sourceID=30","2.207e-08")</f>
        <v>2.207e-08</v>
      </c>
      <c r="O343" s="4" t="str">
        <f>HYPERLINK("http://141.218.60.56/~jnz1568/getInfo.php?workbook=08_02.xlsx&amp;sheet=A0&amp;row=343&amp;col=15&amp;number=2197&amp;sourceID=32","2197")</f>
        <v>2197</v>
      </c>
      <c r="P343" s="4" t="str">
        <f>HYPERLINK("http://141.218.60.56/~jnz1568/getInfo.php?workbook=08_02.xlsx&amp;sheet=A0&amp;row=343&amp;col=16&amp;number=&amp;sourceID=32","")</f>
        <v/>
      </c>
      <c r="Q343" s="4" t="str">
        <f>HYPERLINK("http://141.218.60.56/~jnz1568/getInfo.php?workbook=08_02.xlsx&amp;sheet=A0&amp;row=343&amp;col=17&amp;number=&amp;sourceID=32","")</f>
        <v/>
      </c>
      <c r="R343" s="4" t="str">
        <f>HYPERLINK("http://141.218.60.56/~jnz1568/getInfo.php?workbook=08_02.xlsx&amp;sheet=A0&amp;row=343&amp;col=18&amp;number=2.476e-08&amp;sourceID=32","2.476e-08")</f>
        <v>2.476e-08</v>
      </c>
      <c r="S343" s="4" t="str">
        <f>HYPERLINK("http://141.218.60.56/~jnz1568/getInfo.php?workbook=08_02.xlsx&amp;sheet=A0&amp;row=343&amp;col=19&amp;number=&amp;sourceID=1","")</f>
        <v/>
      </c>
      <c r="T343" s="4" t="str">
        <f>HYPERLINK("http://141.218.60.56/~jnz1568/getInfo.php?workbook=08_02.xlsx&amp;sheet=A0&amp;row=343&amp;col=20&amp;number=&amp;sourceID=1","")</f>
        <v/>
      </c>
    </row>
    <row r="344" spans="1:20">
      <c r="A344" s="3">
        <v>8</v>
      </c>
      <c r="B344" s="3">
        <v>2</v>
      </c>
      <c r="C344" s="3">
        <v>29</v>
      </c>
      <c r="D344" s="3">
        <v>21</v>
      </c>
      <c r="E344" s="3">
        <f>((1/(INDEX(E0!J$4:J$52,C344,1)-INDEX(E0!J$4:J$52,D344,1))))*100000000</f>
        <v>0</v>
      </c>
      <c r="F344" s="4" t="str">
        <f>HYPERLINK("http://141.218.60.56/~jnz1568/getInfo.php?workbook=08_02.xlsx&amp;sheet=A0&amp;row=344&amp;col=6&amp;number=&amp;sourceID=27","")</f>
        <v/>
      </c>
      <c r="G344" s="4" t="str">
        <f>HYPERLINK("http://141.218.60.56/~jnz1568/getInfo.php?workbook=08_02.xlsx&amp;sheet=A0&amp;row=344&amp;col=7&amp;number=&amp;sourceID=34","")</f>
        <v/>
      </c>
      <c r="H344" s="4" t="str">
        <f>HYPERLINK("http://141.218.60.56/~jnz1568/getInfo.php?workbook=08_02.xlsx&amp;sheet=A0&amp;row=344&amp;col=8&amp;number=&amp;sourceID=34","")</f>
        <v/>
      </c>
      <c r="I344" s="4" t="str">
        <f>HYPERLINK("http://141.218.60.56/~jnz1568/getInfo.php?workbook=08_02.xlsx&amp;sheet=A0&amp;row=344&amp;col=9&amp;number=&amp;sourceID=34","")</f>
        <v/>
      </c>
      <c r="J344" s="4" t="str">
        <f>HYPERLINK("http://141.218.60.56/~jnz1568/getInfo.php?workbook=08_02.xlsx&amp;sheet=A0&amp;row=344&amp;col=10&amp;number=&amp;sourceID=34","")</f>
        <v/>
      </c>
      <c r="K344" s="4" t="str">
        <f>HYPERLINK("http://141.218.60.56/~jnz1568/getInfo.php?workbook=08_02.xlsx&amp;sheet=A0&amp;row=344&amp;col=11&amp;number=728.9&amp;sourceID=30","728.9")</f>
        <v>728.9</v>
      </c>
      <c r="L344" s="4" t="str">
        <f>HYPERLINK("http://141.218.60.56/~jnz1568/getInfo.php?workbook=08_02.xlsx&amp;sheet=A0&amp;row=344&amp;col=12&amp;number=&amp;sourceID=30","")</f>
        <v/>
      </c>
      <c r="M344" s="4" t="str">
        <f>HYPERLINK("http://141.218.60.56/~jnz1568/getInfo.php?workbook=08_02.xlsx&amp;sheet=A0&amp;row=344&amp;col=13&amp;number=&amp;sourceID=30","")</f>
        <v/>
      </c>
      <c r="N344" s="4" t="str">
        <f>HYPERLINK("http://141.218.60.56/~jnz1568/getInfo.php?workbook=08_02.xlsx&amp;sheet=A0&amp;row=344&amp;col=14&amp;number=1.535e-08&amp;sourceID=30","1.535e-08")</f>
        <v>1.535e-08</v>
      </c>
      <c r="O344" s="4" t="str">
        <f>HYPERLINK("http://141.218.60.56/~jnz1568/getInfo.php?workbook=08_02.xlsx&amp;sheet=A0&amp;row=344&amp;col=15&amp;number=970.8&amp;sourceID=32","970.8")</f>
        <v>970.8</v>
      </c>
      <c r="P344" s="4" t="str">
        <f>HYPERLINK("http://141.218.60.56/~jnz1568/getInfo.php?workbook=08_02.xlsx&amp;sheet=A0&amp;row=344&amp;col=16&amp;number=&amp;sourceID=32","")</f>
        <v/>
      </c>
      <c r="Q344" s="4" t="str">
        <f>HYPERLINK("http://141.218.60.56/~jnz1568/getInfo.php?workbook=08_02.xlsx&amp;sheet=A0&amp;row=344&amp;col=17&amp;number=&amp;sourceID=32","")</f>
        <v/>
      </c>
      <c r="R344" s="4" t="str">
        <f>HYPERLINK("http://141.218.60.56/~jnz1568/getInfo.php?workbook=08_02.xlsx&amp;sheet=A0&amp;row=344&amp;col=18&amp;number=1.715e-08&amp;sourceID=32","1.715e-08")</f>
        <v>1.715e-08</v>
      </c>
      <c r="S344" s="4" t="str">
        <f>HYPERLINK("http://141.218.60.56/~jnz1568/getInfo.php?workbook=08_02.xlsx&amp;sheet=A0&amp;row=344&amp;col=19&amp;number=&amp;sourceID=1","")</f>
        <v/>
      </c>
      <c r="T344" s="4" t="str">
        <f>HYPERLINK("http://141.218.60.56/~jnz1568/getInfo.php?workbook=08_02.xlsx&amp;sheet=A0&amp;row=344&amp;col=20&amp;number=&amp;sourceID=1","")</f>
        <v/>
      </c>
    </row>
    <row r="345" spans="1:20">
      <c r="A345" s="3">
        <v>8</v>
      </c>
      <c r="B345" s="3">
        <v>2</v>
      </c>
      <c r="C345" s="3">
        <v>29</v>
      </c>
      <c r="D345" s="3">
        <v>22</v>
      </c>
      <c r="E345" s="3">
        <f>((1/(INDEX(E0!J$4:J$52,C345,1)-INDEX(E0!J$4:J$52,D345,1))))*100000000</f>
        <v>0</v>
      </c>
      <c r="F345" s="4" t="str">
        <f>HYPERLINK("http://141.218.60.56/~jnz1568/getInfo.php?workbook=08_02.xlsx&amp;sheet=A0&amp;row=345&amp;col=6&amp;number=&amp;sourceID=27","")</f>
        <v/>
      </c>
      <c r="G345" s="4" t="str">
        <f>HYPERLINK("http://141.218.60.56/~jnz1568/getInfo.php?workbook=08_02.xlsx&amp;sheet=A0&amp;row=345&amp;col=7&amp;number=&amp;sourceID=34","")</f>
        <v/>
      </c>
      <c r="H345" s="4" t="str">
        <f>HYPERLINK("http://141.218.60.56/~jnz1568/getInfo.php?workbook=08_02.xlsx&amp;sheet=A0&amp;row=345&amp;col=8&amp;number=&amp;sourceID=34","")</f>
        <v/>
      </c>
      <c r="I345" s="4" t="str">
        <f>HYPERLINK("http://141.218.60.56/~jnz1568/getInfo.php?workbook=08_02.xlsx&amp;sheet=A0&amp;row=345&amp;col=9&amp;number=&amp;sourceID=34","")</f>
        <v/>
      </c>
      <c r="J345" s="4" t="str">
        <f>HYPERLINK("http://141.218.60.56/~jnz1568/getInfo.php?workbook=08_02.xlsx&amp;sheet=A0&amp;row=345&amp;col=10&amp;number=&amp;sourceID=34","")</f>
        <v/>
      </c>
      <c r="K345" s="4" t="str">
        <f>HYPERLINK("http://141.218.60.56/~jnz1568/getInfo.php?workbook=08_02.xlsx&amp;sheet=A0&amp;row=345&amp;col=11&amp;number=&amp;sourceID=30","")</f>
        <v/>
      </c>
      <c r="L345" s="4" t="str">
        <f>HYPERLINK("http://141.218.60.56/~jnz1568/getInfo.php?workbook=08_02.xlsx&amp;sheet=A0&amp;row=345&amp;col=12&amp;number=0.0007414&amp;sourceID=30","0.0007414")</f>
        <v>0.0007414</v>
      </c>
      <c r="M345" s="4" t="str">
        <f>HYPERLINK("http://141.218.60.56/~jnz1568/getInfo.php?workbook=08_02.xlsx&amp;sheet=A0&amp;row=345&amp;col=13&amp;number=&amp;sourceID=30","")</f>
        <v/>
      </c>
      <c r="N345" s="4" t="str">
        <f>HYPERLINK("http://141.218.60.56/~jnz1568/getInfo.php?workbook=08_02.xlsx&amp;sheet=A0&amp;row=345&amp;col=14&amp;number=&amp;sourceID=30","")</f>
        <v/>
      </c>
      <c r="O345" s="4" t="str">
        <f>HYPERLINK("http://141.218.60.56/~jnz1568/getInfo.php?workbook=08_02.xlsx&amp;sheet=A0&amp;row=345&amp;col=15&amp;number=&amp;sourceID=32","")</f>
        <v/>
      </c>
      <c r="P345" s="4" t="str">
        <f>HYPERLINK("http://141.218.60.56/~jnz1568/getInfo.php?workbook=08_02.xlsx&amp;sheet=A0&amp;row=345&amp;col=16&amp;number=0.00244&amp;sourceID=32","0.00244")</f>
        <v>0.00244</v>
      </c>
      <c r="Q345" s="4" t="str">
        <f>HYPERLINK("http://141.218.60.56/~jnz1568/getInfo.php?workbook=08_02.xlsx&amp;sheet=A0&amp;row=345&amp;col=17&amp;number=&amp;sourceID=32","")</f>
        <v/>
      </c>
      <c r="R345" s="4" t="str">
        <f>HYPERLINK("http://141.218.60.56/~jnz1568/getInfo.php?workbook=08_02.xlsx&amp;sheet=A0&amp;row=345&amp;col=18&amp;number=&amp;sourceID=32","")</f>
        <v/>
      </c>
      <c r="S345" s="4" t="str">
        <f>HYPERLINK("http://141.218.60.56/~jnz1568/getInfo.php?workbook=08_02.xlsx&amp;sheet=A0&amp;row=345&amp;col=19&amp;number=&amp;sourceID=1","")</f>
        <v/>
      </c>
      <c r="T345" s="4" t="str">
        <f>HYPERLINK("http://141.218.60.56/~jnz1568/getInfo.php?workbook=08_02.xlsx&amp;sheet=A0&amp;row=345&amp;col=20&amp;number=&amp;sourceID=1","")</f>
        <v/>
      </c>
    </row>
    <row r="346" spans="1:20">
      <c r="A346" s="3">
        <v>8</v>
      </c>
      <c r="B346" s="3">
        <v>2</v>
      </c>
      <c r="C346" s="3">
        <v>29</v>
      </c>
      <c r="D346" s="3">
        <v>23</v>
      </c>
      <c r="E346" s="3">
        <f>((1/(INDEX(E0!J$4:J$52,C346,1)-INDEX(E0!J$4:J$52,D346,1))))*100000000</f>
        <v>0</v>
      </c>
      <c r="F346" s="4" t="str">
        <f>HYPERLINK("http://141.218.60.56/~jnz1568/getInfo.php?workbook=08_02.xlsx&amp;sheet=A0&amp;row=346&amp;col=6&amp;number=&amp;sourceID=27","")</f>
        <v/>
      </c>
      <c r="G346" s="4" t="str">
        <f>HYPERLINK("http://141.218.60.56/~jnz1568/getInfo.php?workbook=08_02.xlsx&amp;sheet=A0&amp;row=346&amp;col=7&amp;number=&amp;sourceID=34","")</f>
        <v/>
      </c>
      <c r="H346" s="4" t="str">
        <f>HYPERLINK("http://141.218.60.56/~jnz1568/getInfo.php?workbook=08_02.xlsx&amp;sheet=A0&amp;row=346&amp;col=8&amp;number=&amp;sourceID=34","")</f>
        <v/>
      </c>
      <c r="I346" s="4" t="str">
        <f>HYPERLINK("http://141.218.60.56/~jnz1568/getInfo.php?workbook=08_02.xlsx&amp;sheet=A0&amp;row=346&amp;col=9&amp;number=&amp;sourceID=34","")</f>
        <v/>
      </c>
      <c r="J346" s="4" t="str">
        <f>HYPERLINK("http://141.218.60.56/~jnz1568/getInfo.php?workbook=08_02.xlsx&amp;sheet=A0&amp;row=346&amp;col=10&amp;number=&amp;sourceID=34","")</f>
        <v/>
      </c>
      <c r="K346" s="4" t="str">
        <f>HYPERLINK("http://141.218.60.56/~jnz1568/getInfo.php?workbook=08_02.xlsx&amp;sheet=A0&amp;row=346&amp;col=11&amp;number=&amp;sourceID=30","")</f>
        <v/>
      </c>
      <c r="L346" s="4" t="str">
        <f>HYPERLINK("http://141.218.60.56/~jnz1568/getInfo.php?workbook=08_02.xlsx&amp;sheet=A0&amp;row=346&amp;col=12&amp;number=1.229e-11&amp;sourceID=30","1.229e-11")</f>
        <v>1.229e-11</v>
      </c>
      <c r="M346" s="4" t="str">
        <f>HYPERLINK("http://141.218.60.56/~jnz1568/getInfo.php?workbook=08_02.xlsx&amp;sheet=A0&amp;row=346&amp;col=13&amp;number=3.622e-06&amp;sourceID=30","3.622e-06")</f>
        <v>3.622e-06</v>
      </c>
      <c r="N346" s="4" t="str">
        <f>HYPERLINK("http://141.218.60.56/~jnz1568/getInfo.php?workbook=08_02.xlsx&amp;sheet=A0&amp;row=346&amp;col=14&amp;number=&amp;sourceID=30","")</f>
        <v/>
      </c>
      <c r="O346" s="4" t="str">
        <f>HYPERLINK("http://141.218.60.56/~jnz1568/getInfo.php?workbook=08_02.xlsx&amp;sheet=A0&amp;row=346&amp;col=15&amp;number=&amp;sourceID=32","")</f>
        <v/>
      </c>
      <c r="P346" s="4" t="str">
        <f>HYPERLINK("http://141.218.60.56/~jnz1568/getInfo.php?workbook=08_02.xlsx&amp;sheet=A0&amp;row=346&amp;col=16&amp;number=8.108e-12&amp;sourceID=32","8.108e-12")</f>
        <v>8.108e-12</v>
      </c>
      <c r="Q346" s="4" t="str">
        <f>HYPERLINK("http://141.218.60.56/~jnz1568/getInfo.php?workbook=08_02.xlsx&amp;sheet=A0&amp;row=346&amp;col=17&amp;number=3.089e-06&amp;sourceID=32","3.089e-06")</f>
        <v>3.089e-06</v>
      </c>
      <c r="R346" s="4" t="str">
        <f>HYPERLINK("http://141.218.60.56/~jnz1568/getInfo.php?workbook=08_02.xlsx&amp;sheet=A0&amp;row=346&amp;col=18&amp;number=&amp;sourceID=32","")</f>
        <v/>
      </c>
      <c r="S346" s="4" t="str">
        <f>HYPERLINK("http://141.218.60.56/~jnz1568/getInfo.php?workbook=08_02.xlsx&amp;sheet=A0&amp;row=346&amp;col=19&amp;number=&amp;sourceID=1","")</f>
        <v/>
      </c>
      <c r="T346" s="4" t="str">
        <f>HYPERLINK("http://141.218.60.56/~jnz1568/getInfo.php?workbook=08_02.xlsx&amp;sheet=A0&amp;row=346&amp;col=20&amp;number=&amp;sourceID=1","")</f>
        <v/>
      </c>
    </row>
    <row r="347" spans="1:20">
      <c r="A347" s="3">
        <v>8</v>
      </c>
      <c r="B347" s="3">
        <v>2</v>
      </c>
      <c r="C347" s="3">
        <v>29</v>
      </c>
      <c r="D347" s="3">
        <v>24</v>
      </c>
      <c r="E347" s="3">
        <f>((1/(INDEX(E0!J$4:J$52,C347,1)-INDEX(E0!J$4:J$52,D347,1))))*100000000</f>
        <v>0</v>
      </c>
      <c r="F347" s="4" t="str">
        <f>HYPERLINK("http://141.218.60.56/~jnz1568/getInfo.php?workbook=08_02.xlsx&amp;sheet=A0&amp;row=347&amp;col=6&amp;number=&amp;sourceID=27","")</f>
        <v/>
      </c>
      <c r="G347" s="4" t="str">
        <f>HYPERLINK("http://141.218.60.56/~jnz1568/getInfo.php?workbook=08_02.xlsx&amp;sheet=A0&amp;row=347&amp;col=7&amp;number=&amp;sourceID=34","")</f>
        <v/>
      </c>
      <c r="H347" s="4" t="str">
        <f>HYPERLINK("http://141.218.60.56/~jnz1568/getInfo.php?workbook=08_02.xlsx&amp;sheet=A0&amp;row=347&amp;col=8&amp;number=&amp;sourceID=34","")</f>
        <v/>
      </c>
      <c r="I347" s="4" t="str">
        <f>HYPERLINK("http://141.218.60.56/~jnz1568/getInfo.php?workbook=08_02.xlsx&amp;sheet=A0&amp;row=347&amp;col=9&amp;number=&amp;sourceID=34","")</f>
        <v/>
      </c>
      <c r="J347" s="4" t="str">
        <f>HYPERLINK("http://141.218.60.56/~jnz1568/getInfo.php?workbook=08_02.xlsx&amp;sheet=A0&amp;row=347&amp;col=10&amp;number=&amp;sourceID=34","")</f>
        <v/>
      </c>
      <c r="K347" s="4" t="str">
        <f>HYPERLINK("http://141.218.60.56/~jnz1568/getInfo.php?workbook=08_02.xlsx&amp;sheet=A0&amp;row=347&amp;col=11&amp;number=&amp;sourceID=30","")</f>
        <v/>
      </c>
      <c r="L347" s="4" t="str">
        <f>HYPERLINK("http://141.218.60.56/~jnz1568/getInfo.php?workbook=08_02.xlsx&amp;sheet=A0&amp;row=347&amp;col=12&amp;number=8.027e-12&amp;sourceID=30","8.027e-12")</f>
        <v>8.027e-12</v>
      </c>
      <c r="M347" s="4" t="str">
        <f>HYPERLINK("http://141.218.60.56/~jnz1568/getInfo.php?workbook=08_02.xlsx&amp;sheet=A0&amp;row=347&amp;col=13&amp;number=6.597e-07&amp;sourceID=30","6.597e-07")</f>
        <v>6.597e-07</v>
      </c>
      <c r="N347" s="4" t="str">
        <f>HYPERLINK("http://141.218.60.56/~jnz1568/getInfo.php?workbook=08_02.xlsx&amp;sheet=A0&amp;row=347&amp;col=14&amp;number=&amp;sourceID=30","")</f>
        <v/>
      </c>
      <c r="O347" s="4" t="str">
        <f>HYPERLINK("http://141.218.60.56/~jnz1568/getInfo.php?workbook=08_02.xlsx&amp;sheet=A0&amp;row=347&amp;col=15&amp;number=&amp;sourceID=32","")</f>
        <v/>
      </c>
      <c r="P347" s="4" t="str">
        <f>HYPERLINK("http://141.218.60.56/~jnz1568/getInfo.php?workbook=08_02.xlsx&amp;sheet=A0&amp;row=347&amp;col=16&amp;number=5.268e-12&amp;sourceID=32","5.268e-12")</f>
        <v>5.268e-12</v>
      </c>
      <c r="Q347" s="4" t="str">
        <f>HYPERLINK("http://141.218.60.56/~jnz1568/getInfo.php?workbook=08_02.xlsx&amp;sheet=A0&amp;row=347&amp;col=17&amp;number=5.578e-07&amp;sourceID=32","5.578e-07")</f>
        <v>5.578e-07</v>
      </c>
      <c r="R347" s="4" t="str">
        <f>HYPERLINK("http://141.218.60.56/~jnz1568/getInfo.php?workbook=08_02.xlsx&amp;sheet=A0&amp;row=347&amp;col=18&amp;number=&amp;sourceID=32","")</f>
        <v/>
      </c>
      <c r="S347" s="4" t="str">
        <f>HYPERLINK("http://141.218.60.56/~jnz1568/getInfo.php?workbook=08_02.xlsx&amp;sheet=A0&amp;row=347&amp;col=19&amp;number=&amp;sourceID=1","")</f>
        <v/>
      </c>
      <c r="T347" s="4" t="str">
        <f>HYPERLINK("http://141.218.60.56/~jnz1568/getInfo.php?workbook=08_02.xlsx&amp;sheet=A0&amp;row=347&amp;col=20&amp;number=&amp;sourceID=1","")</f>
        <v/>
      </c>
    </row>
    <row r="348" spans="1:20">
      <c r="A348" s="3">
        <v>8</v>
      </c>
      <c r="B348" s="3">
        <v>2</v>
      </c>
      <c r="C348" s="3">
        <v>29</v>
      </c>
      <c r="D348" s="3">
        <v>25</v>
      </c>
      <c r="E348" s="3">
        <f>((1/(INDEX(E0!J$4:J$52,C348,1)-INDEX(E0!J$4:J$52,D348,1))))*100000000</f>
        <v>0</v>
      </c>
      <c r="F348" s="4" t="str">
        <f>HYPERLINK("http://141.218.60.56/~jnz1568/getInfo.php?workbook=08_02.xlsx&amp;sheet=A0&amp;row=348&amp;col=6&amp;number=&amp;sourceID=27","")</f>
        <v/>
      </c>
      <c r="G348" s="4" t="str">
        <f>HYPERLINK("http://141.218.60.56/~jnz1568/getInfo.php?workbook=08_02.xlsx&amp;sheet=A0&amp;row=348&amp;col=7&amp;number=&amp;sourceID=34","")</f>
        <v/>
      </c>
      <c r="H348" s="4" t="str">
        <f>HYPERLINK("http://141.218.60.56/~jnz1568/getInfo.php?workbook=08_02.xlsx&amp;sheet=A0&amp;row=348&amp;col=8&amp;number=&amp;sourceID=34","")</f>
        <v/>
      </c>
      <c r="I348" s="4" t="str">
        <f>HYPERLINK("http://141.218.60.56/~jnz1568/getInfo.php?workbook=08_02.xlsx&amp;sheet=A0&amp;row=348&amp;col=9&amp;number=&amp;sourceID=34","")</f>
        <v/>
      </c>
      <c r="J348" s="4" t="str">
        <f>HYPERLINK("http://141.218.60.56/~jnz1568/getInfo.php?workbook=08_02.xlsx&amp;sheet=A0&amp;row=348&amp;col=10&amp;number=&amp;sourceID=34","")</f>
        <v/>
      </c>
      <c r="K348" s="4" t="str">
        <f>HYPERLINK("http://141.218.60.56/~jnz1568/getInfo.php?workbook=08_02.xlsx&amp;sheet=A0&amp;row=348&amp;col=11&amp;number=&amp;sourceID=30","")</f>
        <v/>
      </c>
      <c r="L348" s="4" t="str">
        <f>HYPERLINK("http://141.218.60.56/~jnz1568/getInfo.php?workbook=08_02.xlsx&amp;sheet=A0&amp;row=348&amp;col=12&amp;number=&amp;sourceID=30","")</f>
        <v/>
      </c>
      <c r="M348" s="4" t="str">
        <f>HYPERLINK("http://141.218.60.56/~jnz1568/getInfo.php?workbook=08_02.xlsx&amp;sheet=A0&amp;row=348&amp;col=13&amp;number=&amp;sourceID=30","")</f>
        <v/>
      </c>
      <c r="N348" s="4" t="str">
        <f>HYPERLINK("http://141.218.60.56/~jnz1568/getInfo.php?workbook=08_02.xlsx&amp;sheet=A0&amp;row=348&amp;col=14&amp;number=0&amp;sourceID=30","0")</f>
        <v>0</v>
      </c>
      <c r="O348" s="4" t="str">
        <f>HYPERLINK("http://141.218.60.56/~jnz1568/getInfo.php?workbook=08_02.xlsx&amp;sheet=A0&amp;row=348&amp;col=15&amp;number=&amp;sourceID=32","")</f>
        <v/>
      </c>
      <c r="P348" s="4" t="str">
        <f>HYPERLINK("http://141.218.60.56/~jnz1568/getInfo.php?workbook=08_02.xlsx&amp;sheet=A0&amp;row=348&amp;col=16&amp;number=&amp;sourceID=32","")</f>
        <v/>
      </c>
      <c r="Q348" s="4" t="str">
        <f>HYPERLINK("http://141.218.60.56/~jnz1568/getInfo.php?workbook=08_02.xlsx&amp;sheet=A0&amp;row=348&amp;col=17&amp;number=&amp;sourceID=32","")</f>
        <v/>
      </c>
      <c r="R348" s="4" t="str">
        <f>HYPERLINK("http://141.218.60.56/~jnz1568/getInfo.php?workbook=08_02.xlsx&amp;sheet=A0&amp;row=348&amp;col=18&amp;number=&amp;sourceID=32","")</f>
        <v/>
      </c>
      <c r="S348" s="4" t="str">
        <f>HYPERLINK("http://141.218.60.56/~jnz1568/getInfo.php?workbook=08_02.xlsx&amp;sheet=A0&amp;row=348&amp;col=19&amp;number=&amp;sourceID=1","")</f>
        <v/>
      </c>
      <c r="T348" s="4" t="str">
        <f>HYPERLINK("http://141.218.60.56/~jnz1568/getInfo.php?workbook=08_02.xlsx&amp;sheet=A0&amp;row=348&amp;col=20&amp;number=&amp;sourceID=1","")</f>
        <v/>
      </c>
    </row>
    <row r="349" spans="1:20">
      <c r="A349" s="3">
        <v>8</v>
      </c>
      <c r="B349" s="3">
        <v>2</v>
      </c>
      <c r="C349" s="3">
        <v>29</v>
      </c>
      <c r="D349" s="3">
        <v>26</v>
      </c>
      <c r="E349" s="3">
        <f>((1/(INDEX(E0!J$4:J$52,C349,1)-INDEX(E0!J$4:J$52,D349,1))))*100000000</f>
        <v>0</v>
      </c>
      <c r="F349" s="4" t="str">
        <f>HYPERLINK("http://141.218.60.56/~jnz1568/getInfo.php?workbook=08_02.xlsx&amp;sheet=A0&amp;row=349&amp;col=6&amp;number=&amp;sourceID=27","")</f>
        <v/>
      </c>
      <c r="G349" s="4" t="str">
        <f>HYPERLINK("http://141.218.60.56/~jnz1568/getInfo.php?workbook=08_02.xlsx&amp;sheet=A0&amp;row=349&amp;col=7&amp;number=&amp;sourceID=34","")</f>
        <v/>
      </c>
      <c r="H349" s="4" t="str">
        <f>HYPERLINK("http://141.218.60.56/~jnz1568/getInfo.php?workbook=08_02.xlsx&amp;sheet=A0&amp;row=349&amp;col=8&amp;number=&amp;sourceID=34","")</f>
        <v/>
      </c>
      <c r="I349" s="4" t="str">
        <f>HYPERLINK("http://141.218.60.56/~jnz1568/getInfo.php?workbook=08_02.xlsx&amp;sheet=A0&amp;row=349&amp;col=9&amp;number=&amp;sourceID=34","")</f>
        <v/>
      </c>
      <c r="J349" s="4" t="str">
        <f>HYPERLINK("http://141.218.60.56/~jnz1568/getInfo.php?workbook=08_02.xlsx&amp;sheet=A0&amp;row=349&amp;col=10&amp;number=&amp;sourceID=34","")</f>
        <v/>
      </c>
      <c r="K349" s="4" t="str">
        <f>HYPERLINK("http://141.218.60.56/~jnz1568/getInfo.php?workbook=08_02.xlsx&amp;sheet=A0&amp;row=349&amp;col=11&amp;number=&amp;sourceID=30","")</f>
        <v/>
      </c>
      <c r="L349" s="4" t="str">
        <f>HYPERLINK("http://141.218.60.56/~jnz1568/getInfo.php?workbook=08_02.xlsx&amp;sheet=A0&amp;row=349&amp;col=12&amp;number=8.685e-12&amp;sourceID=30","8.685e-12")</f>
        <v>8.685e-12</v>
      </c>
      <c r="M349" s="4" t="str">
        <f>HYPERLINK("http://141.218.60.56/~jnz1568/getInfo.php?workbook=08_02.xlsx&amp;sheet=A0&amp;row=349&amp;col=13&amp;number=2.678e-06&amp;sourceID=30","2.678e-06")</f>
        <v>2.678e-06</v>
      </c>
      <c r="N349" s="4" t="str">
        <f>HYPERLINK("http://141.218.60.56/~jnz1568/getInfo.php?workbook=08_02.xlsx&amp;sheet=A0&amp;row=349&amp;col=14&amp;number=&amp;sourceID=30","")</f>
        <v/>
      </c>
      <c r="O349" s="4" t="str">
        <f>HYPERLINK("http://141.218.60.56/~jnz1568/getInfo.php?workbook=08_02.xlsx&amp;sheet=A0&amp;row=349&amp;col=15&amp;number=&amp;sourceID=32","")</f>
        <v/>
      </c>
      <c r="P349" s="4" t="str">
        <f>HYPERLINK("http://141.218.60.56/~jnz1568/getInfo.php?workbook=08_02.xlsx&amp;sheet=A0&amp;row=349&amp;col=16&amp;number=5.321e-12&amp;sourceID=32","5.321e-12")</f>
        <v>5.321e-12</v>
      </c>
      <c r="Q349" s="4" t="str">
        <f>HYPERLINK("http://141.218.60.56/~jnz1568/getInfo.php?workbook=08_02.xlsx&amp;sheet=A0&amp;row=349&amp;col=17&amp;number=2.196e-06&amp;sourceID=32","2.196e-06")</f>
        <v>2.196e-06</v>
      </c>
      <c r="R349" s="4" t="str">
        <f>HYPERLINK("http://141.218.60.56/~jnz1568/getInfo.php?workbook=08_02.xlsx&amp;sheet=A0&amp;row=349&amp;col=18&amp;number=&amp;sourceID=32","")</f>
        <v/>
      </c>
      <c r="S349" s="4" t="str">
        <f>HYPERLINK("http://141.218.60.56/~jnz1568/getInfo.php?workbook=08_02.xlsx&amp;sheet=A0&amp;row=349&amp;col=19&amp;number=&amp;sourceID=1","")</f>
        <v/>
      </c>
      <c r="T349" s="4" t="str">
        <f>HYPERLINK("http://141.218.60.56/~jnz1568/getInfo.php?workbook=08_02.xlsx&amp;sheet=A0&amp;row=349&amp;col=20&amp;number=&amp;sourceID=1","")</f>
        <v/>
      </c>
    </row>
    <row r="350" spans="1:20">
      <c r="A350" s="3">
        <v>8</v>
      </c>
      <c r="B350" s="3">
        <v>2</v>
      </c>
      <c r="C350" s="3">
        <v>29</v>
      </c>
      <c r="D350" s="3">
        <v>27</v>
      </c>
      <c r="E350" s="3">
        <f>((1/(INDEX(E0!J$4:J$52,C350,1)-INDEX(E0!J$4:J$52,D350,1))))*100000000</f>
        <v>0</v>
      </c>
      <c r="F350" s="4" t="str">
        <f>HYPERLINK("http://141.218.60.56/~jnz1568/getInfo.php?workbook=08_02.xlsx&amp;sheet=A0&amp;row=350&amp;col=6&amp;number=&amp;sourceID=27","")</f>
        <v/>
      </c>
      <c r="G350" s="4" t="str">
        <f>HYPERLINK("http://141.218.60.56/~jnz1568/getInfo.php?workbook=08_02.xlsx&amp;sheet=A0&amp;row=350&amp;col=7&amp;number=&amp;sourceID=34","")</f>
        <v/>
      </c>
      <c r="H350" s="4" t="str">
        <f>HYPERLINK("http://141.218.60.56/~jnz1568/getInfo.php?workbook=08_02.xlsx&amp;sheet=A0&amp;row=350&amp;col=8&amp;number=&amp;sourceID=34","")</f>
        <v/>
      </c>
      <c r="I350" s="4" t="str">
        <f>HYPERLINK("http://141.218.60.56/~jnz1568/getInfo.php?workbook=08_02.xlsx&amp;sheet=A0&amp;row=350&amp;col=9&amp;number=&amp;sourceID=34","")</f>
        <v/>
      </c>
      <c r="J350" s="4" t="str">
        <f>HYPERLINK("http://141.218.60.56/~jnz1568/getInfo.php?workbook=08_02.xlsx&amp;sheet=A0&amp;row=350&amp;col=10&amp;number=&amp;sourceID=34","")</f>
        <v/>
      </c>
      <c r="K350" s="4" t="str">
        <f>HYPERLINK("http://141.218.60.56/~jnz1568/getInfo.php?workbook=08_02.xlsx&amp;sheet=A0&amp;row=350&amp;col=11&amp;number=0.7442&amp;sourceID=30","0.7442")</f>
        <v>0.7442</v>
      </c>
      <c r="L350" s="4" t="str">
        <f>HYPERLINK("http://141.218.60.56/~jnz1568/getInfo.php?workbook=08_02.xlsx&amp;sheet=A0&amp;row=350&amp;col=12&amp;number=&amp;sourceID=30","")</f>
        <v/>
      </c>
      <c r="M350" s="4" t="str">
        <f>HYPERLINK("http://141.218.60.56/~jnz1568/getInfo.php?workbook=08_02.xlsx&amp;sheet=A0&amp;row=350&amp;col=13&amp;number=&amp;sourceID=30","")</f>
        <v/>
      </c>
      <c r="N350" s="4" t="str">
        <f>HYPERLINK("http://141.218.60.56/~jnz1568/getInfo.php?workbook=08_02.xlsx&amp;sheet=A0&amp;row=350&amp;col=14&amp;number=0&amp;sourceID=30","0")</f>
        <v>0</v>
      </c>
      <c r="O350" s="4" t="str">
        <f>HYPERLINK("http://141.218.60.56/~jnz1568/getInfo.php?workbook=08_02.xlsx&amp;sheet=A0&amp;row=350&amp;col=15&amp;number=&amp;sourceID=32","")</f>
        <v/>
      </c>
      <c r="P350" s="4" t="str">
        <f>HYPERLINK("http://141.218.60.56/~jnz1568/getInfo.php?workbook=08_02.xlsx&amp;sheet=A0&amp;row=350&amp;col=16&amp;number=&amp;sourceID=32","")</f>
        <v/>
      </c>
      <c r="Q350" s="4" t="str">
        <f>HYPERLINK("http://141.218.60.56/~jnz1568/getInfo.php?workbook=08_02.xlsx&amp;sheet=A0&amp;row=350&amp;col=17&amp;number=&amp;sourceID=32","")</f>
        <v/>
      </c>
      <c r="R350" s="4" t="str">
        <f>HYPERLINK("http://141.218.60.56/~jnz1568/getInfo.php?workbook=08_02.xlsx&amp;sheet=A0&amp;row=350&amp;col=18&amp;number=&amp;sourceID=32","")</f>
        <v/>
      </c>
      <c r="S350" s="4" t="str">
        <f>HYPERLINK("http://141.218.60.56/~jnz1568/getInfo.php?workbook=08_02.xlsx&amp;sheet=A0&amp;row=350&amp;col=19&amp;number=&amp;sourceID=1","")</f>
        <v/>
      </c>
      <c r="T350" s="4" t="str">
        <f>HYPERLINK("http://141.218.60.56/~jnz1568/getInfo.php?workbook=08_02.xlsx&amp;sheet=A0&amp;row=350&amp;col=20&amp;number=&amp;sourceID=1","")</f>
        <v/>
      </c>
    </row>
    <row r="351" spans="1:20">
      <c r="A351" s="3">
        <v>8</v>
      </c>
      <c r="B351" s="3">
        <v>2</v>
      </c>
      <c r="C351" s="3">
        <v>29</v>
      </c>
      <c r="D351" s="3">
        <v>28</v>
      </c>
      <c r="E351" s="3">
        <f>((1/(INDEX(E0!J$4:J$52,C351,1)-INDEX(E0!J$4:J$52,D351,1))))*100000000</f>
        <v>0</v>
      </c>
      <c r="F351" s="4" t="str">
        <f>HYPERLINK("http://141.218.60.56/~jnz1568/getInfo.php?workbook=08_02.xlsx&amp;sheet=A0&amp;row=351&amp;col=6&amp;number=&amp;sourceID=27","")</f>
        <v/>
      </c>
      <c r="G351" s="4" t="str">
        <f>HYPERLINK("http://141.218.60.56/~jnz1568/getInfo.php?workbook=08_02.xlsx&amp;sheet=A0&amp;row=351&amp;col=7&amp;number=&amp;sourceID=34","")</f>
        <v/>
      </c>
      <c r="H351" s="4" t="str">
        <f>HYPERLINK("http://141.218.60.56/~jnz1568/getInfo.php?workbook=08_02.xlsx&amp;sheet=A0&amp;row=351&amp;col=8&amp;number=&amp;sourceID=34","")</f>
        <v/>
      </c>
      <c r="I351" s="4" t="str">
        <f>HYPERLINK("http://141.218.60.56/~jnz1568/getInfo.php?workbook=08_02.xlsx&amp;sheet=A0&amp;row=351&amp;col=9&amp;number=&amp;sourceID=34","")</f>
        <v/>
      </c>
      <c r="J351" s="4" t="str">
        <f>HYPERLINK("http://141.218.60.56/~jnz1568/getInfo.php?workbook=08_02.xlsx&amp;sheet=A0&amp;row=351&amp;col=10&amp;number=&amp;sourceID=34","")</f>
        <v/>
      </c>
      <c r="K351" s="4" t="str">
        <f>HYPERLINK("http://141.218.60.56/~jnz1568/getInfo.php?workbook=08_02.xlsx&amp;sheet=A0&amp;row=351&amp;col=11&amp;number=0.001703&amp;sourceID=30","0.001703")</f>
        <v>0.001703</v>
      </c>
      <c r="L351" s="4" t="str">
        <f>HYPERLINK("http://141.218.60.56/~jnz1568/getInfo.php?workbook=08_02.xlsx&amp;sheet=A0&amp;row=351&amp;col=12&amp;number=&amp;sourceID=30","")</f>
        <v/>
      </c>
      <c r="M351" s="4" t="str">
        <f>HYPERLINK("http://141.218.60.56/~jnz1568/getInfo.php?workbook=08_02.xlsx&amp;sheet=A0&amp;row=351&amp;col=13&amp;number=&amp;sourceID=30","")</f>
        <v/>
      </c>
      <c r="N351" s="4" t="str">
        <f>HYPERLINK("http://141.218.60.56/~jnz1568/getInfo.php?workbook=08_02.xlsx&amp;sheet=A0&amp;row=351&amp;col=14&amp;number=0&amp;sourceID=30","0")</f>
        <v>0</v>
      </c>
      <c r="O351" s="4" t="str">
        <f>HYPERLINK("http://141.218.60.56/~jnz1568/getInfo.php?workbook=08_02.xlsx&amp;sheet=A0&amp;row=351&amp;col=15&amp;number=&amp;sourceID=32","")</f>
        <v/>
      </c>
      <c r="P351" s="4" t="str">
        <f>HYPERLINK("http://141.218.60.56/~jnz1568/getInfo.php?workbook=08_02.xlsx&amp;sheet=A0&amp;row=351&amp;col=16&amp;number=&amp;sourceID=32","")</f>
        <v/>
      </c>
      <c r="Q351" s="4" t="str">
        <f>HYPERLINK("http://141.218.60.56/~jnz1568/getInfo.php?workbook=08_02.xlsx&amp;sheet=A0&amp;row=351&amp;col=17&amp;number=&amp;sourceID=32","")</f>
        <v/>
      </c>
      <c r="R351" s="4" t="str">
        <f>HYPERLINK("http://141.218.60.56/~jnz1568/getInfo.php?workbook=08_02.xlsx&amp;sheet=A0&amp;row=351&amp;col=18&amp;number=&amp;sourceID=32","")</f>
        <v/>
      </c>
      <c r="S351" s="4" t="str">
        <f>HYPERLINK("http://141.218.60.56/~jnz1568/getInfo.php?workbook=08_02.xlsx&amp;sheet=A0&amp;row=351&amp;col=19&amp;number=&amp;sourceID=1","")</f>
        <v/>
      </c>
      <c r="T351" s="4" t="str">
        <f>HYPERLINK("http://141.218.60.56/~jnz1568/getInfo.php?workbook=08_02.xlsx&amp;sheet=A0&amp;row=351&amp;col=20&amp;number=&amp;sourceID=1","")</f>
        <v/>
      </c>
    </row>
    <row r="352" spans="1:20">
      <c r="A352" s="3">
        <v>8</v>
      </c>
      <c r="B352" s="3">
        <v>2</v>
      </c>
      <c r="C352" s="3">
        <v>29</v>
      </c>
      <c r="D352" s="3">
        <v>30</v>
      </c>
      <c r="E352" s="3">
        <f>((1/(INDEX(E0!J$4:J$52,C352,1)-INDEX(E0!J$4:J$52,D352,1))))*100000000</f>
        <v>0</v>
      </c>
      <c r="F352" s="4" t="str">
        <f>HYPERLINK("http://141.218.60.56/~jnz1568/getInfo.php?workbook=08_02.xlsx&amp;sheet=A0&amp;row=352&amp;col=6&amp;number=&amp;sourceID=27","")</f>
        <v/>
      </c>
      <c r="G352" s="4" t="str">
        <f>HYPERLINK("http://141.218.60.56/~jnz1568/getInfo.php?workbook=08_02.xlsx&amp;sheet=A0&amp;row=352&amp;col=7&amp;number=&amp;sourceID=34","")</f>
        <v/>
      </c>
      <c r="H352" s="4" t="str">
        <f>HYPERLINK("http://141.218.60.56/~jnz1568/getInfo.php?workbook=08_02.xlsx&amp;sheet=A0&amp;row=352&amp;col=8&amp;number=&amp;sourceID=34","")</f>
        <v/>
      </c>
      <c r="I352" s="4" t="str">
        <f>HYPERLINK("http://141.218.60.56/~jnz1568/getInfo.php?workbook=08_02.xlsx&amp;sheet=A0&amp;row=352&amp;col=9&amp;number=&amp;sourceID=34","")</f>
        <v/>
      </c>
      <c r="J352" s="4" t="str">
        <f>HYPERLINK("http://141.218.60.56/~jnz1568/getInfo.php?workbook=08_02.xlsx&amp;sheet=A0&amp;row=352&amp;col=10&amp;number=&amp;sourceID=34","")</f>
        <v/>
      </c>
      <c r="K352" s="4" t="str">
        <f>HYPERLINK("http://141.218.60.56/~jnz1568/getInfo.php?workbook=08_02.xlsx&amp;sheet=A0&amp;row=352&amp;col=11&amp;number=0.5141&amp;sourceID=30","0.5141")</f>
        <v>0.5141</v>
      </c>
      <c r="L352" s="4" t="str">
        <f>HYPERLINK("http://141.218.60.56/~jnz1568/getInfo.php?workbook=08_02.xlsx&amp;sheet=A0&amp;row=352&amp;col=12&amp;number=&amp;sourceID=30","")</f>
        <v/>
      </c>
      <c r="M352" s="4" t="str">
        <f>HYPERLINK("http://141.218.60.56/~jnz1568/getInfo.php?workbook=08_02.xlsx&amp;sheet=A0&amp;row=352&amp;col=13&amp;number=&amp;sourceID=30","")</f>
        <v/>
      </c>
      <c r="N352" s="4" t="str">
        <f>HYPERLINK("http://141.218.60.56/~jnz1568/getInfo.php?workbook=08_02.xlsx&amp;sheet=A0&amp;row=352&amp;col=14&amp;number=0&amp;sourceID=30","0")</f>
        <v>0</v>
      </c>
      <c r="O352" s="4" t="str">
        <f>HYPERLINK("http://141.218.60.56/~jnz1568/getInfo.php?workbook=08_02.xlsx&amp;sheet=A0&amp;row=352&amp;col=15&amp;number=&amp;sourceID=32","")</f>
        <v/>
      </c>
      <c r="P352" s="4" t="str">
        <f>HYPERLINK("http://141.218.60.56/~jnz1568/getInfo.php?workbook=08_02.xlsx&amp;sheet=A0&amp;row=352&amp;col=16&amp;number=&amp;sourceID=32","")</f>
        <v/>
      </c>
      <c r="Q352" s="4" t="str">
        <f>HYPERLINK("http://141.218.60.56/~jnz1568/getInfo.php?workbook=08_02.xlsx&amp;sheet=A0&amp;row=352&amp;col=17&amp;number=&amp;sourceID=32","")</f>
        <v/>
      </c>
      <c r="R352" s="4" t="str">
        <f>HYPERLINK("http://141.218.60.56/~jnz1568/getInfo.php?workbook=08_02.xlsx&amp;sheet=A0&amp;row=352&amp;col=18&amp;number=&amp;sourceID=32","")</f>
        <v/>
      </c>
      <c r="S352" s="4" t="str">
        <f>HYPERLINK("http://141.218.60.56/~jnz1568/getInfo.php?workbook=08_02.xlsx&amp;sheet=A0&amp;row=352&amp;col=19&amp;number=&amp;sourceID=1","")</f>
        <v/>
      </c>
      <c r="T352" s="4" t="str">
        <f>HYPERLINK("http://141.218.60.56/~jnz1568/getInfo.php?workbook=08_02.xlsx&amp;sheet=A0&amp;row=352&amp;col=20&amp;number=&amp;sourceID=1","")</f>
        <v/>
      </c>
    </row>
    <row r="353" spans="1:20">
      <c r="A353" s="3">
        <v>8</v>
      </c>
      <c r="B353" s="3">
        <v>2</v>
      </c>
      <c r="C353" s="3">
        <v>30</v>
      </c>
      <c r="D353" s="3">
        <v>2</v>
      </c>
      <c r="E353" s="3">
        <f>((1/(INDEX(E0!J$4:J$52,C353,1)-INDEX(E0!J$4:J$52,D353,1))))*100000000</f>
        <v>0</v>
      </c>
      <c r="F353" s="4" t="str">
        <f>HYPERLINK("http://141.218.60.56/~jnz1568/getInfo.php?workbook=08_02.xlsx&amp;sheet=A0&amp;row=353&amp;col=6&amp;number=&amp;sourceID=27","")</f>
        <v/>
      </c>
      <c r="G353" s="4" t="str">
        <f>HYPERLINK("http://141.218.60.56/~jnz1568/getInfo.php?workbook=08_02.xlsx&amp;sheet=A0&amp;row=353&amp;col=7&amp;number=&amp;sourceID=34","")</f>
        <v/>
      </c>
      <c r="H353" s="4" t="str">
        <f>HYPERLINK("http://141.218.60.56/~jnz1568/getInfo.php?workbook=08_02.xlsx&amp;sheet=A0&amp;row=353&amp;col=8&amp;number=&amp;sourceID=34","")</f>
        <v/>
      </c>
      <c r="I353" s="4" t="str">
        <f>HYPERLINK("http://141.218.60.56/~jnz1568/getInfo.php?workbook=08_02.xlsx&amp;sheet=A0&amp;row=353&amp;col=9&amp;number=&amp;sourceID=34","")</f>
        <v/>
      </c>
      <c r="J353" s="4" t="str">
        <f>HYPERLINK("http://141.218.60.56/~jnz1568/getInfo.php?workbook=08_02.xlsx&amp;sheet=A0&amp;row=353&amp;col=10&amp;number=&amp;sourceID=34","")</f>
        <v/>
      </c>
      <c r="K353" s="4" t="str">
        <f>HYPERLINK("http://141.218.60.56/~jnz1568/getInfo.php?workbook=08_02.xlsx&amp;sheet=A0&amp;row=353&amp;col=11&amp;number=&amp;sourceID=30","")</f>
        <v/>
      </c>
      <c r="L353" s="4" t="str">
        <f>HYPERLINK("http://141.218.60.56/~jnz1568/getInfo.php?workbook=08_02.xlsx&amp;sheet=A0&amp;row=353&amp;col=12&amp;number=&amp;sourceID=30","")</f>
        <v/>
      </c>
      <c r="M353" s="4" t="str">
        <f>HYPERLINK("http://141.218.60.56/~jnz1568/getInfo.php?workbook=08_02.xlsx&amp;sheet=A0&amp;row=353&amp;col=13&amp;number=&amp;sourceID=30","")</f>
        <v/>
      </c>
      <c r="N353" s="4" t="str">
        <f>HYPERLINK("http://141.218.60.56/~jnz1568/getInfo.php?workbook=08_02.xlsx&amp;sheet=A0&amp;row=353&amp;col=14&amp;number=1.709e-07&amp;sourceID=30","1.709e-07")</f>
        <v>1.709e-07</v>
      </c>
      <c r="O353" s="4" t="str">
        <f>HYPERLINK("http://141.218.60.56/~jnz1568/getInfo.php?workbook=08_02.xlsx&amp;sheet=A0&amp;row=353&amp;col=15&amp;number=&amp;sourceID=32","")</f>
        <v/>
      </c>
      <c r="P353" s="4" t="str">
        <f>HYPERLINK("http://141.218.60.56/~jnz1568/getInfo.php?workbook=08_02.xlsx&amp;sheet=A0&amp;row=353&amp;col=16&amp;number=&amp;sourceID=32","")</f>
        <v/>
      </c>
      <c r="Q353" s="4" t="str">
        <f>HYPERLINK("http://141.218.60.56/~jnz1568/getInfo.php?workbook=08_02.xlsx&amp;sheet=A0&amp;row=353&amp;col=17&amp;number=&amp;sourceID=32","")</f>
        <v/>
      </c>
      <c r="R353" s="4" t="str">
        <f>HYPERLINK("http://141.218.60.56/~jnz1568/getInfo.php?workbook=08_02.xlsx&amp;sheet=A0&amp;row=353&amp;col=18&amp;number=2.25e-07&amp;sourceID=32","2.25e-07")</f>
        <v>2.25e-07</v>
      </c>
      <c r="S353" s="4" t="str">
        <f>HYPERLINK("http://141.218.60.56/~jnz1568/getInfo.php?workbook=08_02.xlsx&amp;sheet=A0&amp;row=353&amp;col=19&amp;number=&amp;sourceID=1","")</f>
        <v/>
      </c>
      <c r="T353" s="4" t="str">
        <f>HYPERLINK("http://141.218.60.56/~jnz1568/getInfo.php?workbook=08_02.xlsx&amp;sheet=A0&amp;row=353&amp;col=20&amp;number=&amp;sourceID=1","")</f>
        <v/>
      </c>
    </row>
    <row r="354" spans="1:20">
      <c r="A354" s="3">
        <v>8</v>
      </c>
      <c r="B354" s="3">
        <v>2</v>
      </c>
      <c r="C354" s="3">
        <v>30</v>
      </c>
      <c r="D354" s="3">
        <v>4</v>
      </c>
      <c r="E354" s="3">
        <f>((1/(INDEX(E0!J$4:J$52,C354,1)-INDEX(E0!J$4:J$52,D354,1))))*100000000</f>
        <v>0</v>
      </c>
      <c r="F354" s="4" t="str">
        <f>HYPERLINK("http://141.218.60.56/~jnz1568/getInfo.php?workbook=08_02.xlsx&amp;sheet=A0&amp;row=354&amp;col=6&amp;number=&amp;sourceID=27","")</f>
        <v/>
      </c>
      <c r="G354" s="4" t="str">
        <f>HYPERLINK("http://141.218.60.56/~jnz1568/getInfo.php?workbook=08_02.xlsx&amp;sheet=A0&amp;row=354&amp;col=7&amp;number=&amp;sourceID=34","")</f>
        <v/>
      </c>
      <c r="H354" s="4" t="str">
        <f>HYPERLINK("http://141.218.60.56/~jnz1568/getInfo.php?workbook=08_02.xlsx&amp;sheet=A0&amp;row=354&amp;col=8&amp;number=&amp;sourceID=34","")</f>
        <v/>
      </c>
      <c r="I354" s="4" t="str">
        <f>HYPERLINK("http://141.218.60.56/~jnz1568/getInfo.php?workbook=08_02.xlsx&amp;sheet=A0&amp;row=354&amp;col=9&amp;number=&amp;sourceID=34","")</f>
        <v/>
      </c>
      <c r="J354" s="4" t="str">
        <f>HYPERLINK("http://141.218.60.56/~jnz1568/getInfo.php?workbook=08_02.xlsx&amp;sheet=A0&amp;row=354&amp;col=10&amp;number=&amp;sourceID=34","")</f>
        <v/>
      </c>
      <c r="K354" s="4" t="str">
        <f>HYPERLINK("http://141.218.60.56/~jnz1568/getInfo.php?workbook=08_02.xlsx&amp;sheet=A0&amp;row=354&amp;col=11&amp;number=&amp;sourceID=30","")</f>
        <v/>
      </c>
      <c r="L354" s="4" t="str">
        <f>HYPERLINK("http://141.218.60.56/~jnz1568/getInfo.php?workbook=08_02.xlsx&amp;sheet=A0&amp;row=354&amp;col=12&amp;number=1820000&amp;sourceID=30","1820000")</f>
        <v>1820000</v>
      </c>
      <c r="M354" s="4" t="str">
        <f>HYPERLINK("http://141.218.60.56/~jnz1568/getInfo.php?workbook=08_02.xlsx&amp;sheet=A0&amp;row=354&amp;col=13&amp;number=&amp;sourceID=30","")</f>
        <v/>
      </c>
      <c r="N354" s="4" t="str">
        <f>HYPERLINK("http://141.218.60.56/~jnz1568/getInfo.php?workbook=08_02.xlsx&amp;sheet=A0&amp;row=354&amp;col=14&amp;number=&amp;sourceID=30","")</f>
        <v/>
      </c>
      <c r="O354" s="4" t="str">
        <f>HYPERLINK("http://141.218.60.56/~jnz1568/getInfo.php?workbook=08_02.xlsx&amp;sheet=A0&amp;row=354&amp;col=15&amp;number=&amp;sourceID=32","")</f>
        <v/>
      </c>
      <c r="P354" s="4" t="str">
        <f>HYPERLINK("http://141.218.60.56/~jnz1568/getInfo.php?workbook=08_02.xlsx&amp;sheet=A0&amp;row=354&amp;col=16&amp;number=1842000&amp;sourceID=32","1842000")</f>
        <v>1842000</v>
      </c>
      <c r="Q354" s="4" t="str">
        <f>HYPERLINK("http://141.218.60.56/~jnz1568/getInfo.php?workbook=08_02.xlsx&amp;sheet=A0&amp;row=354&amp;col=17&amp;number=&amp;sourceID=32","")</f>
        <v/>
      </c>
      <c r="R354" s="4" t="str">
        <f>HYPERLINK("http://141.218.60.56/~jnz1568/getInfo.php?workbook=08_02.xlsx&amp;sheet=A0&amp;row=354&amp;col=18&amp;number=&amp;sourceID=32","")</f>
        <v/>
      </c>
      <c r="S354" s="4" t="str">
        <f>HYPERLINK("http://141.218.60.56/~jnz1568/getInfo.php?workbook=08_02.xlsx&amp;sheet=A0&amp;row=354&amp;col=19&amp;number=&amp;sourceID=1","")</f>
        <v/>
      </c>
      <c r="T354" s="4" t="str">
        <f>HYPERLINK("http://141.218.60.56/~jnz1568/getInfo.php?workbook=08_02.xlsx&amp;sheet=A0&amp;row=354&amp;col=20&amp;number=&amp;sourceID=1","")</f>
        <v/>
      </c>
    </row>
    <row r="355" spans="1:20">
      <c r="A355" s="3">
        <v>8</v>
      </c>
      <c r="B355" s="3">
        <v>2</v>
      </c>
      <c r="C355" s="3">
        <v>30</v>
      </c>
      <c r="D355" s="3">
        <v>5</v>
      </c>
      <c r="E355" s="3">
        <f>((1/(INDEX(E0!J$4:J$52,C355,1)-INDEX(E0!J$4:J$52,D355,1))))*100000000</f>
        <v>0</v>
      </c>
      <c r="F355" s="4" t="str">
        <f>HYPERLINK("http://141.218.60.56/~jnz1568/getInfo.php?workbook=08_02.xlsx&amp;sheet=A0&amp;row=355&amp;col=6&amp;number=&amp;sourceID=27","")</f>
        <v/>
      </c>
      <c r="G355" s="4" t="str">
        <f>HYPERLINK("http://141.218.60.56/~jnz1568/getInfo.php?workbook=08_02.xlsx&amp;sheet=A0&amp;row=355&amp;col=7&amp;number=&amp;sourceID=34","")</f>
        <v/>
      </c>
      <c r="H355" s="4" t="str">
        <f>HYPERLINK("http://141.218.60.56/~jnz1568/getInfo.php?workbook=08_02.xlsx&amp;sheet=A0&amp;row=355&amp;col=8&amp;number=&amp;sourceID=34","")</f>
        <v/>
      </c>
      <c r="I355" s="4" t="str">
        <f>HYPERLINK("http://141.218.60.56/~jnz1568/getInfo.php?workbook=08_02.xlsx&amp;sheet=A0&amp;row=355&amp;col=9&amp;number=&amp;sourceID=34","")</f>
        <v/>
      </c>
      <c r="J355" s="4" t="str">
        <f>HYPERLINK("http://141.218.60.56/~jnz1568/getInfo.php?workbook=08_02.xlsx&amp;sheet=A0&amp;row=355&amp;col=10&amp;number=&amp;sourceID=34","")</f>
        <v/>
      </c>
      <c r="K355" s="4" t="str">
        <f>HYPERLINK("http://141.218.60.56/~jnz1568/getInfo.php?workbook=08_02.xlsx&amp;sheet=A0&amp;row=355&amp;col=11&amp;number=&amp;sourceID=30","")</f>
        <v/>
      </c>
      <c r="L355" s="4" t="str">
        <f>HYPERLINK("http://141.218.60.56/~jnz1568/getInfo.php?workbook=08_02.xlsx&amp;sheet=A0&amp;row=355&amp;col=12&amp;number=944800&amp;sourceID=30","944800")</f>
        <v>944800</v>
      </c>
      <c r="M355" s="4" t="str">
        <f>HYPERLINK("http://141.218.60.56/~jnz1568/getInfo.php?workbook=08_02.xlsx&amp;sheet=A0&amp;row=355&amp;col=13&amp;number=0.0001431&amp;sourceID=30","0.0001431")</f>
        <v>0.0001431</v>
      </c>
      <c r="N355" s="4" t="str">
        <f>HYPERLINK("http://141.218.60.56/~jnz1568/getInfo.php?workbook=08_02.xlsx&amp;sheet=A0&amp;row=355&amp;col=14&amp;number=&amp;sourceID=30","")</f>
        <v/>
      </c>
      <c r="O355" s="4" t="str">
        <f>HYPERLINK("http://141.218.60.56/~jnz1568/getInfo.php?workbook=08_02.xlsx&amp;sheet=A0&amp;row=355&amp;col=15&amp;number=&amp;sourceID=32","")</f>
        <v/>
      </c>
      <c r="P355" s="4" t="str">
        <f>HYPERLINK("http://141.218.60.56/~jnz1568/getInfo.php?workbook=08_02.xlsx&amp;sheet=A0&amp;row=355&amp;col=16&amp;number=957000&amp;sourceID=32","957000")</f>
        <v>957000</v>
      </c>
      <c r="Q355" s="4" t="str">
        <f>HYPERLINK("http://141.218.60.56/~jnz1568/getInfo.php?workbook=08_02.xlsx&amp;sheet=A0&amp;row=355&amp;col=17&amp;number=0.0001488&amp;sourceID=32","0.0001488")</f>
        <v>0.0001488</v>
      </c>
      <c r="R355" s="4" t="str">
        <f>HYPERLINK("http://141.218.60.56/~jnz1568/getInfo.php?workbook=08_02.xlsx&amp;sheet=A0&amp;row=355&amp;col=18&amp;number=&amp;sourceID=32","")</f>
        <v/>
      </c>
      <c r="S355" s="4" t="str">
        <f>HYPERLINK("http://141.218.60.56/~jnz1568/getInfo.php?workbook=08_02.xlsx&amp;sheet=A0&amp;row=355&amp;col=19&amp;number=&amp;sourceID=1","")</f>
        <v/>
      </c>
      <c r="T355" s="4" t="str">
        <f>HYPERLINK("http://141.218.60.56/~jnz1568/getInfo.php?workbook=08_02.xlsx&amp;sheet=A0&amp;row=355&amp;col=20&amp;number=&amp;sourceID=1","")</f>
        <v/>
      </c>
    </row>
    <row r="356" spans="1:20">
      <c r="A356" s="3">
        <v>8</v>
      </c>
      <c r="B356" s="3">
        <v>2</v>
      </c>
      <c r="C356" s="3">
        <v>30</v>
      </c>
      <c r="D356" s="3">
        <v>7</v>
      </c>
      <c r="E356" s="3">
        <f>((1/(INDEX(E0!J$4:J$52,C356,1)-INDEX(E0!J$4:J$52,D356,1))))*100000000</f>
        <v>0</v>
      </c>
      <c r="F356" s="4" t="str">
        <f>HYPERLINK("http://141.218.60.56/~jnz1568/getInfo.php?workbook=08_02.xlsx&amp;sheet=A0&amp;row=356&amp;col=6&amp;number=&amp;sourceID=27","")</f>
        <v/>
      </c>
      <c r="G356" s="4" t="str">
        <f>HYPERLINK("http://141.218.60.56/~jnz1568/getInfo.php?workbook=08_02.xlsx&amp;sheet=A0&amp;row=356&amp;col=7&amp;number=&amp;sourceID=34","")</f>
        <v/>
      </c>
      <c r="H356" s="4" t="str">
        <f>HYPERLINK("http://141.218.60.56/~jnz1568/getInfo.php?workbook=08_02.xlsx&amp;sheet=A0&amp;row=356&amp;col=8&amp;number=4841000&amp;sourceID=34","4841000")</f>
        <v>4841000</v>
      </c>
      <c r="I356" s="4" t="str">
        <f>HYPERLINK("http://141.218.60.56/~jnz1568/getInfo.php?workbook=08_02.xlsx&amp;sheet=A0&amp;row=356&amp;col=9&amp;number=&amp;sourceID=34","")</f>
        <v/>
      </c>
      <c r="J356" s="4" t="str">
        <f>HYPERLINK("http://141.218.60.56/~jnz1568/getInfo.php?workbook=08_02.xlsx&amp;sheet=A0&amp;row=356&amp;col=10&amp;number=&amp;sourceID=34","")</f>
        <v/>
      </c>
      <c r="K356" s="4" t="str">
        <f>HYPERLINK("http://141.218.60.56/~jnz1568/getInfo.php?workbook=08_02.xlsx&amp;sheet=A0&amp;row=356&amp;col=11&amp;number=&amp;sourceID=30","")</f>
        <v/>
      </c>
      <c r="L356" s="4" t="str">
        <f>HYPERLINK("http://141.218.60.56/~jnz1568/getInfo.php?workbook=08_02.xlsx&amp;sheet=A0&amp;row=356&amp;col=12&amp;number=4404000&amp;sourceID=30","4404000")</f>
        <v>4404000</v>
      </c>
      <c r="M356" s="4" t="str">
        <f>HYPERLINK("http://141.218.60.56/~jnz1568/getInfo.php?workbook=08_02.xlsx&amp;sheet=A0&amp;row=356&amp;col=13&amp;number=&amp;sourceID=30","")</f>
        <v/>
      </c>
      <c r="N356" s="4" t="str">
        <f>HYPERLINK("http://141.218.60.56/~jnz1568/getInfo.php?workbook=08_02.xlsx&amp;sheet=A0&amp;row=356&amp;col=14&amp;number=&amp;sourceID=30","")</f>
        <v/>
      </c>
      <c r="O356" s="4" t="str">
        <f>HYPERLINK("http://141.218.60.56/~jnz1568/getInfo.php?workbook=08_02.xlsx&amp;sheet=A0&amp;row=356&amp;col=15&amp;number=&amp;sourceID=32","")</f>
        <v/>
      </c>
      <c r="P356" s="4" t="str">
        <f>HYPERLINK("http://141.218.60.56/~jnz1568/getInfo.php?workbook=08_02.xlsx&amp;sheet=A0&amp;row=356&amp;col=16&amp;number=4471000&amp;sourceID=32","4471000")</f>
        <v>4471000</v>
      </c>
      <c r="Q356" s="4" t="str">
        <f>HYPERLINK("http://141.218.60.56/~jnz1568/getInfo.php?workbook=08_02.xlsx&amp;sheet=A0&amp;row=356&amp;col=17&amp;number=&amp;sourceID=32","")</f>
        <v/>
      </c>
      <c r="R356" s="4" t="str">
        <f>HYPERLINK("http://141.218.60.56/~jnz1568/getInfo.php?workbook=08_02.xlsx&amp;sheet=A0&amp;row=356&amp;col=18&amp;number=&amp;sourceID=32","")</f>
        <v/>
      </c>
      <c r="S356" s="4" t="str">
        <f>HYPERLINK("http://141.218.60.56/~jnz1568/getInfo.php?workbook=08_02.xlsx&amp;sheet=A0&amp;row=356&amp;col=19&amp;number=&amp;sourceID=1","")</f>
        <v/>
      </c>
      <c r="T356" s="4" t="str">
        <f>HYPERLINK("http://141.218.60.56/~jnz1568/getInfo.php?workbook=08_02.xlsx&amp;sheet=A0&amp;row=356&amp;col=20&amp;number=&amp;sourceID=1","")</f>
        <v/>
      </c>
    </row>
    <row r="357" spans="1:20">
      <c r="A357" s="3">
        <v>8</v>
      </c>
      <c r="B357" s="3">
        <v>2</v>
      </c>
      <c r="C357" s="3">
        <v>30</v>
      </c>
      <c r="D357" s="3">
        <v>8</v>
      </c>
      <c r="E357" s="3">
        <f>((1/(INDEX(E0!J$4:J$52,C357,1)-INDEX(E0!J$4:J$52,D357,1))))*100000000</f>
        <v>0</v>
      </c>
      <c r="F357" s="4" t="str">
        <f>HYPERLINK("http://141.218.60.56/~jnz1568/getInfo.php?workbook=08_02.xlsx&amp;sheet=A0&amp;row=357&amp;col=6&amp;number=&amp;sourceID=27","")</f>
        <v/>
      </c>
      <c r="G357" s="4" t="str">
        <f>HYPERLINK("http://141.218.60.56/~jnz1568/getInfo.php?workbook=08_02.xlsx&amp;sheet=A0&amp;row=357&amp;col=7&amp;number=&amp;sourceID=34","")</f>
        <v/>
      </c>
      <c r="H357" s="4" t="str">
        <f>HYPERLINK("http://141.218.60.56/~jnz1568/getInfo.php?workbook=08_02.xlsx&amp;sheet=A0&amp;row=357&amp;col=8&amp;number=&amp;sourceID=34","")</f>
        <v/>
      </c>
      <c r="I357" s="4" t="str">
        <f>HYPERLINK("http://141.218.60.56/~jnz1568/getInfo.php?workbook=08_02.xlsx&amp;sheet=A0&amp;row=357&amp;col=9&amp;number=&amp;sourceID=34","")</f>
        <v/>
      </c>
      <c r="J357" s="4" t="str">
        <f>HYPERLINK("http://141.218.60.56/~jnz1568/getInfo.php?workbook=08_02.xlsx&amp;sheet=A0&amp;row=357&amp;col=10&amp;number=&amp;sourceID=34","")</f>
        <v/>
      </c>
      <c r="K357" s="4" t="str">
        <f>HYPERLINK("http://141.218.60.56/~jnz1568/getInfo.php?workbook=08_02.xlsx&amp;sheet=A0&amp;row=357&amp;col=11&amp;number=&amp;sourceID=30","")</f>
        <v/>
      </c>
      <c r="L357" s="4" t="str">
        <f>HYPERLINK("http://141.218.60.56/~jnz1568/getInfo.php?workbook=08_02.xlsx&amp;sheet=A0&amp;row=357&amp;col=12&amp;number=&amp;sourceID=30","")</f>
        <v/>
      </c>
      <c r="M357" s="4" t="str">
        <f>HYPERLINK("http://141.218.60.56/~jnz1568/getInfo.php?workbook=08_02.xlsx&amp;sheet=A0&amp;row=357&amp;col=13&amp;number=&amp;sourceID=30","")</f>
        <v/>
      </c>
      <c r="N357" s="4" t="str">
        <f>HYPERLINK("http://141.218.60.56/~jnz1568/getInfo.php?workbook=08_02.xlsx&amp;sheet=A0&amp;row=357&amp;col=14&amp;number=1.487e-07&amp;sourceID=30","1.487e-07")</f>
        <v>1.487e-07</v>
      </c>
      <c r="O357" s="4" t="str">
        <f>HYPERLINK("http://141.218.60.56/~jnz1568/getInfo.php?workbook=08_02.xlsx&amp;sheet=A0&amp;row=357&amp;col=15&amp;number=&amp;sourceID=32","")</f>
        <v/>
      </c>
      <c r="P357" s="4" t="str">
        <f>HYPERLINK("http://141.218.60.56/~jnz1568/getInfo.php?workbook=08_02.xlsx&amp;sheet=A0&amp;row=357&amp;col=16&amp;number=&amp;sourceID=32","")</f>
        <v/>
      </c>
      <c r="Q357" s="4" t="str">
        <f>HYPERLINK("http://141.218.60.56/~jnz1568/getInfo.php?workbook=08_02.xlsx&amp;sheet=A0&amp;row=357&amp;col=17&amp;number=&amp;sourceID=32","")</f>
        <v/>
      </c>
      <c r="R357" s="4" t="str">
        <f>HYPERLINK("http://141.218.60.56/~jnz1568/getInfo.php?workbook=08_02.xlsx&amp;sheet=A0&amp;row=357&amp;col=18&amp;number=1.511e-07&amp;sourceID=32","1.511e-07")</f>
        <v>1.511e-07</v>
      </c>
      <c r="S357" s="4" t="str">
        <f>HYPERLINK("http://141.218.60.56/~jnz1568/getInfo.php?workbook=08_02.xlsx&amp;sheet=A0&amp;row=357&amp;col=19&amp;number=&amp;sourceID=1","")</f>
        <v/>
      </c>
      <c r="T357" s="4" t="str">
        <f>HYPERLINK("http://141.218.60.56/~jnz1568/getInfo.php?workbook=08_02.xlsx&amp;sheet=A0&amp;row=357&amp;col=20&amp;number=&amp;sourceID=1","")</f>
        <v/>
      </c>
    </row>
    <row r="358" spans="1:20">
      <c r="A358" s="3">
        <v>8</v>
      </c>
      <c r="B358" s="3">
        <v>2</v>
      </c>
      <c r="C358" s="3">
        <v>30</v>
      </c>
      <c r="D358" s="3">
        <v>10</v>
      </c>
      <c r="E358" s="3">
        <f>((1/(INDEX(E0!J$4:J$52,C358,1)-INDEX(E0!J$4:J$52,D358,1))))*100000000</f>
        <v>0</v>
      </c>
      <c r="F358" s="4" t="str">
        <f>HYPERLINK("http://141.218.60.56/~jnz1568/getInfo.php?workbook=08_02.xlsx&amp;sheet=A0&amp;row=358&amp;col=6&amp;number=&amp;sourceID=27","")</f>
        <v/>
      </c>
      <c r="G358" s="4" t="str">
        <f>HYPERLINK("http://141.218.60.56/~jnz1568/getInfo.php?workbook=08_02.xlsx&amp;sheet=A0&amp;row=358&amp;col=7&amp;number=&amp;sourceID=34","")</f>
        <v/>
      </c>
      <c r="H358" s="4" t="str">
        <f>HYPERLINK("http://141.218.60.56/~jnz1568/getInfo.php?workbook=08_02.xlsx&amp;sheet=A0&amp;row=358&amp;col=8&amp;number=&amp;sourceID=34","")</f>
        <v/>
      </c>
      <c r="I358" s="4" t="str">
        <f>HYPERLINK("http://141.218.60.56/~jnz1568/getInfo.php?workbook=08_02.xlsx&amp;sheet=A0&amp;row=358&amp;col=9&amp;number=&amp;sourceID=34","")</f>
        <v/>
      </c>
      <c r="J358" s="4" t="str">
        <f>HYPERLINK("http://141.218.60.56/~jnz1568/getInfo.php?workbook=08_02.xlsx&amp;sheet=A0&amp;row=358&amp;col=10&amp;number=&amp;sourceID=34","")</f>
        <v/>
      </c>
      <c r="K358" s="4" t="str">
        <f>HYPERLINK("http://141.218.60.56/~jnz1568/getInfo.php?workbook=08_02.xlsx&amp;sheet=A0&amp;row=358&amp;col=11&amp;number=&amp;sourceID=30","")</f>
        <v/>
      </c>
      <c r="L358" s="4" t="str">
        <f>HYPERLINK("http://141.218.60.56/~jnz1568/getInfo.php?workbook=08_02.xlsx&amp;sheet=A0&amp;row=358&amp;col=12&amp;number=187500&amp;sourceID=30","187500")</f>
        <v>187500</v>
      </c>
      <c r="M358" s="4" t="str">
        <f>HYPERLINK("http://141.218.60.56/~jnz1568/getInfo.php?workbook=08_02.xlsx&amp;sheet=A0&amp;row=358&amp;col=13&amp;number=&amp;sourceID=30","")</f>
        <v/>
      </c>
      <c r="N358" s="4" t="str">
        <f>HYPERLINK("http://141.218.60.56/~jnz1568/getInfo.php?workbook=08_02.xlsx&amp;sheet=A0&amp;row=358&amp;col=14&amp;number=&amp;sourceID=30","")</f>
        <v/>
      </c>
      <c r="O358" s="4" t="str">
        <f>HYPERLINK("http://141.218.60.56/~jnz1568/getInfo.php?workbook=08_02.xlsx&amp;sheet=A0&amp;row=358&amp;col=15&amp;number=&amp;sourceID=32","")</f>
        <v/>
      </c>
      <c r="P358" s="4" t="str">
        <f>HYPERLINK("http://141.218.60.56/~jnz1568/getInfo.php?workbook=08_02.xlsx&amp;sheet=A0&amp;row=358&amp;col=16&amp;number=192500&amp;sourceID=32","192500")</f>
        <v>192500</v>
      </c>
      <c r="Q358" s="4" t="str">
        <f>HYPERLINK("http://141.218.60.56/~jnz1568/getInfo.php?workbook=08_02.xlsx&amp;sheet=A0&amp;row=358&amp;col=17&amp;number=&amp;sourceID=32","")</f>
        <v/>
      </c>
      <c r="R358" s="4" t="str">
        <f>HYPERLINK("http://141.218.60.56/~jnz1568/getInfo.php?workbook=08_02.xlsx&amp;sheet=A0&amp;row=358&amp;col=18&amp;number=&amp;sourceID=32","")</f>
        <v/>
      </c>
      <c r="S358" s="4" t="str">
        <f>HYPERLINK("http://141.218.60.56/~jnz1568/getInfo.php?workbook=08_02.xlsx&amp;sheet=A0&amp;row=358&amp;col=19&amp;number=&amp;sourceID=1","")</f>
        <v/>
      </c>
      <c r="T358" s="4" t="str">
        <f>HYPERLINK("http://141.218.60.56/~jnz1568/getInfo.php?workbook=08_02.xlsx&amp;sheet=A0&amp;row=358&amp;col=20&amp;number=&amp;sourceID=1","")</f>
        <v/>
      </c>
    </row>
    <row r="359" spans="1:20">
      <c r="A359" s="3">
        <v>8</v>
      </c>
      <c r="B359" s="3">
        <v>2</v>
      </c>
      <c r="C359" s="3">
        <v>30</v>
      </c>
      <c r="D359" s="3">
        <v>11</v>
      </c>
      <c r="E359" s="3">
        <f>((1/(INDEX(E0!J$4:J$52,C359,1)-INDEX(E0!J$4:J$52,D359,1))))*100000000</f>
        <v>0</v>
      </c>
      <c r="F359" s="4" t="str">
        <f>HYPERLINK("http://141.218.60.56/~jnz1568/getInfo.php?workbook=08_02.xlsx&amp;sheet=A0&amp;row=359&amp;col=6&amp;number=&amp;sourceID=27","")</f>
        <v/>
      </c>
      <c r="G359" s="4" t="str">
        <f>HYPERLINK("http://141.218.60.56/~jnz1568/getInfo.php?workbook=08_02.xlsx&amp;sheet=A0&amp;row=359&amp;col=7&amp;number=&amp;sourceID=34","")</f>
        <v/>
      </c>
      <c r="H359" s="4" t="str">
        <f>HYPERLINK("http://141.218.60.56/~jnz1568/getInfo.php?workbook=08_02.xlsx&amp;sheet=A0&amp;row=359&amp;col=8&amp;number=&amp;sourceID=34","")</f>
        <v/>
      </c>
      <c r="I359" s="4" t="str">
        <f>HYPERLINK("http://141.218.60.56/~jnz1568/getInfo.php?workbook=08_02.xlsx&amp;sheet=A0&amp;row=359&amp;col=9&amp;number=&amp;sourceID=34","")</f>
        <v/>
      </c>
      <c r="J359" s="4" t="str">
        <f>HYPERLINK("http://141.218.60.56/~jnz1568/getInfo.php?workbook=08_02.xlsx&amp;sheet=A0&amp;row=359&amp;col=10&amp;number=&amp;sourceID=34","")</f>
        <v/>
      </c>
      <c r="K359" s="4" t="str">
        <f>HYPERLINK("http://141.218.60.56/~jnz1568/getInfo.php?workbook=08_02.xlsx&amp;sheet=A0&amp;row=359&amp;col=11&amp;number=&amp;sourceID=30","")</f>
        <v/>
      </c>
      <c r="L359" s="4" t="str">
        <f>HYPERLINK("http://141.218.60.56/~jnz1568/getInfo.php?workbook=08_02.xlsx&amp;sheet=A0&amp;row=359&amp;col=12&amp;number=97360&amp;sourceID=30","97360")</f>
        <v>97360</v>
      </c>
      <c r="M359" s="4" t="str">
        <f>HYPERLINK("http://141.218.60.56/~jnz1568/getInfo.php?workbook=08_02.xlsx&amp;sheet=A0&amp;row=359&amp;col=13&amp;number=5.081e-06&amp;sourceID=30","5.081e-06")</f>
        <v>5.081e-06</v>
      </c>
      <c r="N359" s="4" t="str">
        <f>HYPERLINK("http://141.218.60.56/~jnz1568/getInfo.php?workbook=08_02.xlsx&amp;sheet=A0&amp;row=359&amp;col=14&amp;number=&amp;sourceID=30","")</f>
        <v/>
      </c>
      <c r="O359" s="4" t="str">
        <f>HYPERLINK("http://141.218.60.56/~jnz1568/getInfo.php?workbook=08_02.xlsx&amp;sheet=A0&amp;row=359&amp;col=15&amp;number=&amp;sourceID=32","")</f>
        <v/>
      </c>
      <c r="P359" s="4" t="str">
        <f>HYPERLINK("http://141.218.60.56/~jnz1568/getInfo.php?workbook=08_02.xlsx&amp;sheet=A0&amp;row=359&amp;col=16&amp;number=100000&amp;sourceID=32","100000")</f>
        <v>100000</v>
      </c>
      <c r="Q359" s="4" t="str">
        <f>HYPERLINK("http://141.218.60.56/~jnz1568/getInfo.php?workbook=08_02.xlsx&amp;sheet=A0&amp;row=359&amp;col=17&amp;number=5.334e-06&amp;sourceID=32","5.334e-06")</f>
        <v>5.334e-06</v>
      </c>
      <c r="R359" s="4" t="str">
        <f>HYPERLINK("http://141.218.60.56/~jnz1568/getInfo.php?workbook=08_02.xlsx&amp;sheet=A0&amp;row=359&amp;col=18&amp;number=&amp;sourceID=32","")</f>
        <v/>
      </c>
      <c r="S359" s="4" t="str">
        <f>HYPERLINK("http://141.218.60.56/~jnz1568/getInfo.php?workbook=08_02.xlsx&amp;sheet=A0&amp;row=359&amp;col=19&amp;number=&amp;sourceID=1","")</f>
        <v/>
      </c>
      <c r="T359" s="4" t="str">
        <f>HYPERLINK("http://141.218.60.56/~jnz1568/getInfo.php?workbook=08_02.xlsx&amp;sheet=A0&amp;row=359&amp;col=20&amp;number=&amp;sourceID=1","")</f>
        <v/>
      </c>
    </row>
    <row r="360" spans="1:20">
      <c r="A360" s="3">
        <v>8</v>
      </c>
      <c r="B360" s="3">
        <v>2</v>
      </c>
      <c r="C360" s="3">
        <v>30</v>
      </c>
      <c r="D360" s="3">
        <v>13</v>
      </c>
      <c r="E360" s="3">
        <f>((1/(INDEX(E0!J$4:J$52,C360,1)-INDEX(E0!J$4:J$52,D360,1))))*100000000</f>
        <v>0</v>
      </c>
      <c r="F360" s="4" t="str">
        <f>HYPERLINK("http://141.218.60.56/~jnz1568/getInfo.php?workbook=08_02.xlsx&amp;sheet=A0&amp;row=360&amp;col=6&amp;number=&amp;sourceID=27","")</f>
        <v/>
      </c>
      <c r="G360" s="4" t="str">
        <f>HYPERLINK("http://141.218.60.56/~jnz1568/getInfo.php?workbook=08_02.xlsx&amp;sheet=A0&amp;row=360&amp;col=7&amp;number=&amp;sourceID=34","")</f>
        <v/>
      </c>
      <c r="H360" s="4" t="str">
        <f>HYPERLINK("http://141.218.60.56/~jnz1568/getInfo.php?workbook=08_02.xlsx&amp;sheet=A0&amp;row=360&amp;col=8&amp;number=&amp;sourceID=34","")</f>
        <v/>
      </c>
      <c r="I360" s="4" t="str">
        <f>HYPERLINK("http://141.218.60.56/~jnz1568/getInfo.php?workbook=08_02.xlsx&amp;sheet=A0&amp;row=360&amp;col=9&amp;number=&amp;sourceID=34","")</f>
        <v/>
      </c>
      <c r="J360" s="4" t="str">
        <f>HYPERLINK("http://141.218.60.56/~jnz1568/getInfo.php?workbook=08_02.xlsx&amp;sheet=A0&amp;row=360&amp;col=10&amp;number=&amp;sourceID=34","")</f>
        <v/>
      </c>
      <c r="K360" s="4" t="str">
        <f>HYPERLINK("http://141.218.60.56/~jnz1568/getInfo.php?workbook=08_02.xlsx&amp;sheet=A0&amp;row=360&amp;col=11&amp;number=&amp;sourceID=30","")</f>
        <v/>
      </c>
      <c r="L360" s="4" t="str">
        <f>HYPERLINK("http://141.218.60.56/~jnz1568/getInfo.php?workbook=08_02.xlsx&amp;sheet=A0&amp;row=360&amp;col=12&amp;number=&amp;sourceID=30","")</f>
        <v/>
      </c>
      <c r="M360" s="4" t="str">
        <f>HYPERLINK("http://141.218.60.56/~jnz1568/getInfo.php?workbook=08_02.xlsx&amp;sheet=A0&amp;row=360&amp;col=13&amp;number=&amp;sourceID=30","")</f>
        <v/>
      </c>
      <c r="N360" s="4" t="str">
        <f>HYPERLINK("http://141.218.60.56/~jnz1568/getInfo.php?workbook=08_02.xlsx&amp;sheet=A0&amp;row=360&amp;col=14&amp;number=6.301&amp;sourceID=30","6.301")</f>
        <v>6.301</v>
      </c>
      <c r="O360" s="4" t="str">
        <f>HYPERLINK("http://141.218.60.56/~jnz1568/getInfo.php?workbook=08_02.xlsx&amp;sheet=A0&amp;row=360&amp;col=15&amp;number=&amp;sourceID=32","")</f>
        <v/>
      </c>
      <c r="P360" s="4" t="str">
        <f>HYPERLINK("http://141.218.60.56/~jnz1568/getInfo.php?workbook=08_02.xlsx&amp;sheet=A0&amp;row=360&amp;col=16&amp;number=&amp;sourceID=32","")</f>
        <v/>
      </c>
      <c r="Q360" s="4" t="str">
        <f>HYPERLINK("http://141.218.60.56/~jnz1568/getInfo.php?workbook=08_02.xlsx&amp;sheet=A0&amp;row=360&amp;col=17&amp;number=&amp;sourceID=32","")</f>
        <v/>
      </c>
      <c r="R360" s="4" t="str">
        <f>HYPERLINK("http://141.218.60.56/~jnz1568/getInfo.php?workbook=08_02.xlsx&amp;sheet=A0&amp;row=360&amp;col=18&amp;number=6.273&amp;sourceID=32","6.273")</f>
        <v>6.273</v>
      </c>
      <c r="S360" s="4" t="str">
        <f>HYPERLINK("http://141.218.60.56/~jnz1568/getInfo.php?workbook=08_02.xlsx&amp;sheet=A0&amp;row=360&amp;col=19&amp;number=&amp;sourceID=1","")</f>
        <v/>
      </c>
      <c r="T360" s="4" t="str">
        <f>HYPERLINK("http://141.218.60.56/~jnz1568/getInfo.php?workbook=08_02.xlsx&amp;sheet=A0&amp;row=360&amp;col=20&amp;number=&amp;sourceID=1","")</f>
        <v/>
      </c>
    </row>
    <row r="361" spans="1:20">
      <c r="A361" s="3">
        <v>8</v>
      </c>
      <c r="B361" s="3">
        <v>2</v>
      </c>
      <c r="C361" s="3">
        <v>30</v>
      </c>
      <c r="D361" s="3">
        <v>14</v>
      </c>
      <c r="E361" s="3">
        <f>((1/(INDEX(E0!J$4:J$52,C361,1)-INDEX(E0!J$4:J$52,D361,1))))*100000000</f>
        <v>0</v>
      </c>
      <c r="F361" s="4" t="str">
        <f>HYPERLINK("http://141.218.60.56/~jnz1568/getInfo.php?workbook=08_02.xlsx&amp;sheet=A0&amp;row=361&amp;col=6&amp;number=&amp;sourceID=27","")</f>
        <v/>
      </c>
      <c r="G361" s="4" t="str">
        <f>HYPERLINK("http://141.218.60.56/~jnz1568/getInfo.php?workbook=08_02.xlsx&amp;sheet=A0&amp;row=361&amp;col=7&amp;number=&amp;sourceID=34","")</f>
        <v/>
      </c>
      <c r="H361" s="4" t="str">
        <f>HYPERLINK("http://141.218.60.56/~jnz1568/getInfo.php?workbook=08_02.xlsx&amp;sheet=A0&amp;row=361&amp;col=8&amp;number=&amp;sourceID=34","")</f>
        <v/>
      </c>
      <c r="I361" s="4" t="str">
        <f>HYPERLINK("http://141.218.60.56/~jnz1568/getInfo.php?workbook=08_02.xlsx&amp;sheet=A0&amp;row=361&amp;col=9&amp;number=&amp;sourceID=34","")</f>
        <v/>
      </c>
      <c r="J361" s="4" t="str">
        <f>HYPERLINK("http://141.218.60.56/~jnz1568/getInfo.php?workbook=08_02.xlsx&amp;sheet=A0&amp;row=361&amp;col=10&amp;number=&amp;sourceID=34","")</f>
        <v/>
      </c>
      <c r="K361" s="4" t="str">
        <f>HYPERLINK("http://141.218.60.56/~jnz1568/getInfo.php?workbook=08_02.xlsx&amp;sheet=A0&amp;row=361&amp;col=11&amp;number=8064000000&amp;sourceID=30","8064000000")</f>
        <v>8064000000</v>
      </c>
      <c r="L361" s="4" t="str">
        <f>HYPERLINK("http://141.218.60.56/~jnz1568/getInfo.php?workbook=08_02.xlsx&amp;sheet=A0&amp;row=361&amp;col=12&amp;number=&amp;sourceID=30","")</f>
        <v/>
      </c>
      <c r="M361" s="4" t="str">
        <f>HYPERLINK("http://141.218.60.56/~jnz1568/getInfo.php?workbook=08_02.xlsx&amp;sheet=A0&amp;row=361&amp;col=13&amp;number=&amp;sourceID=30","")</f>
        <v/>
      </c>
      <c r="N361" s="4" t="str">
        <f>HYPERLINK("http://141.218.60.56/~jnz1568/getInfo.php?workbook=08_02.xlsx&amp;sheet=A0&amp;row=361&amp;col=14&amp;number=18.29&amp;sourceID=30","18.29")</f>
        <v>18.29</v>
      </c>
      <c r="O361" s="4" t="str">
        <f>HYPERLINK("http://141.218.60.56/~jnz1568/getInfo.php?workbook=08_02.xlsx&amp;sheet=A0&amp;row=361&amp;col=15&amp;number=7927000000&amp;sourceID=32","7927000000")</f>
        <v>7927000000</v>
      </c>
      <c r="P361" s="4" t="str">
        <f>HYPERLINK("http://141.218.60.56/~jnz1568/getInfo.php?workbook=08_02.xlsx&amp;sheet=A0&amp;row=361&amp;col=16&amp;number=&amp;sourceID=32","")</f>
        <v/>
      </c>
      <c r="Q361" s="4" t="str">
        <f>HYPERLINK("http://141.218.60.56/~jnz1568/getInfo.php?workbook=08_02.xlsx&amp;sheet=A0&amp;row=361&amp;col=17&amp;number=&amp;sourceID=32","")</f>
        <v/>
      </c>
      <c r="R361" s="4" t="str">
        <f>HYPERLINK("http://141.218.60.56/~jnz1568/getInfo.php?workbook=08_02.xlsx&amp;sheet=A0&amp;row=361&amp;col=18&amp;number=17.9&amp;sourceID=32","17.9")</f>
        <v>17.9</v>
      </c>
      <c r="S361" s="4" t="str">
        <f>HYPERLINK("http://141.218.60.56/~jnz1568/getInfo.php?workbook=08_02.xlsx&amp;sheet=A0&amp;row=361&amp;col=19&amp;number=&amp;sourceID=1","")</f>
        <v/>
      </c>
      <c r="T361" s="4" t="str">
        <f>HYPERLINK("http://141.218.60.56/~jnz1568/getInfo.php?workbook=08_02.xlsx&amp;sheet=A0&amp;row=361&amp;col=20&amp;number=&amp;sourceID=1","")</f>
        <v/>
      </c>
    </row>
    <row r="362" spans="1:20">
      <c r="A362" s="3">
        <v>8</v>
      </c>
      <c r="B362" s="3">
        <v>2</v>
      </c>
      <c r="C362" s="3">
        <v>30</v>
      </c>
      <c r="D362" s="3">
        <v>15</v>
      </c>
      <c r="E362" s="3">
        <f>((1/(INDEX(E0!J$4:J$52,C362,1)-INDEX(E0!J$4:J$52,D362,1))))*100000000</f>
        <v>0</v>
      </c>
      <c r="F362" s="4" t="str">
        <f>HYPERLINK("http://141.218.60.56/~jnz1568/getInfo.php?workbook=08_02.xlsx&amp;sheet=A0&amp;row=362&amp;col=6&amp;number=&amp;sourceID=27","")</f>
        <v/>
      </c>
      <c r="G362" s="4" t="str">
        <f>HYPERLINK("http://141.218.60.56/~jnz1568/getInfo.php?workbook=08_02.xlsx&amp;sheet=A0&amp;row=362&amp;col=7&amp;number=&amp;sourceID=34","")</f>
        <v/>
      </c>
      <c r="H362" s="4" t="str">
        <f>HYPERLINK("http://141.218.60.56/~jnz1568/getInfo.php?workbook=08_02.xlsx&amp;sheet=A0&amp;row=362&amp;col=8&amp;number=&amp;sourceID=34","")</f>
        <v/>
      </c>
      <c r="I362" s="4" t="str">
        <f>HYPERLINK("http://141.218.60.56/~jnz1568/getInfo.php?workbook=08_02.xlsx&amp;sheet=A0&amp;row=362&amp;col=9&amp;number=&amp;sourceID=34","")</f>
        <v/>
      </c>
      <c r="J362" s="4" t="str">
        <f>HYPERLINK("http://141.218.60.56/~jnz1568/getInfo.php?workbook=08_02.xlsx&amp;sheet=A0&amp;row=362&amp;col=10&amp;number=&amp;sourceID=34","")</f>
        <v/>
      </c>
      <c r="K362" s="4" t="str">
        <f>HYPERLINK("http://141.218.60.56/~jnz1568/getInfo.php?workbook=08_02.xlsx&amp;sheet=A0&amp;row=362&amp;col=11&amp;number=1419000000&amp;sourceID=30","1419000000")</f>
        <v>1419000000</v>
      </c>
      <c r="L362" s="4" t="str">
        <f>HYPERLINK("http://141.218.60.56/~jnz1568/getInfo.php?workbook=08_02.xlsx&amp;sheet=A0&amp;row=362&amp;col=12&amp;number=&amp;sourceID=30","")</f>
        <v/>
      </c>
      <c r="M362" s="4" t="str">
        <f>HYPERLINK("http://141.218.60.56/~jnz1568/getInfo.php?workbook=08_02.xlsx&amp;sheet=A0&amp;row=362&amp;col=13&amp;number=&amp;sourceID=30","")</f>
        <v/>
      </c>
      <c r="N362" s="4" t="str">
        <f>HYPERLINK("http://141.218.60.56/~jnz1568/getInfo.php?workbook=08_02.xlsx&amp;sheet=A0&amp;row=362&amp;col=14&amp;number=7.006&amp;sourceID=30","7.006")</f>
        <v>7.006</v>
      </c>
      <c r="O362" s="4" t="str">
        <f>HYPERLINK("http://141.218.60.56/~jnz1568/getInfo.php?workbook=08_02.xlsx&amp;sheet=A0&amp;row=362&amp;col=15&amp;number=1451000000&amp;sourceID=32","1451000000")</f>
        <v>1451000000</v>
      </c>
      <c r="P362" s="4" t="str">
        <f>HYPERLINK("http://141.218.60.56/~jnz1568/getInfo.php?workbook=08_02.xlsx&amp;sheet=A0&amp;row=362&amp;col=16&amp;number=&amp;sourceID=32","")</f>
        <v/>
      </c>
      <c r="Q362" s="4" t="str">
        <f>HYPERLINK("http://141.218.60.56/~jnz1568/getInfo.php?workbook=08_02.xlsx&amp;sheet=A0&amp;row=362&amp;col=17&amp;number=&amp;sourceID=32","")</f>
        <v/>
      </c>
      <c r="R362" s="4" t="str">
        <f>HYPERLINK("http://141.218.60.56/~jnz1568/getInfo.php?workbook=08_02.xlsx&amp;sheet=A0&amp;row=362&amp;col=18&amp;number=7.021&amp;sourceID=32","7.021")</f>
        <v>7.021</v>
      </c>
      <c r="S362" s="4" t="str">
        <f>HYPERLINK("http://141.218.60.56/~jnz1568/getInfo.php?workbook=08_02.xlsx&amp;sheet=A0&amp;row=362&amp;col=19&amp;number=&amp;sourceID=1","")</f>
        <v/>
      </c>
      <c r="T362" s="4" t="str">
        <f>HYPERLINK("http://141.218.60.56/~jnz1568/getInfo.php?workbook=08_02.xlsx&amp;sheet=A0&amp;row=362&amp;col=20&amp;number=&amp;sourceID=1","")</f>
        <v/>
      </c>
    </row>
    <row r="363" spans="1:20">
      <c r="A363" s="3">
        <v>8</v>
      </c>
      <c r="B363" s="3">
        <v>2</v>
      </c>
      <c r="C363" s="3">
        <v>30</v>
      </c>
      <c r="D363" s="3">
        <v>16</v>
      </c>
      <c r="E363" s="3">
        <f>((1/(INDEX(E0!J$4:J$52,C363,1)-INDEX(E0!J$4:J$52,D363,1))))*100000000</f>
        <v>0</v>
      </c>
      <c r="F363" s="4" t="str">
        <f>HYPERLINK("http://141.218.60.56/~jnz1568/getInfo.php?workbook=08_02.xlsx&amp;sheet=A0&amp;row=363&amp;col=6&amp;number=&amp;sourceID=27","")</f>
        <v/>
      </c>
      <c r="G363" s="4" t="str">
        <f>HYPERLINK("http://141.218.60.56/~jnz1568/getInfo.php?workbook=08_02.xlsx&amp;sheet=A0&amp;row=363&amp;col=7&amp;number=&amp;sourceID=34","")</f>
        <v/>
      </c>
      <c r="H363" s="4" t="str">
        <f>HYPERLINK("http://141.218.60.56/~jnz1568/getInfo.php?workbook=08_02.xlsx&amp;sheet=A0&amp;row=363&amp;col=8&amp;number=&amp;sourceID=34","")</f>
        <v/>
      </c>
      <c r="I363" s="4" t="str">
        <f>HYPERLINK("http://141.218.60.56/~jnz1568/getInfo.php?workbook=08_02.xlsx&amp;sheet=A0&amp;row=363&amp;col=9&amp;number=&amp;sourceID=34","")</f>
        <v/>
      </c>
      <c r="J363" s="4" t="str">
        <f>HYPERLINK("http://141.218.60.56/~jnz1568/getInfo.php?workbook=08_02.xlsx&amp;sheet=A0&amp;row=363&amp;col=10&amp;number=&amp;sourceID=34","")</f>
        <v/>
      </c>
      <c r="K363" s="4" t="str">
        <f>HYPERLINK("http://141.218.60.56/~jnz1568/getInfo.php?workbook=08_02.xlsx&amp;sheet=A0&amp;row=363&amp;col=11&amp;number=23640000000&amp;sourceID=30","23640000000")</f>
        <v>23640000000</v>
      </c>
      <c r="L363" s="4" t="str">
        <f>HYPERLINK("http://141.218.60.56/~jnz1568/getInfo.php?workbook=08_02.xlsx&amp;sheet=A0&amp;row=363&amp;col=12&amp;number=&amp;sourceID=30","")</f>
        <v/>
      </c>
      <c r="M363" s="4" t="str">
        <f>HYPERLINK("http://141.218.60.56/~jnz1568/getInfo.php?workbook=08_02.xlsx&amp;sheet=A0&amp;row=363&amp;col=13&amp;number=&amp;sourceID=30","")</f>
        <v/>
      </c>
      <c r="N363" s="4" t="str">
        <f>HYPERLINK("http://141.218.60.56/~jnz1568/getInfo.php?workbook=08_02.xlsx&amp;sheet=A0&amp;row=363&amp;col=14&amp;number=24.47&amp;sourceID=30","24.47")</f>
        <v>24.47</v>
      </c>
      <c r="O363" s="4" t="str">
        <f>HYPERLINK("http://141.218.60.56/~jnz1568/getInfo.php?workbook=08_02.xlsx&amp;sheet=A0&amp;row=363&amp;col=15&amp;number=23750000000&amp;sourceID=32","23750000000")</f>
        <v>23750000000</v>
      </c>
      <c r="P363" s="4" t="str">
        <f>HYPERLINK("http://141.218.60.56/~jnz1568/getInfo.php?workbook=08_02.xlsx&amp;sheet=A0&amp;row=363&amp;col=16&amp;number=&amp;sourceID=32","")</f>
        <v/>
      </c>
      <c r="Q363" s="4" t="str">
        <f>HYPERLINK("http://141.218.60.56/~jnz1568/getInfo.php?workbook=08_02.xlsx&amp;sheet=A0&amp;row=363&amp;col=17&amp;number=&amp;sourceID=32","")</f>
        <v/>
      </c>
      <c r="R363" s="4" t="str">
        <f>HYPERLINK("http://141.218.60.56/~jnz1568/getInfo.php?workbook=08_02.xlsx&amp;sheet=A0&amp;row=363&amp;col=18&amp;number=24.99&amp;sourceID=32","24.99")</f>
        <v>24.99</v>
      </c>
      <c r="S363" s="4" t="str">
        <f>HYPERLINK("http://141.218.60.56/~jnz1568/getInfo.php?workbook=08_02.xlsx&amp;sheet=A0&amp;row=363&amp;col=19&amp;number=&amp;sourceID=1","")</f>
        <v/>
      </c>
      <c r="T363" s="4" t="str">
        <f>HYPERLINK("http://141.218.60.56/~jnz1568/getInfo.php?workbook=08_02.xlsx&amp;sheet=A0&amp;row=363&amp;col=20&amp;number=&amp;sourceID=1","")</f>
        <v/>
      </c>
    </row>
    <row r="364" spans="1:20">
      <c r="A364" s="3">
        <v>8</v>
      </c>
      <c r="B364" s="3">
        <v>2</v>
      </c>
      <c r="C364" s="3">
        <v>30</v>
      </c>
      <c r="D364" s="3">
        <v>17</v>
      </c>
      <c r="E364" s="3">
        <f>((1/(INDEX(E0!J$4:J$52,C364,1)-INDEX(E0!J$4:J$52,D364,1))))*100000000</f>
        <v>0</v>
      </c>
      <c r="F364" s="4" t="str">
        <f>HYPERLINK("http://141.218.60.56/~jnz1568/getInfo.php?workbook=08_02.xlsx&amp;sheet=A0&amp;row=364&amp;col=6&amp;number=&amp;sourceID=27","")</f>
        <v/>
      </c>
      <c r="G364" s="4" t="str">
        <f>HYPERLINK("http://141.218.60.56/~jnz1568/getInfo.php?workbook=08_02.xlsx&amp;sheet=A0&amp;row=364&amp;col=7&amp;number=&amp;sourceID=34","")</f>
        <v/>
      </c>
      <c r="H364" s="4" t="str">
        <f>HYPERLINK("http://141.218.60.56/~jnz1568/getInfo.php?workbook=08_02.xlsx&amp;sheet=A0&amp;row=364&amp;col=8&amp;number=&amp;sourceID=34","")</f>
        <v/>
      </c>
      <c r="I364" s="4" t="str">
        <f>HYPERLINK("http://141.218.60.56/~jnz1568/getInfo.php?workbook=08_02.xlsx&amp;sheet=A0&amp;row=364&amp;col=9&amp;number=&amp;sourceID=34","")</f>
        <v/>
      </c>
      <c r="J364" s="4" t="str">
        <f>HYPERLINK("http://141.218.60.56/~jnz1568/getInfo.php?workbook=08_02.xlsx&amp;sheet=A0&amp;row=364&amp;col=10&amp;number=&amp;sourceID=34","")</f>
        <v/>
      </c>
      <c r="K364" s="4" t="str">
        <f>HYPERLINK("http://141.218.60.56/~jnz1568/getInfo.php?workbook=08_02.xlsx&amp;sheet=A0&amp;row=364&amp;col=11&amp;number=&amp;sourceID=30","")</f>
        <v/>
      </c>
      <c r="L364" s="4" t="str">
        <f>HYPERLINK("http://141.218.60.56/~jnz1568/getInfo.php?workbook=08_02.xlsx&amp;sheet=A0&amp;row=364&amp;col=12&amp;number=407800&amp;sourceID=30","407800")</f>
        <v>407800</v>
      </c>
      <c r="M364" s="4" t="str">
        <f>HYPERLINK("http://141.218.60.56/~jnz1568/getInfo.php?workbook=08_02.xlsx&amp;sheet=A0&amp;row=364&amp;col=13&amp;number=&amp;sourceID=30","")</f>
        <v/>
      </c>
      <c r="N364" s="4" t="str">
        <f>HYPERLINK("http://141.218.60.56/~jnz1568/getInfo.php?workbook=08_02.xlsx&amp;sheet=A0&amp;row=364&amp;col=14&amp;number=&amp;sourceID=30","")</f>
        <v/>
      </c>
      <c r="O364" s="4" t="str">
        <f>HYPERLINK("http://141.218.60.56/~jnz1568/getInfo.php?workbook=08_02.xlsx&amp;sheet=A0&amp;row=364&amp;col=15&amp;number=&amp;sourceID=32","")</f>
        <v/>
      </c>
      <c r="P364" s="4" t="str">
        <f>HYPERLINK("http://141.218.60.56/~jnz1568/getInfo.php?workbook=08_02.xlsx&amp;sheet=A0&amp;row=364&amp;col=16&amp;number=405800&amp;sourceID=32","405800")</f>
        <v>405800</v>
      </c>
      <c r="Q364" s="4" t="str">
        <f>HYPERLINK("http://141.218.60.56/~jnz1568/getInfo.php?workbook=08_02.xlsx&amp;sheet=A0&amp;row=364&amp;col=17&amp;number=&amp;sourceID=32","")</f>
        <v/>
      </c>
      <c r="R364" s="4" t="str">
        <f>HYPERLINK("http://141.218.60.56/~jnz1568/getInfo.php?workbook=08_02.xlsx&amp;sheet=A0&amp;row=364&amp;col=18&amp;number=&amp;sourceID=32","")</f>
        <v/>
      </c>
      <c r="S364" s="4" t="str">
        <f>HYPERLINK("http://141.218.60.56/~jnz1568/getInfo.php?workbook=08_02.xlsx&amp;sheet=A0&amp;row=364&amp;col=19&amp;number=&amp;sourceID=1","")</f>
        <v/>
      </c>
      <c r="T364" s="4" t="str">
        <f>HYPERLINK("http://141.218.60.56/~jnz1568/getInfo.php?workbook=08_02.xlsx&amp;sheet=A0&amp;row=364&amp;col=20&amp;number=&amp;sourceID=1","")</f>
        <v/>
      </c>
    </row>
    <row r="365" spans="1:20">
      <c r="A365" s="3">
        <v>8</v>
      </c>
      <c r="B365" s="3">
        <v>2</v>
      </c>
      <c r="C365" s="3">
        <v>30</v>
      </c>
      <c r="D365" s="3">
        <v>18</v>
      </c>
      <c r="E365" s="3">
        <f>((1/(INDEX(E0!J$4:J$52,C365,1)-INDEX(E0!J$4:J$52,D365,1))))*100000000</f>
        <v>0</v>
      </c>
      <c r="F365" s="4" t="str">
        <f>HYPERLINK("http://141.218.60.56/~jnz1568/getInfo.php?workbook=08_02.xlsx&amp;sheet=A0&amp;row=365&amp;col=6&amp;number=&amp;sourceID=27","")</f>
        <v/>
      </c>
      <c r="G365" s="4" t="str">
        <f>HYPERLINK("http://141.218.60.56/~jnz1568/getInfo.php?workbook=08_02.xlsx&amp;sheet=A0&amp;row=365&amp;col=7&amp;number=&amp;sourceID=34","")</f>
        <v/>
      </c>
      <c r="H365" s="4" t="str">
        <f>HYPERLINK("http://141.218.60.56/~jnz1568/getInfo.php?workbook=08_02.xlsx&amp;sheet=A0&amp;row=365&amp;col=8&amp;number=&amp;sourceID=34","")</f>
        <v/>
      </c>
      <c r="I365" s="4" t="str">
        <f>HYPERLINK("http://141.218.60.56/~jnz1568/getInfo.php?workbook=08_02.xlsx&amp;sheet=A0&amp;row=365&amp;col=9&amp;number=&amp;sourceID=34","")</f>
        <v/>
      </c>
      <c r="J365" s="4" t="str">
        <f>HYPERLINK("http://141.218.60.56/~jnz1568/getInfo.php?workbook=08_02.xlsx&amp;sheet=A0&amp;row=365&amp;col=10&amp;number=&amp;sourceID=34","")</f>
        <v/>
      </c>
      <c r="K365" s="4" t="str">
        <f>HYPERLINK("http://141.218.60.56/~jnz1568/getInfo.php?workbook=08_02.xlsx&amp;sheet=A0&amp;row=365&amp;col=11&amp;number=&amp;sourceID=30","")</f>
        <v/>
      </c>
      <c r="L365" s="4" t="str">
        <f>HYPERLINK("http://141.218.60.56/~jnz1568/getInfo.php?workbook=08_02.xlsx&amp;sheet=A0&amp;row=365&amp;col=12&amp;number=&amp;sourceID=30","")</f>
        <v/>
      </c>
      <c r="M365" s="4" t="str">
        <f>HYPERLINK("http://141.218.60.56/~jnz1568/getInfo.php?workbook=08_02.xlsx&amp;sheet=A0&amp;row=365&amp;col=13&amp;number=&amp;sourceID=30","")</f>
        <v/>
      </c>
      <c r="N365" s="4" t="str">
        <f>HYPERLINK("http://141.218.60.56/~jnz1568/getInfo.php?workbook=08_02.xlsx&amp;sheet=A0&amp;row=365&amp;col=14&amp;number=4.9e-14&amp;sourceID=30","4.9e-14")</f>
        <v>4.9e-14</v>
      </c>
      <c r="O365" s="4" t="str">
        <f>HYPERLINK("http://141.218.60.56/~jnz1568/getInfo.php?workbook=08_02.xlsx&amp;sheet=A0&amp;row=365&amp;col=15&amp;number=&amp;sourceID=32","")</f>
        <v/>
      </c>
      <c r="P365" s="4" t="str">
        <f>HYPERLINK("http://141.218.60.56/~jnz1568/getInfo.php?workbook=08_02.xlsx&amp;sheet=A0&amp;row=365&amp;col=16&amp;number=&amp;sourceID=32","")</f>
        <v/>
      </c>
      <c r="Q365" s="4" t="str">
        <f>HYPERLINK("http://141.218.60.56/~jnz1568/getInfo.php?workbook=08_02.xlsx&amp;sheet=A0&amp;row=365&amp;col=17&amp;number=&amp;sourceID=32","")</f>
        <v/>
      </c>
      <c r="R365" s="4" t="str">
        <f>HYPERLINK("http://141.218.60.56/~jnz1568/getInfo.php?workbook=08_02.xlsx&amp;sheet=A0&amp;row=365&amp;col=18&amp;number=5.2e-14&amp;sourceID=32","5.2e-14")</f>
        <v>5.2e-14</v>
      </c>
      <c r="S365" s="4" t="str">
        <f>HYPERLINK("http://141.218.60.56/~jnz1568/getInfo.php?workbook=08_02.xlsx&amp;sheet=A0&amp;row=365&amp;col=19&amp;number=&amp;sourceID=1","")</f>
        <v/>
      </c>
      <c r="T365" s="4" t="str">
        <f>HYPERLINK("http://141.218.60.56/~jnz1568/getInfo.php?workbook=08_02.xlsx&amp;sheet=A0&amp;row=365&amp;col=20&amp;number=&amp;sourceID=1","")</f>
        <v/>
      </c>
    </row>
    <row r="366" spans="1:20">
      <c r="A366" s="3">
        <v>8</v>
      </c>
      <c r="B366" s="3">
        <v>2</v>
      </c>
      <c r="C366" s="3">
        <v>30</v>
      </c>
      <c r="D366" s="3">
        <v>20</v>
      </c>
      <c r="E366" s="3">
        <f>((1/(INDEX(E0!J$4:J$52,C366,1)-INDEX(E0!J$4:J$52,D366,1))))*100000000</f>
        <v>0</v>
      </c>
      <c r="F366" s="4" t="str">
        <f>HYPERLINK("http://141.218.60.56/~jnz1568/getInfo.php?workbook=08_02.xlsx&amp;sheet=A0&amp;row=366&amp;col=6&amp;number=&amp;sourceID=27","")</f>
        <v/>
      </c>
      <c r="G366" s="4" t="str">
        <f>HYPERLINK("http://141.218.60.56/~jnz1568/getInfo.php?workbook=08_02.xlsx&amp;sheet=A0&amp;row=366&amp;col=7&amp;number=&amp;sourceID=34","")</f>
        <v/>
      </c>
      <c r="H366" s="4" t="str">
        <f>HYPERLINK("http://141.218.60.56/~jnz1568/getInfo.php?workbook=08_02.xlsx&amp;sheet=A0&amp;row=366&amp;col=8&amp;number=&amp;sourceID=34","")</f>
        <v/>
      </c>
      <c r="I366" s="4" t="str">
        <f>HYPERLINK("http://141.218.60.56/~jnz1568/getInfo.php?workbook=08_02.xlsx&amp;sheet=A0&amp;row=366&amp;col=9&amp;number=&amp;sourceID=34","")</f>
        <v/>
      </c>
      <c r="J366" s="4" t="str">
        <f>HYPERLINK("http://141.218.60.56/~jnz1568/getInfo.php?workbook=08_02.xlsx&amp;sheet=A0&amp;row=366&amp;col=10&amp;number=&amp;sourceID=34","")</f>
        <v/>
      </c>
      <c r="K366" s="4" t="str">
        <f>HYPERLINK("http://141.218.60.56/~jnz1568/getInfo.php?workbook=08_02.xlsx&amp;sheet=A0&amp;row=366&amp;col=11&amp;number=&amp;sourceID=30","")</f>
        <v/>
      </c>
      <c r="L366" s="4" t="str">
        <f>HYPERLINK("http://141.218.60.56/~jnz1568/getInfo.php?workbook=08_02.xlsx&amp;sheet=A0&amp;row=366&amp;col=12&amp;number=0.0002993&amp;sourceID=30","0.0002993")</f>
        <v>0.0002993</v>
      </c>
      <c r="M366" s="4" t="str">
        <f>HYPERLINK("http://141.218.60.56/~jnz1568/getInfo.php?workbook=08_02.xlsx&amp;sheet=A0&amp;row=366&amp;col=13&amp;number=&amp;sourceID=30","")</f>
        <v/>
      </c>
      <c r="N366" s="4" t="str">
        <f>HYPERLINK("http://141.218.60.56/~jnz1568/getInfo.php?workbook=08_02.xlsx&amp;sheet=A0&amp;row=366&amp;col=14&amp;number=&amp;sourceID=30","")</f>
        <v/>
      </c>
      <c r="O366" s="4" t="str">
        <f>HYPERLINK("http://141.218.60.56/~jnz1568/getInfo.php?workbook=08_02.xlsx&amp;sheet=A0&amp;row=366&amp;col=15&amp;number=&amp;sourceID=32","")</f>
        <v/>
      </c>
      <c r="P366" s="4" t="str">
        <f>HYPERLINK("http://141.218.60.56/~jnz1568/getInfo.php?workbook=08_02.xlsx&amp;sheet=A0&amp;row=366&amp;col=16&amp;number=0.0003655&amp;sourceID=32","0.0003655")</f>
        <v>0.0003655</v>
      </c>
      <c r="Q366" s="4" t="str">
        <f>HYPERLINK("http://141.218.60.56/~jnz1568/getInfo.php?workbook=08_02.xlsx&amp;sheet=A0&amp;row=366&amp;col=17&amp;number=&amp;sourceID=32","")</f>
        <v/>
      </c>
      <c r="R366" s="4" t="str">
        <f>HYPERLINK("http://141.218.60.56/~jnz1568/getInfo.php?workbook=08_02.xlsx&amp;sheet=A0&amp;row=366&amp;col=18&amp;number=&amp;sourceID=32","")</f>
        <v/>
      </c>
      <c r="S366" s="4" t="str">
        <f>HYPERLINK("http://141.218.60.56/~jnz1568/getInfo.php?workbook=08_02.xlsx&amp;sheet=A0&amp;row=366&amp;col=19&amp;number=&amp;sourceID=1","")</f>
        <v/>
      </c>
      <c r="T366" s="4" t="str">
        <f>HYPERLINK("http://141.218.60.56/~jnz1568/getInfo.php?workbook=08_02.xlsx&amp;sheet=A0&amp;row=366&amp;col=20&amp;number=&amp;sourceID=1","")</f>
        <v/>
      </c>
    </row>
    <row r="367" spans="1:20">
      <c r="A367" s="3">
        <v>8</v>
      </c>
      <c r="B367" s="3">
        <v>2</v>
      </c>
      <c r="C367" s="3">
        <v>30</v>
      </c>
      <c r="D367" s="3">
        <v>21</v>
      </c>
      <c r="E367" s="3">
        <f>((1/(INDEX(E0!J$4:J$52,C367,1)-INDEX(E0!J$4:J$52,D367,1))))*100000000</f>
        <v>0</v>
      </c>
      <c r="F367" s="4" t="str">
        <f>HYPERLINK("http://141.218.60.56/~jnz1568/getInfo.php?workbook=08_02.xlsx&amp;sheet=A0&amp;row=367&amp;col=6&amp;number=&amp;sourceID=27","")</f>
        <v/>
      </c>
      <c r="G367" s="4" t="str">
        <f>HYPERLINK("http://141.218.60.56/~jnz1568/getInfo.php?workbook=08_02.xlsx&amp;sheet=A0&amp;row=367&amp;col=7&amp;number=&amp;sourceID=34","")</f>
        <v/>
      </c>
      <c r="H367" s="4" t="str">
        <f>HYPERLINK("http://141.218.60.56/~jnz1568/getInfo.php?workbook=08_02.xlsx&amp;sheet=A0&amp;row=367&amp;col=8&amp;number=&amp;sourceID=34","")</f>
        <v/>
      </c>
      <c r="I367" s="4" t="str">
        <f>HYPERLINK("http://141.218.60.56/~jnz1568/getInfo.php?workbook=08_02.xlsx&amp;sheet=A0&amp;row=367&amp;col=9&amp;number=&amp;sourceID=34","")</f>
        <v/>
      </c>
      <c r="J367" s="4" t="str">
        <f>HYPERLINK("http://141.218.60.56/~jnz1568/getInfo.php?workbook=08_02.xlsx&amp;sheet=A0&amp;row=367&amp;col=10&amp;number=&amp;sourceID=34","")</f>
        <v/>
      </c>
      <c r="K367" s="4" t="str">
        <f>HYPERLINK("http://141.218.60.56/~jnz1568/getInfo.php?workbook=08_02.xlsx&amp;sheet=A0&amp;row=367&amp;col=11&amp;number=&amp;sourceID=30","")</f>
        <v/>
      </c>
      <c r="L367" s="4" t="str">
        <f>HYPERLINK("http://141.218.60.56/~jnz1568/getInfo.php?workbook=08_02.xlsx&amp;sheet=A0&amp;row=367&amp;col=12&amp;number=0.0001421&amp;sourceID=30","0.0001421")</f>
        <v>0.0001421</v>
      </c>
      <c r="M367" s="4" t="str">
        <f>HYPERLINK("http://141.218.60.56/~jnz1568/getInfo.php?workbook=08_02.xlsx&amp;sheet=A0&amp;row=367&amp;col=13&amp;number=4.979e-10&amp;sourceID=30","4.979e-10")</f>
        <v>4.979e-10</v>
      </c>
      <c r="N367" s="4" t="str">
        <f>HYPERLINK("http://141.218.60.56/~jnz1568/getInfo.php?workbook=08_02.xlsx&amp;sheet=A0&amp;row=367&amp;col=14&amp;number=&amp;sourceID=30","")</f>
        <v/>
      </c>
      <c r="O367" s="4" t="str">
        <f>HYPERLINK("http://141.218.60.56/~jnz1568/getInfo.php?workbook=08_02.xlsx&amp;sheet=A0&amp;row=367&amp;col=15&amp;number=&amp;sourceID=32","")</f>
        <v/>
      </c>
      <c r="P367" s="4" t="str">
        <f>HYPERLINK("http://141.218.60.56/~jnz1568/getInfo.php?workbook=08_02.xlsx&amp;sheet=A0&amp;row=367&amp;col=16&amp;number=0.0001739&amp;sourceID=32","0.0001739")</f>
        <v>0.0001739</v>
      </c>
      <c r="Q367" s="4" t="str">
        <f>HYPERLINK("http://141.218.60.56/~jnz1568/getInfo.php?workbook=08_02.xlsx&amp;sheet=A0&amp;row=367&amp;col=17&amp;number=5.753e-10&amp;sourceID=32","5.753e-10")</f>
        <v>5.753e-10</v>
      </c>
      <c r="R367" s="4" t="str">
        <f>HYPERLINK("http://141.218.60.56/~jnz1568/getInfo.php?workbook=08_02.xlsx&amp;sheet=A0&amp;row=367&amp;col=18&amp;number=&amp;sourceID=32","")</f>
        <v/>
      </c>
      <c r="S367" s="4" t="str">
        <f>HYPERLINK("http://141.218.60.56/~jnz1568/getInfo.php?workbook=08_02.xlsx&amp;sheet=A0&amp;row=367&amp;col=19&amp;number=&amp;sourceID=1","")</f>
        <v/>
      </c>
      <c r="T367" s="4" t="str">
        <f>HYPERLINK("http://141.218.60.56/~jnz1568/getInfo.php?workbook=08_02.xlsx&amp;sheet=A0&amp;row=367&amp;col=20&amp;number=&amp;sourceID=1","")</f>
        <v/>
      </c>
    </row>
    <row r="368" spans="1:20">
      <c r="A368" s="3">
        <v>8</v>
      </c>
      <c r="B368" s="3">
        <v>2</v>
      </c>
      <c r="C368" s="3">
        <v>30</v>
      </c>
      <c r="D368" s="3">
        <v>23</v>
      </c>
      <c r="E368" s="3">
        <f>((1/(INDEX(E0!J$4:J$52,C368,1)-INDEX(E0!J$4:J$52,D368,1))))*100000000</f>
        <v>0</v>
      </c>
      <c r="F368" s="4" t="str">
        <f>HYPERLINK("http://141.218.60.56/~jnz1568/getInfo.php?workbook=08_02.xlsx&amp;sheet=A0&amp;row=368&amp;col=6&amp;number=&amp;sourceID=27","")</f>
        <v/>
      </c>
      <c r="G368" s="4" t="str">
        <f>HYPERLINK("http://141.218.60.56/~jnz1568/getInfo.php?workbook=08_02.xlsx&amp;sheet=A0&amp;row=368&amp;col=7&amp;number=&amp;sourceID=34","")</f>
        <v/>
      </c>
      <c r="H368" s="4" t="str">
        <f>HYPERLINK("http://141.218.60.56/~jnz1568/getInfo.php?workbook=08_02.xlsx&amp;sheet=A0&amp;row=368&amp;col=8&amp;number=&amp;sourceID=34","")</f>
        <v/>
      </c>
      <c r="I368" s="4" t="str">
        <f>HYPERLINK("http://141.218.60.56/~jnz1568/getInfo.php?workbook=08_02.xlsx&amp;sheet=A0&amp;row=368&amp;col=9&amp;number=&amp;sourceID=34","")</f>
        <v/>
      </c>
      <c r="J368" s="4" t="str">
        <f>HYPERLINK("http://141.218.60.56/~jnz1568/getInfo.php?workbook=08_02.xlsx&amp;sheet=A0&amp;row=368&amp;col=10&amp;number=&amp;sourceID=34","")</f>
        <v/>
      </c>
      <c r="K368" s="4" t="str">
        <f>HYPERLINK("http://141.218.60.56/~jnz1568/getInfo.php?workbook=08_02.xlsx&amp;sheet=A0&amp;row=368&amp;col=11&amp;number=&amp;sourceID=30","")</f>
        <v/>
      </c>
      <c r="L368" s="4" t="str">
        <f>HYPERLINK("http://141.218.60.56/~jnz1568/getInfo.php?workbook=08_02.xlsx&amp;sheet=A0&amp;row=368&amp;col=12&amp;number=&amp;sourceID=30","")</f>
        <v/>
      </c>
      <c r="M368" s="4" t="str">
        <f>HYPERLINK("http://141.218.60.56/~jnz1568/getInfo.php?workbook=08_02.xlsx&amp;sheet=A0&amp;row=368&amp;col=13&amp;number=&amp;sourceID=30","")</f>
        <v/>
      </c>
      <c r="N368" s="4" t="str">
        <f>HYPERLINK("http://141.218.60.56/~jnz1568/getInfo.php?workbook=08_02.xlsx&amp;sheet=A0&amp;row=368&amp;col=14&amp;number=6e-15&amp;sourceID=30","6e-15")</f>
        <v>6e-15</v>
      </c>
      <c r="O368" s="4" t="str">
        <f>HYPERLINK("http://141.218.60.56/~jnz1568/getInfo.php?workbook=08_02.xlsx&amp;sheet=A0&amp;row=368&amp;col=15&amp;number=&amp;sourceID=32","")</f>
        <v/>
      </c>
      <c r="P368" s="4" t="str">
        <f>HYPERLINK("http://141.218.60.56/~jnz1568/getInfo.php?workbook=08_02.xlsx&amp;sheet=A0&amp;row=368&amp;col=16&amp;number=&amp;sourceID=32","")</f>
        <v/>
      </c>
      <c r="Q368" s="4" t="str">
        <f>HYPERLINK("http://141.218.60.56/~jnz1568/getInfo.php?workbook=08_02.xlsx&amp;sheet=A0&amp;row=368&amp;col=17&amp;number=&amp;sourceID=32","")</f>
        <v/>
      </c>
      <c r="R368" s="4" t="str">
        <f>HYPERLINK("http://141.218.60.56/~jnz1568/getInfo.php?workbook=08_02.xlsx&amp;sheet=A0&amp;row=368&amp;col=18&amp;number=1.1e-14&amp;sourceID=32","1.1e-14")</f>
        <v>1.1e-14</v>
      </c>
      <c r="S368" s="4" t="str">
        <f>HYPERLINK("http://141.218.60.56/~jnz1568/getInfo.php?workbook=08_02.xlsx&amp;sheet=A0&amp;row=368&amp;col=19&amp;number=&amp;sourceID=1","")</f>
        <v/>
      </c>
      <c r="T368" s="4" t="str">
        <f>HYPERLINK("http://141.218.60.56/~jnz1568/getInfo.php?workbook=08_02.xlsx&amp;sheet=A0&amp;row=368&amp;col=20&amp;number=&amp;sourceID=1","")</f>
        <v/>
      </c>
    </row>
    <row r="369" spans="1:20">
      <c r="A369" s="3">
        <v>8</v>
      </c>
      <c r="B369" s="3">
        <v>2</v>
      </c>
      <c r="C369" s="3">
        <v>30</v>
      </c>
      <c r="D369" s="3">
        <v>24</v>
      </c>
      <c r="E369" s="3">
        <f>((1/(INDEX(E0!J$4:J$52,C369,1)-INDEX(E0!J$4:J$52,D369,1))))*100000000</f>
        <v>0</v>
      </c>
      <c r="F369" s="4" t="str">
        <f>HYPERLINK("http://141.218.60.56/~jnz1568/getInfo.php?workbook=08_02.xlsx&amp;sheet=A0&amp;row=369&amp;col=6&amp;number=&amp;sourceID=27","")</f>
        <v/>
      </c>
      <c r="G369" s="4" t="str">
        <f>HYPERLINK("http://141.218.60.56/~jnz1568/getInfo.php?workbook=08_02.xlsx&amp;sheet=A0&amp;row=369&amp;col=7&amp;number=&amp;sourceID=34","")</f>
        <v/>
      </c>
      <c r="H369" s="4" t="str">
        <f>HYPERLINK("http://141.218.60.56/~jnz1568/getInfo.php?workbook=08_02.xlsx&amp;sheet=A0&amp;row=369&amp;col=8&amp;number=&amp;sourceID=34","")</f>
        <v/>
      </c>
      <c r="I369" s="4" t="str">
        <f>HYPERLINK("http://141.218.60.56/~jnz1568/getInfo.php?workbook=08_02.xlsx&amp;sheet=A0&amp;row=369&amp;col=9&amp;number=&amp;sourceID=34","")</f>
        <v/>
      </c>
      <c r="J369" s="4" t="str">
        <f>HYPERLINK("http://141.218.60.56/~jnz1568/getInfo.php?workbook=08_02.xlsx&amp;sheet=A0&amp;row=369&amp;col=10&amp;number=&amp;sourceID=34","")</f>
        <v/>
      </c>
      <c r="K369" s="4" t="str">
        <f>HYPERLINK("http://141.218.60.56/~jnz1568/getInfo.php?workbook=08_02.xlsx&amp;sheet=A0&amp;row=369&amp;col=11&amp;number=11.36&amp;sourceID=30","11.36")</f>
        <v>11.36</v>
      </c>
      <c r="L369" s="4" t="str">
        <f>HYPERLINK("http://141.218.60.56/~jnz1568/getInfo.php?workbook=08_02.xlsx&amp;sheet=A0&amp;row=369&amp;col=12&amp;number=&amp;sourceID=30","")</f>
        <v/>
      </c>
      <c r="M369" s="4" t="str">
        <f>HYPERLINK("http://141.218.60.56/~jnz1568/getInfo.php?workbook=08_02.xlsx&amp;sheet=A0&amp;row=369&amp;col=13&amp;number=&amp;sourceID=30","")</f>
        <v/>
      </c>
      <c r="N369" s="4" t="str">
        <f>HYPERLINK("http://141.218.60.56/~jnz1568/getInfo.php?workbook=08_02.xlsx&amp;sheet=A0&amp;row=369&amp;col=14&amp;number=1.7e-14&amp;sourceID=30","1.7e-14")</f>
        <v>1.7e-14</v>
      </c>
      <c r="O369" s="4" t="str">
        <f>HYPERLINK("http://141.218.60.56/~jnz1568/getInfo.php?workbook=08_02.xlsx&amp;sheet=A0&amp;row=369&amp;col=15&amp;number=16.92&amp;sourceID=32","16.92")</f>
        <v>16.92</v>
      </c>
      <c r="P369" s="4" t="str">
        <f>HYPERLINK("http://141.218.60.56/~jnz1568/getInfo.php?workbook=08_02.xlsx&amp;sheet=A0&amp;row=369&amp;col=16&amp;number=&amp;sourceID=32","")</f>
        <v/>
      </c>
      <c r="Q369" s="4" t="str">
        <f>HYPERLINK("http://141.218.60.56/~jnz1568/getInfo.php?workbook=08_02.xlsx&amp;sheet=A0&amp;row=369&amp;col=17&amp;number=&amp;sourceID=32","")</f>
        <v/>
      </c>
      <c r="R369" s="4" t="str">
        <f>HYPERLINK("http://141.218.60.56/~jnz1568/getInfo.php?workbook=08_02.xlsx&amp;sheet=A0&amp;row=369&amp;col=18&amp;number=3.2e-14&amp;sourceID=32","3.2e-14")</f>
        <v>3.2e-14</v>
      </c>
      <c r="S369" s="4" t="str">
        <f>HYPERLINK("http://141.218.60.56/~jnz1568/getInfo.php?workbook=08_02.xlsx&amp;sheet=A0&amp;row=369&amp;col=19&amp;number=&amp;sourceID=1","")</f>
        <v/>
      </c>
      <c r="T369" s="4" t="str">
        <f>HYPERLINK("http://141.218.60.56/~jnz1568/getInfo.php?workbook=08_02.xlsx&amp;sheet=A0&amp;row=369&amp;col=20&amp;number=&amp;sourceID=1","")</f>
        <v/>
      </c>
    </row>
    <row r="370" spans="1:20">
      <c r="A370" s="3">
        <v>8</v>
      </c>
      <c r="B370" s="3">
        <v>2</v>
      </c>
      <c r="C370" s="3">
        <v>30</v>
      </c>
      <c r="D370" s="3">
        <v>25</v>
      </c>
      <c r="E370" s="3">
        <f>((1/(INDEX(E0!J$4:J$52,C370,1)-INDEX(E0!J$4:J$52,D370,1))))*100000000</f>
        <v>0</v>
      </c>
      <c r="F370" s="4" t="str">
        <f>HYPERLINK("http://141.218.60.56/~jnz1568/getInfo.php?workbook=08_02.xlsx&amp;sheet=A0&amp;row=370&amp;col=6&amp;number=&amp;sourceID=27","")</f>
        <v/>
      </c>
      <c r="G370" s="4" t="str">
        <f>HYPERLINK("http://141.218.60.56/~jnz1568/getInfo.php?workbook=08_02.xlsx&amp;sheet=A0&amp;row=370&amp;col=7&amp;number=&amp;sourceID=34","")</f>
        <v/>
      </c>
      <c r="H370" s="4" t="str">
        <f>HYPERLINK("http://141.218.60.56/~jnz1568/getInfo.php?workbook=08_02.xlsx&amp;sheet=A0&amp;row=370&amp;col=8&amp;number=&amp;sourceID=34","")</f>
        <v/>
      </c>
      <c r="I370" s="4" t="str">
        <f>HYPERLINK("http://141.218.60.56/~jnz1568/getInfo.php?workbook=08_02.xlsx&amp;sheet=A0&amp;row=370&amp;col=9&amp;number=&amp;sourceID=34","")</f>
        <v/>
      </c>
      <c r="J370" s="4" t="str">
        <f>HYPERLINK("http://141.218.60.56/~jnz1568/getInfo.php?workbook=08_02.xlsx&amp;sheet=A0&amp;row=370&amp;col=10&amp;number=&amp;sourceID=34","")</f>
        <v/>
      </c>
      <c r="K370" s="4" t="str">
        <f>HYPERLINK("http://141.218.60.56/~jnz1568/getInfo.php?workbook=08_02.xlsx&amp;sheet=A0&amp;row=370&amp;col=11&amp;number=&amp;sourceID=30","")</f>
        <v/>
      </c>
      <c r="L370" s="4" t="str">
        <f>HYPERLINK("http://141.218.60.56/~jnz1568/getInfo.php?workbook=08_02.xlsx&amp;sheet=A0&amp;row=370&amp;col=12&amp;number=0&amp;sourceID=30","0")</f>
        <v>0</v>
      </c>
      <c r="M370" s="4" t="str">
        <f>HYPERLINK("http://141.218.60.56/~jnz1568/getInfo.php?workbook=08_02.xlsx&amp;sheet=A0&amp;row=370&amp;col=13&amp;number=2.411e-09&amp;sourceID=30","2.411e-09")</f>
        <v>2.411e-09</v>
      </c>
      <c r="N370" s="4" t="str">
        <f>HYPERLINK("http://141.218.60.56/~jnz1568/getInfo.php?workbook=08_02.xlsx&amp;sheet=A0&amp;row=370&amp;col=14&amp;number=&amp;sourceID=30","")</f>
        <v/>
      </c>
      <c r="O370" s="4" t="str">
        <f>HYPERLINK("http://141.218.60.56/~jnz1568/getInfo.php?workbook=08_02.xlsx&amp;sheet=A0&amp;row=370&amp;col=15&amp;number=&amp;sourceID=32","")</f>
        <v/>
      </c>
      <c r="P370" s="4" t="str">
        <f>HYPERLINK("http://141.218.60.56/~jnz1568/getInfo.php?workbook=08_02.xlsx&amp;sheet=A0&amp;row=370&amp;col=16&amp;number=&amp;sourceID=32","")</f>
        <v/>
      </c>
      <c r="Q370" s="4" t="str">
        <f>HYPERLINK("http://141.218.60.56/~jnz1568/getInfo.php?workbook=08_02.xlsx&amp;sheet=A0&amp;row=370&amp;col=17&amp;number=&amp;sourceID=32","")</f>
        <v/>
      </c>
      <c r="R370" s="4" t="str">
        <f>HYPERLINK("http://141.218.60.56/~jnz1568/getInfo.php?workbook=08_02.xlsx&amp;sheet=A0&amp;row=370&amp;col=18&amp;number=&amp;sourceID=32","")</f>
        <v/>
      </c>
      <c r="S370" s="4" t="str">
        <f>HYPERLINK("http://141.218.60.56/~jnz1568/getInfo.php?workbook=08_02.xlsx&amp;sheet=A0&amp;row=370&amp;col=19&amp;number=&amp;sourceID=1","")</f>
        <v/>
      </c>
      <c r="T370" s="4" t="str">
        <f>HYPERLINK("http://141.218.60.56/~jnz1568/getInfo.php?workbook=08_02.xlsx&amp;sheet=A0&amp;row=370&amp;col=20&amp;number=&amp;sourceID=1","")</f>
        <v/>
      </c>
    </row>
    <row r="371" spans="1:20">
      <c r="A371" s="3">
        <v>8</v>
      </c>
      <c r="B371" s="3">
        <v>2</v>
      </c>
      <c r="C371" s="3">
        <v>30</v>
      </c>
      <c r="D371" s="3">
        <v>26</v>
      </c>
      <c r="E371" s="3">
        <f>((1/(INDEX(E0!J$4:J$52,C371,1)-INDEX(E0!J$4:J$52,D371,1))))*100000000</f>
        <v>0</v>
      </c>
      <c r="F371" s="4" t="str">
        <f>HYPERLINK("http://141.218.60.56/~jnz1568/getInfo.php?workbook=08_02.xlsx&amp;sheet=A0&amp;row=371&amp;col=6&amp;number=&amp;sourceID=27","")</f>
        <v/>
      </c>
      <c r="G371" s="4" t="str">
        <f>HYPERLINK("http://141.218.60.56/~jnz1568/getInfo.php?workbook=08_02.xlsx&amp;sheet=A0&amp;row=371&amp;col=7&amp;number=&amp;sourceID=34","")</f>
        <v/>
      </c>
      <c r="H371" s="4" t="str">
        <f>HYPERLINK("http://141.218.60.56/~jnz1568/getInfo.php?workbook=08_02.xlsx&amp;sheet=A0&amp;row=371&amp;col=8&amp;number=&amp;sourceID=34","")</f>
        <v/>
      </c>
      <c r="I371" s="4" t="str">
        <f>HYPERLINK("http://141.218.60.56/~jnz1568/getInfo.php?workbook=08_02.xlsx&amp;sheet=A0&amp;row=371&amp;col=9&amp;number=&amp;sourceID=34","")</f>
        <v/>
      </c>
      <c r="J371" s="4" t="str">
        <f>HYPERLINK("http://141.218.60.56/~jnz1568/getInfo.php?workbook=08_02.xlsx&amp;sheet=A0&amp;row=371&amp;col=10&amp;number=&amp;sourceID=34","")</f>
        <v/>
      </c>
      <c r="K371" s="4" t="str">
        <f>HYPERLINK("http://141.218.60.56/~jnz1568/getInfo.php?workbook=08_02.xlsx&amp;sheet=A0&amp;row=371&amp;col=11&amp;number=1.367&amp;sourceID=30","1.367")</f>
        <v>1.367</v>
      </c>
      <c r="L371" s="4" t="str">
        <f>HYPERLINK("http://141.218.60.56/~jnz1568/getInfo.php?workbook=08_02.xlsx&amp;sheet=A0&amp;row=371&amp;col=12&amp;number=&amp;sourceID=30","")</f>
        <v/>
      </c>
      <c r="M371" s="4" t="str">
        <f>HYPERLINK("http://141.218.60.56/~jnz1568/getInfo.php?workbook=08_02.xlsx&amp;sheet=A0&amp;row=371&amp;col=13&amp;number=&amp;sourceID=30","")</f>
        <v/>
      </c>
      <c r="N371" s="4" t="str">
        <f>HYPERLINK("http://141.218.60.56/~jnz1568/getInfo.php?workbook=08_02.xlsx&amp;sheet=A0&amp;row=371&amp;col=14&amp;number=4e-15&amp;sourceID=30","4e-15")</f>
        <v>4e-15</v>
      </c>
      <c r="O371" s="4" t="str">
        <f>HYPERLINK("http://141.218.60.56/~jnz1568/getInfo.php?workbook=08_02.xlsx&amp;sheet=A0&amp;row=371&amp;col=15&amp;number=2.168&amp;sourceID=32","2.168")</f>
        <v>2.168</v>
      </c>
      <c r="P371" s="4" t="str">
        <f>HYPERLINK("http://141.218.60.56/~jnz1568/getInfo.php?workbook=08_02.xlsx&amp;sheet=A0&amp;row=371&amp;col=16&amp;number=&amp;sourceID=32","")</f>
        <v/>
      </c>
      <c r="Q371" s="4" t="str">
        <f>HYPERLINK("http://141.218.60.56/~jnz1568/getInfo.php?workbook=08_02.xlsx&amp;sheet=A0&amp;row=371&amp;col=17&amp;number=&amp;sourceID=32","")</f>
        <v/>
      </c>
      <c r="R371" s="4" t="str">
        <f>HYPERLINK("http://141.218.60.56/~jnz1568/getInfo.php?workbook=08_02.xlsx&amp;sheet=A0&amp;row=371&amp;col=18&amp;number=8e-15&amp;sourceID=32","8e-15")</f>
        <v>8e-15</v>
      </c>
      <c r="S371" s="4" t="str">
        <f>HYPERLINK("http://141.218.60.56/~jnz1568/getInfo.php?workbook=08_02.xlsx&amp;sheet=A0&amp;row=371&amp;col=19&amp;number=&amp;sourceID=1","")</f>
        <v/>
      </c>
      <c r="T371" s="4" t="str">
        <f>HYPERLINK("http://141.218.60.56/~jnz1568/getInfo.php?workbook=08_02.xlsx&amp;sheet=A0&amp;row=371&amp;col=20&amp;number=&amp;sourceID=1","")</f>
        <v/>
      </c>
    </row>
    <row r="372" spans="1:20">
      <c r="A372" s="3">
        <v>8</v>
      </c>
      <c r="B372" s="3">
        <v>2</v>
      </c>
      <c r="C372" s="3">
        <v>30</v>
      </c>
      <c r="D372" s="3">
        <v>27</v>
      </c>
      <c r="E372" s="3">
        <f>((1/(INDEX(E0!J$4:J$52,C372,1)-INDEX(E0!J$4:J$52,D372,1))))*100000000</f>
        <v>0</v>
      </c>
      <c r="F372" s="4" t="str">
        <f>HYPERLINK("http://141.218.60.56/~jnz1568/getInfo.php?workbook=08_02.xlsx&amp;sheet=A0&amp;row=372&amp;col=6&amp;number=&amp;sourceID=27","")</f>
        <v/>
      </c>
      <c r="G372" s="4" t="str">
        <f>HYPERLINK("http://141.218.60.56/~jnz1568/getInfo.php?workbook=08_02.xlsx&amp;sheet=A0&amp;row=372&amp;col=7&amp;number=&amp;sourceID=34","")</f>
        <v/>
      </c>
      <c r="H372" s="4" t="str">
        <f>HYPERLINK("http://141.218.60.56/~jnz1568/getInfo.php?workbook=08_02.xlsx&amp;sheet=A0&amp;row=372&amp;col=8&amp;number=&amp;sourceID=34","")</f>
        <v/>
      </c>
      <c r="I372" s="4" t="str">
        <f>HYPERLINK("http://141.218.60.56/~jnz1568/getInfo.php?workbook=08_02.xlsx&amp;sheet=A0&amp;row=372&amp;col=9&amp;number=&amp;sourceID=34","")</f>
        <v/>
      </c>
      <c r="J372" s="4" t="str">
        <f>HYPERLINK("http://141.218.60.56/~jnz1568/getInfo.php?workbook=08_02.xlsx&amp;sheet=A0&amp;row=372&amp;col=10&amp;number=&amp;sourceID=34","")</f>
        <v/>
      </c>
      <c r="K372" s="4" t="str">
        <f>HYPERLINK("http://141.218.60.56/~jnz1568/getInfo.php?workbook=08_02.xlsx&amp;sheet=A0&amp;row=372&amp;col=11&amp;number=&amp;sourceID=30","")</f>
        <v/>
      </c>
      <c r="L372" s="4" t="str">
        <f>HYPERLINK("http://141.218.60.56/~jnz1568/getInfo.php?workbook=08_02.xlsx&amp;sheet=A0&amp;row=372&amp;col=12&amp;number=0&amp;sourceID=30","0")</f>
        <v>0</v>
      </c>
      <c r="M372" s="4" t="str">
        <f>HYPERLINK("http://141.218.60.56/~jnz1568/getInfo.php?workbook=08_02.xlsx&amp;sheet=A0&amp;row=372&amp;col=13&amp;number=7.262e-09&amp;sourceID=30","7.262e-09")</f>
        <v>7.262e-09</v>
      </c>
      <c r="N372" s="4" t="str">
        <f>HYPERLINK("http://141.218.60.56/~jnz1568/getInfo.php?workbook=08_02.xlsx&amp;sheet=A0&amp;row=372&amp;col=14&amp;number=&amp;sourceID=30","")</f>
        <v/>
      </c>
      <c r="O372" s="4" t="str">
        <f>HYPERLINK("http://141.218.60.56/~jnz1568/getInfo.php?workbook=08_02.xlsx&amp;sheet=A0&amp;row=372&amp;col=15&amp;number=&amp;sourceID=32","")</f>
        <v/>
      </c>
      <c r="P372" s="4" t="str">
        <f>HYPERLINK("http://141.218.60.56/~jnz1568/getInfo.php?workbook=08_02.xlsx&amp;sheet=A0&amp;row=372&amp;col=16&amp;number=&amp;sourceID=32","")</f>
        <v/>
      </c>
      <c r="Q372" s="4" t="str">
        <f>HYPERLINK("http://141.218.60.56/~jnz1568/getInfo.php?workbook=08_02.xlsx&amp;sheet=A0&amp;row=372&amp;col=17&amp;number=&amp;sourceID=32","")</f>
        <v/>
      </c>
      <c r="R372" s="4" t="str">
        <f>HYPERLINK("http://141.218.60.56/~jnz1568/getInfo.php?workbook=08_02.xlsx&amp;sheet=A0&amp;row=372&amp;col=18&amp;number=&amp;sourceID=32","")</f>
        <v/>
      </c>
      <c r="S372" s="4" t="str">
        <f>HYPERLINK("http://141.218.60.56/~jnz1568/getInfo.php?workbook=08_02.xlsx&amp;sheet=A0&amp;row=372&amp;col=19&amp;number=&amp;sourceID=1","")</f>
        <v/>
      </c>
      <c r="T372" s="4" t="str">
        <f>HYPERLINK("http://141.218.60.56/~jnz1568/getInfo.php?workbook=08_02.xlsx&amp;sheet=A0&amp;row=372&amp;col=20&amp;number=&amp;sourceID=1","")</f>
        <v/>
      </c>
    </row>
    <row r="373" spans="1:20">
      <c r="A373" s="3">
        <v>8</v>
      </c>
      <c r="B373" s="3">
        <v>2</v>
      </c>
      <c r="C373" s="3">
        <v>30</v>
      </c>
      <c r="D373" s="3">
        <v>28</v>
      </c>
      <c r="E373" s="3">
        <f>((1/(INDEX(E0!J$4:J$52,C373,1)-INDEX(E0!J$4:J$52,D373,1))))*100000000</f>
        <v>0</v>
      </c>
      <c r="F373" s="4" t="str">
        <f>HYPERLINK("http://141.218.60.56/~jnz1568/getInfo.php?workbook=08_02.xlsx&amp;sheet=A0&amp;row=373&amp;col=6&amp;number=&amp;sourceID=27","")</f>
        <v/>
      </c>
      <c r="G373" s="4" t="str">
        <f>HYPERLINK("http://141.218.60.56/~jnz1568/getInfo.php?workbook=08_02.xlsx&amp;sheet=A0&amp;row=373&amp;col=7&amp;number=&amp;sourceID=34","")</f>
        <v/>
      </c>
      <c r="H373" s="4" t="str">
        <f>HYPERLINK("http://141.218.60.56/~jnz1568/getInfo.php?workbook=08_02.xlsx&amp;sheet=A0&amp;row=373&amp;col=8&amp;number=&amp;sourceID=34","")</f>
        <v/>
      </c>
      <c r="I373" s="4" t="str">
        <f>HYPERLINK("http://141.218.60.56/~jnz1568/getInfo.php?workbook=08_02.xlsx&amp;sheet=A0&amp;row=373&amp;col=9&amp;number=&amp;sourceID=34","")</f>
        <v/>
      </c>
      <c r="J373" s="4" t="str">
        <f>HYPERLINK("http://141.218.60.56/~jnz1568/getInfo.php?workbook=08_02.xlsx&amp;sheet=A0&amp;row=373&amp;col=10&amp;number=&amp;sourceID=34","")</f>
        <v/>
      </c>
      <c r="K373" s="4" t="str">
        <f>HYPERLINK("http://141.218.60.56/~jnz1568/getInfo.php?workbook=08_02.xlsx&amp;sheet=A0&amp;row=373&amp;col=11&amp;number=&amp;sourceID=30","")</f>
        <v/>
      </c>
      <c r="L373" s="4" t="str">
        <f>HYPERLINK("http://141.218.60.56/~jnz1568/getInfo.php?workbook=08_02.xlsx&amp;sheet=A0&amp;row=373&amp;col=12&amp;number=0&amp;sourceID=30","0")</f>
        <v>0</v>
      </c>
      <c r="M373" s="4" t="str">
        <f>HYPERLINK("http://141.218.60.56/~jnz1568/getInfo.php?workbook=08_02.xlsx&amp;sheet=A0&amp;row=373&amp;col=13&amp;number=6.72e-08&amp;sourceID=30","6.72e-08")</f>
        <v>6.72e-08</v>
      </c>
      <c r="N373" s="4" t="str">
        <f>HYPERLINK("http://141.218.60.56/~jnz1568/getInfo.php?workbook=08_02.xlsx&amp;sheet=A0&amp;row=373&amp;col=14&amp;number=&amp;sourceID=30","")</f>
        <v/>
      </c>
      <c r="O373" s="4" t="str">
        <f>HYPERLINK("http://141.218.60.56/~jnz1568/getInfo.php?workbook=08_02.xlsx&amp;sheet=A0&amp;row=373&amp;col=15&amp;number=&amp;sourceID=32","")</f>
        <v/>
      </c>
      <c r="P373" s="4" t="str">
        <f>HYPERLINK("http://141.218.60.56/~jnz1568/getInfo.php?workbook=08_02.xlsx&amp;sheet=A0&amp;row=373&amp;col=16&amp;number=&amp;sourceID=32","")</f>
        <v/>
      </c>
      <c r="Q373" s="4" t="str">
        <f>HYPERLINK("http://141.218.60.56/~jnz1568/getInfo.php?workbook=08_02.xlsx&amp;sheet=A0&amp;row=373&amp;col=17&amp;number=&amp;sourceID=32","")</f>
        <v/>
      </c>
      <c r="R373" s="4" t="str">
        <f>HYPERLINK("http://141.218.60.56/~jnz1568/getInfo.php?workbook=08_02.xlsx&amp;sheet=A0&amp;row=373&amp;col=18&amp;number=&amp;sourceID=32","")</f>
        <v/>
      </c>
      <c r="S373" s="4" t="str">
        <f>HYPERLINK("http://141.218.60.56/~jnz1568/getInfo.php?workbook=08_02.xlsx&amp;sheet=A0&amp;row=373&amp;col=19&amp;number=&amp;sourceID=1","")</f>
        <v/>
      </c>
      <c r="T373" s="4" t="str">
        <f>HYPERLINK("http://141.218.60.56/~jnz1568/getInfo.php?workbook=08_02.xlsx&amp;sheet=A0&amp;row=373&amp;col=20&amp;number=&amp;sourceID=1","")</f>
        <v/>
      </c>
    </row>
    <row r="374" spans="1:20">
      <c r="A374" s="3">
        <v>8</v>
      </c>
      <c r="B374" s="3">
        <v>2</v>
      </c>
      <c r="C374" s="3">
        <v>31</v>
      </c>
      <c r="D374" s="3">
        <v>1</v>
      </c>
      <c r="E374" s="3">
        <f>((1/(INDEX(E0!J$4:J$52,C374,1)-INDEX(E0!J$4:J$52,D374,1))))*100000000</f>
        <v>0</v>
      </c>
      <c r="F374" s="4" t="str">
        <f>HYPERLINK("http://141.218.60.56/~jnz1568/getInfo.php?workbook=08_02.xlsx&amp;sheet=A0&amp;row=374&amp;col=6&amp;number=&amp;sourceID=27","")</f>
        <v/>
      </c>
      <c r="G374" s="4" t="str">
        <f>HYPERLINK("http://141.218.60.56/~jnz1568/getInfo.php?workbook=08_02.xlsx&amp;sheet=A0&amp;row=374&amp;col=7&amp;number=&amp;sourceID=34","")</f>
        <v/>
      </c>
      <c r="H374" s="4" t="str">
        <f>HYPERLINK("http://141.218.60.56/~jnz1568/getInfo.php?workbook=08_02.xlsx&amp;sheet=A0&amp;row=374&amp;col=8&amp;number=&amp;sourceID=34","")</f>
        <v/>
      </c>
      <c r="I374" s="4" t="str">
        <f>HYPERLINK("http://141.218.60.56/~jnz1568/getInfo.php?workbook=08_02.xlsx&amp;sheet=A0&amp;row=374&amp;col=9&amp;number=&amp;sourceID=34","")</f>
        <v/>
      </c>
      <c r="J374" s="4" t="str">
        <f>HYPERLINK("http://141.218.60.56/~jnz1568/getInfo.php?workbook=08_02.xlsx&amp;sheet=A0&amp;row=374&amp;col=10&amp;number=&amp;sourceID=34","")</f>
        <v/>
      </c>
      <c r="K374" s="4" t="str">
        <f>HYPERLINK("http://141.218.60.56/~jnz1568/getInfo.php?workbook=08_02.xlsx&amp;sheet=A0&amp;row=374&amp;col=11&amp;number=549900000000&amp;sourceID=30","549900000000")</f>
        <v>549900000000</v>
      </c>
      <c r="L374" s="4" t="str">
        <f>HYPERLINK("http://141.218.60.56/~jnz1568/getInfo.php?workbook=08_02.xlsx&amp;sheet=A0&amp;row=374&amp;col=12&amp;number=&amp;sourceID=30","")</f>
        <v/>
      </c>
      <c r="M374" s="4" t="str">
        <f>HYPERLINK("http://141.218.60.56/~jnz1568/getInfo.php?workbook=08_02.xlsx&amp;sheet=A0&amp;row=374&amp;col=13&amp;number=&amp;sourceID=30","")</f>
        <v/>
      </c>
      <c r="N374" s="4" t="str">
        <f>HYPERLINK("http://141.218.60.56/~jnz1568/getInfo.php?workbook=08_02.xlsx&amp;sheet=A0&amp;row=374&amp;col=14&amp;number=&amp;sourceID=30","")</f>
        <v/>
      </c>
      <c r="O374" s="4" t="str">
        <f>HYPERLINK("http://141.218.60.56/~jnz1568/getInfo.php?workbook=08_02.xlsx&amp;sheet=A0&amp;row=374&amp;col=15&amp;number=387700000000&amp;sourceID=32","387700000000")</f>
        <v>387700000000</v>
      </c>
      <c r="P374" s="4" t="str">
        <f>HYPERLINK("http://141.218.60.56/~jnz1568/getInfo.php?workbook=08_02.xlsx&amp;sheet=A0&amp;row=374&amp;col=16&amp;number=&amp;sourceID=32","")</f>
        <v/>
      </c>
      <c r="Q374" s="4" t="str">
        <f>HYPERLINK("http://141.218.60.56/~jnz1568/getInfo.php?workbook=08_02.xlsx&amp;sheet=A0&amp;row=374&amp;col=17&amp;number=&amp;sourceID=32","")</f>
        <v/>
      </c>
      <c r="R374" s="4" t="str">
        <f>HYPERLINK("http://141.218.60.56/~jnz1568/getInfo.php?workbook=08_02.xlsx&amp;sheet=A0&amp;row=374&amp;col=18&amp;number=&amp;sourceID=32","")</f>
        <v/>
      </c>
      <c r="S374" s="4" t="str">
        <f>HYPERLINK("http://141.218.60.56/~jnz1568/getInfo.php?workbook=08_02.xlsx&amp;sheet=A0&amp;row=374&amp;col=19&amp;number=&amp;sourceID=1","")</f>
        <v/>
      </c>
      <c r="T374" s="4" t="str">
        <f>HYPERLINK("http://141.218.60.56/~jnz1568/getInfo.php?workbook=08_02.xlsx&amp;sheet=A0&amp;row=374&amp;col=20&amp;number=&amp;sourceID=1","")</f>
        <v/>
      </c>
    </row>
    <row r="375" spans="1:20">
      <c r="A375" s="3">
        <v>8</v>
      </c>
      <c r="B375" s="3">
        <v>2</v>
      </c>
      <c r="C375" s="3">
        <v>31</v>
      </c>
      <c r="D375" s="3">
        <v>2</v>
      </c>
      <c r="E375" s="3">
        <f>((1/(INDEX(E0!J$4:J$52,C375,1)-INDEX(E0!J$4:J$52,D375,1))))*100000000</f>
        <v>0</v>
      </c>
      <c r="F375" s="4" t="str">
        <f>HYPERLINK("http://141.218.60.56/~jnz1568/getInfo.php?workbook=08_02.xlsx&amp;sheet=A0&amp;row=375&amp;col=6&amp;number=&amp;sourceID=27","")</f>
        <v/>
      </c>
      <c r="G375" s="4" t="str">
        <f>HYPERLINK("http://141.218.60.56/~jnz1568/getInfo.php?workbook=08_02.xlsx&amp;sheet=A0&amp;row=375&amp;col=7&amp;number=&amp;sourceID=34","")</f>
        <v/>
      </c>
      <c r="H375" s="4" t="str">
        <f>HYPERLINK("http://141.218.60.56/~jnz1568/getInfo.php?workbook=08_02.xlsx&amp;sheet=A0&amp;row=375&amp;col=8&amp;number=&amp;sourceID=34","")</f>
        <v/>
      </c>
      <c r="I375" s="4" t="str">
        <f>HYPERLINK("http://141.218.60.56/~jnz1568/getInfo.php?workbook=08_02.xlsx&amp;sheet=A0&amp;row=375&amp;col=9&amp;number=&amp;sourceID=34","")</f>
        <v/>
      </c>
      <c r="J375" s="4" t="str">
        <f>HYPERLINK("http://141.218.60.56/~jnz1568/getInfo.php?workbook=08_02.xlsx&amp;sheet=A0&amp;row=375&amp;col=10&amp;number=&amp;sourceID=34","")</f>
        <v/>
      </c>
      <c r="K375" s="4" t="str">
        <f>HYPERLINK("http://141.218.60.56/~jnz1568/getInfo.php?workbook=08_02.xlsx&amp;sheet=A0&amp;row=375&amp;col=11&amp;number=3298000&amp;sourceID=30","3298000")</f>
        <v>3298000</v>
      </c>
      <c r="L375" s="4" t="str">
        <f>HYPERLINK("http://141.218.60.56/~jnz1568/getInfo.php?workbook=08_02.xlsx&amp;sheet=A0&amp;row=375&amp;col=12&amp;number=&amp;sourceID=30","")</f>
        <v/>
      </c>
      <c r="M375" s="4" t="str">
        <f>HYPERLINK("http://141.218.60.56/~jnz1568/getInfo.php?workbook=08_02.xlsx&amp;sheet=A0&amp;row=375&amp;col=13&amp;number=&amp;sourceID=30","")</f>
        <v/>
      </c>
      <c r="N375" s="4" t="str">
        <f>HYPERLINK("http://141.218.60.56/~jnz1568/getInfo.php?workbook=08_02.xlsx&amp;sheet=A0&amp;row=375&amp;col=14&amp;number=199.4&amp;sourceID=30","199.4")</f>
        <v>199.4</v>
      </c>
      <c r="O375" s="4" t="str">
        <f>HYPERLINK("http://141.218.60.56/~jnz1568/getInfo.php?workbook=08_02.xlsx&amp;sheet=A0&amp;row=375&amp;col=15&amp;number=3832000&amp;sourceID=32","3832000")</f>
        <v>3832000</v>
      </c>
      <c r="P375" s="4" t="str">
        <f>HYPERLINK("http://141.218.60.56/~jnz1568/getInfo.php?workbook=08_02.xlsx&amp;sheet=A0&amp;row=375&amp;col=16&amp;number=&amp;sourceID=32","")</f>
        <v/>
      </c>
      <c r="Q375" s="4" t="str">
        <f>HYPERLINK("http://141.218.60.56/~jnz1568/getInfo.php?workbook=08_02.xlsx&amp;sheet=A0&amp;row=375&amp;col=17&amp;number=&amp;sourceID=32","")</f>
        <v/>
      </c>
      <c r="R375" s="4" t="str">
        <f>HYPERLINK("http://141.218.60.56/~jnz1568/getInfo.php?workbook=08_02.xlsx&amp;sheet=A0&amp;row=375&amp;col=18&amp;number=194.4&amp;sourceID=32","194.4")</f>
        <v>194.4</v>
      </c>
      <c r="S375" s="4" t="str">
        <f>HYPERLINK("http://141.218.60.56/~jnz1568/getInfo.php?workbook=08_02.xlsx&amp;sheet=A0&amp;row=375&amp;col=19&amp;number=&amp;sourceID=1","")</f>
        <v/>
      </c>
      <c r="T375" s="4" t="str">
        <f>HYPERLINK("http://141.218.60.56/~jnz1568/getInfo.php?workbook=08_02.xlsx&amp;sheet=A0&amp;row=375&amp;col=20&amp;number=&amp;sourceID=1","")</f>
        <v/>
      </c>
    </row>
    <row r="376" spans="1:20">
      <c r="A376" s="3">
        <v>8</v>
      </c>
      <c r="B376" s="3">
        <v>2</v>
      </c>
      <c r="C376" s="3">
        <v>31</v>
      </c>
      <c r="D376" s="3">
        <v>3</v>
      </c>
      <c r="E376" s="3">
        <f>((1/(INDEX(E0!J$4:J$52,C376,1)-INDEX(E0!J$4:J$52,D376,1))))*100000000</f>
        <v>0</v>
      </c>
      <c r="F376" s="4" t="str">
        <f>HYPERLINK("http://141.218.60.56/~jnz1568/getInfo.php?workbook=08_02.xlsx&amp;sheet=A0&amp;row=376&amp;col=6&amp;number=&amp;sourceID=27","")</f>
        <v/>
      </c>
      <c r="G376" s="4" t="str">
        <f>HYPERLINK("http://141.218.60.56/~jnz1568/getInfo.php?workbook=08_02.xlsx&amp;sheet=A0&amp;row=376&amp;col=7&amp;number=&amp;sourceID=34","")</f>
        <v/>
      </c>
      <c r="H376" s="4" t="str">
        <f>HYPERLINK("http://141.218.60.56/~jnz1568/getInfo.php?workbook=08_02.xlsx&amp;sheet=A0&amp;row=376&amp;col=8&amp;number=&amp;sourceID=34","")</f>
        <v/>
      </c>
      <c r="I376" s="4" t="str">
        <f>HYPERLINK("http://141.218.60.56/~jnz1568/getInfo.php?workbook=08_02.xlsx&amp;sheet=A0&amp;row=376&amp;col=9&amp;number=&amp;sourceID=34","")</f>
        <v/>
      </c>
      <c r="J376" s="4" t="str">
        <f>HYPERLINK("http://141.218.60.56/~jnz1568/getInfo.php?workbook=08_02.xlsx&amp;sheet=A0&amp;row=376&amp;col=10&amp;number=&amp;sourceID=34","")</f>
        <v/>
      </c>
      <c r="K376" s="4" t="str">
        <f>HYPERLINK("http://141.218.60.56/~jnz1568/getInfo.php?workbook=08_02.xlsx&amp;sheet=A0&amp;row=376&amp;col=11&amp;number=&amp;sourceID=30","")</f>
        <v/>
      </c>
      <c r="L376" s="4" t="str">
        <f>HYPERLINK("http://141.218.60.56/~jnz1568/getInfo.php?workbook=08_02.xlsx&amp;sheet=A0&amp;row=376&amp;col=12&amp;number=&amp;sourceID=30","")</f>
        <v/>
      </c>
      <c r="M376" s="4" t="str">
        <f>HYPERLINK("http://141.218.60.56/~jnz1568/getInfo.php?workbook=08_02.xlsx&amp;sheet=A0&amp;row=376&amp;col=13&amp;number=0.3746&amp;sourceID=30","0.3746")</f>
        <v>0.3746</v>
      </c>
      <c r="N376" s="4" t="str">
        <f>HYPERLINK("http://141.218.60.56/~jnz1568/getInfo.php?workbook=08_02.xlsx&amp;sheet=A0&amp;row=376&amp;col=14&amp;number=&amp;sourceID=30","")</f>
        <v/>
      </c>
      <c r="O376" s="4" t="str">
        <f>HYPERLINK("http://141.218.60.56/~jnz1568/getInfo.php?workbook=08_02.xlsx&amp;sheet=A0&amp;row=376&amp;col=15&amp;number=&amp;sourceID=32","")</f>
        <v/>
      </c>
      <c r="P376" s="4" t="str">
        <f>HYPERLINK("http://141.218.60.56/~jnz1568/getInfo.php?workbook=08_02.xlsx&amp;sheet=A0&amp;row=376&amp;col=16&amp;number=&amp;sourceID=32","")</f>
        <v/>
      </c>
      <c r="Q376" s="4" t="str">
        <f>HYPERLINK("http://141.218.60.56/~jnz1568/getInfo.php?workbook=08_02.xlsx&amp;sheet=A0&amp;row=376&amp;col=17&amp;number=0.3212&amp;sourceID=32","0.3212")</f>
        <v>0.3212</v>
      </c>
      <c r="R376" s="4" t="str">
        <f>HYPERLINK("http://141.218.60.56/~jnz1568/getInfo.php?workbook=08_02.xlsx&amp;sheet=A0&amp;row=376&amp;col=18&amp;number=&amp;sourceID=32","")</f>
        <v/>
      </c>
      <c r="S376" s="4" t="str">
        <f>HYPERLINK("http://141.218.60.56/~jnz1568/getInfo.php?workbook=08_02.xlsx&amp;sheet=A0&amp;row=376&amp;col=19&amp;number=&amp;sourceID=1","")</f>
        <v/>
      </c>
      <c r="T376" s="4" t="str">
        <f>HYPERLINK("http://141.218.60.56/~jnz1568/getInfo.php?workbook=08_02.xlsx&amp;sheet=A0&amp;row=376&amp;col=20&amp;number=&amp;sourceID=1","")</f>
        <v/>
      </c>
    </row>
    <row r="377" spans="1:20">
      <c r="A377" s="3">
        <v>8</v>
      </c>
      <c r="B377" s="3">
        <v>2</v>
      </c>
      <c r="C377" s="3">
        <v>31</v>
      </c>
      <c r="D377" s="3">
        <v>4</v>
      </c>
      <c r="E377" s="3">
        <f>((1/(INDEX(E0!J$4:J$52,C377,1)-INDEX(E0!J$4:J$52,D377,1))))*100000000</f>
        <v>0</v>
      </c>
      <c r="F377" s="4" t="str">
        <f>HYPERLINK("http://141.218.60.56/~jnz1568/getInfo.php?workbook=08_02.xlsx&amp;sheet=A0&amp;row=377&amp;col=6&amp;number=&amp;sourceID=27","")</f>
        <v/>
      </c>
      <c r="G377" s="4" t="str">
        <f>HYPERLINK("http://141.218.60.56/~jnz1568/getInfo.php?workbook=08_02.xlsx&amp;sheet=A0&amp;row=377&amp;col=7&amp;number=&amp;sourceID=34","")</f>
        <v/>
      </c>
      <c r="H377" s="4" t="str">
        <f>HYPERLINK("http://141.218.60.56/~jnz1568/getInfo.php?workbook=08_02.xlsx&amp;sheet=A0&amp;row=377&amp;col=8&amp;number=&amp;sourceID=34","")</f>
        <v/>
      </c>
      <c r="I377" s="4" t="str">
        <f>HYPERLINK("http://141.218.60.56/~jnz1568/getInfo.php?workbook=08_02.xlsx&amp;sheet=A0&amp;row=377&amp;col=9&amp;number=&amp;sourceID=34","")</f>
        <v/>
      </c>
      <c r="J377" s="4" t="str">
        <f>HYPERLINK("http://141.218.60.56/~jnz1568/getInfo.php?workbook=08_02.xlsx&amp;sheet=A0&amp;row=377&amp;col=10&amp;number=&amp;sourceID=34","")</f>
        <v/>
      </c>
      <c r="K377" s="4" t="str">
        <f>HYPERLINK("http://141.218.60.56/~jnz1568/getInfo.php?workbook=08_02.xlsx&amp;sheet=A0&amp;row=377&amp;col=11&amp;number=&amp;sourceID=30","")</f>
        <v/>
      </c>
      <c r="L377" s="4" t="str">
        <f>HYPERLINK("http://141.218.60.56/~jnz1568/getInfo.php?workbook=08_02.xlsx&amp;sheet=A0&amp;row=377&amp;col=12&amp;number=519.5&amp;sourceID=30","519.5")</f>
        <v>519.5</v>
      </c>
      <c r="M377" s="4" t="str">
        <f>HYPERLINK("http://141.218.60.56/~jnz1568/getInfo.php?workbook=08_02.xlsx&amp;sheet=A0&amp;row=377&amp;col=13&amp;number=0.2082&amp;sourceID=30","0.2082")</f>
        <v>0.2082</v>
      </c>
      <c r="N377" s="4" t="str">
        <f>HYPERLINK("http://141.218.60.56/~jnz1568/getInfo.php?workbook=08_02.xlsx&amp;sheet=A0&amp;row=377&amp;col=14&amp;number=&amp;sourceID=30","")</f>
        <v/>
      </c>
      <c r="O377" s="4" t="str">
        <f>HYPERLINK("http://141.218.60.56/~jnz1568/getInfo.php?workbook=08_02.xlsx&amp;sheet=A0&amp;row=377&amp;col=15&amp;number=&amp;sourceID=32","")</f>
        <v/>
      </c>
      <c r="P377" s="4" t="str">
        <f>HYPERLINK("http://141.218.60.56/~jnz1568/getInfo.php?workbook=08_02.xlsx&amp;sheet=A0&amp;row=377&amp;col=16&amp;number=475&amp;sourceID=32","475")</f>
        <v>475</v>
      </c>
      <c r="Q377" s="4" t="str">
        <f>HYPERLINK("http://141.218.60.56/~jnz1568/getInfo.php?workbook=08_02.xlsx&amp;sheet=A0&amp;row=377&amp;col=17&amp;number=0.2101&amp;sourceID=32","0.2101")</f>
        <v>0.2101</v>
      </c>
      <c r="R377" s="4" t="str">
        <f>HYPERLINK("http://141.218.60.56/~jnz1568/getInfo.php?workbook=08_02.xlsx&amp;sheet=A0&amp;row=377&amp;col=18&amp;number=&amp;sourceID=32","")</f>
        <v/>
      </c>
      <c r="S377" s="4" t="str">
        <f>HYPERLINK("http://141.218.60.56/~jnz1568/getInfo.php?workbook=08_02.xlsx&amp;sheet=A0&amp;row=377&amp;col=19&amp;number=&amp;sourceID=1","")</f>
        <v/>
      </c>
      <c r="T377" s="4" t="str">
        <f>HYPERLINK("http://141.218.60.56/~jnz1568/getInfo.php?workbook=08_02.xlsx&amp;sheet=A0&amp;row=377&amp;col=20&amp;number=&amp;sourceID=1","")</f>
        <v/>
      </c>
    </row>
    <row r="378" spans="1:20">
      <c r="A378" s="3">
        <v>8</v>
      </c>
      <c r="B378" s="3">
        <v>2</v>
      </c>
      <c r="C378" s="3">
        <v>31</v>
      </c>
      <c r="D378" s="3">
        <v>5</v>
      </c>
      <c r="E378" s="3">
        <f>((1/(INDEX(E0!J$4:J$52,C378,1)-INDEX(E0!J$4:J$52,D378,1))))*100000000</f>
        <v>0</v>
      </c>
      <c r="F378" s="4" t="str">
        <f>HYPERLINK("http://141.218.60.56/~jnz1568/getInfo.php?workbook=08_02.xlsx&amp;sheet=A0&amp;row=378&amp;col=6&amp;number=&amp;sourceID=27","")</f>
        <v/>
      </c>
      <c r="G378" s="4" t="str">
        <f>HYPERLINK("http://141.218.60.56/~jnz1568/getInfo.php?workbook=08_02.xlsx&amp;sheet=A0&amp;row=378&amp;col=7&amp;number=&amp;sourceID=34","")</f>
        <v/>
      </c>
      <c r="H378" s="4" t="str">
        <f>HYPERLINK("http://141.218.60.56/~jnz1568/getInfo.php?workbook=08_02.xlsx&amp;sheet=A0&amp;row=378&amp;col=8&amp;number=&amp;sourceID=34","")</f>
        <v/>
      </c>
      <c r="I378" s="4" t="str">
        <f>HYPERLINK("http://141.218.60.56/~jnz1568/getInfo.php?workbook=08_02.xlsx&amp;sheet=A0&amp;row=378&amp;col=9&amp;number=&amp;sourceID=34","")</f>
        <v/>
      </c>
      <c r="J378" s="4" t="str">
        <f>HYPERLINK("http://141.218.60.56/~jnz1568/getInfo.php?workbook=08_02.xlsx&amp;sheet=A0&amp;row=378&amp;col=10&amp;number=&amp;sourceID=34","")</f>
        <v/>
      </c>
      <c r="K378" s="4" t="str">
        <f>HYPERLINK("http://141.218.60.56/~jnz1568/getInfo.php?workbook=08_02.xlsx&amp;sheet=A0&amp;row=378&amp;col=11&amp;number=&amp;sourceID=30","")</f>
        <v/>
      </c>
      <c r="L378" s="4" t="str">
        <f>HYPERLINK("http://141.218.60.56/~jnz1568/getInfo.php?workbook=08_02.xlsx&amp;sheet=A0&amp;row=378&amp;col=12&amp;number=140.7&amp;sourceID=30","140.7")</f>
        <v>140.7</v>
      </c>
      <c r="M378" s="4" t="str">
        <f>HYPERLINK("http://141.218.60.56/~jnz1568/getInfo.php?workbook=08_02.xlsx&amp;sheet=A0&amp;row=378&amp;col=13&amp;number=1.668&amp;sourceID=30","1.668")</f>
        <v>1.668</v>
      </c>
      <c r="N378" s="4" t="str">
        <f>HYPERLINK("http://141.218.60.56/~jnz1568/getInfo.php?workbook=08_02.xlsx&amp;sheet=A0&amp;row=378&amp;col=14&amp;number=&amp;sourceID=30","")</f>
        <v/>
      </c>
      <c r="O378" s="4" t="str">
        <f>HYPERLINK("http://141.218.60.56/~jnz1568/getInfo.php?workbook=08_02.xlsx&amp;sheet=A0&amp;row=378&amp;col=15&amp;number=&amp;sourceID=32","")</f>
        <v/>
      </c>
      <c r="P378" s="4" t="str">
        <f>HYPERLINK("http://141.218.60.56/~jnz1568/getInfo.php?workbook=08_02.xlsx&amp;sheet=A0&amp;row=378&amp;col=16&amp;number=173.3&amp;sourceID=32","173.3")</f>
        <v>173.3</v>
      </c>
      <c r="Q378" s="4" t="str">
        <f>HYPERLINK("http://141.218.60.56/~jnz1568/getInfo.php?workbook=08_02.xlsx&amp;sheet=A0&amp;row=378&amp;col=17&amp;number=1.444&amp;sourceID=32","1.444")</f>
        <v>1.444</v>
      </c>
      <c r="R378" s="4" t="str">
        <f>HYPERLINK("http://141.218.60.56/~jnz1568/getInfo.php?workbook=08_02.xlsx&amp;sheet=A0&amp;row=378&amp;col=18&amp;number=&amp;sourceID=32","")</f>
        <v/>
      </c>
      <c r="S378" s="4" t="str">
        <f>HYPERLINK("http://141.218.60.56/~jnz1568/getInfo.php?workbook=08_02.xlsx&amp;sheet=A0&amp;row=378&amp;col=19&amp;number=&amp;sourceID=1","")</f>
        <v/>
      </c>
      <c r="T378" s="4" t="str">
        <f>HYPERLINK("http://141.218.60.56/~jnz1568/getInfo.php?workbook=08_02.xlsx&amp;sheet=A0&amp;row=378&amp;col=20&amp;number=&amp;sourceID=1","")</f>
        <v/>
      </c>
    </row>
    <row r="379" spans="1:20">
      <c r="A379" s="3">
        <v>8</v>
      </c>
      <c r="B379" s="3">
        <v>2</v>
      </c>
      <c r="C379" s="3">
        <v>31</v>
      </c>
      <c r="D379" s="3">
        <v>6</v>
      </c>
      <c r="E379" s="3">
        <f>((1/(INDEX(E0!J$4:J$52,C379,1)-INDEX(E0!J$4:J$52,D379,1))))*100000000</f>
        <v>0</v>
      </c>
      <c r="F379" s="4" t="str">
        <f>HYPERLINK("http://141.218.60.56/~jnz1568/getInfo.php?workbook=08_02.xlsx&amp;sheet=A0&amp;row=379&amp;col=6&amp;number=&amp;sourceID=27","")</f>
        <v/>
      </c>
      <c r="G379" s="4" t="str">
        <f>HYPERLINK("http://141.218.60.56/~jnz1568/getInfo.php?workbook=08_02.xlsx&amp;sheet=A0&amp;row=379&amp;col=7&amp;number=22500000000&amp;sourceID=34","22500000000")</f>
        <v>22500000000</v>
      </c>
      <c r="H379" s="4" t="str">
        <f>HYPERLINK("http://141.218.60.56/~jnz1568/getInfo.php?workbook=08_02.xlsx&amp;sheet=A0&amp;row=379&amp;col=8&amp;number=&amp;sourceID=34","")</f>
        <v/>
      </c>
      <c r="I379" s="4" t="str">
        <f>HYPERLINK("http://141.218.60.56/~jnz1568/getInfo.php?workbook=08_02.xlsx&amp;sheet=A0&amp;row=379&amp;col=9&amp;number=&amp;sourceID=34","")</f>
        <v/>
      </c>
      <c r="J379" s="4" t="str">
        <f>HYPERLINK("http://141.218.60.56/~jnz1568/getInfo.php?workbook=08_02.xlsx&amp;sheet=A0&amp;row=379&amp;col=10&amp;number=&amp;sourceID=34","")</f>
        <v/>
      </c>
      <c r="K379" s="4" t="str">
        <f>HYPERLINK("http://141.218.60.56/~jnz1568/getInfo.php?workbook=08_02.xlsx&amp;sheet=A0&amp;row=379&amp;col=11&amp;number=26230000000&amp;sourceID=30","26230000000")</f>
        <v>26230000000</v>
      </c>
      <c r="L379" s="4" t="str">
        <f>HYPERLINK("http://141.218.60.56/~jnz1568/getInfo.php?workbook=08_02.xlsx&amp;sheet=A0&amp;row=379&amp;col=12&amp;number=&amp;sourceID=30","")</f>
        <v/>
      </c>
      <c r="M379" s="4" t="str">
        <f>HYPERLINK("http://141.218.60.56/~jnz1568/getInfo.php?workbook=08_02.xlsx&amp;sheet=A0&amp;row=379&amp;col=13&amp;number=&amp;sourceID=30","")</f>
        <v/>
      </c>
      <c r="N379" s="4" t="str">
        <f>HYPERLINK("http://141.218.60.56/~jnz1568/getInfo.php?workbook=08_02.xlsx&amp;sheet=A0&amp;row=379&amp;col=14&amp;number=&amp;sourceID=30","")</f>
        <v/>
      </c>
      <c r="O379" s="4" t="str">
        <f>HYPERLINK("http://141.218.60.56/~jnz1568/getInfo.php?workbook=08_02.xlsx&amp;sheet=A0&amp;row=379&amp;col=15&amp;number=22460000000&amp;sourceID=32","22460000000")</f>
        <v>22460000000</v>
      </c>
      <c r="P379" s="4" t="str">
        <f>HYPERLINK("http://141.218.60.56/~jnz1568/getInfo.php?workbook=08_02.xlsx&amp;sheet=A0&amp;row=379&amp;col=16&amp;number=&amp;sourceID=32","")</f>
        <v/>
      </c>
      <c r="Q379" s="4" t="str">
        <f>HYPERLINK("http://141.218.60.56/~jnz1568/getInfo.php?workbook=08_02.xlsx&amp;sheet=A0&amp;row=379&amp;col=17&amp;number=&amp;sourceID=32","")</f>
        <v/>
      </c>
      <c r="R379" s="4" t="str">
        <f>HYPERLINK("http://141.218.60.56/~jnz1568/getInfo.php?workbook=08_02.xlsx&amp;sheet=A0&amp;row=379&amp;col=18&amp;number=&amp;sourceID=32","")</f>
        <v/>
      </c>
      <c r="S379" s="4" t="str">
        <f>HYPERLINK("http://141.218.60.56/~jnz1568/getInfo.php?workbook=08_02.xlsx&amp;sheet=A0&amp;row=379&amp;col=19&amp;number=&amp;sourceID=1","")</f>
        <v/>
      </c>
      <c r="T379" s="4" t="str">
        <f>HYPERLINK("http://141.218.60.56/~jnz1568/getInfo.php?workbook=08_02.xlsx&amp;sheet=A0&amp;row=379&amp;col=20&amp;number=&amp;sourceID=1","")</f>
        <v/>
      </c>
    </row>
    <row r="380" spans="1:20">
      <c r="A380" s="3">
        <v>8</v>
      </c>
      <c r="B380" s="3">
        <v>2</v>
      </c>
      <c r="C380" s="3">
        <v>31</v>
      </c>
      <c r="D380" s="3">
        <v>7</v>
      </c>
      <c r="E380" s="3">
        <f>((1/(INDEX(E0!J$4:J$52,C380,1)-INDEX(E0!J$4:J$52,D380,1))))*100000000</f>
        <v>0</v>
      </c>
      <c r="F380" s="4" t="str">
        <f>HYPERLINK("http://141.218.60.56/~jnz1568/getInfo.php?workbook=08_02.xlsx&amp;sheet=A0&amp;row=380&amp;col=6&amp;number=&amp;sourceID=27","")</f>
        <v/>
      </c>
      <c r="G380" s="4" t="str">
        <f>HYPERLINK("http://141.218.60.56/~jnz1568/getInfo.php?workbook=08_02.xlsx&amp;sheet=A0&amp;row=380&amp;col=7&amp;number=&amp;sourceID=34","")</f>
        <v/>
      </c>
      <c r="H380" s="4" t="str">
        <f>HYPERLINK("http://141.218.60.56/~jnz1568/getInfo.php?workbook=08_02.xlsx&amp;sheet=A0&amp;row=380&amp;col=8&amp;number=&amp;sourceID=34","")</f>
        <v/>
      </c>
      <c r="I380" s="4" t="str">
        <f>HYPERLINK("http://141.218.60.56/~jnz1568/getInfo.php?workbook=08_02.xlsx&amp;sheet=A0&amp;row=380&amp;col=9&amp;number=&amp;sourceID=34","")</f>
        <v/>
      </c>
      <c r="J380" s="4" t="str">
        <f>HYPERLINK("http://141.218.60.56/~jnz1568/getInfo.php?workbook=08_02.xlsx&amp;sheet=A0&amp;row=380&amp;col=10&amp;number=&amp;sourceID=34","")</f>
        <v/>
      </c>
      <c r="K380" s="4" t="str">
        <f>HYPERLINK("http://141.218.60.56/~jnz1568/getInfo.php?workbook=08_02.xlsx&amp;sheet=A0&amp;row=380&amp;col=11&amp;number=&amp;sourceID=30","")</f>
        <v/>
      </c>
      <c r="L380" s="4" t="str">
        <f>HYPERLINK("http://141.218.60.56/~jnz1568/getInfo.php?workbook=08_02.xlsx&amp;sheet=A0&amp;row=380&amp;col=12&amp;number=1593000&amp;sourceID=30","1593000")</f>
        <v>1593000</v>
      </c>
      <c r="M380" s="4" t="str">
        <f>HYPERLINK("http://141.218.60.56/~jnz1568/getInfo.php?workbook=08_02.xlsx&amp;sheet=A0&amp;row=380&amp;col=13&amp;number=0.3139&amp;sourceID=30","0.3139")</f>
        <v>0.3139</v>
      </c>
      <c r="N380" s="4" t="str">
        <f>HYPERLINK("http://141.218.60.56/~jnz1568/getInfo.php?workbook=08_02.xlsx&amp;sheet=A0&amp;row=380&amp;col=14&amp;number=&amp;sourceID=30","")</f>
        <v/>
      </c>
      <c r="O380" s="4" t="str">
        <f>HYPERLINK("http://141.218.60.56/~jnz1568/getInfo.php?workbook=08_02.xlsx&amp;sheet=A0&amp;row=380&amp;col=15&amp;number=&amp;sourceID=32","")</f>
        <v/>
      </c>
      <c r="P380" s="4" t="str">
        <f>HYPERLINK("http://141.218.60.56/~jnz1568/getInfo.php?workbook=08_02.xlsx&amp;sheet=A0&amp;row=380&amp;col=16&amp;number=1187000&amp;sourceID=32","1187000")</f>
        <v>1187000</v>
      </c>
      <c r="Q380" s="4" t="str">
        <f>HYPERLINK("http://141.218.60.56/~jnz1568/getInfo.php?workbook=08_02.xlsx&amp;sheet=A0&amp;row=380&amp;col=17&amp;number=0.2799&amp;sourceID=32","0.2799")</f>
        <v>0.2799</v>
      </c>
      <c r="R380" s="4" t="str">
        <f>HYPERLINK("http://141.218.60.56/~jnz1568/getInfo.php?workbook=08_02.xlsx&amp;sheet=A0&amp;row=380&amp;col=18&amp;number=&amp;sourceID=32","")</f>
        <v/>
      </c>
      <c r="S380" s="4" t="str">
        <f>HYPERLINK("http://141.218.60.56/~jnz1568/getInfo.php?workbook=08_02.xlsx&amp;sheet=A0&amp;row=380&amp;col=19&amp;number=&amp;sourceID=1","")</f>
        <v/>
      </c>
      <c r="T380" s="4" t="str">
        <f>HYPERLINK("http://141.218.60.56/~jnz1568/getInfo.php?workbook=08_02.xlsx&amp;sheet=A0&amp;row=380&amp;col=20&amp;number=&amp;sourceID=1","")</f>
        <v/>
      </c>
    </row>
    <row r="381" spans="1:20">
      <c r="A381" s="3">
        <v>8</v>
      </c>
      <c r="B381" s="3">
        <v>2</v>
      </c>
      <c r="C381" s="3">
        <v>31</v>
      </c>
      <c r="D381" s="3">
        <v>8</v>
      </c>
      <c r="E381" s="3">
        <f>((1/(INDEX(E0!J$4:J$52,C381,1)-INDEX(E0!J$4:J$52,D381,1))))*100000000</f>
        <v>0</v>
      </c>
      <c r="F381" s="4" t="str">
        <f>HYPERLINK("http://141.218.60.56/~jnz1568/getInfo.php?workbook=08_02.xlsx&amp;sheet=A0&amp;row=381&amp;col=6&amp;number=&amp;sourceID=27","")</f>
        <v/>
      </c>
      <c r="G381" s="4" t="str">
        <f>HYPERLINK("http://141.218.60.56/~jnz1568/getInfo.php?workbook=08_02.xlsx&amp;sheet=A0&amp;row=381&amp;col=7&amp;number=&amp;sourceID=34","")</f>
        <v/>
      </c>
      <c r="H381" s="4" t="str">
        <f>HYPERLINK("http://141.218.60.56/~jnz1568/getInfo.php?workbook=08_02.xlsx&amp;sheet=A0&amp;row=381&amp;col=8&amp;number=&amp;sourceID=34","")</f>
        <v/>
      </c>
      <c r="I381" s="4" t="str">
        <f>HYPERLINK("http://141.218.60.56/~jnz1568/getInfo.php?workbook=08_02.xlsx&amp;sheet=A0&amp;row=381&amp;col=9&amp;number=&amp;sourceID=34","")</f>
        <v/>
      </c>
      <c r="J381" s="4" t="str">
        <f>HYPERLINK("http://141.218.60.56/~jnz1568/getInfo.php?workbook=08_02.xlsx&amp;sheet=A0&amp;row=381&amp;col=10&amp;number=&amp;sourceID=34","")</f>
        <v/>
      </c>
      <c r="K381" s="4" t="str">
        <f>HYPERLINK("http://141.218.60.56/~jnz1568/getInfo.php?workbook=08_02.xlsx&amp;sheet=A0&amp;row=381&amp;col=11&amp;number=896900&amp;sourceID=30","896900")</f>
        <v>896900</v>
      </c>
      <c r="L381" s="4" t="str">
        <f>HYPERLINK("http://141.218.60.56/~jnz1568/getInfo.php?workbook=08_02.xlsx&amp;sheet=A0&amp;row=381&amp;col=12&amp;number=&amp;sourceID=30","")</f>
        <v/>
      </c>
      <c r="M381" s="4" t="str">
        <f>HYPERLINK("http://141.218.60.56/~jnz1568/getInfo.php?workbook=08_02.xlsx&amp;sheet=A0&amp;row=381&amp;col=13&amp;number=&amp;sourceID=30","")</f>
        <v/>
      </c>
      <c r="N381" s="4" t="str">
        <f>HYPERLINK("http://141.218.60.56/~jnz1568/getInfo.php?workbook=08_02.xlsx&amp;sheet=A0&amp;row=381&amp;col=14&amp;number=3.569&amp;sourceID=30","3.569")</f>
        <v>3.569</v>
      </c>
      <c r="O381" s="4" t="str">
        <f>HYPERLINK("http://141.218.60.56/~jnz1568/getInfo.php?workbook=08_02.xlsx&amp;sheet=A0&amp;row=381&amp;col=15&amp;number=1012000&amp;sourceID=32","1012000")</f>
        <v>1012000</v>
      </c>
      <c r="P381" s="4" t="str">
        <f>HYPERLINK("http://141.218.60.56/~jnz1568/getInfo.php?workbook=08_02.xlsx&amp;sheet=A0&amp;row=381&amp;col=16&amp;number=&amp;sourceID=32","")</f>
        <v/>
      </c>
      <c r="Q381" s="4" t="str">
        <f>HYPERLINK("http://141.218.60.56/~jnz1568/getInfo.php?workbook=08_02.xlsx&amp;sheet=A0&amp;row=381&amp;col=17&amp;number=&amp;sourceID=32","")</f>
        <v/>
      </c>
      <c r="R381" s="4" t="str">
        <f>HYPERLINK("http://141.218.60.56/~jnz1568/getInfo.php?workbook=08_02.xlsx&amp;sheet=A0&amp;row=381&amp;col=18&amp;number=3.535&amp;sourceID=32","3.535")</f>
        <v>3.535</v>
      </c>
      <c r="S381" s="4" t="str">
        <f>HYPERLINK("http://141.218.60.56/~jnz1568/getInfo.php?workbook=08_02.xlsx&amp;sheet=A0&amp;row=381&amp;col=19&amp;number=&amp;sourceID=1","")</f>
        <v/>
      </c>
      <c r="T381" s="4" t="str">
        <f>HYPERLINK("http://141.218.60.56/~jnz1568/getInfo.php?workbook=08_02.xlsx&amp;sheet=A0&amp;row=381&amp;col=20&amp;number=&amp;sourceID=1","")</f>
        <v/>
      </c>
    </row>
    <row r="382" spans="1:20">
      <c r="A382" s="3">
        <v>8</v>
      </c>
      <c r="B382" s="3">
        <v>2</v>
      </c>
      <c r="C382" s="3">
        <v>31</v>
      </c>
      <c r="D382" s="3">
        <v>9</v>
      </c>
      <c r="E382" s="3">
        <f>((1/(INDEX(E0!J$4:J$52,C382,1)-INDEX(E0!J$4:J$52,D382,1))))*100000000</f>
        <v>0</v>
      </c>
      <c r="F382" s="4" t="str">
        <f>HYPERLINK("http://141.218.60.56/~jnz1568/getInfo.php?workbook=08_02.xlsx&amp;sheet=A0&amp;row=382&amp;col=6&amp;number=&amp;sourceID=27","")</f>
        <v/>
      </c>
      <c r="G382" s="4" t="str">
        <f>HYPERLINK("http://141.218.60.56/~jnz1568/getInfo.php?workbook=08_02.xlsx&amp;sheet=A0&amp;row=382&amp;col=7&amp;number=&amp;sourceID=34","")</f>
        <v/>
      </c>
      <c r="H382" s="4" t="str">
        <f>HYPERLINK("http://141.218.60.56/~jnz1568/getInfo.php?workbook=08_02.xlsx&amp;sheet=A0&amp;row=382&amp;col=8&amp;number=&amp;sourceID=34","")</f>
        <v/>
      </c>
      <c r="I382" s="4" t="str">
        <f>HYPERLINK("http://141.218.60.56/~jnz1568/getInfo.php?workbook=08_02.xlsx&amp;sheet=A0&amp;row=382&amp;col=9&amp;number=&amp;sourceID=34","")</f>
        <v/>
      </c>
      <c r="J382" s="4" t="str">
        <f>HYPERLINK("http://141.218.60.56/~jnz1568/getInfo.php?workbook=08_02.xlsx&amp;sheet=A0&amp;row=382&amp;col=10&amp;number=&amp;sourceID=34","")</f>
        <v/>
      </c>
      <c r="K382" s="4" t="str">
        <f>HYPERLINK("http://141.218.60.56/~jnz1568/getInfo.php?workbook=08_02.xlsx&amp;sheet=A0&amp;row=382&amp;col=11&amp;number=&amp;sourceID=30","")</f>
        <v/>
      </c>
      <c r="L382" s="4" t="str">
        <f>HYPERLINK("http://141.218.60.56/~jnz1568/getInfo.php?workbook=08_02.xlsx&amp;sheet=A0&amp;row=382&amp;col=12&amp;number=&amp;sourceID=30","")</f>
        <v/>
      </c>
      <c r="M382" s="4" t="str">
        <f>HYPERLINK("http://141.218.60.56/~jnz1568/getInfo.php?workbook=08_02.xlsx&amp;sheet=A0&amp;row=382&amp;col=13&amp;number=0.04556&amp;sourceID=30","0.04556")</f>
        <v>0.04556</v>
      </c>
      <c r="N382" s="4" t="str">
        <f>HYPERLINK("http://141.218.60.56/~jnz1568/getInfo.php?workbook=08_02.xlsx&amp;sheet=A0&amp;row=382&amp;col=14&amp;number=&amp;sourceID=30","")</f>
        <v/>
      </c>
      <c r="O382" s="4" t="str">
        <f>HYPERLINK("http://141.218.60.56/~jnz1568/getInfo.php?workbook=08_02.xlsx&amp;sheet=A0&amp;row=382&amp;col=15&amp;number=&amp;sourceID=32","")</f>
        <v/>
      </c>
      <c r="P382" s="4" t="str">
        <f>HYPERLINK("http://141.218.60.56/~jnz1568/getInfo.php?workbook=08_02.xlsx&amp;sheet=A0&amp;row=382&amp;col=16&amp;number=&amp;sourceID=32","")</f>
        <v/>
      </c>
      <c r="Q382" s="4" t="str">
        <f>HYPERLINK("http://141.218.60.56/~jnz1568/getInfo.php?workbook=08_02.xlsx&amp;sheet=A0&amp;row=382&amp;col=17&amp;number=0.04184&amp;sourceID=32","0.04184")</f>
        <v>0.04184</v>
      </c>
      <c r="R382" s="4" t="str">
        <f>HYPERLINK("http://141.218.60.56/~jnz1568/getInfo.php?workbook=08_02.xlsx&amp;sheet=A0&amp;row=382&amp;col=18&amp;number=&amp;sourceID=32","")</f>
        <v/>
      </c>
      <c r="S382" s="4" t="str">
        <f>HYPERLINK("http://141.218.60.56/~jnz1568/getInfo.php?workbook=08_02.xlsx&amp;sheet=A0&amp;row=382&amp;col=19&amp;number=&amp;sourceID=1","")</f>
        <v/>
      </c>
      <c r="T382" s="4" t="str">
        <f>HYPERLINK("http://141.218.60.56/~jnz1568/getInfo.php?workbook=08_02.xlsx&amp;sheet=A0&amp;row=382&amp;col=20&amp;number=&amp;sourceID=1","")</f>
        <v/>
      </c>
    </row>
    <row r="383" spans="1:20">
      <c r="A383" s="3">
        <v>8</v>
      </c>
      <c r="B383" s="3">
        <v>2</v>
      </c>
      <c r="C383" s="3">
        <v>31</v>
      </c>
      <c r="D383" s="3">
        <v>10</v>
      </c>
      <c r="E383" s="3">
        <f>((1/(INDEX(E0!J$4:J$52,C383,1)-INDEX(E0!J$4:J$52,D383,1))))*100000000</f>
        <v>0</v>
      </c>
      <c r="F383" s="4" t="str">
        <f>HYPERLINK("http://141.218.60.56/~jnz1568/getInfo.php?workbook=08_02.xlsx&amp;sheet=A0&amp;row=383&amp;col=6&amp;number=&amp;sourceID=27","")</f>
        <v/>
      </c>
      <c r="G383" s="4" t="str">
        <f>HYPERLINK("http://141.218.60.56/~jnz1568/getInfo.php?workbook=08_02.xlsx&amp;sheet=A0&amp;row=383&amp;col=7&amp;number=&amp;sourceID=34","")</f>
        <v/>
      </c>
      <c r="H383" s="4" t="str">
        <f>HYPERLINK("http://141.218.60.56/~jnz1568/getInfo.php?workbook=08_02.xlsx&amp;sheet=A0&amp;row=383&amp;col=8&amp;number=&amp;sourceID=34","")</f>
        <v/>
      </c>
      <c r="I383" s="4" t="str">
        <f>HYPERLINK("http://141.218.60.56/~jnz1568/getInfo.php?workbook=08_02.xlsx&amp;sheet=A0&amp;row=383&amp;col=9&amp;number=&amp;sourceID=34","")</f>
        <v/>
      </c>
      <c r="J383" s="4" t="str">
        <f>HYPERLINK("http://141.218.60.56/~jnz1568/getInfo.php?workbook=08_02.xlsx&amp;sheet=A0&amp;row=383&amp;col=10&amp;number=&amp;sourceID=34","")</f>
        <v/>
      </c>
      <c r="K383" s="4" t="str">
        <f>HYPERLINK("http://141.218.60.56/~jnz1568/getInfo.php?workbook=08_02.xlsx&amp;sheet=A0&amp;row=383&amp;col=11&amp;number=&amp;sourceID=30","")</f>
        <v/>
      </c>
      <c r="L383" s="4" t="str">
        <f>HYPERLINK("http://141.218.60.56/~jnz1568/getInfo.php?workbook=08_02.xlsx&amp;sheet=A0&amp;row=383&amp;col=12&amp;number=112.4&amp;sourceID=30","112.4")</f>
        <v>112.4</v>
      </c>
      <c r="M383" s="4" t="str">
        <f>HYPERLINK("http://141.218.60.56/~jnz1568/getInfo.php?workbook=08_02.xlsx&amp;sheet=A0&amp;row=383&amp;col=13&amp;number=0.03352&amp;sourceID=30","0.03352")</f>
        <v>0.03352</v>
      </c>
      <c r="N383" s="4" t="str">
        <f>HYPERLINK("http://141.218.60.56/~jnz1568/getInfo.php?workbook=08_02.xlsx&amp;sheet=A0&amp;row=383&amp;col=14&amp;number=&amp;sourceID=30","")</f>
        <v/>
      </c>
      <c r="O383" s="4" t="str">
        <f>HYPERLINK("http://141.218.60.56/~jnz1568/getInfo.php?workbook=08_02.xlsx&amp;sheet=A0&amp;row=383&amp;col=15&amp;number=&amp;sourceID=32","")</f>
        <v/>
      </c>
      <c r="P383" s="4" t="str">
        <f>HYPERLINK("http://141.218.60.56/~jnz1568/getInfo.php?workbook=08_02.xlsx&amp;sheet=A0&amp;row=383&amp;col=16&amp;number=118.9&amp;sourceID=32","118.9")</f>
        <v>118.9</v>
      </c>
      <c r="Q383" s="4" t="str">
        <f>HYPERLINK("http://141.218.60.56/~jnz1568/getInfo.php?workbook=08_02.xlsx&amp;sheet=A0&amp;row=383&amp;col=17&amp;number=0.03228&amp;sourceID=32","0.03228")</f>
        <v>0.03228</v>
      </c>
      <c r="R383" s="4" t="str">
        <f>HYPERLINK("http://141.218.60.56/~jnz1568/getInfo.php?workbook=08_02.xlsx&amp;sheet=A0&amp;row=383&amp;col=18&amp;number=&amp;sourceID=32","")</f>
        <v/>
      </c>
      <c r="S383" s="4" t="str">
        <f>HYPERLINK("http://141.218.60.56/~jnz1568/getInfo.php?workbook=08_02.xlsx&amp;sheet=A0&amp;row=383&amp;col=19&amp;number=&amp;sourceID=1","")</f>
        <v/>
      </c>
      <c r="T383" s="4" t="str">
        <f>HYPERLINK("http://141.218.60.56/~jnz1568/getInfo.php?workbook=08_02.xlsx&amp;sheet=A0&amp;row=383&amp;col=20&amp;number=&amp;sourceID=1","")</f>
        <v/>
      </c>
    </row>
    <row r="384" spans="1:20">
      <c r="A384" s="3">
        <v>8</v>
      </c>
      <c r="B384" s="3">
        <v>2</v>
      </c>
      <c r="C384" s="3">
        <v>31</v>
      </c>
      <c r="D384" s="3">
        <v>11</v>
      </c>
      <c r="E384" s="3">
        <f>((1/(INDEX(E0!J$4:J$52,C384,1)-INDEX(E0!J$4:J$52,D384,1))))*100000000</f>
        <v>0</v>
      </c>
      <c r="F384" s="4" t="str">
        <f>HYPERLINK("http://141.218.60.56/~jnz1568/getInfo.php?workbook=08_02.xlsx&amp;sheet=A0&amp;row=384&amp;col=6&amp;number=&amp;sourceID=27","")</f>
        <v/>
      </c>
      <c r="G384" s="4" t="str">
        <f>HYPERLINK("http://141.218.60.56/~jnz1568/getInfo.php?workbook=08_02.xlsx&amp;sheet=A0&amp;row=384&amp;col=7&amp;number=&amp;sourceID=34","")</f>
        <v/>
      </c>
      <c r="H384" s="4" t="str">
        <f>HYPERLINK("http://141.218.60.56/~jnz1568/getInfo.php?workbook=08_02.xlsx&amp;sheet=A0&amp;row=384&amp;col=8&amp;number=&amp;sourceID=34","")</f>
        <v/>
      </c>
      <c r="I384" s="4" t="str">
        <f>HYPERLINK("http://141.218.60.56/~jnz1568/getInfo.php?workbook=08_02.xlsx&amp;sheet=A0&amp;row=384&amp;col=9&amp;number=&amp;sourceID=34","")</f>
        <v/>
      </c>
      <c r="J384" s="4" t="str">
        <f>HYPERLINK("http://141.218.60.56/~jnz1568/getInfo.php?workbook=08_02.xlsx&amp;sheet=A0&amp;row=384&amp;col=10&amp;number=&amp;sourceID=34","")</f>
        <v/>
      </c>
      <c r="K384" s="4" t="str">
        <f>HYPERLINK("http://141.218.60.56/~jnz1568/getInfo.php?workbook=08_02.xlsx&amp;sheet=A0&amp;row=384&amp;col=11&amp;number=&amp;sourceID=30","")</f>
        <v/>
      </c>
      <c r="L384" s="4" t="str">
        <f>HYPERLINK("http://141.218.60.56/~jnz1568/getInfo.php?workbook=08_02.xlsx&amp;sheet=A0&amp;row=384&amp;col=12&amp;number=36.63&amp;sourceID=30","36.63")</f>
        <v>36.63</v>
      </c>
      <c r="M384" s="4" t="str">
        <f>HYPERLINK("http://141.218.60.56/~jnz1568/getInfo.php?workbook=08_02.xlsx&amp;sheet=A0&amp;row=384&amp;col=13&amp;number=0.08107&amp;sourceID=30","0.08107")</f>
        <v>0.08107</v>
      </c>
      <c r="N384" s="4" t="str">
        <f>HYPERLINK("http://141.218.60.56/~jnz1568/getInfo.php?workbook=08_02.xlsx&amp;sheet=A0&amp;row=384&amp;col=14&amp;number=&amp;sourceID=30","")</f>
        <v/>
      </c>
      <c r="O384" s="4" t="str">
        <f>HYPERLINK("http://141.218.60.56/~jnz1568/getInfo.php?workbook=08_02.xlsx&amp;sheet=A0&amp;row=384&amp;col=15&amp;number=&amp;sourceID=32","")</f>
        <v/>
      </c>
      <c r="P384" s="4" t="str">
        <f>HYPERLINK("http://141.218.60.56/~jnz1568/getInfo.php?workbook=08_02.xlsx&amp;sheet=A0&amp;row=384&amp;col=16&amp;number=40.66&amp;sourceID=32","40.66")</f>
        <v>40.66</v>
      </c>
      <c r="Q384" s="4" t="str">
        <f>HYPERLINK("http://141.218.60.56/~jnz1568/getInfo.php?workbook=08_02.xlsx&amp;sheet=A0&amp;row=384&amp;col=17&amp;number=0.074&amp;sourceID=32","0.074")</f>
        <v>0.074</v>
      </c>
      <c r="R384" s="4" t="str">
        <f>HYPERLINK("http://141.218.60.56/~jnz1568/getInfo.php?workbook=08_02.xlsx&amp;sheet=A0&amp;row=384&amp;col=18&amp;number=&amp;sourceID=32","")</f>
        <v/>
      </c>
      <c r="S384" s="4" t="str">
        <f>HYPERLINK("http://141.218.60.56/~jnz1568/getInfo.php?workbook=08_02.xlsx&amp;sheet=A0&amp;row=384&amp;col=19&amp;number=&amp;sourceID=1","")</f>
        <v/>
      </c>
      <c r="T384" s="4" t="str">
        <f>HYPERLINK("http://141.218.60.56/~jnz1568/getInfo.php?workbook=08_02.xlsx&amp;sheet=A0&amp;row=384&amp;col=20&amp;number=&amp;sourceID=1","")</f>
        <v/>
      </c>
    </row>
    <row r="385" spans="1:20">
      <c r="A385" s="3">
        <v>8</v>
      </c>
      <c r="B385" s="3">
        <v>2</v>
      </c>
      <c r="C385" s="3">
        <v>31</v>
      </c>
      <c r="D385" s="3">
        <v>12</v>
      </c>
      <c r="E385" s="3">
        <f>((1/(INDEX(E0!J$4:J$52,C385,1)-INDEX(E0!J$4:J$52,D385,1))))*100000000</f>
        <v>0</v>
      </c>
      <c r="F385" s="4" t="str">
        <f>HYPERLINK("http://141.218.60.56/~jnz1568/getInfo.php?workbook=08_02.xlsx&amp;sheet=A0&amp;row=385&amp;col=6&amp;number=&amp;sourceID=27","")</f>
        <v/>
      </c>
      <c r="G385" s="4" t="str">
        <f>HYPERLINK("http://141.218.60.56/~jnz1568/getInfo.php?workbook=08_02.xlsx&amp;sheet=A0&amp;row=385&amp;col=7&amp;number=6670000000&amp;sourceID=34","6670000000")</f>
        <v>6670000000</v>
      </c>
      <c r="H385" s="4" t="str">
        <f>HYPERLINK("http://141.218.60.56/~jnz1568/getInfo.php?workbook=08_02.xlsx&amp;sheet=A0&amp;row=385&amp;col=8&amp;number=&amp;sourceID=34","")</f>
        <v/>
      </c>
      <c r="I385" s="4" t="str">
        <f>HYPERLINK("http://141.218.60.56/~jnz1568/getInfo.php?workbook=08_02.xlsx&amp;sheet=A0&amp;row=385&amp;col=9&amp;number=&amp;sourceID=34","")</f>
        <v/>
      </c>
      <c r="J385" s="4" t="str">
        <f>HYPERLINK("http://141.218.60.56/~jnz1568/getInfo.php?workbook=08_02.xlsx&amp;sheet=A0&amp;row=385&amp;col=10&amp;number=&amp;sourceID=34","")</f>
        <v/>
      </c>
      <c r="K385" s="4" t="str">
        <f>HYPERLINK("http://141.218.60.56/~jnz1568/getInfo.php?workbook=08_02.xlsx&amp;sheet=A0&amp;row=385&amp;col=11&amp;number=7047000000&amp;sourceID=30","7047000000")</f>
        <v>7047000000</v>
      </c>
      <c r="L385" s="4" t="str">
        <f>HYPERLINK("http://141.218.60.56/~jnz1568/getInfo.php?workbook=08_02.xlsx&amp;sheet=A0&amp;row=385&amp;col=12&amp;number=&amp;sourceID=30","")</f>
        <v/>
      </c>
      <c r="M385" s="4" t="str">
        <f>HYPERLINK("http://141.218.60.56/~jnz1568/getInfo.php?workbook=08_02.xlsx&amp;sheet=A0&amp;row=385&amp;col=13&amp;number=&amp;sourceID=30","")</f>
        <v/>
      </c>
      <c r="N385" s="4" t="str">
        <f>HYPERLINK("http://141.218.60.56/~jnz1568/getInfo.php?workbook=08_02.xlsx&amp;sheet=A0&amp;row=385&amp;col=14&amp;number=&amp;sourceID=30","")</f>
        <v/>
      </c>
      <c r="O385" s="4" t="str">
        <f>HYPERLINK("http://141.218.60.56/~jnz1568/getInfo.php?workbook=08_02.xlsx&amp;sheet=A0&amp;row=385&amp;col=15&amp;number=6653000000&amp;sourceID=32","6653000000")</f>
        <v>6653000000</v>
      </c>
      <c r="P385" s="4" t="str">
        <f>HYPERLINK("http://141.218.60.56/~jnz1568/getInfo.php?workbook=08_02.xlsx&amp;sheet=A0&amp;row=385&amp;col=16&amp;number=&amp;sourceID=32","")</f>
        <v/>
      </c>
      <c r="Q385" s="4" t="str">
        <f>HYPERLINK("http://141.218.60.56/~jnz1568/getInfo.php?workbook=08_02.xlsx&amp;sheet=A0&amp;row=385&amp;col=17&amp;number=&amp;sourceID=32","")</f>
        <v/>
      </c>
      <c r="R385" s="4" t="str">
        <f>HYPERLINK("http://141.218.60.56/~jnz1568/getInfo.php?workbook=08_02.xlsx&amp;sheet=A0&amp;row=385&amp;col=18&amp;number=&amp;sourceID=32","")</f>
        <v/>
      </c>
      <c r="S385" s="4" t="str">
        <f>HYPERLINK("http://141.218.60.56/~jnz1568/getInfo.php?workbook=08_02.xlsx&amp;sheet=A0&amp;row=385&amp;col=19&amp;number=&amp;sourceID=1","")</f>
        <v/>
      </c>
      <c r="T385" s="4" t="str">
        <f>HYPERLINK("http://141.218.60.56/~jnz1568/getInfo.php?workbook=08_02.xlsx&amp;sheet=A0&amp;row=385&amp;col=20&amp;number=&amp;sourceID=1","")</f>
        <v/>
      </c>
    </row>
    <row r="386" spans="1:20">
      <c r="A386" s="3">
        <v>8</v>
      </c>
      <c r="B386" s="3">
        <v>2</v>
      </c>
      <c r="C386" s="3">
        <v>31</v>
      </c>
      <c r="D386" s="3">
        <v>13</v>
      </c>
      <c r="E386" s="3">
        <f>((1/(INDEX(E0!J$4:J$52,C386,1)-INDEX(E0!J$4:J$52,D386,1))))*100000000</f>
        <v>0</v>
      </c>
      <c r="F386" s="4" t="str">
        <f>HYPERLINK("http://141.218.60.56/~jnz1568/getInfo.php?workbook=08_02.xlsx&amp;sheet=A0&amp;row=386&amp;col=6&amp;number=&amp;sourceID=27","")</f>
        <v/>
      </c>
      <c r="G386" s="4" t="str">
        <f>HYPERLINK("http://141.218.60.56/~jnz1568/getInfo.php?workbook=08_02.xlsx&amp;sheet=A0&amp;row=386&amp;col=7&amp;number=&amp;sourceID=34","")</f>
        <v/>
      </c>
      <c r="H386" s="4" t="str">
        <f>HYPERLINK("http://141.218.60.56/~jnz1568/getInfo.php?workbook=08_02.xlsx&amp;sheet=A0&amp;row=386&amp;col=8&amp;number=&amp;sourceID=34","")</f>
        <v/>
      </c>
      <c r="I386" s="4" t="str">
        <f>HYPERLINK("http://141.218.60.56/~jnz1568/getInfo.php?workbook=08_02.xlsx&amp;sheet=A0&amp;row=386&amp;col=9&amp;number=&amp;sourceID=34","")</f>
        <v/>
      </c>
      <c r="J386" s="4" t="str">
        <f>HYPERLINK("http://141.218.60.56/~jnz1568/getInfo.php?workbook=08_02.xlsx&amp;sheet=A0&amp;row=386&amp;col=10&amp;number=&amp;sourceID=34","")</f>
        <v/>
      </c>
      <c r="K386" s="4" t="str">
        <f>HYPERLINK("http://141.218.60.56/~jnz1568/getInfo.php?workbook=08_02.xlsx&amp;sheet=A0&amp;row=386&amp;col=11&amp;number=29940&amp;sourceID=30","29940")</f>
        <v>29940</v>
      </c>
      <c r="L386" s="4" t="str">
        <f>HYPERLINK("http://141.218.60.56/~jnz1568/getInfo.php?workbook=08_02.xlsx&amp;sheet=A0&amp;row=386&amp;col=12&amp;number=&amp;sourceID=30","")</f>
        <v/>
      </c>
      <c r="M386" s="4" t="str">
        <f>HYPERLINK("http://141.218.60.56/~jnz1568/getInfo.php?workbook=08_02.xlsx&amp;sheet=A0&amp;row=386&amp;col=13&amp;number=&amp;sourceID=30","")</f>
        <v/>
      </c>
      <c r="N386" s="4" t="str">
        <f>HYPERLINK("http://141.218.60.56/~jnz1568/getInfo.php?workbook=08_02.xlsx&amp;sheet=A0&amp;row=386&amp;col=14&amp;number=0.003686&amp;sourceID=30","0.003686")</f>
        <v>0.003686</v>
      </c>
      <c r="O386" s="4" t="str">
        <f>HYPERLINK("http://141.218.60.56/~jnz1568/getInfo.php?workbook=08_02.xlsx&amp;sheet=A0&amp;row=386&amp;col=15&amp;number=34030&amp;sourceID=32","34030")</f>
        <v>34030</v>
      </c>
      <c r="P386" s="4" t="str">
        <f>HYPERLINK("http://141.218.60.56/~jnz1568/getInfo.php?workbook=08_02.xlsx&amp;sheet=A0&amp;row=386&amp;col=16&amp;number=&amp;sourceID=32","")</f>
        <v/>
      </c>
      <c r="Q386" s="4" t="str">
        <f>HYPERLINK("http://141.218.60.56/~jnz1568/getInfo.php?workbook=08_02.xlsx&amp;sheet=A0&amp;row=386&amp;col=17&amp;number=&amp;sourceID=32","")</f>
        <v/>
      </c>
      <c r="R386" s="4" t="str">
        <f>HYPERLINK("http://141.218.60.56/~jnz1568/getInfo.php?workbook=08_02.xlsx&amp;sheet=A0&amp;row=386&amp;col=18&amp;number=0.003702&amp;sourceID=32","0.003702")</f>
        <v>0.003702</v>
      </c>
      <c r="S386" s="4" t="str">
        <f>HYPERLINK("http://141.218.60.56/~jnz1568/getInfo.php?workbook=08_02.xlsx&amp;sheet=A0&amp;row=386&amp;col=19&amp;number=&amp;sourceID=1","")</f>
        <v/>
      </c>
      <c r="T386" s="4" t="str">
        <f>HYPERLINK("http://141.218.60.56/~jnz1568/getInfo.php?workbook=08_02.xlsx&amp;sheet=A0&amp;row=386&amp;col=20&amp;number=&amp;sourceID=1","")</f>
        <v/>
      </c>
    </row>
    <row r="387" spans="1:20">
      <c r="A387" s="3">
        <v>8</v>
      </c>
      <c r="B387" s="3">
        <v>2</v>
      </c>
      <c r="C387" s="3">
        <v>31</v>
      </c>
      <c r="D387" s="3">
        <v>14</v>
      </c>
      <c r="E387" s="3">
        <f>((1/(INDEX(E0!J$4:J$52,C387,1)-INDEX(E0!J$4:J$52,D387,1))))*100000000</f>
        <v>0</v>
      </c>
      <c r="F387" s="4" t="str">
        <f>HYPERLINK("http://141.218.60.56/~jnz1568/getInfo.php?workbook=08_02.xlsx&amp;sheet=A0&amp;row=387&amp;col=6&amp;number=&amp;sourceID=27","")</f>
        <v/>
      </c>
      <c r="G387" s="4" t="str">
        <f>HYPERLINK("http://141.218.60.56/~jnz1568/getInfo.php?workbook=08_02.xlsx&amp;sheet=A0&amp;row=387&amp;col=7&amp;number=&amp;sourceID=34","")</f>
        <v/>
      </c>
      <c r="H387" s="4" t="str">
        <f>HYPERLINK("http://141.218.60.56/~jnz1568/getInfo.php?workbook=08_02.xlsx&amp;sheet=A0&amp;row=387&amp;col=8&amp;number=&amp;sourceID=34","")</f>
        <v/>
      </c>
      <c r="I387" s="4" t="str">
        <f>HYPERLINK("http://141.218.60.56/~jnz1568/getInfo.php?workbook=08_02.xlsx&amp;sheet=A0&amp;row=387&amp;col=9&amp;number=&amp;sourceID=34","")</f>
        <v/>
      </c>
      <c r="J387" s="4" t="str">
        <f>HYPERLINK("http://141.218.60.56/~jnz1568/getInfo.php?workbook=08_02.xlsx&amp;sheet=A0&amp;row=387&amp;col=10&amp;number=&amp;sourceID=34","")</f>
        <v/>
      </c>
      <c r="K387" s="4" t="str">
        <f>HYPERLINK("http://141.218.60.56/~jnz1568/getInfo.php?workbook=08_02.xlsx&amp;sheet=A0&amp;row=387&amp;col=11&amp;number=7945000&amp;sourceID=30","7945000")</f>
        <v>7945000</v>
      </c>
      <c r="L387" s="4" t="str">
        <f>HYPERLINK("http://141.218.60.56/~jnz1568/getInfo.php?workbook=08_02.xlsx&amp;sheet=A0&amp;row=387&amp;col=12&amp;number=&amp;sourceID=30","")</f>
        <v/>
      </c>
      <c r="M387" s="4" t="str">
        <f>HYPERLINK("http://141.218.60.56/~jnz1568/getInfo.php?workbook=08_02.xlsx&amp;sheet=A0&amp;row=387&amp;col=13&amp;number=&amp;sourceID=30","")</f>
        <v/>
      </c>
      <c r="N387" s="4" t="str">
        <f>HYPERLINK("http://141.218.60.56/~jnz1568/getInfo.php?workbook=08_02.xlsx&amp;sheet=A0&amp;row=387&amp;col=14&amp;number=0.03981&amp;sourceID=30","0.03981")</f>
        <v>0.03981</v>
      </c>
      <c r="O387" s="4" t="str">
        <f>HYPERLINK("http://141.218.60.56/~jnz1568/getInfo.php?workbook=08_02.xlsx&amp;sheet=A0&amp;row=387&amp;col=15&amp;number=9995000&amp;sourceID=32","9995000")</f>
        <v>9995000</v>
      </c>
      <c r="P387" s="4" t="str">
        <f>HYPERLINK("http://141.218.60.56/~jnz1568/getInfo.php?workbook=08_02.xlsx&amp;sheet=A0&amp;row=387&amp;col=16&amp;number=&amp;sourceID=32","")</f>
        <v/>
      </c>
      <c r="Q387" s="4" t="str">
        <f>HYPERLINK("http://141.218.60.56/~jnz1568/getInfo.php?workbook=08_02.xlsx&amp;sheet=A0&amp;row=387&amp;col=17&amp;number=&amp;sourceID=32","")</f>
        <v/>
      </c>
      <c r="R387" s="4" t="str">
        <f>HYPERLINK("http://141.218.60.56/~jnz1568/getInfo.php?workbook=08_02.xlsx&amp;sheet=A0&amp;row=387&amp;col=18&amp;number=0.03804&amp;sourceID=32","0.03804")</f>
        <v>0.03804</v>
      </c>
      <c r="S387" s="4" t="str">
        <f>HYPERLINK("http://141.218.60.56/~jnz1568/getInfo.php?workbook=08_02.xlsx&amp;sheet=A0&amp;row=387&amp;col=19&amp;number=&amp;sourceID=1","")</f>
        <v/>
      </c>
      <c r="T387" s="4" t="str">
        <f>HYPERLINK("http://141.218.60.56/~jnz1568/getInfo.php?workbook=08_02.xlsx&amp;sheet=A0&amp;row=387&amp;col=20&amp;number=&amp;sourceID=1","")</f>
        <v/>
      </c>
    </row>
    <row r="388" spans="1:20">
      <c r="A388" s="3">
        <v>8</v>
      </c>
      <c r="B388" s="3">
        <v>2</v>
      </c>
      <c r="C388" s="3">
        <v>31</v>
      </c>
      <c r="D388" s="3">
        <v>15</v>
      </c>
      <c r="E388" s="3">
        <f>((1/(INDEX(E0!J$4:J$52,C388,1)-INDEX(E0!J$4:J$52,D388,1))))*100000000</f>
        <v>0</v>
      </c>
      <c r="F388" s="4" t="str">
        <f>HYPERLINK("http://141.218.60.56/~jnz1568/getInfo.php?workbook=08_02.xlsx&amp;sheet=A0&amp;row=388&amp;col=6&amp;number=&amp;sourceID=27","")</f>
        <v/>
      </c>
      <c r="G388" s="4" t="str">
        <f>HYPERLINK("http://141.218.60.56/~jnz1568/getInfo.php?workbook=08_02.xlsx&amp;sheet=A0&amp;row=388&amp;col=7&amp;number=&amp;sourceID=34","")</f>
        <v/>
      </c>
      <c r="H388" s="4" t="str">
        <f>HYPERLINK("http://141.218.60.56/~jnz1568/getInfo.php?workbook=08_02.xlsx&amp;sheet=A0&amp;row=388&amp;col=8&amp;number=&amp;sourceID=34","")</f>
        <v/>
      </c>
      <c r="I388" s="4" t="str">
        <f>HYPERLINK("http://141.218.60.56/~jnz1568/getInfo.php?workbook=08_02.xlsx&amp;sheet=A0&amp;row=388&amp;col=9&amp;number=&amp;sourceID=34","")</f>
        <v/>
      </c>
      <c r="J388" s="4" t="str">
        <f>HYPERLINK("http://141.218.60.56/~jnz1568/getInfo.php?workbook=08_02.xlsx&amp;sheet=A0&amp;row=388&amp;col=10&amp;number=&amp;sourceID=34","")</f>
        <v/>
      </c>
      <c r="K388" s="4" t="str">
        <f>HYPERLINK("http://141.218.60.56/~jnz1568/getInfo.php?workbook=08_02.xlsx&amp;sheet=A0&amp;row=388&amp;col=11&amp;number=&amp;sourceID=30","")</f>
        <v/>
      </c>
      <c r="L388" s="4" t="str">
        <f>HYPERLINK("http://141.218.60.56/~jnz1568/getInfo.php?workbook=08_02.xlsx&amp;sheet=A0&amp;row=388&amp;col=12&amp;number=&amp;sourceID=30","")</f>
        <v/>
      </c>
      <c r="M388" s="4" t="str">
        <f>HYPERLINK("http://141.218.60.56/~jnz1568/getInfo.php?workbook=08_02.xlsx&amp;sheet=A0&amp;row=388&amp;col=13&amp;number=&amp;sourceID=30","")</f>
        <v/>
      </c>
      <c r="N388" s="4" t="str">
        <f>HYPERLINK("http://141.218.60.56/~jnz1568/getInfo.php?workbook=08_02.xlsx&amp;sheet=A0&amp;row=388&amp;col=14&amp;number=0.3223&amp;sourceID=30","0.3223")</f>
        <v>0.3223</v>
      </c>
      <c r="O388" s="4" t="str">
        <f>HYPERLINK("http://141.218.60.56/~jnz1568/getInfo.php?workbook=08_02.xlsx&amp;sheet=A0&amp;row=388&amp;col=15&amp;number=&amp;sourceID=32","")</f>
        <v/>
      </c>
      <c r="P388" s="4" t="str">
        <f>HYPERLINK("http://141.218.60.56/~jnz1568/getInfo.php?workbook=08_02.xlsx&amp;sheet=A0&amp;row=388&amp;col=16&amp;number=&amp;sourceID=32","")</f>
        <v/>
      </c>
      <c r="Q388" s="4" t="str">
        <f>HYPERLINK("http://141.218.60.56/~jnz1568/getInfo.php?workbook=08_02.xlsx&amp;sheet=A0&amp;row=388&amp;col=17&amp;number=&amp;sourceID=32","")</f>
        <v/>
      </c>
      <c r="R388" s="4" t="str">
        <f>HYPERLINK("http://141.218.60.56/~jnz1568/getInfo.php?workbook=08_02.xlsx&amp;sheet=A0&amp;row=388&amp;col=18&amp;number=0.3243&amp;sourceID=32","0.3243")</f>
        <v>0.3243</v>
      </c>
      <c r="S388" s="4" t="str">
        <f>HYPERLINK("http://141.218.60.56/~jnz1568/getInfo.php?workbook=08_02.xlsx&amp;sheet=A0&amp;row=388&amp;col=19&amp;number=&amp;sourceID=1","")</f>
        <v/>
      </c>
      <c r="T388" s="4" t="str">
        <f>HYPERLINK("http://141.218.60.56/~jnz1568/getInfo.php?workbook=08_02.xlsx&amp;sheet=A0&amp;row=388&amp;col=20&amp;number=&amp;sourceID=1","")</f>
        <v/>
      </c>
    </row>
    <row r="389" spans="1:20">
      <c r="A389" s="3">
        <v>8</v>
      </c>
      <c r="B389" s="3">
        <v>2</v>
      </c>
      <c r="C389" s="3">
        <v>31</v>
      </c>
      <c r="D389" s="3">
        <v>16</v>
      </c>
      <c r="E389" s="3">
        <f>((1/(INDEX(E0!J$4:J$52,C389,1)-INDEX(E0!J$4:J$52,D389,1))))*100000000</f>
        <v>0</v>
      </c>
      <c r="F389" s="4" t="str">
        <f>HYPERLINK("http://141.218.60.56/~jnz1568/getInfo.php?workbook=08_02.xlsx&amp;sheet=A0&amp;row=389&amp;col=6&amp;number=&amp;sourceID=27","")</f>
        <v/>
      </c>
      <c r="G389" s="4" t="str">
        <f>HYPERLINK("http://141.218.60.56/~jnz1568/getInfo.php?workbook=08_02.xlsx&amp;sheet=A0&amp;row=389&amp;col=7&amp;number=772000000&amp;sourceID=34","772000000")</f>
        <v>772000000</v>
      </c>
      <c r="H389" s="4" t="str">
        <f>HYPERLINK("http://141.218.60.56/~jnz1568/getInfo.php?workbook=08_02.xlsx&amp;sheet=A0&amp;row=389&amp;col=8&amp;number=&amp;sourceID=34","")</f>
        <v/>
      </c>
      <c r="I389" s="4" t="str">
        <f>HYPERLINK("http://141.218.60.56/~jnz1568/getInfo.php?workbook=08_02.xlsx&amp;sheet=A0&amp;row=389&amp;col=9&amp;number=&amp;sourceID=34","")</f>
        <v/>
      </c>
      <c r="J389" s="4" t="str">
        <f>HYPERLINK("http://141.218.60.56/~jnz1568/getInfo.php?workbook=08_02.xlsx&amp;sheet=A0&amp;row=389&amp;col=10&amp;number=&amp;sourceID=34","")</f>
        <v/>
      </c>
      <c r="K389" s="4" t="str">
        <f>HYPERLINK("http://141.218.60.56/~jnz1568/getInfo.php?workbook=08_02.xlsx&amp;sheet=A0&amp;row=389&amp;col=11&amp;number=768100000&amp;sourceID=30","768100000")</f>
        <v>768100000</v>
      </c>
      <c r="L389" s="4" t="str">
        <f>HYPERLINK("http://141.218.60.56/~jnz1568/getInfo.php?workbook=08_02.xlsx&amp;sheet=A0&amp;row=389&amp;col=12&amp;number=&amp;sourceID=30","")</f>
        <v/>
      </c>
      <c r="M389" s="4" t="str">
        <f>HYPERLINK("http://141.218.60.56/~jnz1568/getInfo.php?workbook=08_02.xlsx&amp;sheet=A0&amp;row=389&amp;col=13&amp;number=&amp;sourceID=30","")</f>
        <v/>
      </c>
      <c r="N389" s="4" t="str">
        <f>HYPERLINK("http://141.218.60.56/~jnz1568/getInfo.php?workbook=08_02.xlsx&amp;sheet=A0&amp;row=389&amp;col=14&amp;number=0.1831&amp;sourceID=30","0.1831")</f>
        <v>0.1831</v>
      </c>
      <c r="O389" s="4" t="str">
        <f>HYPERLINK("http://141.218.60.56/~jnz1568/getInfo.php?workbook=08_02.xlsx&amp;sheet=A0&amp;row=389&amp;col=15&amp;number=762400000&amp;sourceID=32","762400000")</f>
        <v>762400000</v>
      </c>
      <c r="P389" s="4" t="str">
        <f>HYPERLINK("http://141.218.60.56/~jnz1568/getInfo.php?workbook=08_02.xlsx&amp;sheet=A0&amp;row=389&amp;col=16&amp;number=&amp;sourceID=32","")</f>
        <v/>
      </c>
      <c r="Q389" s="4" t="str">
        <f>HYPERLINK("http://141.218.60.56/~jnz1568/getInfo.php?workbook=08_02.xlsx&amp;sheet=A0&amp;row=389&amp;col=17&amp;number=&amp;sourceID=32","")</f>
        <v/>
      </c>
      <c r="R389" s="4" t="str">
        <f>HYPERLINK("http://141.218.60.56/~jnz1568/getInfo.php?workbook=08_02.xlsx&amp;sheet=A0&amp;row=389&amp;col=18&amp;number=0.1847&amp;sourceID=32","0.1847")</f>
        <v>0.1847</v>
      </c>
      <c r="S389" s="4" t="str">
        <f>HYPERLINK("http://141.218.60.56/~jnz1568/getInfo.php?workbook=08_02.xlsx&amp;sheet=A0&amp;row=389&amp;col=19&amp;number=&amp;sourceID=1","")</f>
        <v/>
      </c>
      <c r="T389" s="4" t="str">
        <f>HYPERLINK("http://141.218.60.56/~jnz1568/getInfo.php?workbook=08_02.xlsx&amp;sheet=A0&amp;row=389&amp;col=20&amp;number=&amp;sourceID=1","")</f>
        <v/>
      </c>
    </row>
    <row r="390" spans="1:20">
      <c r="A390" s="3">
        <v>8</v>
      </c>
      <c r="B390" s="3">
        <v>2</v>
      </c>
      <c r="C390" s="3">
        <v>31</v>
      </c>
      <c r="D390" s="3">
        <v>17</v>
      </c>
      <c r="E390" s="3">
        <f>((1/(INDEX(E0!J$4:J$52,C390,1)-INDEX(E0!J$4:J$52,D390,1))))*100000000</f>
        <v>0</v>
      </c>
      <c r="F390" s="4" t="str">
        <f>HYPERLINK("http://141.218.60.56/~jnz1568/getInfo.php?workbook=08_02.xlsx&amp;sheet=A0&amp;row=390&amp;col=6&amp;number=&amp;sourceID=27","")</f>
        <v/>
      </c>
      <c r="G390" s="4" t="str">
        <f>HYPERLINK("http://141.218.60.56/~jnz1568/getInfo.php?workbook=08_02.xlsx&amp;sheet=A0&amp;row=390&amp;col=7&amp;number=&amp;sourceID=34","")</f>
        <v/>
      </c>
      <c r="H390" s="4" t="str">
        <f>HYPERLINK("http://141.218.60.56/~jnz1568/getInfo.php?workbook=08_02.xlsx&amp;sheet=A0&amp;row=390&amp;col=8&amp;number=&amp;sourceID=34","")</f>
        <v/>
      </c>
      <c r="I390" s="4" t="str">
        <f>HYPERLINK("http://141.218.60.56/~jnz1568/getInfo.php?workbook=08_02.xlsx&amp;sheet=A0&amp;row=390&amp;col=9&amp;number=&amp;sourceID=34","")</f>
        <v/>
      </c>
      <c r="J390" s="4" t="str">
        <f>HYPERLINK("http://141.218.60.56/~jnz1568/getInfo.php?workbook=08_02.xlsx&amp;sheet=A0&amp;row=390&amp;col=10&amp;number=&amp;sourceID=34","")</f>
        <v/>
      </c>
      <c r="K390" s="4" t="str">
        <f>HYPERLINK("http://141.218.60.56/~jnz1568/getInfo.php?workbook=08_02.xlsx&amp;sheet=A0&amp;row=390&amp;col=11&amp;number=&amp;sourceID=30","")</f>
        <v/>
      </c>
      <c r="L390" s="4" t="str">
        <f>HYPERLINK("http://141.218.60.56/~jnz1568/getInfo.php?workbook=08_02.xlsx&amp;sheet=A0&amp;row=390&amp;col=12&amp;number=305500&amp;sourceID=30","305500")</f>
        <v>305500</v>
      </c>
      <c r="M390" s="4" t="str">
        <f>HYPERLINK("http://141.218.60.56/~jnz1568/getInfo.php?workbook=08_02.xlsx&amp;sheet=A0&amp;row=390&amp;col=13&amp;number=0.005607&amp;sourceID=30","0.005607")</f>
        <v>0.005607</v>
      </c>
      <c r="N390" s="4" t="str">
        <f>HYPERLINK("http://141.218.60.56/~jnz1568/getInfo.php?workbook=08_02.xlsx&amp;sheet=A0&amp;row=390&amp;col=14&amp;number=&amp;sourceID=30","")</f>
        <v/>
      </c>
      <c r="O390" s="4" t="str">
        <f>HYPERLINK("http://141.218.60.56/~jnz1568/getInfo.php?workbook=08_02.xlsx&amp;sheet=A0&amp;row=390&amp;col=15&amp;number=&amp;sourceID=32","")</f>
        <v/>
      </c>
      <c r="P390" s="4" t="str">
        <f>HYPERLINK("http://141.218.60.56/~jnz1568/getInfo.php?workbook=08_02.xlsx&amp;sheet=A0&amp;row=390&amp;col=16&amp;number=296000&amp;sourceID=32","296000")</f>
        <v>296000</v>
      </c>
      <c r="Q390" s="4" t="str">
        <f>HYPERLINK("http://141.218.60.56/~jnz1568/getInfo.php?workbook=08_02.xlsx&amp;sheet=A0&amp;row=390&amp;col=17&amp;number=0.004799&amp;sourceID=32","0.004799")</f>
        <v>0.004799</v>
      </c>
      <c r="R390" s="4" t="str">
        <f>HYPERLINK("http://141.218.60.56/~jnz1568/getInfo.php?workbook=08_02.xlsx&amp;sheet=A0&amp;row=390&amp;col=18&amp;number=&amp;sourceID=32","")</f>
        <v/>
      </c>
      <c r="S390" s="4" t="str">
        <f>HYPERLINK("http://141.218.60.56/~jnz1568/getInfo.php?workbook=08_02.xlsx&amp;sheet=A0&amp;row=390&amp;col=19&amp;number=&amp;sourceID=1","")</f>
        <v/>
      </c>
      <c r="T390" s="4" t="str">
        <f>HYPERLINK("http://141.218.60.56/~jnz1568/getInfo.php?workbook=08_02.xlsx&amp;sheet=A0&amp;row=390&amp;col=20&amp;number=&amp;sourceID=1","")</f>
        <v/>
      </c>
    </row>
    <row r="391" spans="1:20">
      <c r="A391" s="3">
        <v>8</v>
      </c>
      <c r="B391" s="3">
        <v>2</v>
      </c>
      <c r="C391" s="3">
        <v>31</v>
      </c>
      <c r="D391" s="3">
        <v>18</v>
      </c>
      <c r="E391" s="3">
        <f>((1/(INDEX(E0!J$4:J$52,C391,1)-INDEX(E0!J$4:J$52,D391,1))))*100000000</f>
        <v>0</v>
      </c>
      <c r="F391" s="4" t="str">
        <f>HYPERLINK("http://141.218.60.56/~jnz1568/getInfo.php?workbook=08_02.xlsx&amp;sheet=A0&amp;row=391&amp;col=6&amp;number=&amp;sourceID=27","")</f>
        <v/>
      </c>
      <c r="G391" s="4" t="str">
        <f>HYPERLINK("http://141.218.60.56/~jnz1568/getInfo.php?workbook=08_02.xlsx&amp;sheet=A0&amp;row=391&amp;col=7&amp;number=&amp;sourceID=34","")</f>
        <v/>
      </c>
      <c r="H391" s="4" t="str">
        <f>HYPERLINK("http://141.218.60.56/~jnz1568/getInfo.php?workbook=08_02.xlsx&amp;sheet=A0&amp;row=391&amp;col=8&amp;number=&amp;sourceID=34","")</f>
        <v/>
      </c>
      <c r="I391" s="4" t="str">
        <f>HYPERLINK("http://141.218.60.56/~jnz1568/getInfo.php?workbook=08_02.xlsx&amp;sheet=A0&amp;row=391&amp;col=9&amp;number=&amp;sourceID=34","")</f>
        <v/>
      </c>
      <c r="J391" s="4" t="str">
        <f>HYPERLINK("http://141.218.60.56/~jnz1568/getInfo.php?workbook=08_02.xlsx&amp;sheet=A0&amp;row=391&amp;col=10&amp;number=&amp;sourceID=34","")</f>
        <v/>
      </c>
      <c r="K391" s="4" t="str">
        <f>HYPERLINK("http://141.218.60.56/~jnz1568/getInfo.php?workbook=08_02.xlsx&amp;sheet=A0&amp;row=391&amp;col=11&amp;number=2138&amp;sourceID=30","2138")</f>
        <v>2138</v>
      </c>
      <c r="L391" s="4" t="str">
        <f>HYPERLINK("http://141.218.60.56/~jnz1568/getInfo.php?workbook=08_02.xlsx&amp;sheet=A0&amp;row=391&amp;col=12&amp;number=&amp;sourceID=30","")</f>
        <v/>
      </c>
      <c r="M391" s="4" t="str">
        <f>HYPERLINK("http://141.218.60.56/~jnz1568/getInfo.php?workbook=08_02.xlsx&amp;sheet=A0&amp;row=391&amp;col=13&amp;number=&amp;sourceID=30","")</f>
        <v/>
      </c>
      <c r="N391" s="4" t="str">
        <f>HYPERLINK("http://141.218.60.56/~jnz1568/getInfo.php?workbook=08_02.xlsx&amp;sheet=A0&amp;row=391&amp;col=14&amp;number=1.432e-05&amp;sourceID=30","1.432e-05")</f>
        <v>1.432e-05</v>
      </c>
      <c r="O391" s="4" t="str">
        <f>HYPERLINK("http://141.218.60.56/~jnz1568/getInfo.php?workbook=08_02.xlsx&amp;sheet=A0&amp;row=391&amp;col=15&amp;number=2115&amp;sourceID=32","2115")</f>
        <v>2115</v>
      </c>
      <c r="P391" s="4" t="str">
        <f>HYPERLINK("http://141.218.60.56/~jnz1568/getInfo.php?workbook=08_02.xlsx&amp;sheet=A0&amp;row=391&amp;col=16&amp;number=&amp;sourceID=32","")</f>
        <v/>
      </c>
      <c r="Q391" s="4" t="str">
        <f>HYPERLINK("http://141.218.60.56/~jnz1568/getInfo.php?workbook=08_02.xlsx&amp;sheet=A0&amp;row=391&amp;col=17&amp;number=&amp;sourceID=32","")</f>
        <v/>
      </c>
      <c r="R391" s="4" t="str">
        <f>HYPERLINK("http://141.218.60.56/~jnz1568/getInfo.php?workbook=08_02.xlsx&amp;sheet=A0&amp;row=391&amp;col=18&amp;number=1.23e-05&amp;sourceID=32","1.23e-05")</f>
        <v>1.23e-05</v>
      </c>
      <c r="S391" s="4" t="str">
        <f>HYPERLINK("http://141.218.60.56/~jnz1568/getInfo.php?workbook=08_02.xlsx&amp;sheet=A0&amp;row=391&amp;col=19&amp;number=&amp;sourceID=1","")</f>
        <v/>
      </c>
      <c r="T391" s="4" t="str">
        <f>HYPERLINK("http://141.218.60.56/~jnz1568/getInfo.php?workbook=08_02.xlsx&amp;sheet=A0&amp;row=391&amp;col=20&amp;number=&amp;sourceID=1","")</f>
        <v/>
      </c>
    </row>
    <row r="392" spans="1:20">
      <c r="A392" s="3">
        <v>8</v>
      </c>
      <c r="B392" s="3">
        <v>2</v>
      </c>
      <c r="C392" s="3">
        <v>31</v>
      </c>
      <c r="D392" s="3">
        <v>19</v>
      </c>
      <c r="E392" s="3">
        <f>((1/(INDEX(E0!J$4:J$52,C392,1)-INDEX(E0!J$4:J$52,D392,1))))*100000000</f>
        <v>0</v>
      </c>
      <c r="F392" s="4" t="str">
        <f>HYPERLINK("http://141.218.60.56/~jnz1568/getInfo.php?workbook=08_02.xlsx&amp;sheet=A0&amp;row=392&amp;col=6&amp;number=&amp;sourceID=27","")</f>
        <v/>
      </c>
      <c r="G392" s="4" t="str">
        <f>HYPERLINK("http://141.218.60.56/~jnz1568/getInfo.php?workbook=08_02.xlsx&amp;sheet=A0&amp;row=392&amp;col=7&amp;number=&amp;sourceID=34","")</f>
        <v/>
      </c>
      <c r="H392" s="4" t="str">
        <f>HYPERLINK("http://141.218.60.56/~jnz1568/getInfo.php?workbook=08_02.xlsx&amp;sheet=A0&amp;row=392&amp;col=8&amp;number=&amp;sourceID=34","")</f>
        <v/>
      </c>
      <c r="I392" s="4" t="str">
        <f>HYPERLINK("http://141.218.60.56/~jnz1568/getInfo.php?workbook=08_02.xlsx&amp;sheet=A0&amp;row=392&amp;col=9&amp;number=&amp;sourceID=34","")</f>
        <v/>
      </c>
      <c r="J392" s="4" t="str">
        <f>HYPERLINK("http://141.218.60.56/~jnz1568/getInfo.php?workbook=08_02.xlsx&amp;sheet=A0&amp;row=392&amp;col=10&amp;number=&amp;sourceID=34","")</f>
        <v/>
      </c>
      <c r="K392" s="4" t="str">
        <f>HYPERLINK("http://141.218.60.56/~jnz1568/getInfo.php?workbook=08_02.xlsx&amp;sheet=A0&amp;row=392&amp;col=11&amp;number=&amp;sourceID=30","")</f>
        <v/>
      </c>
      <c r="L392" s="4" t="str">
        <f>HYPERLINK("http://141.218.60.56/~jnz1568/getInfo.php?workbook=08_02.xlsx&amp;sheet=A0&amp;row=392&amp;col=12&amp;number=&amp;sourceID=30","")</f>
        <v/>
      </c>
      <c r="M392" s="4" t="str">
        <f>HYPERLINK("http://141.218.60.56/~jnz1568/getInfo.php?workbook=08_02.xlsx&amp;sheet=A0&amp;row=392&amp;col=13&amp;number=0.0004759&amp;sourceID=30","0.0004759")</f>
        <v>0.0004759</v>
      </c>
      <c r="N392" s="4" t="str">
        <f>HYPERLINK("http://141.218.60.56/~jnz1568/getInfo.php?workbook=08_02.xlsx&amp;sheet=A0&amp;row=392&amp;col=14&amp;number=&amp;sourceID=30","")</f>
        <v/>
      </c>
      <c r="O392" s="4" t="str">
        <f>HYPERLINK("http://141.218.60.56/~jnz1568/getInfo.php?workbook=08_02.xlsx&amp;sheet=A0&amp;row=392&amp;col=15&amp;number=&amp;sourceID=32","")</f>
        <v/>
      </c>
      <c r="P392" s="4" t="str">
        <f>HYPERLINK("http://141.218.60.56/~jnz1568/getInfo.php?workbook=08_02.xlsx&amp;sheet=A0&amp;row=392&amp;col=16&amp;number=&amp;sourceID=32","")</f>
        <v/>
      </c>
      <c r="Q392" s="4" t="str">
        <f>HYPERLINK("http://141.218.60.56/~jnz1568/getInfo.php?workbook=08_02.xlsx&amp;sheet=A0&amp;row=392&amp;col=17&amp;number=0.0004264&amp;sourceID=32","0.0004264")</f>
        <v>0.0004264</v>
      </c>
      <c r="R392" s="4" t="str">
        <f>HYPERLINK("http://141.218.60.56/~jnz1568/getInfo.php?workbook=08_02.xlsx&amp;sheet=A0&amp;row=392&amp;col=18&amp;number=&amp;sourceID=32","")</f>
        <v/>
      </c>
      <c r="S392" s="4" t="str">
        <f>HYPERLINK("http://141.218.60.56/~jnz1568/getInfo.php?workbook=08_02.xlsx&amp;sheet=A0&amp;row=392&amp;col=19&amp;number=&amp;sourceID=1","")</f>
        <v/>
      </c>
      <c r="T392" s="4" t="str">
        <f>HYPERLINK("http://141.218.60.56/~jnz1568/getInfo.php?workbook=08_02.xlsx&amp;sheet=A0&amp;row=392&amp;col=20&amp;number=&amp;sourceID=1","")</f>
        <v/>
      </c>
    </row>
    <row r="393" spans="1:20">
      <c r="A393" s="3">
        <v>8</v>
      </c>
      <c r="B393" s="3">
        <v>2</v>
      </c>
      <c r="C393" s="3">
        <v>31</v>
      </c>
      <c r="D393" s="3">
        <v>20</v>
      </c>
      <c r="E393" s="3">
        <f>((1/(INDEX(E0!J$4:J$52,C393,1)-INDEX(E0!J$4:J$52,D393,1))))*100000000</f>
        <v>0</v>
      </c>
      <c r="F393" s="4" t="str">
        <f>HYPERLINK("http://141.218.60.56/~jnz1568/getInfo.php?workbook=08_02.xlsx&amp;sheet=A0&amp;row=393&amp;col=6&amp;number=&amp;sourceID=27","")</f>
        <v/>
      </c>
      <c r="G393" s="4" t="str">
        <f>HYPERLINK("http://141.218.60.56/~jnz1568/getInfo.php?workbook=08_02.xlsx&amp;sheet=A0&amp;row=393&amp;col=7&amp;number=&amp;sourceID=34","")</f>
        <v/>
      </c>
      <c r="H393" s="4" t="str">
        <f>HYPERLINK("http://141.218.60.56/~jnz1568/getInfo.php?workbook=08_02.xlsx&amp;sheet=A0&amp;row=393&amp;col=8&amp;number=&amp;sourceID=34","")</f>
        <v/>
      </c>
      <c r="I393" s="4" t="str">
        <f>HYPERLINK("http://141.218.60.56/~jnz1568/getInfo.php?workbook=08_02.xlsx&amp;sheet=A0&amp;row=393&amp;col=9&amp;number=&amp;sourceID=34","")</f>
        <v/>
      </c>
      <c r="J393" s="4" t="str">
        <f>HYPERLINK("http://141.218.60.56/~jnz1568/getInfo.php?workbook=08_02.xlsx&amp;sheet=A0&amp;row=393&amp;col=10&amp;number=&amp;sourceID=34","")</f>
        <v/>
      </c>
      <c r="K393" s="4" t="str">
        <f>HYPERLINK("http://141.218.60.56/~jnz1568/getInfo.php?workbook=08_02.xlsx&amp;sheet=A0&amp;row=393&amp;col=11&amp;number=&amp;sourceID=30","")</f>
        <v/>
      </c>
      <c r="L393" s="4" t="str">
        <f>HYPERLINK("http://141.218.60.56/~jnz1568/getInfo.php?workbook=08_02.xlsx&amp;sheet=A0&amp;row=393&amp;col=12&amp;number=9.61e-06&amp;sourceID=30","9.61e-06")</f>
        <v>9.61e-06</v>
      </c>
      <c r="M393" s="4" t="str">
        <f>HYPERLINK("http://141.218.60.56/~jnz1568/getInfo.php?workbook=08_02.xlsx&amp;sheet=A0&amp;row=393&amp;col=13&amp;number=0.0003981&amp;sourceID=30","0.0003981")</f>
        <v>0.0003981</v>
      </c>
      <c r="N393" s="4" t="str">
        <f>HYPERLINK("http://141.218.60.56/~jnz1568/getInfo.php?workbook=08_02.xlsx&amp;sheet=A0&amp;row=393&amp;col=14&amp;number=&amp;sourceID=30","")</f>
        <v/>
      </c>
      <c r="O393" s="4" t="str">
        <f>HYPERLINK("http://141.218.60.56/~jnz1568/getInfo.php?workbook=08_02.xlsx&amp;sheet=A0&amp;row=393&amp;col=15&amp;number=&amp;sourceID=32","")</f>
        <v/>
      </c>
      <c r="P393" s="4" t="str">
        <f>HYPERLINK("http://141.218.60.56/~jnz1568/getInfo.php?workbook=08_02.xlsx&amp;sheet=A0&amp;row=393&amp;col=16&amp;number=7.629e-06&amp;sourceID=32","7.629e-06")</f>
        <v>7.629e-06</v>
      </c>
      <c r="Q393" s="4" t="str">
        <f>HYPERLINK("http://141.218.60.56/~jnz1568/getInfo.php?workbook=08_02.xlsx&amp;sheet=A0&amp;row=393&amp;col=17&amp;number=0.0003556&amp;sourceID=32","0.0003556")</f>
        <v>0.0003556</v>
      </c>
      <c r="R393" s="4" t="str">
        <f>HYPERLINK("http://141.218.60.56/~jnz1568/getInfo.php?workbook=08_02.xlsx&amp;sheet=A0&amp;row=393&amp;col=18&amp;number=&amp;sourceID=32","")</f>
        <v/>
      </c>
      <c r="S393" s="4" t="str">
        <f>HYPERLINK("http://141.218.60.56/~jnz1568/getInfo.php?workbook=08_02.xlsx&amp;sheet=A0&amp;row=393&amp;col=19&amp;number=&amp;sourceID=1","")</f>
        <v/>
      </c>
      <c r="T393" s="4" t="str">
        <f>HYPERLINK("http://141.218.60.56/~jnz1568/getInfo.php?workbook=08_02.xlsx&amp;sheet=A0&amp;row=393&amp;col=20&amp;number=&amp;sourceID=1","")</f>
        <v/>
      </c>
    </row>
    <row r="394" spans="1:20">
      <c r="A394" s="3">
        <v>8</v>
      </c>
      <c r="B394" s="3">
        <v>2</v>
      </c>
      <c r="C394" s="3">
        <v>31</v>
      </c>
      <c r="D394" s="3">
        <v>21</v>
      </c>
      <c r="E394" s="3">
        <f>((1/(INDEX(E0!J$4:J$52,C394,1)-INDEX(E0!J$4:J$52,D394,1))))*100000000</f>
        <v>0</v>
      </c>
      <c r="F394" s="4" t="str">
        <f>HYPERLINK("http://141.218.60.56/~jnz1568/getInfo.php?workbook=08_02.xlsx&amp;sheet=A0&amp;row=394&amp;col=6&amp;number=&amp;sourceID=27","")</f>
        <v/>
      </c>
      <c r="G394" s="4" t="str">
        <f>HYPERLINK("http://141.218.60.56/~jnz1568/getInfo.php?workbook=08_02.xlsx&amp;sheet=A0&amp;row=394&amp;col=7&amp;number=&amp;sourceID=34","")</f>
        <v/>
      </c>
      <c r="H394" s="4" t="str">
        <f>HYPERLINK("http://141.218.60.56/~jnz1568/getInfo.php?workbook=08_02.xlsx&amp;sheet=A0&amp;row=394&amp;col=8&amp;number=&amp;sourceID=34","")</f>
        <v/>
      </c>
      <c r="I394" s="4" t="str">
        <f>HYPERLINK("http://141.218.60.56/~jnz1568/getInfo.php?workbook=08_02.xlsx&amp;sheet=A0&amp;row=394&amp;col=9&amp;number=&amp;sourceID=34","")</f>
        <v/>
      </c>
      <c r="J394" s="4" t="str">
        <f>HYPERLINK("http://141.218.60.56/~jnz1568/getInfo.php?workbook=08_02.xlsx&amp;sheet=A0&amp;row=394&amp;col=10&amp;number=&amp;sourceID=34","")</f>
        <v/>
      </c>
      <c r="K394" s="4" t="str">
        <f>HYPERLINK("http://141.218.60.56/~jnz1568/getInfo.php?workbook=08_02.xlsx&amp;sheet=A0&amp;row=394&amp;col=11&amp;number=&amp;sourceID=30","")</f>
        <v/>
      </c>
      <c r="L394" s="4" t="str">
        <f>HYPERLINK("http://141.218.60.56/~jnz1568/getInfo.php?workbook=08_02.xlsx&amp;sheet=A0&amp;row=394&amp;col=12&amp;number=3.037e-06&amp;sourceID=30","3.037e-06")</f>
        <v>3.037e-06</v>
      </c>
      <c r="M394" s="4" t="str">
        <f>HYPERLINK("http://141.218.60.56/~jnz1568/getInfo.php?workbook=08_02.xlsx&amp;sheet=A0&amp;row=394&amp;col=13&amp;number=0.0003934&amp;sourceID=30","0.0003934")</f>
        <v>0.0003934</v>
      </c>
      <c r="N394" s="4" t="str">
        <f>HYPERLINK("http://141.218.60.56/~jnz1568/getInfo.php?workbook=08_02.xlsx&amp;sheet=A0&amp;row=394&amp;col=14&amp;number=&amp;sourceID=30","")</f>
        <v/>
      </c>
      <c r="O394" s="4" t="str">
        <f>HYPERLINK("http://141.218.60.56/~jnz1568/getInfo.php?workbook=08_02.xlsx&amp;sheet=A0&amp;row=394&amp;col=15&amp;number=&amp;sourceID=32","")</f>
        <v/>
      </c>
      <c r="P394" s="4" t="str">
        <f>HYPERLINK("http://141.218.60.56/~jnz1568/getInfo.php?workbook=08_02.xlsx&amp;sheet=A0&amp;row=394&amp;col=16&amp;number=2.373e-06&amp;sourceID=32","2.373e-06")</f>
        <v>2.373e-06</v>
      </c>
      <c r="Q394" s="4" t="str">
        <f>HYPERLINK("http://141.218.60.56/~jnz1568/getInfo.php?workbook=08_02.xlsx&amp;sheet=A0&amp;row=394&amp;col=17&amp;number=0.0003561&amp;sourceID=32","0.0003561")</f>
        <v>0.0003561</v>
      </c>
      <c r="R394" s="4" t="str">
        <f>HYPERLINK("http://141.218.60.56/~jnz1568/getInfo.php?workbook=08_02.xlsx&amp;sheet=A0&amp;row=394&amp;col=18&amp;number=&amp;sourceID=32","")</f>
        <v/>
      </c>
      <c r="S394" s="4" t="str">
        <f>HYPERLINK("http://141.218.60.56/~jnz1568/getInfo.php?workbook=08_02.xlsx&amp;sheet=A0&amp;row=394&amp;col=19&amp;number=&amp;sourceID=1","")</f>
        <v/>
      </c>
      <c r="T394" s="4" t="str">
        <f>HYPERLINK("http://141.218.60.56/~jnz1568/getInfo.php?workbook=08_02.xlsx&amp;sheet=A0&amp;row=394&amp;col=20&amp;number=&amp;sourceID=1","")</f>
        <v/>
      </c>
    </row>
    <row r="395" spans="1:20">
      <c r="A395" s="3">
        <v>8</v>
      </c>
      <c r="B395" s="3">
        <v>2</v>
      </c>
      <c r="C395" s="3">
        <v>31</v>
      </c>
      <c r="D395" s="3">
        <v>22</v>
      </c>
      <c r="E395" s="3">
        <f>((1/(INDEX(E0!J$4:J$52,C395,1)-INDEX(E0!J$4:J$52,D395,1))))*100000000</f>
        <v>0</v>
      </c>
      <c r="F395" s="4" t="str">
        <f>HYPERLINK("http://141.218.60.56/~jnz1568/getInfo.php?workbook=08_02.xlsx&amp;sheet=A0&amp;row=395&amp;col=6&amp;number=&amp;sourceID=27","")</f>
        <v/>
      </c>
      <c r="G395" s="4" t="str">
        <f>HYPERLINK("http://141.218.60.56/~jnz1568/getInfo.php?workbook=08_02.xlsx&amp;sheet=A0&amp;row=395&amp;col=7&amp;number=913333.333333&amp;sourceID=34","913333.333333")</f>
        <v>913333.333333</v>
      </c>
      <c r="H395" s="4" t="str">
        <f>HYPERLINK("http://141.218.60.56/~jnz1568/getInfo.php?workbook=08_02.xlsx&amp;sheet=A0&amp;row=395&amp;col=8&amp;number=&amp;sourceID=34","")</f>
        <v/>
      </c>
      <c r="I395" s="4" t="str">
        <f>HYPERLINK("http://141.218.60.56/~jnz1568/getInfo.php?workbook=08_02.xlsx&amp;sheet=A0&amp;row=395&amp;col=9&amp;number=&amp;sourceID=34","")</f>
        <v/>
      </c>
      <c r="J395" s="4" t="str">
        <f>HYPERLINK("http://141.218.60.56/~jnz1568/getInfo.php?workbook=08_02.xlsx&amp;sheet=A0&amp;row=395&amp;col=10&amp;number=&amp;sourceID=34","")</f>
        <v/>
      </c>
      <c r="K395" s="4" t="str">
        <f>HYPERLINK("http://141.218.60.56/~jnz1568/getInfo.php?workbook=08_02.xlsx&amp;sheet=A0&amp;row=395&amp;col=11&amp;number=689000&amp;sourceID=30","689000")</f>
        <v>689000</v>
      </c>
      <c r="L395" s="4" t="str">
        <f>HYPERLINK("http://141.218.60.56/~jnz1568/getInfo.php?workbook=08_02.xlsx&amp;sheet=A0&amp;row=395&amp;col=12&amp;number=&amp;sourceID=30","")</f>
        <v/>
      </c>
      <c r="M395" s="4" t="str">
        <f>HYPERLINK("http://141.218.60.56/~jnz1568/getInfo.php?workbook=08_02.xlsx&amp;sheet=A0&amp;row=395&amp;col=13&amp;number=&amp;sourceID=30","")</f>
        <v/>
      </c>
      <c r="N395" s="4" t="str">
        <f>HYPERLINK("http://141.218.60.56/~jnz1568/getInfo.php?workbook=08_02.xlsx&amp;sheet=A0&amp;row=395&amp;col=14&amp;number=&amp;sourceID=30","")</f>
        <v/>
      </c>
      <c r="O395" s="4" t="str">
        <f>HYPERLINK("http://141.218.60.56/~jnz1568/getInfo.php?workbook=08_02.xlsx&amp;sheet=A0&amp;row=395&amp;col=15&amp;number=912300&amp;sourceID=32","912300")</f>
        <v>912300</v>
      </c>
      <c r="P395" s="4" t="str">
        <f>HYPERLINK("http://141.218.60.56/~jnz1568/getInfo.php?workbook=08_02.xlsx&amp;sheet=A0&amp;row=395&amp;col=16&amp;number=&amp;sourceID=32","")</f>
        <v/>
      </c>
      <c r="Q395" s="4" t="str">
        <f>HYPERLINK("http://141.218.60.56/~jnz1568/getInfo.php?workbook=08_02.xlsx&amp;sheet=A0&amp;row=395&amp;col=17&amp;number=&amp;sourceID=32","")</f>
        <v/>
      </c>
      <c r="R395" s="4" t="str">
        <f>HYPERLINK("http://141.218.60.56/~jnz1568/getInfo.php?workbook=08_02.xlsx&amp;sheet=A0&amp;row=395&amp;col=18&amp;number=&amp;sourceID=32","")</f>
        <v/>
      </c>
      <c r="S395" s="4" t="str">
        <f>HYPERLINK("http://141.218.60.56/~jnz1568/getInfo.php?workbook=08_02.xlsx&amp;sheet=A0&amp;row=395&amp;col=19&amp;number=&amp;sourceID=1","")</f>
        <v/>
      </c>
      <c r="T395" s="4" t="str">
        <f>HYPERLINK("http://141.218.60.56/~jnz1568/getInfo.php?workbook=08_02.xlsx&amp;sheet=A0&amp;row=395&amp;col=20&amp;number=&amp;sourceID=1","")</f>
        <v/>
      </c>
    </row>
    <row r="396" spans="1:20">
      <c r="A396" s="3">
        <v>8</v>
      </c>
      <c r="B396" s="3">
        <v>2</v>
      </c>
      <c r="C396" s="3">
        <v>31</v>
      </c>
      <c r="D396" s="3">
        <v>23</v>
      </c>
      <c r="E396" s="3">
        <f>((1/(INDEX(E0!J$4:J$52,C396,1)-INDEX(E0!J$4:J$52,D396,1))))*100000000</f>
        <v>0</v>
      </c>
      <c r="F396" s="4" t="str">
        <f>HYPERLINK("http://141.218.60.56/~jnz1568/getInfo.php?workbook=08_02.xlsx&amp;sheet=A0&amp;row=396&amp;col=6&amp;number=&amp;sourceID=27","")</f>
        <v/>
      </c>
      <c r="G396" s="4" t="str">
        <f>HYPERLINK("http://141.218.60.56/~jnz1568/getInfo.php?workbook=08_02.xlsx&amp;sheet=A0&amp;row=396&amp;col=7&amp;number=&amp;sourceID=34","")</f>
        <v/>
      </c>
      <c r="H396" s="4" t="str">
        <f>HYPERLINK("http://141.218.60.56/~jnz1568/getInfo.php?workbook=08_02.xlsx&amp;sheet=A0&amp;row=396&amp;col=8&amp;number=&amp;sourceID=34","")</f>
        <v/>
      </c>
      <c r="I396" s="4" t="str">
        <f>HYPERLINK("http://141.218.60.56/~jnz1568/getInfo.php?workbook=08_02.xlsx&amp;sheet=A0&amp;row=396&amp;col=9&amp;number=&amp;sourceID=34","")</f>
        <v/>
      </c>
      <c r="J396" s="4" t="str">
        <f>HYPERLINK("http://141.218.60.56/~jnz1568/getInfo.php?workbook=08_02.xlsx&amp;sheet=A0&amp;row=396&amp;col=10&amp;number=&amp;sourceID=34","")</f>
        <v/>
      </c>
      <c r="K396" s="4" t="str">
        <f>HYPERLINK("http://141.218.60.56/~jnz1568/getInfo.php?workbook=08_02.xlsx&amp;sheet=A0&amp;row=396&amp;col=11&amp;number=2.45&amp;sourceID=30","2.45")</f>
        <v>2.45</v>
      </c>
      <c r="L396" s="4" t="str">
        <f>HYPERLINK("http://141.218.60.56/~jnz1568/getInfo.php?workbook=08_02.xlsx&amp;sheet=A0&amp;row=396&amp;col=12&amp;number=&amp;sourceID=30","")</f>
        <v/>
      </c>
      <c r="M396" s="4" t="str">
        <f>HYPERLINK("http://141.218.60.56/~jnz1568/getInfo.php?workbook=08_02.xlsx&amp;sheet=A0&amp;row=396&amp;col=13&amp;number=&amp;sourceID=30","")</f>
        <v/>
      </c>
      <c r="N396" s="4" t="str">
        <f>HYPERLINK("http://141.218.60.56/~jnz1568/getInfo.php?workbook=08_02.xlsx&amp;sheet=A0&amp;row=396&amp;col=14&amp;number=1.258e-11&amp;sourceID=30","1.258e-11")</f>
        <v>1.258e-11</v>
      </c>
      <c r="O396" s="4" t="str">
        <f>HYPERLINK("http://141.218.60.56/~jnz1568/getInfo.php?workbook=08_02.xlsx&amp;sheet=A0&amp;row=396&amp;col=15&amp;number=1.112&amp;sourceID=32","1.112")</f>
        <v>1.112</v>
      </c>
      <c r="P396" s="4" t="str">
        <f>HYPERLINK("http://141.218.60.56/~jnz1568/getInfo.php?workbook=08_02.xlsx&amp;sheet=A0&amp;row=396&amp;col=16&amp;number=&amp;sourceID=32","")</f>
        <v/>
      </c>
      <c r="Q396" s="4" t="str">
        <f>HYPERLINK("http://141.218.60.56/~jnz1568/getInfo.php?workbook=08_02.xlsx&amp;sheet=A0&amp;row=396&amp;col=17&amp;number=&amp;sourceID=32","")</f>
        <v/>
      </c>
      <c r="R396" s="4" t="str">
        <f>HYPERLINK("http://141.218.60.56/~jnz1568/getInfo.php?workbook=08_02.xlsx&amp;sheet=A0&amp;row=396&amp;col=18&amp;number=2.908e-12&amp;sourceID=32","2.908e-12")</f>
        <v>2.908e-12</v>
      </c>
      <c r="S396" s="4" t="str">
        <f>HYPERLINK("http://141.218.60.56/~jnz1568/getInfo.php?workbook=08_02.xlsx&amp;sheet=A0&amp;row=396&amp;col=19&amp;number=&amp;sourceID=1","")</f>
        <v/>
      </c>
      <c r="T396" s="4" t="str">
        <f>HYPERLINK("http://141.218.60.56/~jnz1568/getInfo.php?workbook=08_02.xlsx&amp;sheet=A0&amp;row=396&amp;col=20&amp;number=&amp;sourceID=1","")</f>
        <v/>
      </c>
    </row>
    <row r="397" spans="1:20">
      <c r="A397" s="3">
        <v>8</v>
      </c>
      <c r="B397" s="3">
        <v>2</v>
      </c>
      <c r="C397" s="3">
        <v>31</v>
      </c>
      <c r="D397" s="3">
        <v>24</v>
      </c>
      <c r="E397" s="3">
        <f>((1/(INDEX(E0!J$4:J$52,C397,1)-INDEX(E0!J$4:J$52,D397,1))))*100000000</f>
        <v>0</v>
      </c>
      <c r="F397" s="4" t="str">
        <f>HYPERLINK("http://141.218.60.56/~jnz1568/getInfo.php?workbook=08_02.xlsx&amp;sheet=A0&amp;row=397&amp;col=6&amp;number=&amp;sourceID=27","")</f>
        <v/>
      </c>
      <c r="G397" s="4" t="str">
        <f>HYPERLINK("http://141.218.60.56/~jnz1568/getInfo.php?workbook=08_02.xlsx&amp;sheet=A0&amp;row=397&amp;col=7&amp;number=&amp;sourceID=34","")</f>
        <v/>
      </c>
      <c r="H397" s="4" t="str">
        <f>HYPERLINK("http://141.218.60.56/~jnz1568/getInfo.php?workbook=08_02.xlsx&amp;sheet=A0&amp;row=397&amp;col=8&amp;number=&amp;sourceID=34","")</f>
        <v/>
      </c>
      <c r="I397" s="4" t="str">
        <f>HYPERLINK("http://141.218.60.56/~jnz1568/getInfo.php?workbook=08_02.xlsx&amp;sheet=A0&amp;row=397&amp;col=9&amp;number=&amp;sourceID=34","")</f>
        <v/>
      </c>
      <c r="J397" s="4" t="str">
        <f>HYPERLINK("http://141.218.60.56/~jnz1568/getInfo.php?workbook=08_02.xlsx&amp;sheet=A0&amp;row=397&amp;col=10&amp;number=&amp;sourceID=34","")</f>
        <v/>
      </c>
      <c r="K397" s="4" t="str">
        <f>HYPERLINK("http://141.218.60.56/~jnz1568/getInfo.php?workbook=08_02.xlsx&amp;sheet=A0&amp;row=397&amp;col=11&amp;number=355&amp;sourceID=30","355")</f>
        <v>355</v>
      </c>
      <c r="L397" s="4" t="str">
        <f>HYPERLINK("http://141.218.60.56/~jnz1568/getInfo.php?workbook=08_02.xlsx&amp;sheet=A0&amp;row=397&amp;col=12&amp;number=&amp;sourceID=30","")</f>
        <v/>
      </c>
      <c r="M397" s="4" t="str">
        <f>HYPERLINK("http://141.218.60.56/~jnz1568/getInfo.php?workbook=08_02.xlsx&amp;sheet=A0&amp;row=397&amp;col=13&amp;number=&amp;sourceID=30","")</f>
        <v/>
      </c>
      <c r="N397" s="4" t="str">
        <f>HYPERLINK("http://141.218.60.56/~jnz1568/getInfo.php?workbook=08_02.xlsx&amp;sheet=A0&amp;row=397&amp;col=14&amp;number=1.481e-10&amp;sourceID=30","1.481e-10")</f>
        <v>1.481e-10</v>
      </c>
      <c r="O397" s="4" t="str">
        <f>HYPERLINK("http://141.218.60.56/~jnz1568/getInfo.php?workbook=08_02.xlsx&amp;sheet=A0&amp;row=397&amp;col=15&amp;number=189.5&amp;sourceID=32","189.5")</f>
        <v>189.5</v>
      </c>
      <c r="P397" s="4" t="str">
        <f>HYPERLINK("http://141.218.60.56/~jnz1568/getInfo.php?workbook=08_02.xlsx&amp;sheet=A0&amp;row=397&amp;col=16&amp;number=&amp;sourceID=32","")</f>
        <v/>
      </c>
      <c r="Q397" s="4" t="str">
        <f>HYPERLINK("http://141.218.60.56/~jnz1568/getInfo.php?workbook=08_02.xlsx&amp;sheet=A0&amp;row=397&amp;col=17&amp;number=&amp;sourceID=32","")</f>
        <v/>
      </c>
      <c r="R397" s="4" t="str">
        <f>HYPERLINK("http://141.218.60.56/~jnz1568/getInfo.php?workbook=08_02.xlsx&amp;sheet=A0&amp;row=397&amp;col=18&amp;number=3.282e-11&amp;sourceID=32","3.282e-11")</f>
        <v>3.282e-11</v>
      </c>
      <c r="S397" s="4" t="str">
        <f>HYPERLINK("http://141.218.60.56/~jnz1568/getInfo.php?workbook=08_02.xlsx&amp;sheet=A0&amp;row=397&amp;col=19&amp;number=&amp;sourceID=1","")</f>
        <v/>
      </c>
      <c r="T397" s="4" t="str">
        <f>HYPERLINK("http://141.218.60.56/~jnz1568/getInfo.php?workbook=08_02.xlsx&amp;sheet=A0&amp;row=397&amp;col=20&amp;number=&amp;sourceID=1","")</f>
        <v/>
      </c>
    </row>
    <row r="398" spans="1:20">
      <c r="A398" s="3">
        <v>8</v>
      </c>
      <c r="B398" s="3">
        <v>2</v>
      </c>
      <c r="C398" s="3">
        <v>31</v>
      </c>
      <c r="D398" s="3">
        <v>26</v>
      </c>
      <c r="E398" s="3">
        <f>((1/(INDEX(E0!J$4:J$52,C398,1)-INDEX(E0!J$4:J$52,D398,1))))*100000000</f>
        <v>0</v>
      </c>
      <c r="F398" s="4" t="str">
        <f>HYPERLINK("http://141.218.60.56/~jnz1568/getInfo.php?workbook=08_02.xlsx&amp;sheet=A0&amp;row=398&amp;col=6&amp;number=&amp;sourceID=27","")</f>
        <v/>
      </c>
      <c r="G398" s="4" t="str">
        <f>HYPERLINK("http://141.218.60.56/~jnz1568/getInfo.php?workbook=08_02.xlsx&amp;sheet=A0&amp;row=398&amp;col=7&amp;number=&amp;sourceID=34","")</f>
        <v/>
      </c>
      <c r="H398" s="4" t="str">
        <f>HYPERLINK("http://141.218.60.56/~jnz1568/getInfo.php?workbook=08_02.xlsx&amp;sheet=A0&amp;row=398&amp;col=8&amp;number=&amp;sourceID=34","")</f>
        <v/>
      </c>
      <c r="I398" s="4" t="str">
        <f>HYPERLINK("http://141.218.60.56/~jnz1568/getInfo.php?workbook=08_02.xlsx&amp;sheet=A0&amp;row=398&amp;col=9&amp;number=&amp;sourceID=34","")</f>
        <v/>
      </c>
      <c r="J398" s="4" t="str">
        <f>HYPERLINK("http://141.218.60.56/~jnz1568/getInfo.php?workbook=08_02.xlsx&amp;sheet=A0&amp;row=398&amp;col=10&amp;number=&amp;sourceID=34","")</f>
        <v/>
      </c>
      <c r="K398" s="4" t="str">
        <f>HYPERLINK("http://141.218.60.56/~jnz1568/getInfo.php?workbook=08_02.xlsx&amp;sheet=A0&amp;row=398&amp;col=11&amp;number=&amp;sourceID=30","")</f>
        <v/>
      </c>
      <c r="L398" s="4" t="str">
        <f>HYPERLINK("http://141.218.60.56/~jnz1568/getInfo.php?workbook=08_02.xlsx&amp;sheet=A0&amp;row=398&amp;col=12&amp;number=&amp;sourceID=30","")</f>
        <v/>
      </c>
      <c r="M398" s="4" t="str">
        <f>HYPERLINK("http://141.218.60.56/~jnz1568/getInfo.php?workbook=08_02.xlsx&amp;sheet=A0&amp;row=398&amp;col=13&amp;number=&amp;sourceID=30","")</f>
        <v/>
      </c>
      <c r="N398" s="4" t="str">
        <f>HYPERLINK("http://141.218.60.56/~jnz1568/getInfo.php?workbook=08_02.xlsx&amp;sheet=A0&amp;row=398&amp;col=14&amp;number=1.017e-09&amp;sourceID=30","1.017e-09")</f>
        <v>1.017e-09</v>
      </c>
      <c r="O398" s="4" t="str">
        <f>HYPERLINK("http://141.218.60.56/~jnz1568/getInfo.php?workbook=08_02.xlsx&amp;sheet=A0&amp;row=398&amp;col=15&amp;number=&amp;sourceID=32","")</f>
        <v/>
      </c>
      <c r="P398" s="4" t="str">
        <f>HYPERLINK("http://141.218.60.56/~jnz1568/getInfo.php?workbook=08_02.xlsx&amp;sheet=A0&amp;row=398&amp;col=16&amp;number=&amp;sourceID=32","")</f>
        <v/>
      </c>
      <c r="Q398" s="4" t="str">
        <f>HYPERLINK("http://141.218.60.56/~jnz1568/getInfo.php?workbook=08_02.xlsx&amp;sheet=A0&amp;row=398&amp;col=17&amp;number=&amp;sourceID=32","")</f>
        <v/>
      </c>
      <c r="R398" s="4" t="str">
        <f>HYPERLINK("http://141.218.60.56/~jnz1568/getInfo.php?workbook=08_02.xlsx&amp;sheet=A0&amp;row=398&amp;col=18&amp;number=2.297e-10&amp;sourceID=32","2.297e-10")</f>
        <v>2.297e-10</v>
      </c>
      <c r="S398" s="4" t="str">
        <f>HYPERLINK("http://141.218.60.56/~jnz1568/getInfo.php?workbook=08_02.xlsx&amp;sheet=A0&amp;row=398&amp;col=19&amp;number=&amp;sourceID=1","")</f>
        <v/>
      </c>
      <c r="T398" s="4" t="str">
        <f>HYPERLINK("http://141.218.60.56/~jnz1568/getInfo.php?workbook=08_02.xlsx&amp;sheet=A0&amp;row=398&amp;col=20&amp;number=&amp;sourceID=1","")</f>
        <v/>
      </c>
    </row>
    <row r="399" spans="1:20">
      <c r="A399" s="3">
        <v>8</v>
      </c>
      <c r="B399" s="3">
        <v>2</v>
      </c>
      <c r="C399" s="3">
        <v>31</v>
      </c>
      <c r="D399" s="3">
        <v>27</v>
      </c>
      <c r="E399" s="3">
        <f>((1/(INDEX(E0!J$4:J$52,C399,1)-INDEX(E0!J$4:J$52,D399,1))))*100000000</f>
        <v>0</v>
      </c>
      <c r="F399" s="4" t="str">
        <f>HYPERLINK("http://141.218.60.56/~jnz1568/getInfo.php?workbook=08_02.xlsx&amp;sheet=A0&amp;row=399&amp;col=6&amp;number=&amp;sourceID=27","")</f>
        <v/>
      </c>
      <c r="G399" s="4" t="str">
        <f>HYPERLINK("http://141.218.60.56/~jnz1568/getInfo.php?workbook=08_02.xlsx&amp;sheet=A0&amp;row=399&amp;col=7&amp;number=&amp;sourceID=34","")</f>
        <v/>
      </c>
      <c r="H399" s="4" t="str">
        <f>HYPERLINK("http://141.218.60.56/~jnz1568/getInfo.php?workbook=08_02.xlsx&amp;sheet=A0&amp;row=399&amp;col=8&amp;number=&amp;sourceID=34","")</f>
        <v/>
      </c>
      <c r="I399" s="4" t="str">
        <f>HYPERLINK("http://141.218.60.56/~jnz1568/getInfo.php?workbook=08_02.xlsx&amp;sheet=A0&amp;row=399&amp;col=9&amp;number=&amp;sourceID=34","")</f>
        <v/>
      </c>
      <c r="J399" s="4" t="str">
        <f>HYPERLINK("http://141.218.60.56/~jnz1568/getInfo.php?workbook=08_02.xlsx&amp;sheet=A0&amp;row=399&amp;col=10&amp;number=&amp;sourceID=34","")</f>
        <v/>
      </c>
      <c r="K399" s="4" t="str">
        <f>HYPERLINK("http://141.218.60.56/~jnz1568/getInfo.php?workbook=08_02.xlsx&amp;sheet=A0&amp;row=399&amp;col=11&amp;number=&amp;sourceID=30","")</f>
        <v/>
      </c>
      <c r="L399" s="4" t="str">
        <f>HYPERLINK("http://141.218.60.56/~jnz1568/getInfo.php?workbook=08_02.xlsx&amp;sheet=A0&amp;row=399&amp;col=12&amp;number=1.162e-05&amp;sourceID=30","1.162e-05")</f>
        <v>1.162e-05</v>
      </c>
      <c r="M399" s="4" t="str">
        <f>HYPERLINK("http://141.218.60.56/~jnz1568/getInfo.php?workbook=08_02.xlsx&amp;sheet=A0&amp;row=399&amp;col=13&amp;number=&amp;sourceID=30","")</f>
        <v/>
      </c>
      <c r="N399" s="4" t="str">
        <f>HYPERLINK("http://141.218.60.56/~jnz1568/getInfo.php?workbook=08_02.xlsx&amp;sheet=A0&amp;row=399&amp;col=14&amp;number=&amp;sourceID=30","")</f>
        <v/>
      </c>
      <c r="O399" s="4" t="str">
        <f>HYPERLINK("http://141.218.60.56/~jnz1568/getInfo.php?workbook=08_02.xlsx&amp;sheet=A0&amp;row=399&amp;col=15&amp;number=&amp;sourceID=32","")</f>
        <v/>
      </c>
      <c r="P399" s="4" t="str">
        <f>HYPERLINK("http://141.218.60.56/~jnz1568/getInfo.php?workbook=08_02.xlsx&amp;sheet=A0&amp;row=399&amp;col=16&amp;number=1.914e-06&amp;sourceID=32","1.914e-06")</f>
        <v>1.914e-06</v>
      </c>
      <c r="Q399" s="4" t="str">
        <f>HYPERLINK("http://141.218.60.56/~jnz1568/getInfo.php?workbook=08_02.xlsx&amp;sheet=A0&amp;row=399&amp;col=17&amp;number=&amp;sourceID=32","")</f>
        <v/>
      </c>
      <c r="R399" s="4" t="str">
        <f>HYPERLINK("http://141.218.60.56/~jnz1568/getInfo.php?workbook=08_02.xlsx&amp;sheet=A0&amp;row=399&amp;col=18&amp;number=&amp;sourceID=32","")</f>
        <v/>
      </c>
      <c r="S399" s="4" t="str">
        <f>HYPERLINK("http://141.218.60.56/~jnz1568/getInfo.php?workbook=08_02.xlsx&amp;sheet=A0&amp;row=399&amp;col=19&amp;number=&amp;sourceID=1","")</f>
        <v/>
      </c>
      <c r="T399" s="4" t="str">
        <f>HYPERLINK("http://141.218.60.56/~jnz1568/getInfo.php?workbook=08_02.xlsx&amp;sheet=A0&amp;row=399&amp;col=20&amp;number=&amp;sourceID=1","")</f>
        <v/>
      </c>
    </row>
    <row r="400" spans="1:20">
      <c r="A400" s="3">
        <v>8</v>
      </c>
      <c r="B400" s="3">
        <v>2</v>
      </c>
      <c r="C400" s="3">
        <v>31</v>
      </c>
      <c r="D400" s="3">
        <v>28</v>
      </c>
      <c r="E400" s="3">
        <f>((1/(INDEX(E0!J$4:J$52,C400,1)-INDEX(E0!J$4:J$52,D400,1))))*100000000</f>
        <v>0</v>
      </c>
      <c r="F400" s="4" t="str">
        <f>HYPERLINK("http://141.218.60.56/~jnz1568/getInfo.php?workbook=08_02.xlsx&amp;sheet=A0&amp;row=400&amp;col=6&amp;number=&amp;sourceID=27","")</f>
        <v/>
      </c>
      <c r="G400" s="4" t="str">
        <f>HYPERLINK("http://141.218.60.56/~jnz1568/getInfo.php?workbook=08_02.xlsx&amp;sheet=A0&amp;row=400&amp;col=7&amp;number=&amp;sourceID=34","")</f>
        <v/>
      </c>
      <c r="H400" s="4" t="str">
        <f>HYPERLINK("http://141.218.60.56/~jnz1568/getInfo.php?workbook=08_02.xlsx&amp;sheet=A0&amp;row=400&amp;col=8&amp;number=&amp;sourceID=34","")</f>
        <v/>
      </c>
      <c r="I400" s="4" t="str">
        <f>HYPERLINK("http://141.218.60.56/~jnz1568/getInfo.php?workbook=08_02.xlsx&amp;sheet=A0&amp;row=400&amp;col=9&amp;number=&amp;sourceID=34","")</f>
        <v/>
      </c>
      <c r="J400" s="4" t="str">
        <f>HYPERLINK("http://141.218.60.56/~jnz1568/getInfo.php?workbook=08_02.xlsx&amp;sheet=A0&amp;row=400&amp;col=10&amp;number=&amp;sourceID=34","")</f>
        <v/>
      </c>
      <c r="K400" s="4" t="str">
        <f>HYPERLINK("http://141.218.60.56/~jnz1568/getInfo.php?workbook=08_02.xlsx&amp;sheet=A0&amp;row=400&amp;col=11&amp;number=&amp;sourceID=30","")</f>
        <v/>
      </c>
      <c r="L400" s="4" t="str">
        <f>HYPERLINK("http://141.218.60.56/~jnz1568/getInfo.php?workbook=08_02.xlsx&amp;sheet=A0&amp;row=400&amp;col=12&amp;number=1.656e-09&amp;sourceID=30","1.656e-09")</f>
        <v>1.656e-09</v>
      </c>
      <c r="M400" s="4" t="str">
        <f>HYPERLINK("http://141.218.60.56/~jnz1568/getInfo.php?workbook=08_02.xlsx&amp;sheet=A0&amp;row=400&amp;col=13&amp;number=2.487e-12&amp;sourceID=30","2.487e-12")</f>
        <v>2.487e-12</v>
      </c>
      <c r="N400" s="4" t="str">
        <f>HYPERLINK("http://141.218.60.56/~jnz1568/getInfo.php?workbook=08_02.xlsx&amp;sheet=A0&amp;row=400&amp;col=14&amp;number=&amp;sourceID=30","")</f>
        <v/>
      </c>
      <c r="O400" s="4" t="str">
        <f>HYPERLINK("http://141.218.60.56/~jnz1568/getInfo.php?workbook=08_02.xlsx&amp;sheet=A0&amp;row=400&amp;col=15&amp;number=&amp;sourceID=32","")</f>
        <v/>
      </c>
      <c r="P400" s="4" t="str">
        <f>HYPERLINK("http://141.218.60.56/~jnz1568/getInfo.php?workbook=08_02.xlsx&amp;sheet=A0&amp;row=400&amp;col=16&amp;number=2.891e-10&amp;sourceID=32","2.891e-10")</f>
        <v>2.891e-10</v>
      </c>
      <c r="Q400" s="4" t="str">
        <f>HYPERLINK("http://141.218.60.56/~jnz1568/getInfo.php?workbook=08_02.xlsx&amp;sheet=A0&amp;row=400&amp;col=17&amp;number=1.443e-12&amp;sourceID=32","1.443e-12")</f>
        <v>1.443e-12</v>
      </c>
      <c r="R400" s="4" t="str">
        <f>HYPERLINK("http://141.218.60.56/~jnz1568/getInfo.php?workbook=08_02.xlsx&amp;sheet=A0&amp;row=400&amp;col=18&amp;number=&amp;sourceID=32","")</f>
        <v/>
      </c>
      <c r="S400" s="4" t="str">
        <f>HYPERLINK("http://141.218.60.56/~jnz1568/getInfo.php?workbook=08_02.xlsx&amp;sheet=A0&amp;row=400&amp;col=19&amp;number=&amp;sourceID=1","")</f>
        <v/>
      </c>
      <c r="T400" s="4" t="str">
        <f>HYPERLINK("http://141.218.60.56/~jnz1568/getInfo.php?workbook=08_02.xlsx&amp;sheet=A0&amp;row=400&amp;col=20&amp;number=&amp;sourceID=1","")</f>
        <v/>
      </c>
    </row>
    <row r="401" spans="1:20">
      <c r="A401" s="3">
        <v>8</v>
      </c>
      <c r="B401" s="3">
        <v>2</v>
      </c>
      <c r="C401" s="3">
        <v>31</v>
      </c>
      <c r="D401" s="3">
        <v>29</v>
      </c>
      <c r="E401" s="3">
        <f>((1/(INDEX(E0!J$4:J$52,C401,1)-INDEX(E0!J$4:J$52,D401,1))))*100000000</f>
        <v>0</v>
      </c>
      <c r="F401" s="4" t="str">
        <f>HYPERLINK("http://141.218.60.56/~jnz1568/getInfo.php?workbook=08_02.xlsx&amp;sheet=A0&amp;row=401&amp;col=6&amp;number=&amp;sourceID=27","")</f>
        <v/>
      </c>
      <c r="G401" s="4" t="str">
        <f>HYPERLINK("http://141.218.60.56/~jnz1568/getInfo.php?workbook=08_02.xlsx&amp;sheet=A0&amp;row=401&amp;col=7&amp;number=26970&amp;sourceID=34","26970")</f>
        <v>26970</v>
      </c>
      <c r="H401" s="4" t="str">
        <f>HYPERLINK("http://141.218.60.56/~jnz1568/getInfo.php?workbook=08_02.xlsx&amp;sheet=A0&amp;row=401&amp;col=8&amp;number=&amp;sourceID=34","")</f>
        <v/>
      </c>
      <c r="I401" s="4" t="str">
        <f>HYPERLINK("http://141.218.60.56/~jnz1568/getInfo.php?workbook=08_02.xlsx&amp;sheet=A0&amp;row=401&amp;col=9&amp;number=&amp;sourceID=34","")</f>
        <v/>
      </c>
      <c r="J401" s="4" t="str">
        <f>HYPERLINK("http://141.218.60.56/~jnz1568/getInfo.php?workbook=08_02.xlsx&amp;sheet=A0&amp;row=401&amp;col=10&amp;number=&amp;sourceID=34","")</f>
        <v/>
      </c>
      <c r="K401" s="4" t="str">
        <f>HYPERLINK("http://141.218.60.56/~jnz1568/getInfo.php?workbook=08_02.xlsx&amp;sheet=A0&amp;row=401&amp;col=11&amp;number=36130&amp;sourceID=30","36130")</f>
        <v>36130</v>
      </c>
      <c r="L401" s="4" t="str">
        <f>HYPERLINK("http://141.218.60.56/~jnz1568/getInfo.php?workbook=08_02.xlsx&amp;sheet=A0&amp;row=401&amp;col=12&amp;number=&amp;sourceID=30","")</f>
        <v/>
      </c>
      <c r="M401" s="4" t="str">
        <f>HYPERLINK("http://141.218.60.56/~jnz1568/getInfo.php?workbook=08_02.xlsx&amp;sheet=A0&amp;row=401&amp;col=13&amp;number=&amp;sourceID=30","")</f>
        <v/>
      </c>
      <c r="N401" s="4" t="str">
        <f>HYPERLINK("http://141.218.60.56/~jnz1568/getInfo.php?workbook=08_02.xlsx&amp;sheet=A0&amp;row=401&amp;col=14&amp;number=2.565e-10&amp;sourceID=30","2.565e-10")</f>
        <v>2.565e-10</v>
      </c>
      <c r="O401" s="4" t="str">
        <f>HYPERLINK("http://141.218.60.56/~jnz1568/getInfo.php?workbook=08_02.xlsx&amp;sheet=A0&amp;row=401&amp;col=15&amp;number=13600&amp;sourceID=32","13600")</f>
        <v>13600</v>
      </c>
      <c r="P401" s="4" t="str">
        <f>HYPERLINK("http://141.218.60.56/~jnz1568/getInfo.php?workbook=08_02.xlsx&amp;sheet=A0&amp;row=401&amp;col=16&amp;number=&amp;sourceID=32","")</f>
        <v/>
      </c>
      <c r="Q401" s="4" t="str">
        <f>HYPERLINK("http://141.218.60.56/~jnz1568/getInfo.php?workbook=08_02.xlsx&amp;sheet=A0&amp;row=401&amp;col=17&amp;number=&amp;sourceID=32","")</f>
        <v/>
      </c>
      <c r="R401" s="4" t="str">
        <f>HYPERLINK("http://141.218.60.56/~jnz1568/getInfo.php?workbook=08_02.xlsx&amp;sheet=A0&amp;row=401&amp;col=18&amp;number=5.095e-11&amp;sourceID=32","5.095e-11")</f>
        <v>5.095e-11</v>
      </c>
      <c r="S401" s="4" t="str">
        <f>HYPERLINK("http://141.218.60.56/~jnz1568/getInfo.php?workbook=08_02.xlsx&amp;sheet=A0&amp;row=401&amp;col=19&amp;number=&amp;sourceID=1","")</f>
        <v/>
      </c>
      <c r="T401" s="4" t="str">
        <f>HYPERLINK("http://141.218.60.56/~jnz1568/getInfo.php?workbook=08_02.xlsx&amp;sheet=A0&amp;row=401&amp;col=20&amp;number=&amp;sourceID=1","")</f>
        <v/>
      </c>
    </row>
    <row r="402" spans="1:20">
      <c r="A402" s="3">
        <v>8</v>
      </c>
      <c r="B402" s="3">
        <v>2</v>
      </c>
      <c r="C402" s="3">
        <v>31</v>
      </c>
      <c r="D402" s="3">
        <v>30</v>
      </c>
      <c r="E402" s="3">
        <f>((1/(INDEX(E0!J$4:J$52,C402,1)-INDEX(E0!J$4:J$52,D402,1))))*100000000</f>
        <v>0</v>
      </c>
      <c r="F402" s="4" t="str">
        <f>HYPERLINK("http://141.218.60.56/~jnz1568/getInfo.php?workbook=08_02.xlsx&amp;sheet=A0&amp;row=402&amp;col=6&amp;number=&amp;sourceID=27","")</f>
        <v/>
      </c>
      <c r="G402" s="4" t="str">
        <f>HYPERLINK("http://141.218.60.56/~jnz1568/getInfo.php?workbook=08_02.xlsx&amp;sheet=A0&amp;row=402&amp;col=7&amp;number=&amp;sourceID=34","")</f>
        <v/>
      </c>
      <c r="H402" s="4" t="str">
        <f>HYPERLINK("http://141.218.60.56/~jnz1568/getInfo.php?workbook=08_02.xlsx&amp;sheet=A0&amp;row=402&amp;col=8&amp;number=&amp;sourceID=34","")</f>
        <v/>
      </c>
      <c r="I402" s="4" t="str">
        <f>HYPERLINK("http://141.218.60.56/~jnz1568/getInfo.php?workbook=08_02.xlsx&amp;sheet=A0&amp;row=402&amp;col=9&amp;number=&amp;sourceID=34","")</f>
        <v/>
      </c>
      <c r="J402" s="4" t="str">
        <f>HYPERLINK("http://141.218.60.56/~jnz1568/getInfo.php?workbook=08_02.xlsx&amp;sheet=A0&amp;row=402&amp;col=10&amp;number=&amp;sourceID=34","")</f>
        <v/>
      </c>
      <c r="K402" s="4" t="str">
        <f>HYPERLINK("http://141.218.60.56/~jnz1568/getInfo.php?workbook=08_02.xlsx&amp;sheet=A0&amp;row=402&amp;col=11&amp;number=&amp;sourceID=30","")</f>
        <v/>
      </c>
      <c r="L402" s="4" t="str">
        <f>HYPERLINK("http://141.218.60.56/~jnz1568/getInfo.php?workbook=08_02.xlsx&amp;sheet=A0&amp;row=402&amp;col=12&amp;number=1.79e-05&amp;sourceID=30","1.79e-05")</f>
        <v>1.79e-05</v>
      </c>
      <c r="M402" s="4" t="str">
        <f>HYPERLINK("http://141.218.60.56/~jnz1568/getInfo.php?workbook=08_02.xlsx&amp;sheet=A0&amp;row=402&amp;col=13&amp;number=&amp;sourceID=30","")</f>
        <v/>
      </c>
      <c r="N402" s="4" t="str">
        <f>HYPERLINK("http://141.218.60.56/~jnz1568/getInfo.php?workbook=08_02.xlsx&amp;sheet=A0&amp;row=402&amp;col=14&amp;number=&amp;sourceID=30","")</f>
        <v/>
      </c>
      <c r="O402" s="4" t="str">
        <f>HYPERLINK("http://141.218.60.56/~jnz1568/getInfo.php?workbook=08_02.xlsx&amp;sheet=A0&amp;row=402&amp;col=15&amp;number=&amp;sourceID=32","")</f>
        <v/>
      </c>
      <c r="P402" s="4" t="str">
        <f>HYPERLINK("http://141.218.60.56/~jnz1568/getInfo.php?workbook=08_02.xlsx&amp;sheet=A0&amp;row=402&amp;col=16&amp;number=2.751e-06&amp;sourceID=32","2.751e-06")</f>
        <v>2.751e-06</v>
      </c>
      <c r="Q402" s="4" t="str">
        <f>HYPERLINK("http://141.218.60.56/~jnz1568/getInfo.php?workbook=08_02.xlsx&amp;sheet=A0&amp;row=402&amp;col=17&amp;number=&amp;sourceID=32","")</f>
        <v/>
      </c>
      <c r="R402" s="4" t="str">
        <f>HYPERLINK("http://141.218.60.56/~jnz1568/getInfo.php?workbook=08_02.xlsx&amp;sheet=A0&amp;row=402&amp;col=18&amp;number=&amp;sourceID=32","")</f>
        <v/>
      </c>
      <c r="S402" s="4" t="str">
        <f>HYPERLINK("http://141.218.60.56/~jnz1568/getInfo.php?workbook=08_02.xlsx&amp;sheet=A0&amp;row=402&amp;col=19&amp;number=&amp;sourceID=1","")</f>
        <v/>
      </c>
      <c r="T402" s="4" t="str">
        <f>HYPERLINK("http://141.218.60.56/~jnz1568/getInfo.php?workbook=08_02.xlsx&amp;sheet=A0&amp;row=402&amp;col=20&amp;number=&amp;sourceID=1","")</f>
        <v/>
      </c>
    </row>
    <row r="403" spans="1:20">
      <c r="A403" s="3">
        <v>8</v>
      </c>
      <c r="B403" s="3">
        <v>2</v>
      </c>
      <c r="C403" s="3">
        <v>32</v>
      </c>
      <c r="D403" s="3">
        <v>1</v>
      </c>
      <c r="E403" s="3">
        <f>((1/(INDEX(E0!J$4:J$52,C403,1)-INDEX(E0!J$4:J$52,D403,1))))*100000000</f>
        <v>0</v>
      </c>
      <c r="F403" s="4" t="str">
        <f>HYPERLINK("http://141.218.60.56/~jnz1568/getInfo.php?workbook=08_02.xlsx&amp;sheet=A0&amp;row=403&amp;col=6&amp;number=&amp;sourceID=27","")</f>
        <v/>
      </c>
      <c r="G403" s="4" t="str">
        <f>HYPERLINK("http://141.218.60.56/~jnz1568/getInfo.php?workbook=08_02.xlsx&amp;sheet=A0&amp;row=403&amp;col=7&amp;number=&amp;sourceID=34","")</f>
        <v/>
      </c>
      <c r="H403" s="4" t="str">
        <f>HYPERLINK("http://141.218.60.56/~jnz1568/getInfo.php?workbook=08_02.xlsx&amp;sheet=A0&amp;row=403&amp;col=8&amp;number=&amp;sourceID=34","")</f>
        <v/>
      </c>
      <c r="I403" s="4" t="str">
        <f>HYPERLINK("http://141.218.60.56/~jnz1568/getInfo.php?workbook=08_02.xlsx&amp;sheet=A0&amp;row=403&amp;col=9&amp;number=&amp;sourceID=34","")</f>
        <v/>
      </c>
      <c r="J403" s="4" t="str">
        <f>HYPERLINK("http://141.218.60.56/~jnz1568/getInfo.php?workbook=08_02.xlsx&amp;sheet=A0&amp;row=403&amp;col=10&amp;number=&amp;sourceID=34","")</f>
        <v/>
      </c>
      <c r="K403" s="4" t="str">
        <f>HYPERLINK("http://141.218.60.56/~jnz1568/getInfo.php?workbook=08_02.xlsx&amp;sheet=A0&amp;row=403&amp;col=11&amp;number=&amp;sourceID=30","")</f>
        <v/>
      </c>
      <c r="L403" s="4" t="str">
        <f>HYPERLINK("http://141.218.60.56/~jnz1568/getInfo.php?workbook=08_02.xlsx&amp;sheet=A0&amp;row=403&amp;col=12&amp;number=&amp;sourceID=30","")</f>
        <v/>
      </c>
      <c r="M403" s="4" t="str">
        <f>HYPERLINK("http://141.218.60.56/~jnz1568/getInfo.php?workbook=08_02.xlsx&amp;sheet=A0&amp;row=403&amp;col=13&amp;number=1958&amp;sourceID=30","1958")</f>
        <v>1958</v>
      </c>
      <c r="N403" s="4" t="str">
        <f>HYPERLINK("http://141.218.60.56/~jnz1568/getInfo.php?workbook=08_02.xlsx&amp;sheet=A0&amp;row=403&amp;col=14&amp;number=&amp;sourceID=30","")</f>
        <v/>
      </c>
      <c r="O403" s="4" t="str">
        <f>HYPERLINK("http://141.218.60.56/~jnz1568/getInfo.php?workbook=08_02.xlsx&amp;sheet=A0&amp;row=403&amp;col=15&amp;number=&amp;sourceID=32","")</f>
        <v/>
      </c>
      <c r="P403" s="4" t="str">
        <f>HYPERLINK("http://141.218.60.56/~jnz1568/getInfo.php?workbook=08_02.xlsx&amp;sheet=A0&amp;row=403&amp;col=16&amp;number=&amp;sourceID=32","")</f>
        <v/>
      </c>
      <c r="Q403" s="4" t="str">
        <f>HYPERLINK("http://141.218.60.56/~jnz1568/getInfo.php?workbook=08_02.xlsx&amp;sheet=A0&amp;row=403&amp;col=17&amp;number=107.9&amp;sourceID=32","107.9")</f>
        <v>107.9</v>
      </c>
      <c r="R403" s="4" t="str">
        <f>HYPERLINK("http://141.218.60.56/~jnz1568/getInfo.php?workbook=08_02.xlsx&amp;sheet=A0&amp;row=403&amp;col=18&amp;number=&amp;sourceID=32","")</f>
        <v/>
      </c>
      <c r="S403" s="4" t="str">
        <f>HYPERLINK("http://141.218.60.56/~jnz1568/getInfo.php?workbook=08_02.xlsx&amp;sheet=A0&amp;row=403&amp;col=19&amp;number=&amp;sourceID=1","")</f>
        <v/>
      </c>
      <c r="T403" s="4" t="str">
        <f>HYPERLINK("http://141.218.60.56/~jnz1568/getInfo.php?workbook=08_02.xlsx&amp;sheet=A0&amp;row=403&amp;col=20&amp;number=&amp;sourceID=1","")</f>
        <v/>
      </c>
    </row>
    <row r="404" spans="1:20">
      <c r="A404" s="3">
        <v>8</v>
      </c>
      <c r="B404" s="3">
        <v>2</v>
      </c>
      <c r="C404" s="3">
        <v>32</v>
      </c>
      <c r="D404" s="3">
        <v>2</v>
      </c>
      <c r="E404" s="3">
        <f>((1/(INDEX(E0!J$4:J$52,C404,1)-INDEX(E0!J$4:J$52,D404,1))))*100000000</f>
        <v>0</v>
      </c>
      <c r="F404" s="4" t="str">
        <f>HYPERLINK("http://141.218.60.56/~jnz1568/getInfo.php?workbook=08_02.xlsx&amp;sheet=A0&amp;row=404&amp;col=6&amp;number=&amp;sourceID=27","")</f>
        <v/>
      </c>
      <c r="G404" s="4" t="str">
        <f>HYPERLINK("http://141.218.60.56/~jnz1568/getInfo.php?workbook=08_02.xlsx&amp;sheet=A0&amp;row=404&amp;col=7&amp;number=&amp;sourceID=34","")</f>
        <v/>
      </c>
      <c r="H404" s="4" t="str">
        <f>HYPERLINK("http://141.218.60.56/~jnz1568/getInfo.php?workbook=08_02.xlsx&amp;sheet=A0&amp;row=404&amp;col=8&amp;number=&amp;sourceID=34","")</f>
        <v/>
      </c>
      <c r="I404" s="4" t="str">
        <f>HYPERLINK("http://141.218.60.56/~jnz1568/getInfo.php?workbook=08_02.xlsx&amp;sheet=A0&amp;row=404&amp;col=9&amp;number=&amp;sourceID=34","")</f>
        <v/>
      </c>
      <c r="J404" s="4" t="str">
        <f>HYPERLINK("http://141.218.60.56/~jnz1568/getInfo.php?workbook=08_02.xlsx&amp;sheet=A0&amp;row=404&amp;col=10&amp;number=&amp;sourceID=34","")</f>
        <v/>
      </c>
      <c r="K404" s="4" t="str">
        <f>HYPERLINK("http://141.218.60.56/~jnz1568/getInfo.php?workbook=08_02.xlsx&amp;sheet=A0&amp;row=404&amp;col=11&amp;number=&amp;sourceID=30","")</f>
        <v/>
      </c>
      <c r="L404" s="4" t="str">
        <f>HYPERLINK("http://141.218.60.56/~jnz1568/getInfo.php?workbook=08_02.xlsx&amp;sheet=A0&amp;row=404&amp;col=12&amp;number=0.7367&amp;sourceID=30","0.7367")</f>
        <v>0.7367</v>
      </c>
      <c r="M404" s="4" t="str">
        <f>HYPERLINK("http://141.218.60.56/~jnz1568/getInfo.php?workbook=08_02.xlsx&amp;sheet=A0&amp;row=404&amp;col=13&amp;number=0.3782&amp;sourceID=30","0.3782")</f>
        <v>0.3782</v>
      </c>
      <c r="N404" s="4" t="str">
        <f>HYPERLINK("http://141.218.60.56/~jnz1568/getInfo.php?workbook=08_02.xlsx&amp;sheet=A0&amp;row=404&amp;col=14&amp;number=&amp;sourceID=30","")</f>
        <v/>
      </c>
      <c r="O404" s="4" t="str">
        <f>HYPERLINK("http://141.218.60.56/~jnz1568/getInfo.php?workbook=08_02.xlsx&amp;sheet=A0&amp;row=404&amp;col=15&amp;number=&amp;sourceID=32","")</f>
        <v/>
      </c>
      <c r="P404" s="4" t="str">
        <f>HYPERLINK("http://141.218.60.56/~jnz1568/getInfo.php?workbook=08_02.xlsx&amp;sheet=A0&amp;row=404&amp;col=16&amp;number=0.002919&amp;sourceID=32","0.002919")</f>
        <v>0.002919</v>
      </c>
      <c r="Q404" s="4" t="str">
        <f>HYPERLINK("http://141.218.60.56/~jnz1568/getInfo.php?workbook=08_02.xlsx&amp;sheet=A0&amp;row=404&amp;col=17&amp;number=0.262&amp;sourceID=32","0.262")</f>
        <v>0.262</v>
      </c>
      <c r="R404" s="4" t="str">
        <f>HYPERLINK("http://141.218.60.56/~jnz1568/getInfo.php?workbook=08_02.xlsx&amp;sheet=A0&amp;row=404&amp;col=18&amp;number=&amp;sourceID=32","")</f>
        <v/>
      </c>
      <c r="S404" s="4" t="str">
        <f>HYPERLINK("http://141.218.60.56/~jnz1568/getInfo.php?workbook=08_02.xlsx&amp;sheet=A0&amp;row=404&amp;col=19&amp;number=&amp;sourceID=1","")</f>
        <v/>
      </c>
      <c r="T404" s="4" t="str">
        <f>HYPERLINK("http://141.218.60.56/~jnz1568/getInfo.php?workbook=08_02.xlsx&amp;sheet=A0&amp;row=404&amp;col=20&amp;number=&amp;sourceID=1","")</f>
        <v/>
      </c>
    </row>
    <row r="405" spans="1:20">
      <c r="A405" s="3">
        <v>8</v>
      </c>
      <c r="B405" s="3">
        <v>2</v>
      </c>
      <c r="C405" s="3">
        <v>32</v>
      </c>
      <c r="D405" s="3">
        <v>3</v>
      </c>
      <c r="E405" s="3">
        <f>((1/(INDEX(E0!J$4:J$52,C405,1)-INDEX(E0!J$4:J$52,D405,1))))*100000000</f>
        <v>0</v>
      </c>
      <c r="F405" s="4" t="str">
        <f>HYPERLINK("http://141.218.60.56/~jnz1568/getInfo.php?workbook=08_02.xlsx&amp;sheet=A0&amp;row=405&amp;col=6&amp;number=&amp;sourceID=27","")</f>
        <v/>
      </c>
      <c r="G405" s="4" t="str">
        <f>HYPERLINK("http://141.218.60.56/~jnz1568/getInfo.php?workbook=08_02.xlsx&amp;sheet=A0&amp;row=405&amp;col=7&amp;number=&amp;sourceID=34","")</f>
        <v/>
      </c>
      <c r="H405" s="4" t="str">
        <f>HYPERLINK("http://141.218.60.56/~jnz1568/getInfo.php?workbook=08_02.xlsx&amp;sheet=A0&amp;row=405&amp;col=8&amp;number=&amp;sourceID=34","")</f>
        <v/>
      </c>
      <c r="I405" s="4" t="str">
        <f>HYPERLINK("http://141.218.60.56/~jnz1568/getInfo.php?workbook=08_02.xlsx&amp;sheet=A0&amp;row=405&amp;col=9&amp;number=&amp;sourceID=34","")</f>
        <v/>
      </c>
      <c r="J405" s="4" t="str">
        <f>HYPERLINK("http://141.218.60.56/~jnz1568/getInfo.php?workbook=08_02.xlsx&amp;sheet=A0&amp;row=405&amp;col=10&amp;number=&amp;sourceID=34","")</f>
        <v/>
      </c>
      <c r="K405" s="4" t="str">
        <f>HYPERLINK("http://141.218.60.56/~jnz1568/getInfo.php?workbook=08_02.xlsx&amp;sheet=A0&amp;row=405&amp;col=11&amp;number=319600000&amp;sourceID=30","319600000")</f>
        <v>319600000</v>
      </c>
      <c r="L405" s="4" t="str">
        <f>HYPERLINK("http://141.218.60.56/~jnz1568/getInfo.php?workbook=08_02.xlsx&amp;sheet=A0&amp;row=405&amp;col=12&amp;number=&amp;sourceID=30","")</f>
        <v/>
      </c>
      <c r="M405" s="4" t="str">
        <f>HYPERLINK("http://141.218.60.56/~jnz1568/getInfo.php?workbook=08_02.xlsx&amp;sheet=A0&amp;row=405&amp;col=13&amp;number=&amp;sourceID=30","")</f>
        <v/>
      </c>
      <c r="N405" s="4" t="str">
        <f>HYPERLINK("http://141.218.60.56/~jnz1568/getInfo.php?workbook=08_02.xlsx&amp;sheet=A0&amp;row=405&amp;col=14&amp;number=&amp;sourceID=30","")</f>
        <v/>
      </c>
      <c r="O405" s="4" t="str">
        <f>HYPERLINK("http://141.218.60.56/~jnz1568/getInfo.php?workbook=08_02.xlsx&amp;sheet=A0&amp;row=405&amp;col=15&amp;number=488300000&amp;sourceID=32","488300000")</f>
        <v>488300000</v>
      </c>
      <c r="P405" s="4" t="str">
        <f>HYPERLINK("http://141.218.60.56/~jnz1568/getInfo.php?workbook=08_02.xlsx&amp;sheet=A0&amp;row=405&amp;col=16&amp;number=&amp;sourceID=32","")</f>
        <v/>
      </c>
      <c r="Q405" s="4" t="str">
        <f>HYPERLINK("http://141.218.60.56/~jnz1568/getInfo.php?workbook=08_02.xlsx&amp;sheet=A0&amp;row=405&amp;col=17&amp;number=&amp;sourceID=32","")</f>
        <v/>
      </c>
      <c r="R405" s="4" t="str">
        <f>HYPERLINK("http://141.218.60.56/~jnz1568/getInfo.php?workbook=08_02.xlsx&amp;sheet=A0&amp;row=405&amp;col=18&amp;number=&amp;sourceID=32","")</f>
        <v/>
      </c>
      <c r="S405" s="4" t="str">
        <f>HYPERLINK("http://141.218.60.56/~jnz1568/getInfo.php?workbook=08_02.xlsx&amp;sheet=A0&amp;row=405&amp;col=19&amp;number=&amp;sourceID=1","")</f>
        <v/>
      </c>
      <c r="T405" s="4" t="str">
        <f>HYPERLINK("http://141.218.60.56/~jnz1568/getInfo.php?workbook=08_02.xlsx&amp;sheet=A0&amp;row=405&amp;col=20&amp;number=&amp;sourceID=1","")</f>
        <v/>
      </c>
    </row>
    <row r="406" spans="1:20">
      <c r="A406" s="3">
        <v>8</v>
      </c>
      <c r="B406" s="3">
        <v>2</v>
      </c>
      <c r="C406" s="3">
        <v>32</v>
      </c>
      <c r="D406" s="3">
        <v>4</v>
      </c>
      <c r="E406" s="3">
        <f>((1/(INDEX(E0!J$4:J$52,C406,1)-INDEX(E0!J$4:J$52,D406,1))))*100000000</f>
        <v>0</v>
      </c>
      <c r="F406" s="4" t="str">
        <f>HYPERLINK("http://141.218.60.56/~jnz1568/getInfo.php?workbook=08_02.xlsx&amp;sheet=A0&amp;row=406&amp;col=6&amp;number=&amp;sourceID=27","")</f>
        <v/>
      </c>
      <c r="G406" s="4" t="str">
        <f>HYPERLINK("http://141.218.60.56/~jnz1568/getInfo.php?workbook=08_02.xlsx&amp;sheet=A0&amp;row=406&amp;col=7&amp;number=&amp;sourceID=34","")</f>
        <v/>
      </c>
      <c r="H406" s="4" t="str">
        <f>HYPERLINK("http://141.218.60.56/~jnz1568/getInfo.php?workbook=08_02.xlsx&amp;sheet=A0&amp;row=406&amp;col=8&amp;number=&amp;sourceID=34","")</f>
        <v/>
      </c>
      <c r="I406" s="4" t="str">
        <f>HYPERLINK("http://141.218.60.56/~jnz1568/getInfo.php?workbook=08_02.xlsx&amp;sheet=A0&amp;row=406&amp;col=9&amp;number=&amp;sourceID=34","")</f>
        <v/>
      </c>
      <c r="J406" s="4" t="str">
        <f>HYPERLINK("http://141.218.60.56/~jnz1568/getInfo.php?workbook=08_02.xlsx&amp;sheet=A0&amp;row=406&amp;col=10&amp;number=&amp;sourceID=34","")</f>
        <v/>
      </c>
      <c r="K406" s="4" t="str">
        <f>HYPERLINK("http://141.218.60.56/~jnz1568/getInfo.php?workbook=08_02.xlsx&amp;sheet=A0&amp;row=406&amp;col=11&amp;number=948100000&amp;sourceID=30","948100000")</f>
        <v>948100000</v>
      </c>
      <c r="L406" s="4" t="str">
        <f>HYPERLINK("http://141.218.60.56/~jnz1568/getInfo.php?workbook=08_02.xlsx&amp;sheet=A0&amp;row=406&amp;col=12&amp;number=&amp;sourceID=30","")</f>
        <v/>
      </c>
      <c r="M406" s="4" t="str">
        <f>HYPERLINK("http://141.218.60.56/~jnz1568/getInfo.php?workbook=08_02.xlsx&amp;sheet=A0&amp;row=406&amp;col=13&amp;number=&amp;sourceID=30","")</f>
        <v/>
      </c>
      <c r="N406" s="4" t="str">
        <f>HYPERLINK("http://141.218.60.56/~jnz1568/getInfo.php?workbook=08_02.xlsx&amp;sheet=A0&amp;row=406&amp;col=14&amp;number=4.385&amp;sourceID=30","4.385")</f>
        <v>4.385</v>
      </c>
      <c r="O406" s="4" t="str">
        <f>HYPERLINK("http://141.218.60.56/~jnz1568/getInfo.php?workbook=08_02.xlsx&amp;sheet=A0&amp;row=406&amp;col=15&amp;number=1461000000&amp;sourceID=32","1461000000")</f>
        <v>1461000000</v>
      </c>
      <c r="P406" s="4" t="str">
        <f>HYPERLINK("http://141.218.60.56/~jnz1568/getInfo.php?workbook=08_02.xlsx&amp;sheet=A0&amp;row=406&amp;col=16&amp;number=&amp;sourceID=32","")</f>
        <v/>
      </c>
      <c r="Q406" s="4" t="str">
        <f>HYPERLINK("http://141.218.60.56/~jnz1568/getInfo.php?workbook=08_02.xlsx&amp;sheet=A0&amp;row=406&amp;col=17&amp;number=&amp;sourceID=32","")</f>
        <v/>
      </c>
      <c r="R406" s="4" t="str">
        <f>HYPERLINK("http://141.218.60.56/~jnz1568/getInfo.php?workbook=08_02.xlsx&amp;sheet=A0&amp;row=406&amp;col=18&amp;number=6.943&amp;sourceID=32","6.943")</f>
        <v>6.943</v>
      </c>
      <c r="S406" s="4" t="str">
        <f>HYPERLINK("http://141.218.60.56/~jnz1568/getInfo.php?workbook=08_02.xlsx&amp;sheet=A0&amp;row=406&amp;col=19&amp;number=&amp;sourceID=1","")</f>
        <v/>
      </c>
      <c r="T406" s="4" t="str">
        <f>HYPERLINK("http://141.218.60.56/~jnz1568/getInfo.php?workbook=08_02.xlsx&amp;sheet=A0&amp;row=406&amp;col=20&amp;number=&amp;sourceID=1","")</f>
        <v/>
      </c>
    </row>
    <row r="407" spans="1:20">
      <c r="A407" s="3">
        <v>8</v>
      </c>
      <c r="B407" s="3">
        <v>2</v>
      </c>
      <c r="C407" s="3">
        <v>32</v>
      </c>
      <c r="D407" s="3">
        <v>5</v>
      </c>
      <c r="E407" s="3">
        <f>((1/(INDEX(E0!J$4:J$52,C407,1)-INDEX(E0!J$4:J$52,D407,1))))*100000000</f>
        <v>0</v>
      </c>
      <c r="F407" s="4" t="str">
        <f>HYPERLINK("http://141.218.60.56/~jnz1568/getInfo.php?workbook=08_02.xlsx&amp;sheet=A0&amp;row=407&amp;col=6&amp;number=&amp;sourceID=27","")</f>
        <v/>
      </c>
      <c r="G407" s="4" t="str">
        <f>HYPERLINK("http://141.218.60.56/~jnz1568/getInfo.php?workbook=08_02.xlsx&amp;sheet=A0&amp;row=407&amp;col=7&amp;number=&amp;sourceID=34","")</f>
        <v/>
      </c>
      <c r="H407" s="4" t="str">
        <f>HYPERLINK("http://141.218.60.56/~jnz1568/getInfo.php?workbook=08_02.xlsx&amp;sheet=A0&amp;row=407&amp;col=8&amp;number=&amp;sourceID=34","")</f>
        <v/>
      </c>
      <c r="I407" s="4" t="str">
        <f>HYPERLINK("http://141.218.60.56/~jnz1568/getInfo.php?workbook=08_02.xlsx&amp;sheet=A0&amp;row=407&amp;col=9&amp;number=&amp;sourceID=34","")</f>
        <v/>
      </c>
      <c r="J407" s="4" t="str">
        <f>HYPERLINK("http://141.218.60.56/~jnz1568/getInfo.php?workbook=08_02.xlsx&amp;sheet=A0&amp;row=407&amp;col=10&amp;number=&amp;sourceID=34","")</f>
        <v/>
      </c>
      <c r="K407" s="4" t="str">
        <f>HYPERLINK("http://141.218.60.56/~jnz1568/getInfo.php?workbook=08_02.xlsx&amp;sheet=A0&amp;row=407&amp;col=11&amp;number=1580000000&amp;sourceID=30","1580000000")</f>
        <v>1580000000</v>
      </c>
      <c r="L407" s="4" t="str">
        <f>HYPERLINK("http://141.218.60.56/~jnz1568/getInfo.php?workbook=08_02.xlsx&amp;sheet=A0&amp;row=407&amp;col=12&amp;number=&amp;sourceID=30","")</f>
        <v/>
      </c>
      <c r="M407" s="4" t="str">
        <f>HYPERLINK("http://141.218.60.56/~jnz1568/getInfo.php?workbook=08_02.xlsx&amp;sheet=A0&amp;row=407&amp;col=13&amp;number=&amp;sourceID=30","")</f>
        <v/>
      </c>
      <c r="N407" s="4" t="str">
        <f>HYPERLINK("http://141.218.60.56/~jnz1568/getInfo.php?workbook=08_02.xlsx&amp;sheet=A0&amp;row=407&amp;col=14&amp;number=13.95&amp;sourceID=30","13.95")</f>
        <v>13.95</v>
      </c>
      <c r="O407" s="4" t="str">
        <f>HYPERLINK("http://141.218.60.56/~jnz1568/getInfo.php?workbook=08_02.xlsx&amp;sheet=A0&amp;row=407&amp;col=15&amp;number=2443000000&amp;sourceID=32","2443000000")</f>
        <v>2443000000</v>
      </c>
      <c r="P407" s="4" t="str">
        <f>HYPERLINK("http://141.218.60.56/~jnz1568/getInfo.php?workbook=08_02.xlsx&amp;sheet=A0&amp;row=407&amp;col=16&amp;number=&amp;sourceID=32","")</f>
        <v/>
      </c>
      <c r="Q407" s="4" t="str">
        <f>HYPERLINK("http://141.218.60.56/~jnz1568/getInfo.php?workbook=08_02.xlsx&amp;sheet=A0&amp;row=407&amp;col=17&amp;number=&amp;sourceID=32","")</f>
        <v/>
      </c>
      <c r="R407" s="4" t="str">
        <f>HYPERLINK("http://141.218.60.56/~jnz1568/getInfo.php?workbook=08_02.xlsx&amp;sheet=A0&amp;row=407&amp;col=18&amp;number=21.62&amp;sourceID=32","21.62")</f>
        <v>21.62</v>
      </c>
      <c r="S407" s="4" t="str">
        <f>HYPERLINK("http://141.218.60.56/~jnz1568/getInfo.php?workbook=08_02.xlsx&amp;sheet=A0&amp;row=407&amp;col=19&amp;number=&amp;sourceID=1","")</f>
        <v/>
      </c>
      <c r="T407" s="4" t="str">
        <f>HYPERLINK("http://141.218.60.56/~jnz1568/getInfo.php?workbook=08_02.xlsx&amp;sheet=A0&amp;row=407&amp;col=20&amp;number=&amp;sourceID=1","")</f>
        <v/>
      </c>
    </row>
    <row r="408" spans="1:20">
      <c r="A408" s="3">
        <v>8</v>
      </c>
      <c r="B408" s="3">
        <v>2</v>
      </c>
      <c r="C408" s="3">
        <v>32</v>
      </c>
      <c r="D408" s="3">
        <v>6</v>
      </c>
      <c r="E408" s="3">
        <f>((1/(INDEX(E0!J$4:J$52,C408,1)-INDEX(E0!J$4:J$52,D408,1))))*100000000</f>
        <v>0</v>
      </c>
      <c r="F408" s="4" t="str">
        <f>HYPERLINK("http://141.218.60.56/~jnz1568/getInfo.php?workbook=08_02.xlsx&amp;sheet=A0&amp;row=408&amp;col=6&amp;number=&amp;sourceID=27","")</f>
        <v/>
      </c>
      <c r="G408" s="4" t="str">
        <f>HYPERLINK("http://141.218.60.56/~jnz1568/getInfo.php?workbook=08_02.xlsx&amp;sheet=A0&amp;row=408&amp;col=7&amp;number=&amp;sourceID=34","")</f>
        <v/>
      </c>
      <c r="H408" s="4" t="str">
        <f>HYPERLINK("http://141.218.60.56/~jnz1568/getInfo.php?workbook=08_02.xlsx&amp;sheet=A0&amp;row=408&amp;col=8&amp;number=&amp;sourceID=34","")</f>
        <v/>
      </c>
      <c r="I408" s="4" t="str">
        <f>HYPERLINK("http://141.218.60.56/~jnz1568/getInfo.php?workbook=08_02.xlsx&amp;sheet=A0&amp;row=408&amp;col=9&amp;number=&amp;sourceID=34","")</f>
        <v/>
      </c>
      <c r="J408" s="4" t="str">
        <f>HYPERLINK("http://141.218.60.56/~jnz1568/getInfo.php?workbook=08_02.xlsx&amp;sheet=A0&amp;row=408&amp;col=10&amp;number=&amp;sourceID=34","")</f>
        <v/>
      </c>
      <c r="K408" s="4" t="str">
        <f>HYPERLINK("http://141.218.60.56/~jnz1568/getInfo.php?workbook=08_02.xlsx&amp;sheet=A0&amp;row=408&amp;col=11&amp;number=&amp;sourceID=30","")</f>
        <v/>
      </c>
      <c r="L408" s="4" t="str">
        <f>HYPERLINK("http://141.218.60.56/~jnz1568/getInfo.php?workbook=08_02.xlsx&amp;sheet=A0&amp;row=408&amp;col=12&amp;number=&amp;sourceID=30","")</f>
        <v/>
      </c>
      <c r="M408" s="4" t="str">
        <f>HYPERLINK("http://141.218.60.56/~jnz1568/getInfo.php?workbook=08_02.xlsx&amp;sheet=A0&amp;row=408&amp;col=13&amp;number=0.02626&amp;sourceID=30","0.02626")</f>
        <v>0.02626</v>
      </c>
      <c r="N408" s="4" t="str">
        <f>HYPERLINK("http://141.218.60.56/~jnz1568/getInfo.php?workbook=08_02.xlsx&amp;sheet=A0&amp;row=408&amp;col=14&amp;number=&amp;sourceID=30","")</f>
        <v/>
      </c>
      <c r="O408" s="4" t="str">
        <f>HYPERLINK("http://141.218.60.56/~jnz1568/getInfo.php?workbook=08_02.xlsx&amp;sheet=A0&amp;row=408&amp;col=15&amp;number=&amp;sourceID=32","")</f>
        <v/>
      </c>
      <c r="P408" s="4" t="str">
        <f>HYPERLINK("http://141.218.60.56/~jnz1568/getInfo.php?workbook=08_02.xlsx&amp;sheet=A0&amp;row=408&amp;col=16&amp;number=&amp;sourceID=32","")</f>
        <v/>
      </c>
      <c r="Q408" s="4" t="str">
        <f>HYPERLINK("http://141.218.60.56/~jnz1568/getInfo.php?workbook=08_02.xlsx&amp;sheet=A0&amp;row=408&amp;col=17&amp;number=0.1827&amp;sourceID=32","0.1827")</f>
        <v>0.1827</v>
      </c>
      <c r="R408" s="4" t="str">
        <f>HYPERLINK("http://141.218.60.56/~jnz1568/getInfo.php?workbook=08_02.xlsx&amp;sheet=A0&amp;row=408&amp;col=18&amp;number=&amp;sourceID=32","")</f>
        <v/>
      </c>
      <c r="S408" s="4" t="str">
        <f>HYPERLINK("http://141.218.60.56/~jnz1568/getInfo.php?workbook=08_02.xlsx&amp;sheet=A0&amp;row=408&amp;col=19&amp;number=&amp;sourceID=1","")</f>
        <v/>
      </c>
      <c r="T408" s="4" t="str">
        <f>HYPERLINK("http://141.218.60.56/~jnz1568/getInfo.php?workbook=08_02.xlsx&amp;sheet=A0&amp;row=408&amp;col=20&amp;number=&amp;sourceID=1","")</f>
        <v/>
      </c>
    </row>
    <row r="409" spans="1:20">
      <c r="A409" s="3">
        <v>8</v>
      </c>
      <c r="B409" s="3">
        <v>2</v>
      </c>
      <c r="C409" s="3">
        <v>32</v>
      </c>
      <c r="D409" s="3">
        <v>7</v>
      </c>
      <c r="E409" s="3">
        <f>((1/(INDEX(E0!J$4:J$52,C409,1)-INDEX(E0!J$4:J$52,D409,1))))*100000000</f>
        <v>0</v>
      </c>
      <c r="F409" s="4" t="str">
        <f>HYPERLINK("http://141.218.60.56/~jnz1568/getInfo.php?workbook=08_02.xlsx&amp;sheet=A0&amp;row=409&amp;col=6&amp;number=&amp;sourceID=27","")</f>
        <v/>
      </c>
      <c r="G409" s="4" t="str">
        <f>HYPERLINK("http://141.218.60.56/~jnz1568/getInfo.php?workbook=08_02.xlsx&amp;sheet=A0&amp;row=409&amp;col=7&amp;number=&amp;sourceID=34","")</f>
        <v/>
      </c>
      <c r="H409" s="4" t="str">
        <f>HYPERLINK("http://141.218.60.56/~jnz1568/getInfo.php?workbook=08_02.xlsx&amp;sheet=A0&amp;row=409&amp;col=8&amp;number=&amp;sourceID=34","")</f>
        <v/>
      </c>
      <c r="I409" s="4" t="str">
        <f>HYPERLINK("http://141.218.60.56/~jnz1568/getInfo.php?workbook=08_02.xlsx&amp;sheet=A0&amp;row=409&amp;col=9&amp;number=&amp;sourceID=34","")</f>
        <v/>
      </c>
      <c r="J409" s="4" t="str">
        <f>HYPERLINK("http://141.218.60.56/~jnz1568/getInfo.php?workbook=08_02.xlsx&amp;sheet=A0&amp;row=409&amp;col=10&amp;number=&amp;sourceID=34","")</f>
        <v/>
      </c>
      <c r="K409" s="4" t="str">
        <f>HYPERLINK("http://141.218.60.56/~jnz1568/getInfo.php?workbook=08_02.xlsx&amp;sheet=A0&amp;row=409&amp;col=11&amp;number=198400&amp;sourceID=30","198400")</f>
        <v>198400</v>
      </c>
      <c r="L409" s="4" t="str">
        <f>HYPERLINK("http://141.218.60.56/~jnz1568/getInfo.php?workbook=08_02.xlsx&amp;sheet=A0&amp;row=409&amp;col=12&amp;number=&amp;sourceID=30","")</f>
        <v/>
      </c>
      <c r="M409" s="4" t="str">
        <f>HYPERLINK("http://141.218.60.56/~jnz1568/getInfo.php?workbook=08_02.xlsx&amp;sheet=A0&amp;row=409&amp;col=13&amp;number=&amp;sourceID=30","")</f>
        <v/>
      </c>
      <c r="N409" s="4" t="str">
        <f>HYPERLINK("http://141.218.60.56/~jnz1568/getInfo.php?workbook=08_02.xlsx&amp;sheet=A0&amp;row=409&amp;col=14&amp;number=32.15&amp;sourceID=30","32.15")</f>
        <v>32.15</v>
      </c>
      <c r="O409" s="4" t="str">
        <f>HYPERLINK("http://141.218.60.56/~jnz1568/getInfo.php?workbook=08_02.xlsx&amp;sheet=A0&amp;row=409&amp;col=15&amp;number=264400&amp;sourceID=32","264400")</f>
        <v>264400</v>
      </c>
      <c r="P409" s="4" t="str">
        <f>HYPERLINK("http://141.218.60.56/~jnz1568/getInfo.php?workbook=08_02.xlsx&amp;sheet=A0&amp;row=409&amp;col=16&amp;number=&amp;sourceID=32","")</f>
        <v/>
      </c>
      <c r="Q409" s="4" t="str">
        <f>HYPERLINK("http://141.218.60.56/~jnz1568/getInfo.php?workbook=08_02.xlsx&amp;sheet=A0&amp;row=409&amp;col=17&amp;number=&amp;sourceID=32","")</f>
        <v/>
      </c>
      <c r="R409" s="4" t="str">
        <f>HYPERLINK("http://141.218.60.56/~jnz1568/getInfo.php?workbook=08_02.xlsx&amp;sheet=A0&amp;row=409&amp;col=18&amp;number=16&amp;sourceID=32","16")</f>
        <v>16</v>
      </c>
      <c r="S409" s="4" t="str">
        <f>HYPERLINK("http://141.218.60.56/~jnz1568/getInfo.php?workbook=08_02.xlsx&amp;sheet=A0&amp;row=409&amp;col=19&amp;number=&amp;sourceID=1","")</f>
        <v/>
      </c>
      <c r="T409" s="4" t="str">
        <f>HYPERLINK("http://141.218.60.56/~jnz1568/getInfo.php?workbook=08_02.xlsx&amp;sheet=A0&amp;row=409&amp;col=20&amp;number=&amp;sourceID=1","")</f>
        <v/>
      </c>
    </row>
    <row r="410" spans="1:20">
      <c r="A410" s="3">
        <v>8</v>
      </c>
      <c r="B410" s="3">
        <v>2</v>
      </c>
      <c r="C410" s="3">
        <v>32</v>
      </c>
      <c r="D410" s="3">
        <v>8</v>
      </c>
      <c r="E410" s="3">
        <f>((1/(INDEX(E0!J$4:J$52,C410,1)-INDEX(E0!J$4:J$52,D410,1))))*100000000</f>
        <v>0</v>
      </c>
      <c r="F410" s="4" t="str">
        <f>HYPERLINK("http://141.218.60.56/~jnz1568/getInfo.php?workbook=08_02.xlsx&amp;sheet=A0&amp;row=410&amp;col=6&amp;number=&amp;sourceID=27","")</f>
        <v/>
      </c>
      <c r="G410" s="4" t="str">
        <f>HYPERLINK("http://141.218.60.56/~jnz1568/getInfo.php?workbook=08_02.xlsx&amp;sheet=A0&amp;row=410&amp;col=7&amp;number=&amp;sourceID=34","")</f>
        <v/>
      </c>
      <c r="H410" s="4" t="str">
        <f>HYPERLINK("http://141.218.60.56/~jnz1568/getInfo.php?workbook=08_02.xlsx&amp;sheet=A0&amp;row=410&amp;col=8&amp;number=&amp;sourceID=34","")</f>
        <v/>
      </c>
      <c r="I410" s="4" t="str">
        <f>HYPERLINK("http://141.218.60.56/~jnz1568/getInfo.php?workbook=08_02.xlsx&amp;sheet=A0&amp;row=410&amp;col=9&amp;number=&amp;sourceID=34","")</f>
        <v/>
      </c>
      <c r="J410" s="4" t="str">
        <f>HYPERLINK("http://141.218.60.56/~jnz1568/getInfo.php?workbook=08_02.xlsx&amp;sheet=A0&amp;row=410&amp;col=10&amp;number=&amp;sourceID=34","")</f>
        <v/>
      </c>
      <c r="K410" s="4" t="str">
        <f>HYPERLINK("http://141.218.60.56/~jnz1568/getInfo.php?workbook=08_02.xlsx&amp;sheet=A0&amp;row=410&amp;col=11&amp;number=&amp;sourceID=30","")</f>
        <v/>
      </c>
      <c r="L410" s="4" t="str">
        <f>HYPERLINK("http://141.218.60.56/~jnz1568/getInfo.php?workbook=08_02.xlsx&amp;sheet=A0&amp;row=410&amp;col=12&amp;number=0.0001462&amp;sourceID=30","0.0001462")</f>
        <v>0.0001462</v>
      </c>
      <c r="M410" s="4" t="str">
        <f>HYPERLINK("http://141.218.60.56/~jnz1568/getInfo.php?workbook=08_02.xlsx&amp;sheet=A0&amp;row=410&amp;col=13&amp;number=0.005669&amp;sourceID=30","0.005669")</f>
        <v>0.005669</v>
      </c>
      <c r="N410" s="4" t="str">
        <f>HYPERLINK("http://141.218.60.56/~jnz1568/getInfo.php?workbook=08_02.xlsx&amp;sheet=A0&amp;row=410&amp;col=14&amp;number=&amp;sourceID=30","")</f>
        <v/>
      </c>
      <c r="O410" s="4" t="str">
        <f>HYPERLINK("http://141.218.60.56/~jnz1568/getInfo.php?workbook=08_02.xlsx&amp;sheet=A0&amp;row=410&amp;col=15&amp;number=&amp;sourceID=32","")</f>
        <v/>
      </c>
      <c r="P410" s="4" t="str">
        <f>HYPERLINK("http://141.218.60.56/~jnz1568/getInfo.php?workbook=08_02.xlsx&amp;sheet=A0&amp;row=410&amp;col=16&amp;number=0.007327&amp;sourceID=32","0.007327")</f>
        <v>0.007327</v>
      </c>
      <c r="Q410" s="4" t="str">
        <f>HYPERLINK("http://141.218.60.56/~jnz1568/getInfo.php?workbook=08_02.xlsx&amp;sheet=A0&amp;row=410&amp;col=17&amp;number=0.005554&amp;sourceID=32","0.005554")</f>
        <v>0.005554</v>
      </c>
      <c r="R410" s="4" t="str">
        <f>HYPERLINK("http://141.218.60.56/~jnz1568/getInfo.php?workbook=08_02.xlsx&amp;sheet=A0&amp;row=410&amp;col=18&amp;number=&amp;sourceID=32","")</f>
        <v/>
      </c>
      <c r="S410" s="4" t="str">
        <f>HYPERLINK("http://141.218.60.56/~jnz1568/getInfo.php?workbook=08_02.xlsx&amp;sheet=A0&amp;row=410&amp;col=19&amp;number=&amp;sourceID=1","")</f>
        <v/>
      </c>
      <c r="T410" s="4" t="str">
        <f>HYPERLINK("http://141.218.60.56/~jnz1568/getInfo.php?workbook=08_02.xlsx&amp;sheet=A0&amp;row=410&amp;col=20&amp;number=&amp;sourceID=1","")</f>
        <v/>
      </c>
    </row>
    <row r="411" spans="1:20">
      <c r="A411" s="3">
        <v>8</v>
      </c>
      <c r="B411" s="3">
        <v>2</v>
      </c>
      <c r="C411" s="3">
        <v>32</v>
      </c>
      <c r="D411" s="3">
        <v>9</v>
      </c>
      <c r="E411" s="3">
        <f>((1/(INDEX(E0!J$4:J$52,C411,1)-INDEX(E0!J$4:J$52,D411,1))))*100000000</f>
        <v>0</v>
      </c>
      <c r="F411" s="4" t="str">
        <f>HYPERLINK("http://141.218.60.56/~jnz1568/getInfo.php?workbook=08_02.xlsx&amp;sheet=A0&amp;row=411&amp;col=6&amp;number=&amp;sourceID=27","")</f>
        <v/>
      </c>
      <c r="G411" s="4" t="str">
        <f>HYPERLINK("http://141.218.60.56/~jnz1568/getInfo.php?workbook=08_02.xlsx&amp;sheet=A0&amp;row=411&amp;col=7&amp;number=&amp;sourceID=34","")</f>
        <v/>
      </c>
      <c r="H411" s="4" t="str">
        <f>HYPERLINK("http://141.218.60.56/~jnz1568/getInfo.php?workbook=08_02.xlsx&amp;sheet=A0&amp;row=411&amp;col=8&amp;number=&amp;sourceID=34","")</f>
        <v/>
      </c>
      <c r="I411" s="4" t="str">
        <f>HYPERLINK("http://141.218.60.56/~jnz1568/getInfo.php?workbook=08_02.xlsx&amp;sheet=A0&amp;row=411&amp;col=9&amp;number=&amp;sourceID=34","")</f>
        <v/>
      </c>
      <c r="J411" s="4" t="str">
        <f>HYPERLINK("http://141.218.60.56/~jnz1568/getInfo.php?workbook=08_02.xlsx&amp;sheet=A0&amp;row=411&amp;col=10&amp;number=&amp;sourceID=34","")</f>
        <v/>
      </c>
      <c r="K411" s="4" t="str">
        <f>HYPERLINK("http://141.218.60.56/~jnz1568/getInfo.php?workbook=08_02.xlsx&amp;sheet=A0&amp;row=411&amp;col=11&amp;number=290000000&amp;sourceID=30","290000000")</f>
        <v>290000000</v>
      </c>
      <c r="L411" s="4" t="str">
        <f>HYPERLINK("http://141.218.60.56/~jnz1568/getInfo.php?workbook=08_02.xlsx&amp;sheet=A0&amp;row=411&amp;col=12&amp;number=&amp;sourceID=30","")</f>
        <v/>
      </c>
      <c r="M411" s="4" t="str">
        <f>HYPERLINK("http://141.218.60.56/~jnz1568/getInfo.php?workbook=08_02.xlsx&amp;sheet=A0&amp;row=411&amp;col=13&amp;number=&amp;sourceID=30","")</f>
        <v/>
      </c>
      <c r="N411" s="4" t="str">
        <f>HYPERLINK("http://141.218.60.56/~jnz1568/getInfo.php?workbook=08_02.xlsx&amp;sheet=A0&amp;row=411&amp;col=14&amp;number=&amp;sourceID=30","")</f>
        <v/>
      </c>
      <c r="O411" s="4" t="str">
        <f>HYPERLINK("http://141.218.60.56/~jnz1568/getInfo.php?workbook=08_02.xlsx&amp;sheet=A0&amp;row=411&amp;col=15&amp;number=329500000&amp;sourceID=32","329500000")</f>
        <v>329500000</v>
      </c>
      <c r="P411" s="4" t="str">
        <f>HYPERLINK("http://141.218.60.56/~jnz1568/getInfo.php?workbook=08_02.xlsx&amp;sheet=A0&amp;row=411&amp;col=16&amp;number=&amp;sourceID=32","")</f>
        <v/>
      </c>
      <c r="Q411" s="4" t="str">
        <f>HYPERLINK("http://141.218.60.56/~jnz1568/getInfo.php?workbook=08_02.xlsx&amp;sheet=A0&amp;row=411&amp;col=17&amp;number=&amp;sourceID=32","")</f>
        <v/>
      </c>
      <c r="R411" s="4" t="str">
        <f>HYPERLINK("http://141.218.60.56/~jnz1568/getInfo.php?workbook=08_02.xlsx&amp;sheet=A0&amp;row=411&amp;col=18&amp;number=&amp;sourceID=32","")</f>
        <v/>
      </c>
      <c r="S411" s="4" t="str">
        <f>HYPERLINK("http://141.218.60.56/~jnz1568/getInfo.php?workbook=08_02.xlsx&amp;sheet=A0&amp;row=411&amp;col=19&amp;number=&amp;sourceID=1","")</f>
        <v/>
      </c>
      <c r="T411" s="4" t="str">
        <f>HYPERLINK("http://141.218.60.56/~jnz1568/getInfo.php?workbook=08_02.xlsx&amp;sheet=A0&amp;row=411&amp;col=20&amp;number=&amp;sourceID=1","")</f>
        <v/>
      </c>
    </row>
    <row r="412" spans="1:20">
      <c r="A412" s="3">
        <v>8</v>
      </c>
      <c r="B412" s="3">
        <v>2</v>
      </c>
      <c r="C412" s="3">
        <v>32</v>
      </c>
      <c r="D412" s="3">
        <v>10</v>
      </c>
      <c r="E412" s="3">
        <f>((1/(INDEX(E0!J$4:J$52,C412,1)-INDEX(E0!J$4:J$52,D412,1))))*100000000</f>
        <v>0</v>
      </c>
      <c r="F412" s="4" t="str">
        <f>HYPERLINK("http://141.218.60.56/~jnz1568/getInfo.php?workbook=08_02.xlsx&amp;sheet=A0&amp;row=412&amp;col=6&amp;number=&amp;sourceID=27","")</f>
        <v/>
      </c>
      <c r="G412" s="4" t="str">
        <f>HYPERLINK("http://141.218.60.56/~jnz1568/getInfo.php?workbook=08_02.xlsx&amp;sheet=A0&amp;row=412&amp;col=7&amp;number=&amp;sourceID=34","")</f>
        <v/>
      </c>
      <c r="H412" s="4" t="str">
        <f>HYPERLINK("http://141.218.60.56/~jnz1568/getInfo.php?workbook=08_02.xlsx&amp;sheet=A0&amp;row=412&amp;col=8&amp;number=&amp;sourceID=34","")</f>
        <v/>
      </c>
      <c r="I412" s="4" t="str">
        <f>HYPERLINK("http://141.218.60.56/~jnz1568/getInfo.php?workbook=08_02.xlsx&amp;sheet=A0&amp;row=412&amp;col=9&amp;number=&amp;sourceID=34","")</f>
        <v/>
      </c>
      <c r="J412" s="4" t="str">
        <f>HYPERLINK("http://141.218.60.56/~jnz1568/getInfo.php?workbook=08_02.xlsx&amp;sheet=A0&amp;row=412&amp;col=10&amp;number=&amp;sourceID=34","")</f>
        <v/>
      </c>
      <c r="K412" s="4" t="str">
        <f>HYPERLINK("http://141.218.60.56/~jnz1568/getInfo.php?workbook=08_02.xlsx&amp;sheet=A0&amp;row=412&amp;col=11&amp;number=866300000&amp;sourceID=30","866300000")</f>
        <v>866300000</v>
      </c>
      <c r="L412" s="4" t="str">
        <f>HYPERLINK("http://141.218.60.56/~jnz1568/getInfo.php?workbook=08_02.xlsx&amp;sheet=A0&amp;row=412&amp;col=12&amp;number=&amp;sourceID=30","")</f>
        <v/>
      </c>
      <c r="M412" s="4" t="str">
        <f>HYPERLINK("http://141.218.60.56/~jnz1568/getInfo.php?workbook=08_02.xlsx&amp;sheet=A0&amp;row=412&amp;col=13&amp;number=&amp;sourceID=30","")</f>
        <v/>
      </c>
      <c r="N412" s="4" t="str">
        <f>HYPERLINK("http://141.218.60.56/~jnz1568/getInfo.php?workbook=08_02.xlsx&amp;sheet=A0&amp;row=412&amp;col=14&amp;number=0.4552&amp;sourceID=30","0.4552")</f>
        <v>0.4552</v>
      </c>
      <c r="O412" s="4" t="str">
        <f>HYPERLINK("http://141.218.60.56/~jnz1568/getInfo.php?workbook=08_02.xlsx&amp;sheet=A0&amp;row=412&amp;col=15&amp;number=986500000&amp;sourceID=32","986500000")</f>
        <v>986500000</v>
      </c>
      <c r="P412" s="4" t="str">
        <f>HYPERLINK("http://141.218.60.56/~jnz1568/getInfo.php?workbook=08_02.xlsx&amp;sheet=A0&amp;row=412&amp;col=16&amp;number=&amp;sourceID=32","")</f>
        <v/>
      </c>
      <c r="Q412" s="4" t="str">
        <f>HYPERLINK("http://141.218.60.56/~jnz1568/getInfo.php?workbook=08_02.xlsx&amp;sheet=A0&amp;row=412&amp;col=17&amp;number=&amp;sourceID=32","")</f>
        <v/>
      </c>
      <c r="R412" s="4" t="str">
        <f>HYPERLINK("http://141.218.60.56/~jnz1568/getInfo.php?workbook=08_02.xlsx&amp;sheet=A0&amp;row=412&amp;col=18&amp;number=0.5221&amp;sourceID=32","0.5221")</f>
        <v>0.5221</v>
      </c>
      <c r="S412" s="4" t="str">
        <f>HYPERLINK("http://141.218.60.56/~jnz1568/getInfo.php?workbook=08_02.xlsx&amp;sheet=A0&amp;row=412&amp;col=19&amp;number=&amp;sourceID=1","")</f>
        <v/>
      </c>
      <c r="T412" s="4" t="str">
        <f>HYPERLINK("http://141.218.60.56/~jnz1568/getInfo.php?workbook=08_02.xlsx&amp;sheet=A0&amp;row=412&amp;col=20&amp;number=&amp;sourceID=1","")</f>
        <v/>
      </c>
    </row>
    <row r="413" spans="1:20">
      <c r="A413" s="3">
        <v>8</v>
      </c>
      <c r="B413" s="3">
        <v>2</v>
      </c>
      <c r="C413" s="3">
        <v>32</v>
      </c>
      <c r="D413" s="3">
        <v>11</v>
      </c>
      <c r="E413" s="3">
        <f>((1/(INDEX(E0!J$4:J$52,C413,1)-INDEX(E0!J$4:J$52,D413,1))))*100000000</f>
        <v>0</v>
      </c>
      <c r="F413" s="4" t="str">
        <f>HYPERLINK("http://141.218.60.56/~jnz1568/getInfo.php?workbook=08_02.xlsx&amp;sheet=A0&amp;row=413&amp;col=6&amp;number=&amp;sourceID=27","")</f>
        <v/>
      </c>
      <c r="G413" s="4" t="str">
        <f>HYPERLINK("http://141.218.60.56/~jnz1568/getInfo.php?workbook=08_02.xlsx&amp;sheet=A0&amp;row=413&amp;col=7&amp;number=&amp;sourceID=34","")</f>
        <v/>
      </c>
      <c r="H413" s="4" t="str">
        <f>HYPERLINK("http://141.218.60.56/~jnz1568/getInfo.php?workbook=08_02.xlsx&amp;sheet=A0&amp;row=413&amp;col=8&amp;number=&amp;sourceID=34","")</f>
        <v/>
      </c>
      <c r="I413" s="4" t="str">
        <f>HYPERLINK("http://141.218.60.56/~jnz1568/getInfo.php?workbook=08_02.xlsx&amp;sheet=A0&amp;row=413&amp;col=9&amp;number=&amp;sourceID=34","")</f>
        <v/>
      </c>
      <c r="J413" s="4" t="str">
        <f>HYPERLINK("http://141.218.60.56/~jnz1568/getInfo.php?workbook=08_02.xlsx&amp;sheet=A0&amp;row=413&amp;col=10&amp;number=&amp;sourceID=34","")</f>
        <v/>
      </c>
      <c r="K413" s="4" t="str">
        <f>HYPERLINK("http://141.218.60.56/~jnz1568/getInfo.php?workbook=08_02.xlsx&amp;sheet=A0&amp;row=413&amp;col=11&amp;number=1447000000&amp;sourceID=30","1447000000")</f>
        <v>1447000000</v>
      </c>
      <c r="L413" s="4" t="str">
        <f>HYPERLINK("http://141.218.60.56/~jnz1568/getInfo.php?workbook=08_02.xlsx&amp;sheet=A0&amp;row=413&amp;col=12&amp;number=&amp;sourceID=30","")</f>
        <v/>
      </c>
      <c r="M413" s="4" t="str">
        <f>HYPERLINK("http://141.218.60.56/~jnz1568/getInfo.php?workbook=08_02.xlsx&amp;sheet=A0&amp;row=413&amp;col=13&amp;number=&amp;sourceID=30","")</f>
        <v/>
      </c>
      <c r="N413" s="4" t="str">
        <f>HYPERLINK("http://141.218.60.56/~jnz1568/getInfo.php?workbook=08_02.xlsx&amp;sheet=A0&amp;row=413&amp;col=14&amp;number=1.427&amp;sourceID=30","1.427")</f>
        <v>1.427</v>
      </c>
      <c r="O413" s="4" t="str">
        <f>HYPERLINK("http://141.218.60.56/~jnz1568/getInfo.php?workbook=08_02.xlsx&amp;sheet=A0&amp;row=413&amp;col=15&amp;number=1649000000&amp;sourceID=32","1649000000")</f>
        <v>1649000000</v>
      </c>
      <c r="P413" s="4" t="str">
        <f>HYPERLINK("http://141.218.60.56/~jnz1568/getInfo.php?workbook=08_02.xlsx&amp;sheet=A0&amp;row=413&amp;col=16&amp;number=&amp;sourceID=32","")</f>
        <v/>
      </c>
      <c r="Q413" s="4" t="str">
        <f>HYPERLINK("http://141.218.60.56/~jnz1568/getInfo.php?workbook=08_02.xlsx&amp;sheet=A0&amp;row=413&amp;col=17&amp;number=&amp;sourceID=32","")</f>
        <v/>
      </c>
      <c r="R413" s="4" t="str">
        <f>HYPERLINK("http://141.218.60.56/~jnz1568/getInfo.php?workbook=08_02.xlsx&amp;sheet=A0&amp;row=413&amp;col=18&amp;number=1.629&amp;sourceID=32","1.629")</f>
        <v>1.629</v>
      </c>
      <c r="S413" s="4" t="str">
        <f>HYPERLINK("http://141.218.60.56/~jnz1568/getInfo.php?workbook=08_02.xlsx&amp;sheet=A0&amp;row=413&amp;col=19&amp;number=&amp;sourceID=1","")</f>
        <v/>
      </c>
      <c r="T413" s="4" t="str">
        <f>HYPERLINK("http://141.218.60.56/~jnz1568/getInfo.php?workbook=08_02.xlsx&amp;sheet=A0&amp;row=413&amp;col=20&amp;number=&amp;sourceID=1","")</f>
        <v/>
      </c>
    </row>
    <row r="414" spans="1:20">
      <c r="A414" s="3">
        <v>8</v>
      </c>
      <c r="B414" s="3">
        <v>2</v>
      </c>
      <c r="C414" s="3">
        <v>32</v>
      </c>
      <c r="D414" s="3">
        <v>12</v>
      </c>
      <c r="E414" s="3">
        <f>((1/(INDEX(E0!J$4:J$52,C414,1)-INDEX(E0!J$4:J$52,D414,1))))*100000000</f>
        <v>0</v>
      </c>
      <c r="F414" s="4" t="str">
        <f>HYPERLINK("http://141.218.60.56/~jnz1568/getInfo.php?workbook=08_02.xlsx&amp;sheet=A0&amp;row=414&amp;col=6&amp;number=&amp;sourceID=27","")</f>
        <v/>
      </c>
      <c r="G414" s="4" t="str">
        <f>HYPERLINK("http://141.218.60.56/~jnz1568/getInfo.php?workbook=08_02.xlsx&amp;sheet=A0&amp;row=414&amp;col=7&amp;number=&amp;sourceID=34","")</f>
        <v/>
      </c>
      <c r="H414" s="4" t="str">
        <f>HYPERLINK("http://141.218.60.56/~jnz1568/getInfo.php?workbook=08_02.xlsx&amp;sheet=A0&amp;row=414&amp;col=8&amp;number=&amp;sourceID=34","")</f>
        <v/>
      </c>
      <c r="I414" s="4" t="str">
        <f>HYPERLINK("http://141.218.60.56/~jnz1568/getInfo.php?workbook=08_02.xlsx&amp;sheet=A0&amp;row=414&amp;col=9&amp;number=&amp;sourceID=34","")</f>
        <v/>
      </c>
      <c r="J414" s="4" t="str">
        <f>HYPERLINK("http://141.218.60.56/~jnz1568/getInfo.php?workbook=08_02.xlsx&amp;sheet=A0&amp;row=414&amp;col=10&amp;number=&amp;sourceID=34","")</f>
        <v/>
      </c>
      <c r="K414" s="4" t="str">
        <f>HYPERLINK("http://141.218.60.56/~jnz1568/getInfo.php?workbook=08_02.xlsx&amp;sheet=A0&amp;row=414&amp;col=11&amp;number=&amp;sourceID=30","")</f>
        <v/>
      </c>
      <c r="L414" s="4" t="str">
        <f>HYPERLINK("http://141.218.60.56/~jnz1568/getInfo.php?workbook=08_02.xlsx&amp;sheet=A0&amp;row=414&amp;col=12&amp;number=&amp;sourceID=30","")</f>
        <v/>
      </c>
      <c r="M414" s="4" t="str">
        <f>HYPERLINK("http://141.218.60.56/~jnz1568/getInfo.php?workbook=08_02.xlsx&amp;sheet=A0&amp;row=414&amp;col=13&amp;number=0.005433&amp;sourceID=30","0.005433")</f>
        <v>0.005433</v>
      </c>
      <c r="N414" s="4" t="str">
        <f>HYPERLINK("http://141.218.60.56/~jnz1568/getInfo.php?workbook=08_02.xlsx&amp;sheet=A0&amp;row=414&amp;col=14&amp;number=&amp;sourceID=30","")</f>
        <v/>
      </c>
      <c r="O414" s="4" t="str">
        <f>HYPERLINK("http://141.218.60.56/~jnz1568/getInfo.php?workbook=08_02.xlsx&amp;sheet=A0&amp;row=414&amp;col=15&amp;number=&amp;sourceID=32","")</f>
        <v/>
      </c>
      <c r="P414" s="4" t="str">
        <f>HYPERLINK("http://141.218.60.56/~jnz1568/getInfo.php?workbook=08_02.xlsx&amp;sheet=A0&amp;row=414&amp;col=16&amp;number=&amp;sourceID=32","")</f>
        <v/>
      </c>
      <c r="Q414" s="4" t="str">
        <f>HYPERLINK("http://141.218.60.56/~jnz1568/getInfo.php?workbook=08_02.xlsx&amp;sheet=A0&amp;row=414&amp;col=17&amp;number=0.005928&amp;sourceID=32","0.005928")</f>
        <v>0.005928</v>
      </c>
      <c r="R414" s="4" t="str">
        <f>HYPERLINK("http://141.218.60.56/~jnz1568/getInfo.php?workbook=08_02.xlsx&amp;sheet=A0&amp;row=414&amp;col=18&amp;number=&amp;sourceID=32","")</f>
        <v/>
      </c>
      <c r="S414" s="4" t="str">
        <f>HYPERLINK("http://141.218.60.56/~jnz1568/getInfo.php?workbook=08_02.xlsx&amp;sheet=A0&amp;row=414&amp;col=19&amp;number=&amp;sourceID=1","")</f>
        <v/>
      </c>
      <c r="T414" s="4" t="str">
        <f>HYPERLINK("http://141.218.60.56/~jnz1568/getInfo.php?workbook=08_02.xlsx&amp;sheet=A0&amp;row=414&amp;col=20&amp;number=&amp;sourceID=1","")</f>
        <v/>
      </c>
    </row>
    <row r="415" spans="1:20">
      <c r="A415" s="3">
        <v>8</v>
      </c>
      <c r="B415" s="3">
        <v>2</v>
      </c>
      <c r="C415" s="3">
        <v>32</v>
      </c>
      <c r="D415" s="3">
        <v>13</v>
      </c>
      <c r="E415" s="3">
        <f>((1/(INDEX(E0!J$4:J$52,C415,1)-INDEX(E0!J$4:J$52,D415,1))))*100000000</f>
        <v>0</v>
      </c>
      <c r="F415" s="4" t="str">
        <f>HYPERLINK("http://141.218.60.56/~jnz1568/getInfo.php?workbook=08_02.xlsx&amp;sheet=A0&amp;row=415&amp;col=6&amp;number=&amp;sourceID=27","")</f>
        <v/>
      </c>
      <c r="G415" s="4" t="str">
        <f>HYPERLINK("http://141.218.60.56/~jnz1568/getInfo.php?workbook=08_02.xlsx&amp;sheet=A0&amp;row=415&amp;col=7&amp;number=&amp;sourceID=34","")</f>
        <v/>
      </c>
      <c r="H415" s="4" t="str">
        <f>HYPERLINK("http://141.218.60.56/~jnz1568/getInfo.php?workbook=08_02.xlsx&amp;sheet=A0&amp;row=415&amp;col=8&amp;number=&amp;sourceID=34","")</f>
        <v/>
      </c>
      <c r="I415" s="4" t="str">
        <f>HYPERLINK("http://141.218.60.56/~jnz1568/getInfo.php?workbook=08_02.xlsx&amp;sheet=A0&amp;row=415&amp;col=9&amp;number=&amp;sourceID=34","")</f>
        <v/>
      </c>
      <c r="J415" s="4" t="str">
        <f>HYPERLINK("http://141.218.60.56/~jnz1568/getInfo.php?workbook=08_02.xlsx&amp;sheet=A0&amp;row=415&amp;col=10&amp;number=&amp;sourceID=34","")</f>
        <v/>
      </c>
      <c r="K415" s="4" t="str">
        <f>HYPERLINK("http://141.218.60.56/~jnz1568/getInfo.php?workbook=08_02.xlsx&amp;sheet=A0&amp;row=415&amp;col=11&amp;number=&amp;sourceID=30","")</f>
        <v/>
      </c>
      <c r="L415" s="4" t="str">
        <f>HYPERLINK("http://141.218.60.56/~jnz1568/getInfo.php?workbook=08_02.xlsx&amp;sheet=A0&amp;row=415&amp;col=12&amp;number=16170&amp;sourceID=30","16170")</f>
        <v>16170</v>
      </c>
      <c r="M415" s="4" t="str">
        <f>HYPERLINK("http://141.218.60.56/~jnz1568/getInfo.php?workbook=08_02.xlsx&amp;sheet=A0&amp;row=415&amp;col=13&amp;number=0.0001172&amp;sourceID=30","0.0001172")</f>
        <v>0.0001172</v>
      </c>
      <c r="N415" s="4" t="str">
        <f>HYPERLINK("http://141.218.60.56/~jnz1568/getInfo.php?workbook=08_02.xlsx&amp;sheet=A0&amp;row=415&amp;col=14&amp;number=&amp;sourceID=30","")</f>
        <v/>
      </c>
      <c r="O415" s="4" t="str">
        <f>HYPERLINK("http://141.218.60.56/~jnz1568/getInfo.php?workbook=08_02.xlsx&amp;sheet=A0&amp;row=415&amp;col=15&amp;number=&amp;sourceID=32","")</f>
        <v/>
      </c>
      <c r="P415" s="4" t="str">
        <f>HYPERLINK("http://141.218.60.56/~jnz1568/getInfo.php?workbook=08_02.xlsx&amp;sheet=A0&amp;row=415&amp;col=16&amp;number=16810&amp;sourceID=32","16810")</f>
        <v>16810</v>
      </c>
      <c r="Q415" s="4" t="str">
        <f>HYPERLINK("http://141.218.60.56/~jnz1568/getInfo.php?workbook=08_02.xlsx&amp;sheet=A0&amp;row=415&amp;col=17&amp;number=0.0001298&amp;sourceID=32","0.0001298")</f>
        <v>0.0001298</v>
      </c>
      <c r="R415" s="4" t="str">
        <f>HYPERLINK("http://141.218.60.56/~jnz1568/getInfo.php?workbook=08_02.xlsx&amp;sheet=A0&amp;row=415&amp;col=18&amp;number=&amp;sourceID=32","")</f>
        <v/>
      </c>
      <c r="S415" s="4" t="str">
        <f>HYPERLINK("http://141.218.60.56/~jnz1568/getInfo.php?workbook=08_02.xlsx&amp;sheet=A0&amp;row=415&amp;col=19&amp;number=&amp;sourceID=1","")</f>
        <v/>
      </c>
      <c r="T415" s="4" t="str">
        <f>HYPERLINK("http://141.218.60.56/~jnz1568/getInfo.php?workbook=08_02.xlsx&amp;sheet=A0&amp;row=415&amp;col=20&amp;number=&amp;sourceID=1","")</f>
        <v/>
      </c>
    </row>
    <row r="416" spans="1:20">
      <c r="A416" s="3">
        <v>8</v>
      </c>
      <c r="B416" s="3">
        <v>2</v>
      </c>
      <c r="C416" s="3">
        <v>32</v>
      </c>
      <c r="D416" s="3">
        <v>14</v>
      </c>
      <c r="E416" s="3">
        <f>((1/(INDEX(E0!J$4:J$52,C416,1)-INDEX(E0!J$4:J$52,D416,1))))*100000000</f>
        <v>0</v>
      </c>
      <c r="F416" s="4" t="str">
        <f>HYPERLINK("http://141.218.60.56/~jnz1568/getInfo.php?workbook=08_02.xlsx&amp;sheet=A0&amp;row=416&amp;col=6&amp;number=&amp;sourceID=27","")</f>
        <v/>
      </c>
      <c r="G416" s="4" t="str">
        <f>HYPERLINK("http://141.218.60.56/~jnz1568/getInfo.php?workbook=08_02.xlsx&amp;sheet=A0&amp;row=416&amp;col=7&amp;number=&amp;sourceID=34","")</f>
        <v/>
      </c>
      <c r="H416" s="4" t="str">
        <f>HYPERLINK("http://141.218.60.56/~jnz1568/getInfo.php?workbook=08_02.xlsx&amp;sheet=A0&amp;row=416&amp;col=8&amp;number=&amp;sourceID=34","")</f>
        <v/>
      </c>
      <c r="I416" s="4" t="str">
        <f>HYPERLINK("http://141.218.60.56/~jnz1568/getInfo.php?workbook=08_02.xlsx&amp;sheet=A0&amp;row=416&amp;col=9&amp;number=&amp;sourceID=34","")</f>
        <v/>
      </c>
      <c r="J416" s="4" t="str">
        <f>HYPERLINK("http://141.218.60.56/~jnz1568/getInfo.php?workbook=08_02.xlsx&amp;sheet=A0&amp;row=416&amp;col=10&amp;number=&amp;sourceID=34","")</f>
        <v/>
      </c>
      <c r="K416" s="4" t="str">
        <f>HYPERLINK("http://141.218.60.56/~jnz1568/getInfo.php?workbook=08_02.xlsx&amp;sheet=A0&amp;row=416&amp;col=11&amp;number=&amp;sourceID=30","")</f>
        <v/>
      </c>
      <c r="L416" s="4" t="str">
        <f>HYPERLINK("http://141.218.60.56/~jnz1568/getInfo.php?workbook=08_02.xlsx&amp;sheet=A0&amp;row=416&amp;col=12&amp;number=26530&amp;sourceID=30","26530")</f>
        <v>26530</v>
      </c>
      <c r="M416" s="4" t="str">
        <f>HYPERLINK("http://141.218.60.56/~jnz1568/getInfo.php?workbook=08_02.xlsx&amp;sheet=A0&amp;row=416&amp;col=13&amp;number=2.503e-05&amp;sourceID=30","2.503e-05")</f>
        <v>2.503e-05</v>
      </c>
      <c r="N416" s="4" t="str">
        <f>HYPERLINK("http://141.218.60.56/~jnz1568/getInfo.php?workbook=08_02.xlsx&amp;sheet=A0&amp;row=416&amp;col=14&amp;number=&amp;sourceID=30","")</f>
        <v/>
      </c>
      <c r="O416" s="4" t="str">
        <f>HYPERLINK("http://141.218.60.56/~jnz1568/getInfo.php?workbook=08_02.xlsx&amp;sheet=A0&amp;row=416&amp;col=15&amp;number=&amp;sourceID=32","")</f>
        <v/>
      </c>
      <c r="P416" s="4" t="str">
        <f>HYPERLINK("http://141.218.60.56/~jnz1568/getInfo.php?workbook=08_02.xlsx&amp;sheet=A0&amp;row=416&amp;col=16&amp;number=27550&amp;sourceID=32","27550")</f>
        <v>27550</v>
      </c>
      <c r="Q416" s="4" t="str">
        <f>HYPERLINK("http://141.218.60.56/~jnz1568/getInfo.php?workbook=08_02.xlsx&amp;sheet=A0&amp;row=416&amp;col=17&amp;number=2.124e-05&amp;sourceID=32","2.124e-05")</f>
        <v>2.124e-05</v>
      </c>
      <c r="R416" s="4" t="str">
        <f>HYPERLINK("http://141.218.60.56/~jnz1568/getInfo.php?workbook=08_02.xlsx&amp;sheet=A0&amp;row=416&amp;col=18&amp;number=&amp;sourceID=32","")</f>
        <v/>
      </c>
      <c r="S416" s="4" t="str">
        <f>HYPERLINK("http://141.218.60.56/~jnz1568/getInfo.php?workbook=08_02.xlsx&amp;sheet=A0&amp;row=416&amp;col=19&amp;number=&amp;sourceID=1","")</f>
        <v/>
      </c>
      <c r="T416" s="4" t="str">
        <f>HYPERLINK("http://141.218.60.56/~jnz1568/getInfo.php?workbook=08_02.xlsx&amp;sheet=A0&amp;row=416&amp;col=20&amp;number=&amp;sourceID=1","")</f>
        <v/>
      </c>
    </row>
    <row r="417" spans="1:20">
      <c r="A417" s="3">
        <v>8</v>
      </c>
      <c r="B417" s="3">
        <v>2</v>
      </c>
      <c r="C417" s="3">
        <v>32</v>
      </c>
      <c r="D417" s="3">
        <v>15</v>
      </c>
      <c r="E417" s="3">
        <f>((1/(INDEX(E0!J$4:J$52,C417,1)-INDEX(E0!J$4:J$52,D417,1))))*100000000</f>
        <v>0</v>
      </c>
      <c r="F417" s="4" t="str">
        <f>HYPERLINK("http://141.218.60.56/~jnz1568/getInfo.php?workbook=08_02.xlsx&amp;sheet=A0&amp;row=417&amp;col=6&amp;number=&amp;sourceID=27","")</f>
        <v/>
      </c>
      <c r="G417" s="4" t="str">
        <f>HYPERLINK("http://141.218.60.56/~jnz1568/getInfo.php?workbook=08_02.xlsx&amp;sheet=A0&amp;row=417&amp;col=7&amp;number=&amp;sourceID=34","")</f>
        <v/>
      </c>
      <c r="H417" s="4" t="str">
        <f>HYPERLINK("http://141.218.60.56/~jnz1568/getInfo.php?workbook=08_02.xlsx&amp;sheet=A0&amp;row=417&amp;col=8&amp;number=&amp;sourceID=34","")</f>
        <v/>
      </c>
      <c r="I417" s="4" t="str">
        <f>HYPERLINK("http://141.218.60.56/~jnz1568/getInfo.php?workbook=08_02.xlsx&amp;sheet=A0&amp;row=417&amp;col=9&amp;number=&amp;sourceID=34","")</f>
        <v/>
      </c>
      <c r="J417" s="4" t="str">
        <f>HYPERLINK("http://141.218.60.56/~jnz1568/getInfo.php?workbook=08_02.xlsx&amp;sheet=A0&amp;row=417&amp;col=10&amp;number=&amp;sourceID=34","")</f>
        <v/>
      </c>
      <c r="K417" s="4" t="str">
        <f>HYPERLINK("http://141.218.60.56/~jnz1568/getInfo.php?workbook=08_02.xlsx&amp;sheet=A0&amp;row=417&amp;col=11&amp;number=&amp;sourceID=30","")</f>
        <v/>
      </c>
      <c r="L417" s="4" t="str">
        <f>HYPERLINK("http://141.218.60.56/~jnz1568/getInfo.php?workbook=08_02.xlsx&amp;sheet=A0&amp;row=417&amp;col=12&amp;number=37600&amp;sourceID=30","37600")</f>
        <v>37600</v>
      </c>
      <c r="M417" s="4" t="str">
        <f>HYPERLINK("http://141.218.60.56/~jnz1568/getInfo.php?workbook=08_02.xlsx&amp;sheet=A0&amp;row=417&amp;col=13&amp;number=&amp;sourceID=30","")</f>
        <v/>
      </c>
      <c r="N417" s="4" t="str">
        <f>HYPERLINK("http://141.218.60.56/~jnz1568/getInfo.php?workbook=08_02.xlsx&amp;sheet=A0&amp;row=417&amp;col=14&amp;number=&amp;sourceID=30","")</f>
        <v/>
      </c>
      <c r="O417" s="4" t="str">
        <f>HYPERLINK("http://141.218.60.56/~jnz1568/getInfo.php?workbook=08_02.xlsx&amp;sheet=A0&amp;row=417&amp;col=15&amp;number=&amp;sourceID=32","")</f>
        <v/>
      </c>
      <c r="P417" s="4" t="str">
        <f>HYPERLINK("http://141.218.60.56/~jnz1568/getInfo.php?workbook=08_02.xlsx&amp;sheet=A0&amp;row=417&amp;col=16&amp;number=39220&amp;sourceID=32","39220")</f>
        <v>39220</v>
      </c>
      <c r="Q417" s="4" t="str">
        <f>HYPERLINK("http://141.218.60.56/~jnz1568/getInfo.php?workbook=08_02.xlsx&amp;sheet=A0&amp;row=417&amp;col=17&amp;number=&amp;sourceID=32","")</f>
        <v/>
      </c>
      <c r="R417" s="4" t="str">
        <f>HYPERLINK("http://141.218.60.56/~jnz1568/getInfo.php?workbook=08_02.xlsx&amp;sheet=A0&amp;row=417&amp;col=18&amp;number=&amp;sourceID=32","")</f>
        <v/>
      </c>
      <c r="S417" s="4" t="str">
        <f>HYPERLINK("http://141.218.60.56/~jnz1568/getInfo.php?workbook=08_02.xlsx&amp;sheet=A0&amp;row=417&amp;col=19&amp;number=&amp;sourceID=1","")</f>
        <v/>
      </c>
      <c r="T417" s="4" t="str">
        <f>HYPERLINK("http://141.218.60.56/~jnz1568/getInfo.php?workbook=08_02.xlsx&amp;sheet=A0&amp;row=417&amp;col=20&amp;number=&amp;sourceID=1","")</f>
        <v/>
      </c>
    </row>
    <row r="418" spans="1:20">
      <c r="A418" s="3">
        <v>8</v>
      </c>
      <c r="B418" s="3">
        <v>2</v>
      </c>
      <c r="C418" s="3">
        <v>32</v>
      </c>
      <c r="D418" s="3">
        <v>16</v>
      </c>
      <c r="E418" s="3">
        <f>((1/(INDEX(E0!J$4:J$52,C418,1)-INDEX(E0!J$4:J$52,D418,1))))*100000000</f>
        <v>0</v>
      </c>
      <c r="F418" s="4" t="str">
        <f>HYPERLINK("http://141.218.60.56/~jnz1568/getInfo.php?workbook=08_02.xlsx&amp;sheet=A0&amp;row=418&amp;col=6&amp;number=&amp;sourceID=27","")</f>
        <v/>
      </c>
      <c r="G418" s="4" t="str">
        <f>HYPERLINK("http://141.218.60.56/~jnz1568/getInfo.php?workbook=08_02.xlsx&amp;sheet=A0&amp;row=418&amp;col=7&amp;number=&amp;sourceID=34","")</f>
        <v/>
      </c>
      <c r="H418" s="4" t="str">
        <f>HYPERLINK("http://141.218.60.56/~jnz1568/getInfo.php?workbook=08_02.xlsx&amp;sheet=A0&amp;row=418&amp;col=8&amp;number=&amp;sourceID=34","")</f>
        <v/>
      </c>
      <c r="I418" s="4" t="str">
        <f>HYPERLINK("http://141.218.60.56/~jnz1568/getInfo.php?workbook=08_02.xlsx&amp;sheet=A0&amp;row=418&amp;col=9&amp;number=&amp;sourceID=34","")</f>
        <v/>
      </c>
      <c r="J418" s="4" t="str">
        <f>HYPERLINK("http://141.218.60.56/~jnz1568/getInfo.php?workbook=08_02.xlsx&amp;sheet=A0&amp;row=418&amp;col=10&amp;number=&amp;sourceID=34","")</f>
        <v/>
      </c>
      <c r="K418" s="4" t="str">
        <f>HYPERLINK("http://141.218.60.56/~jnz1568/getInfo.php?workbook=08_02.xlsx&amp;sheet=A0&amp;row=418&amp;col=11&amp;number=&amp;sourceID=30","")</f>
        <v/>
      </c>
      <c r="L418" s="4" t="str">
        <f>HYPERLINK("http://141.218.60.56/~jnz1568/getInfo.php?workbook=08_02.xlsx&amp;sheet=A0&amp;row=418&amp;col=12&amp;number=345.3&amp;sourceID=30","345.3")</f>
        <v>345.3</v>
      </c>
      <c r="M418" s="4" t="str">
        <f>HYPERLINK("http://141.218.60.56/~jnz1568/getInfo.php?workbook=08_02.xlsx&amp;sheet=A0&amp;row=418&amp;col=13&amp;number=1.931e-06&amp;sourceID=30","1.931e-06")</f>
        <v>1.931e-06</v>
      </c>
      <c r="N418" s="4" t="str">
        <f>HYPERLINK("http://141.218.60.56/~jnz1568/getInfo.php?workbook=08_02.xlsx&amp;sheet=A0&amp;row=418&amp;col=14&amp;number=&amp;sourceID=30","")</f>
        <v/>
      </c>
      <c r="O418" s="4" t="str">
        <f>HYPERLINK("http://141.218.60.56/~jnz1568/getInfo.php?workbook=08_02.xlsx&amp;sheet=A0&amp;row=418&amp;col=15&amp;number=&amp;sourceID=32","")</f>
        <v/>
      </c>
      <c r="P418" s="4" t="str">
        <f>HYPERLINK("http://141.218.60.56/~jnz1568/getInfo.php?workbook=08_02.xlsx&amp;sheet=A0&amp;row=418&amp;col=16&amp;number=443.5&amp;sourceID=32","443.5")</f>
        <v>443.5</v>
      </c>
      <c r="Q418" s="4" t="str">
        <f>HYPERLINK("http://141.218.60.56/~jnz1568/getInfo.php?workbook=08_02.xlsx&amp;sheet=A0&amp;row=418&amp;col=17&amp;number=2.862e-06&amp;sourceID=32","2.862e-06")</f>
        <v>2.862e-06</v>
      </c>
      <c r="R418" s="4" t="str">
        <f>HYPERLINK("http://141.218.60.56/~jnz1568/getInfo.php?workbook=08_02.xlsx&amp;sheet=A0&amp;row=418&amp;col=18&amp;number=&amp;sourceID=32","")</f>
        <v/>
      </c>
      <c r="S418" s="4" t="str">
        <f>HYPERLINK("http://141.218.60.56/~jnz1568/getInfo.php?workbook=08_02.xlsx&amp;sheet=A0&amp;row=418&amp;col=19&amp;number=&amp;sourceID=1","")</f>
        <v/>
      </c>
      <c r="T418" s="4" t="str">
        <f>HYPERLINK("http://141.218.60.56/~jnz1568/getInfo.php?workbook=08_02.xlsx&amp;sheet=A0&amp;row=418&amp;col=20&amp;number=&amp;sourceID=1","")</f>
        <v/>
      </c>
    </row>
    <row r="419" spans="1:20">
      <c r="A419" s="3">
        <v>8</v>
      </c>
      <c r="B419" s="3">
        <v>2</v>
      </c>
      <c r="C419" s="3">
        <v>32</v>
      </c>
      <c r="D419" s="3">
        <v>17</v>
      </c>
      <c r="E419" s="3">
        <f>((1/(INDEX(E0!J$4:J$52,C419,1)-INDEX(E0!J$4:J$52,D419,1))))*100000000</f>
        <v>0</v>
      </c>
      <c r="F419" s="4" t="str">
        <f>HYPERLINK("http://141.218.60.56/~jnz1568/getInfo.php?workbook=08_02.xlsx&amp;sheet=A0&amp;row=419&amp;col=6&amp;number=&amp;sourceID=27","")</f>
        <v/>
      </c>
      <c r="G419" s="4" t="str">
        <f>HYPERLINK("http://141.218.60.56/~jnz1568/getInfo.php?workbook=08_02.xlsx&amp;sheet=A0&amp;row=419&amp;col=7&amp;number=&amp;sourceID=34","")</f>
        <v/>
      </c>
      <c r="H419" s="4" t="str">
        <f>HYPERLINK("http://141.218.60.56/~jnz1568/getInfo.php?workbook=08_02.xlsx&amp;sheet=A0&amp;row=419&amp;col=8&amp;number=&amp;sourceID=34","")</f>
        <v/>
      </c>
      <c r="I419" s="4" t="str">
        <f>HYPERLINK("http://141.218.60.56/~jnz1568/getInfo.php?workbook=08_02.xlsx&amp;sheet=A0&amp;row=419&amp;col=9&amp;number=&amp;sourceID=34","")</f>
        <v/>
      </c>
      <c r="J419" s="4" t="str">
        <f>HYPERLINK("http://141.218.60.56/~jnz1568/getInfo.php?workbook=08_02.xlsx&amp;sheet=A0&amp;row=419&amp;col=10&amp;number=&amp;sourceID=34","")</f>
        <v/>
      </c>
      <c r="K419" s="4" t="str">
        <f>HYPERLINK("http://141.218.60.56/~jnz1568/getInfo.php?workbook=08_02.xlsx&amp;sheet=A0&amp;row=419&amp;col=11&amp;number=168600&amp;sourceID=30","168600")</f>
        <v>168600</v>
      </c>
      <c r="L419" s="4" t="str">
        <f>HYPERLINK("http://141.218.60.56/~jnz1568/getInfo.php?workbook=08_02.xlsx&amp;sheet=A0&amp;row=419&amp;col=12&amp;number=&amp;sourceID=30","")</f>
        <v/>
      </c>
      <c r="M419" s="4" t="str">
        <f>HYPERLINK("http://141.218.60.56/~jnz1568/getInfo.php?workbook=08_02.xlsx&amp;sheet=A0&amp;row=419&amp;col=13&amp;number=&amp;sourceID=30","")</f>
        <v/>
      </c>
      <c r="N419" s="4" t="str">
        <f>HYPERLINK("http://141.218.60.56/~jnz1568/getInfo.php?workbook=08_02.xlsx&amp;sheet=A0&amp;row=419&amp;col=14&amp;number=1.516&amp;sourceID=30","1.516")</f>
        <v>1.516</v>
      </c>
      <c r="O419" s="4" t="str">
        <f>HYPERLINK("http://141.218.60.56/~jnz1568/getInfo.php?workbook=08_02.xlsx&amp;sheet=A0&amp;row=419&amp;col=15&amp;number=194900&amp;sourceID=32","194900")</f>
        <v>194900</v>
      </c>
      <c r="P419" s="4" t="str">
        <f>HYPERLINK("http://141.218.60.56/~jnz1568/getInfo.php?workbook=08_02.xlsx&amp;sheet=A0&amp;row=419&amp;col=16&amp;number=&amp;sourceID=32","")</f>
        <v/>
      </c>
      <c r="Q419" s="4" t="str">
        <f>HYPERLINK("http://141.218.60.56/~jnz1568/getInfo.php?workbook=08_02.xlsx&amp;sheet=A0&amp;row=419&amp;col=17&amp;number=&amp;sourceID=32","")</f>
        <v/>
      </c>
      <c r="R419" s="4" t="str">
        <f>HYPERLINK("http://141.218.60.56/~jnz1568/getInfo.php?workbook=08_02.xlsx&amp;sheet=A0&amp;row=419&amp;col=18&amp;number=1.2&amp;sourceID=32","1.2")</f>
        <v>1.2</v>
      </c>
      <c r="S419" s="4" t="str">
        <f>HYPERLINK("http://141.218.60.56/~jnz1568/getInfo.php?workbook=08_02.xlsx&amp;sheet=A0&amp;row=419&amp;col=19&amp;number=&amp;sourceID=1","")</f>
        <v/>
      </c>
      <c r="T419" s="4" t="str">
        <f>HYPERLINK("http://141.218.60.56/~jnz1568/getInfo.php?workbook=08_02.xlsx&amp;sheet=A0&amp;row=419&amp;col=20&amp;number=&amp;sourceID=1","")</f>
        <v/>
      </c>
    </row>
    <row r="420" spans="1:20">
      <c r="A420" s="3">
        <v>8</v>
      </c>
      <c r="B420" s="3">
        <v>2</v>
      </c>
      <c r="C420" s="3">
        <v>32</v>
      </c>
      <c r="D420" s="3">
        <v>18</v>
      </c>
      <c r="E420" s="3">
        <f>((1/(INDEX(E0!J$4:J$52,C420,1)-INDEX(E0!J$4:J$52,D420,1))))*100000000</f>
        <v>0</v>
      </c>
      <c r="F420" s="4" t="str">
        <f>HYPERLINK("http://141.218.60.56/~jnz1568/getInfo.php?workbook=08_02.xlsx&amp;sheet=A0&amp;row=420&amp;col=6&amp;number=&amp;sourceID=27","")</f>
        <v/>
      </c>
      <c r="G420" s="4" t="str">
        <f>HYPERLINK("http://141.218.60.56/~jnz1568/getInfo.php?workbook=08_02.xlsx&amp;sheet=A0&amp;row=420&amp;col=7&amp;number=&amp;sourceID=34","")</f>
        <v/>
      </c>
      <c r="H420" s="4" t="str">
        <f>HYPERLINK("http://141.218.60.56/~jnz1568/getInfo.php?workbook=08_02.xlsx&amp;sheet=A0&amp;row=420&amp;col=8&amp;number=&amp;sourceID=34","")</f>
        <v/>
      </c>
      <c r="I420" s="4" t="str">
        <f>HYPERLINK("http://141.218.60.56/~jnz1568/getInfo.php?workbook=08_02.xlsx&amp;sheet=A0&amp;row=420&amp;col=9&amp;number=&amp;sourceID=34","")</f>
        <v/>
      </c>
      <c r="J420" s="4" t="str">
        <f>HYPERLINK("http://141.218.60.56/~jnz1568/getInfo.php?workbook=08_02.xlsx&amp;sheet=A0&amp;row=420&amp;col=10&amp;number=&amp;sourceID=34","")</f>
        <v/>
      </c>
      <c r="K420" s="4" t="str">
        <f>HYPERLINK("http://141.218.60.56/~jnz1568/getInfo.php?workbook=08_02.xlsx&amp;sheet=A0&amp;row=420&amp;col=11&amp;number=&amp;sourceID=30","")</f>
        <v/>
      </c>
      <c r="L420" s="4" t="str">
        <f>HYPERLINK("http://141.218.60.56/~jnz1568/getInfo.php?workbook=08_02.xlsx&amp;sheet=A0&amp;row=420&amp;col=12&amp;number=0.003182&amp;sourceID=30","0.003182")</f>
        <v>0.003182</v>
      </c>
      <c r="M420" s="4" t="str">
        <f>HYPERLINK("http://141.218.60.56/~jnz1568/getInfo.php?workbook=08_02.xlsx&amp;sheet=A0&amp;row=420&amp;col=13&amp;number=0.0001451&amp;sourceID=30","0.0001451")</f>
        <v>0.0001451</v>
      </c>
      <c r="N420" s="4" t="str">
        <f>HYPERLINK("http://141.218.60.56/~jnz1568/getInfo.php?workbook=08_02.xlsx&amp;sheet=A0&amp;row=420&amp;col=14&amp;number=&amp;sourceID=30","")</f>
        <v/>
      </c>
      <c r="O420" s="4" t="str">
        <f>HYPERLINK("http://141.218.60.56/~jnz1568/getInfo.php?workbook=08_02.xlsx&amp;sheet=A0&amp;row=420&amp;col=15&amp;number=&amp;sourceID=32","")</f>
        <v/>
      </c>
      <c r="P420" s="4" t="str">
        <f>HYPERLINK("http://141.218.60.56/~jnz1568/getInfo.php?workbook=08_02.xlsx&amp;sheet=A0&amp;row=420&amp;col=16&amp;number=0.004053&amp;sourceID=32","0.004053")</f>
        <v>0.004053</v>
      </c>
      <c r="Q420" s="4" t="str">
        <f>HYPERLINK("http://141.218.60.56/~jnz1568/getInfo.php?workbook=08_02.xlsx&amp;sheet=A0&amp;row=420&amp;col=17&amp;number=0.0001562&amp;sourceID=32","0.0001562")</f>
        <v>0.0001562</v>
      </c>
      <c r="R420" s="4" t="str">
        <f>HYPERLINK("http://141.218.60.56/~jnz1568/getInfo.php?workbook=08_02.xlsx&amp;sheet=A0&amp;row=420&amp;col=18&amp;number=&amp;sourceID=32","")</f>
        <v/>
      </c>
      <c r="S420" s="4" t="str">
        <f>HYPERLINK("http://141.218.60.56/~jnz1568/getInfo.php?workbook=08_02.xlsx&amp;sheet=A0&amp;row=420&amp;col=19&amp;number=&amp;sourceID=1","")</f>
        <v/>
      </c>
      <c r="T420" s="4" t="str">
        <f>HYPERLINK("http://141.218.60.56/~jnz1568/getInfo.php?workbook=08_02.xlsx&amp;sheet=A0&amp;row=420&amp;col=20&amp;number=&amp;sourceID=1","")</f>
        <v/>
      </c>
    </row>
    <row r="421" spans="1:20">
      <c r="A421" s="3">
        <v>8</v>
      </c>
      <c r="B421" s="3">
        <v>2</v>
      </c>
      <c r="C421" s="3">
        <v>32</v>
      </c>
      <c r="D421" s="3">
        <v>19</v>
      </c>
      <c r="E421" s="3">
        <f>((1/(INDEX(E0!J$4:J$52,C421,1)-INDEX(E0!J$4:J$52,D421,1))))*100000000</f>
        <v>0</v>
      </c>
      <c r="F421" s="4" t="str">
        <f>HYPERLINK("http://141.218.60.56/~jnz1568/getInfo.php?workbook=08_02.xlsx&amp;sheet=A0&amp;row=421&amp;col=6&amp;number=&amp;sourceID=27","")</f>
        <v/>
      </c>
      <c r="G421" s="4" t="str">
        <f>HYPERLINK("http://141.218.60.56/~jnz1568/getInfo.php?workbook=08_02.xlsx&amp;sheet=A0&amp;row=421&amp;col=7&amp;number=&amp;sourceID=34","")</f>
        <v/>
      </c>
      <c r="H421" s="4" t="str">
        <f>HYPERLINK("http://141.218.60.56/~jnz1568/getInfo.php?workbook=08_02.xlsx&amp;sheet=A0&amp;row=421&amp;col=8&amp;number=&amp;sourceID=34","")</f>
        <v/>
      </c>
      <c r="I421" s="4" t="str">
        <f>HYPERLINK("http://141.218.60.56/~jnz1568/getInfo.php?workbook=08_02.xlsx&amp;sheet=A0&amp;row=421&amp;col=9&amp;number=&amp;sourceID=34","")</f>
        <v/>
      </c>
      <c r="J421" s="4" t="str">
        <f>HYPERLINK("http://141.218.60.56/~jnz1568/getInfo.php?workbook=08_02.xlsx&amp;sheet=A0&amp;row=421&amp;col=10&amp;number=&amp;sourceID=34","")</f>
        <v/>
      </c>
      <c r="K421" s="4" t="str">
        <f>HYPERLINK("http://141.218.60.56/~jnz1568/getInfo.php?workbook=08_02.xlsx&amp;sheet=A0&amp;row=421&amp;col=11&amp;number=225900000&amp;sourceID=30","225900000")</f>
        <v>225900000</v>
      </c>
      <c r="L421" s="4" t="str">
        <f>HYPERLINK("http://141.218.60.56/~jnz1568/getInfo.php?workbook=08_02.xlsx&amp;sheet=A0&amp;row=421&amp;col=12&amp;number=&amp;sourceID=30","")</f>
        <v/>
      </c>
      <c r="M421" s="4" t="str">
        <f>HYPERLINK("http://141.218.60.56/~jnz1568/getInfo.php?workbook=08_02.xlsx&amp;sheet=A0&amp;row=421&amp;col=13&amp;number=&amp;sourceID=30","")</f>
        <v/>
      </c>
      <c r="N421" s="4" t="str">
        <f>HYPERLINK("http://141.218.60.56/~jnz1568/getInfo.php?workbook=08_02.xlsx&amp;sheet=A0&amp;row=421&amp;col=14&amp;number=&amp;sourceID=30","")</f>
        <v/>
      </c>
      <c r="O421" s="4" t="str">
        <f>HYPERLINK("http://141.218.60.56/~jnz1568/getInfo.php?workbook=08_02.xlsx&amp;sheet=A0&amp;row=421&amp;col=15&amp;number=234700000&amp;sourceID=32","234700000")</f>
        <v>234700000</v>
      </c>
      <c r="P421" s="4" t="str">
        <f>HYPERLINK("http://141.218.60.56/~jnz1568/getInfo.php?workbook=08_02.xlsx&amp;sheet=A0&amp;row=421&amp;col=16&amp;number=&amp;sourceID=32","")</f>
        <v/>
      </c>
      <c r="Q421" s="4" t="str">
        <f>HYPERLINK("http://141.218.60.56/~jnz1568/getInfo.php?workbook=08_02.xlsx&amp;sheet=A0&amp;row=421&amp;col=17&amp;number=&amp;sourceID=32","")</f>
        <v/>
      </c>
      <c r="R421" s="4" t="str">
        <f>HYPERLINK("http://141.218.60.56/~jnz1568/getInfo.php?workbook=08_02.xlsx&amp;sheet=A0&amp;row=421&amp;col=18&amp;number=&amp;sourceID=32","")</f>
        <v/>
      </c>
      <c r="S421" s="4" t="str">
        <f>HYPERLINK("http://141.218.60.56/~jnz1568/getInfo.php?workbook=08_02.xlsx&amp;sheet=A0&amp;row=421&amp;col=19&amp;number=&amp;sourceID=1","")</f>
        <v/>
      </c>
      <c r="T421" s="4" t="str">
        <f>HYPERLINK("http://141.218.60.56/~jnz1568/getInfo.php?workbook=08_02.xlsx&amp;sheet=A0&amp;row=421&amp;col=20&amp;number=&amp;sourceID=1","")</f>
        <v/>
      </c>
    </row>
    <row r="422" spans="1:20">
      <c r="A422" s="3">
        <v>8</v>
      </c>
      <c r="B422" s="3">
        <v>2</v>
      </c>
      <c r="C422" s="3">
        <v>32</v>
      </c>
      <c r="D422" s="3">
        <v>20</v>
      </c>
      <c r="E422" s="3">
        <f>((1/(INDEX(E0!J$4:J$52,C422,1)-INDEX(E0!J$4:J$52,D422,1))))*100000000</f>
        <v>0</v>
      </c>
      <c r="F422" s="4" t="str">
        <f>HYPERLINK("http://141.218.60.56/~jnz1568/getInfo.php?workbook=08_02.xlsx&amp;sheet=A0&amp;row=422&amp;col=6&amp;number=&amp;sourceID=27","")</f>
        <v/>
      </c>
      <c r="G422" s="4" t="str">
        <f>HYPERLINK("http://141.218.60.56/~jnz1568/getInfo.php?workbook=08_02.xlsx&amp;sheet=A0&amp;row=422&amp;col=7&amp;number=&amp;sourceID=34","")</f>
        <v/>
      </c>
      <c r="H422" s="4" t="str">
        <f>HYPERLINK("http://141.218.60.56/~jnz1568/getInfo.php?workbook=08_02.xlsx&amp;sheet=A0&amp;row=422&amp;col=8&amp;number=&amp;sourceID=34","")</f>
        <v/>
      </c>
      <c r="I422" s="4" t="str">
        <f>HYPERLINK("http://141.218.60.56/~jnz1568/getInfo.php?workbook=08_02.xlsx&amp;sheet=A0&amp;row=422&amp;col=9&amp;number=&amp;sourceID=34","")</f>
        <v/>
      </c>
      <c r="J422" s="4" t="str">
        <f>HYPERLINK("http://141.218.60.56/~jnz1568/getInfo.php?workbook=08_02.xlsx&amp;sheet=A0&amp;row=422&amp;col=10&amp;number=&amp;sourceID=34","")</f>
        <v/>
      </c>
      <c r="K422" s="4" t="str">
        <f>HYPERLINK("http://141.218.60.56/~jnz1568/getInfo.php?workbook=08_02.xlsx&amp;sheet=A0&amp;row=422&amp;col=11&amp;number=676400000&amp;sourceID=30","676400000")</f>
        <v>676400000</v>
      </c>
      <c r="L422" s="4" t="str">
        <f>HYPERLINK("http://141.218.60.56/~jnz1568/getInfo.php?workbook=08_02.xlsx&amp;sheet=A0&amp;row=422&amp;col=12&amp;number=&amp;sourceID=30","")</f>
        <v/>
      </c>
      <c r="M422" s="4" t="str">
        <f>HYPERLINK("http://141.218.60.56/~jnz1568/getInfo.php?workbook=08_02.xlsx&amp;sheet=A0&amp;row=422&amp;col=13&amp;number=&amp;sourceID=30","")</f>
        <v/>
      </c>
      <c r="N422" s="4" t="str">
        <f>HYPERLINK("http://141.218.60.56/~jnz1568/getInfo.php?workbook=08_02.xlsx&amp;sheet=A0&amp;row=422&amp;col=14&amp;number=0.03415&amp;sourceID=30","0.03415")</f>
        <v>0.03415</v>
      </c>
      <c r="O422" s="4" t="str">
        <f>HYPERLINK("http://141.218.60.56/~jnz1568/getInfo.php?workbook=08_02.xlsx&amp;sheet=A0&amp;row=422&amp;col=15&amp;number=703000000&amp;sourceID=32","703000000")</f>
        <v>703000000</v>
      </c>
      <c r="P422" s="4" t="str">
        <f>HYPERLINK("http://141.218.60.56/~jnz1568/getInfo.php?workbook=08_02.xlsx&amp;sheet=A0&amp;row=422&amp;col=16&amp;number=&amp;sourceID=32","")</f>
        <v/>
      </c>
      <c r="Q422" s="4" t="str">
        <f>HYPERLINK("http://141.218.60.56/~jnz1568/getInfo.php?workbook=08_02.xlsx&amp;sheet=A0&amp;row=422&amp;col=17&amp;number=&amp;sourceID=32","")</f>
        <v/>
      </c>
      <c r="R422" s="4" t="str">
        <f>HYPERLINK("http://141.218.60.56/~jnz1568/getInfo.php?workbook=08_02.xlsx&amp;sheet=A0&amp;row=422&amp;col=18&amp;number=0.03554&amp;sourceID=32","0.03554")</f>
        <v>0.03554</v>
      </c>
      <c r="S422" s="4" t="str">
        <f>HYPERLINK("http://141.218.60.56/~jnz1568/getInfo.php?workbook=08_02.xlsx&amp;sheet=A0&amp;row=422&amp;col=19&amp;number=&amp;sourceID=1","")</f>
        <v/>
      </c>
      <c r="T422" s="4" t="str">
        <f>HYPERLINK("http://141.218.60.56/~jnz1568/getInfo.php?workbook=08_02.xlsx&amp;sheet=A0&amp;row=422&amp;col=20&amp;number=&amp;sourceID=1","")</f>
        <v/>
      </c>
    </row>
    <row r="423" spans="1:20">
      <c r="A423" s="3">
        <v>8</v>
      </c>
      <c r="B423" s="3">
        <v>2</v>
      </c>
      <c r="C423" s="3">
        <v>32</v>
      </c>
      <c r="D423" s="3">
        <v>21</v>
      </c>
      <c r="E423" s="3">
        <f>((1/(INDEX(E0!J$4:J$52,C423,1)-INDEX(E0!J$4:J$52,D423,1))))*100000000</f>
        <v>0</v>
      </c>
      <c r="F423" s="4" t="str">
        <f>HYPERLINK("http://141.218.60.56/~jnz1568/getInfo.php?workbook=08_02.xlsx&amp;sheet=A0&amp;row=423&amp;col=6&amp;number=&amp;sourceID=27","")</f>
        <v/>
      </c>
      <c r="G423" s="4" t="str">
        <f>HYPERLINK("http://141.218.60.56/~jnz1568/getInfo.php?workbook=08_02.xlsx&amp;sheet=A0&amp;row=423&amp;col=7&amp;number=&amp;sourceID=34","")</f>
        <v/>
      </c>
      <c r="H423" s="4" t="str">
        <f>HYPERLINK("http://141.218.60.56/~jnz1568/getInfo.php?workbook=08_02.xlsx&amp;sheet=A0&amp;row=423&amp;col=8&amp;number=&amp;sourceID=34","")</f>
        <v/>
      </c>
      <c r="I423" s="4" t="str">
        <f>HYPERLINK("http://141.218.60.56/~jnz1568/getInfo.php?workbook=08_02.xlsx&amp;sheet=A0&amp;row=423&amp;col=9&amp;number=&amp;sourceID=34","")</f>
        <v/>
      </c>
      <c r="J423" s="4" t="str">
        <f>HYPERLINK("http://141.218.60.56/~jnz1568/getInfo.php?workbook=08_02.xlsx&amp;sheet=A0&amp;row=423&amp;col=10&amp;number=&amp;sourceID=34","")</f>
        <v/>
      </c>
      <c r="K423" s="4" t="str">
        <f>HYPERLINK("http://141.218.60.56/~jnz1568/getInfo.php?workbook=08_02.xlsx&amp;sheet=A0&amp;row=423&amp;col=11&amp;number=1130000000&amp;sourceID=30","1130000000")</f>
        <v>1130000000</v>
      </c>
      <c r="L423" s="4" t="str">
        <f>HYPERLINK("http://141.218.60.56/~jnz1568/getInfo.php?workbook=08_02.xlsx&amp;sheet=A0&amp;row=423&amp;col=12&amp;number=&amp;sourceID=30","")</f>
        <v/>
      </c>
      <c r="M423" s="4" t="str">
        <f>HYPERLINK("http://141.218.60.56/~jnz1568/getInfo.php?workbook=08_02.xlsx&amp;sheet=A0&amp;row=423&amp;col=13&amp;number=&amp;sourceID=30","")</f>
        <v/>
      </c>
      <c r="N423" s="4" t="str">
        <f>HYPERLINK("http://141.218.60.56/~jnz1568/getInfo.php?workbook=08_02.xlsx&amp;sheet=A0&amp;row=423&amp;col=14&amp;number=0.1066&amp;sourceID=30","0.1066")</f>
        <v>0.1066</v>
      </c>
      <c r="O423" s="4" t="str">
        <f>HYPERLINK("http://141.218.60.56/~jnz1568/getInfo.php?workbook=08_02.xlsx&amp;sheet=A0&amp;row=423&amp;col=15&amp;number=1175000000&amp;sourceID=32","1175000000")</f>
        <v>1175000000</v>
      </c>
      <c r="P423" s="4" t="str">
        <f>HYPERLINK("http://141.218.60.56/~jnz1568/getInfo.php?workbook=08_02.xlsx&amp;sheet=A0&amp;row=423&amp;col=16&amp;number=&amp;sourceID=32","")</f>
        <v/>
      </c>
      <c r="Q423" s="4" t="str">
        <f>HYPERLINK("http://141.218.60.56/~jnz1568/getInfo.php?workbook=08_02.xlsx&amp;sheet=A0&amp;row=423&amp;col=17&amp;number=&amp;sourceID=32","")</f>
        <v/>
      </c>
      <c r="R423" s="4" t="str">
        <f>HYPERLINK("http://141.218.60.56/~jnz1568/getInfo.php?workbook=08_02.xlsx&amp;sheet=A0&amp;row=423&amp;col=18&amp;number=0.1109&amp;sourceID=32","0.1109")</f>
        <v>0.1109</v>
      </c>
      <c r="S423" s="4" t="str">
        <f>HYPERLINK("http://141.218.60.56/~jnz1568/getInfo.php?workbook=08_02.xlsx&amp;sheet=A0&amp;row=423&amp;col=19&amp;number=&amp;sourceID=1","")</f>
        <v/>
      </c>
      <c r="T423" s="4" t="str">
        <f>HYPERLINK("http://141.218.60.56/~jnz1568/getInfo.php?workbook=08_02.xlsx&amp;sheet=A0&amp;row=423&amp;col=20&amp;number=&amp;sourceID=1","")</f>
        <v/>
      </c>
    </row>
    <row r="424" spans="1:20">
      <c r="A424" s="3">
        <v>8</v>
      </c>
      <c r="B424" s="3">
        <v>2</v>
      </c>
      <c r="C424" s="3">
        <v>32</v>
      </c>
      <c r="D424" s="3">
        <v>22</v>
      </c>
      <c r="E424" s="3">
        <f>((1/(INDEX(E0!J$4:J$52,C424,1)-INDEX(E0!J$4:J$52,D424,1))))*100000000</f>
        <v>0</v>
      </c>
      <c r="F424" s="4" t="str">
        <f>HYPERLINK("http://141.218.60.56/~jnz1568/getInfo.php?workbook=08_02.xlsx&amp;sheet=A0&amp;row=424&amp;col=6&amp;number=&amp;sourceID=27","")</f>
        <v/>
      </c>
      <c r="G424" s="4" t="str">
        <f>HYPERLINK("http://141.218.60.56/~jnz1568/getInfo.php?workbook=08_02.xlsx&amp;sheet=A0&amp;row=424&amp;col=7&amp;number=&amp;sourceID=34","")</f>
        <v/>
      </c>
      <c r="H424" s="4" t="str">
        <f>HYPERLINK("http://141.218.60.56/~jnz1568/getInfo.php?workbook=08_02.xlsx&amp;sheet=A0&amp;row=424&amp;col=8&amp;number=&amp;sourceID=34","")</f>
        <v/>
      </c>
      <c r="I424" s="4" t="str">
        <f>HYPERLINK("http://141.218.60.56/~jnz1568/getInfo.php?workbook=08_02.xlsx&amp;sheet=A0&amp;row=424&amp;col=9&amp;number=&amp;sourceID=34","")</f>
        <v/>
      </c>
      <c r="J424" s="4" t="str">
        <f>HYPERLINK("http://141.218.60.56/~jnz1568/getInfo.php?workbook=08_02.xlsx&amp;sheet=A0&amp;row=424&amp;col=10&amp;number=&amp;sourceID=34","")</f>
        <v/>
      </c>
      <c r="K424" s="4" t="str">
        <f>HYPERLINK("http://141.218.60.56/~jnz1568/getInfo.php?workbook=08_02.xlsx&amp;sheet=A0&amp;row=424&amp;col=11&amp;number=&amp;sourceID=30","")</f>
        <v/>
      </c>
      <c r="L424" s="4" t="str">
        <f>HYPERLINK("http://141.218.60.56/~jnz1568/getInfo.php?workbook=08_02.xlsx&amp;sheet=A0&amp;row=424&amp;col=12&amp;number=&amp;sourceID=30","")</f>
        <v/>
      </c>
      <c r="M424" s="4" t="str">
        <f>HYPERLINK("http://141.218.60.56/~jnz1568/getInfo.php?workbook=08_02.xlsx&amp;sheet=A0&amp;row=424&amp;col=13&amp;number=0.0003703&amp;sourceID=30","0.0003703")</f>
        <v>0.0003703</v>
      </c>
      <c r="N424" s="4" t="str">
        <f>HYPERLINK("http://141.218.60.56/~jnz1568/getInfo.php?workbook=08_02.xlsx&amp;sheet=A0&amp;row=424&amp;col=14&amp;number=&amp;sourceID=30","")</f>
        <v/>
      </c>
      <c r="O424" s="4" t="str">
        <f>HYPERLINK("http://141.218.60.56/~jnz1568/getInfo.php?workbook=08_02.xlsx&amp;sheet=A0&amp;row=424&amp;col=15&amp;number=&amp;sourceID=32","")</f>
        <v/>
      </c>
      <c r="P424" s="4" t="str">
        <f>HYPERLINK("http://141.218.60.56/~jnz1568/getInfo.php?workbook=08_02.xlsx&amp;sheet=A0&amp;row=424&amp;col=16&amp;number=&amp;sourceID=32","")</f>
        <v/>
      </c>
      <c r="Q424" s="4" t="str">
        <f>HYPERLINK("http://141.218.60.56/~jnz1568/getInfo.php?workbook=08_02.xlsx&amp;sheet=A0&amp;row=424&amp;col=17&amp;number=0.0003233&amp;sourceID=32","0.0003233")</f>
        <v>0.0003233</v>
      </c>
      <c r="R424" s="4" t="str">
        <f>HYPERLINK("http://141.218.60.56/~jnz1568/getInfo.php?workbook=08_02.xlsx&amp;sheet=A0&amp;row=424&amp;col=18&amp;number=&amp;sourceID=32","")</f>
        <v/>
      </c>
      <c r="S424" s="4" t="str">
        <f>HYPERLINK("http://141.218.60.56/~jnz1568/getInfo.php?workbook=08_02.xlsx&amp;sheet=A0&amp;row=424&amp;col=19&amp;number=&amp;sourceID=1","")</f>
        <v/>
      </c>
      <c r="T424" s="4" t="str">
        <f>HYPERLINK("http://141.218.60.56/~jnz1568/getInfo.php?workbook=08_02.xlsx&amp;sheet=A0&amp;row=424&amp;col=20&amp;number=&amp;sourceID=1","")</f>
        <v/>
      </c>
    </row>
    <row r="425" spans="1:20">
      <c r="A425" s="3">
        <v>8</v>
      </c>
      <c r="B425" s="3">
        <v>2</v>
      </c>
      <c r="C425" s="3">
        <v>32</v>
      </c>
      <c r="D425" s="3">
        <v>23</v>
      </c>
      <c r="E425" s="3">
        <f>((1/(INDEX(E0!J$4:J$52,C425,1)-INDEX(E0!J$4:J$52,D425,1))))*100000000</f>
        <v>0</v>
      </c>
      <c r="F425" s="4" t="str">
        <f>HYPERLINK("http://141.218.60.56/~jnz1568/getInfo.php?workbook=08_02.xlsx&amp;sheet=A0&amp;row=425&amp;col=6&amp;number=&amp;sourceID=27","")</f>
        <v/>
      </c>
      <c r="G425" s="4" t="str">
        <f>HYPERLINK("http://141.218.60.56/~jnz1568/getInfo.php?workbook=08_02.xlsx&amp;sheet=A0&amp;row=425&amp;col=7&amp;number=&amp;sourceID=34","")</f>
        <v/>
      </c>
      <c r="H425" s="4" t="str">
        <f>HYPERLINK("http://141.218.60.56/~jnz1568/getInfo.php?workbook=08_02.xlsx&amp;sheet=A0&amp;row=425&amp;col=8&amp;number=&amp;sourceID=34","")</f>
        <v/>
      </c>
      <c r="I425" s="4" t="str">
        <f>HYPERLINK("http://141.218.60.56/~jnz1568/getInfo.php?workbook=08_02.xlsx&amp;sheet=A0&amp;row=425&amp;col=9&amp;number=&amp;sourceID=34","")</f>
        <v/>
      </c>
      <c r="J425" s="4" t="str">
        <f>HYPERLINK("http://141.218.60.56/~jnz1568/getInfo.php?workbook=08_02.xlsx&amp;sheet=A0&amp;row=425&amp;col=10&amp;number=&amp;sourceID=34","")</f>
        <v/>
      </c>
      <c r="K425" s="4" t="str">
        <f>HYPERLINK("http://141.218.60.56/~jnz1568/getInfo.php?workbook=08_02.xlsx&amp;sheet=A0&amp;row=425&amp;col=11&amp;number=&amp;sourceID=30","")</f>
        <v/>
      </c>
      <c r="L425" s="4" t="str">
        <f>HYPERLINK("http://141.218.60.56/~jnz1568/getInfo.php?workbook=08_02.xlsx&amp;sheet=A0&amp;row=425&amp;col=12&amp;number=8449&amp;sourceID=30","8449")</f>
        <v>8449</v>
      </c>
      <c r="M425" s="4" t="str">
        <f>HYPERLINK("http://141.218.60.56/~jnz1568/getInfo.php?workbook=08_02.xlsx&amp;sheet=A0&amp;row=425&amp;col=13&amp;number=2.24e-05&amp;sourceID=30","2.24e-05")</f>
        <v>2.24e-05</v>
      </c>
      <c r="N425" s="4" t="str">
        <f>HYPERLINK("http://141.218.60.56/~jnz1568/getInfo.php?workbook=08_02.xlsx&amp;sheet=A0&amp;row=425&amp;col=14&amp;number=&amp;sourceID=30","")</f>
        <v/>
      </c>
      <c r="O425" s="4" t="str">
        <f>HYPERLINK("http://141.218.60.56/~jnz1568/getInfo.php?workbook=08_02.xlsx&amp;sheet=A0&amp;row=425&amp;col=15&amp;number=&amp;sourceID=32","")</f>
        <v/>
      </c>
      <c r="P425" s="4" t="str">
        <f>HYPERLINK("http://141.218.60.56/~jnz1568/getInfo.php?workbook=08_02.xlsx&amp;sheet=A0&amp;row=425&amp;col=16&amp;number=8531&amp;sourceID=32","8531")</f>
        <v>8531</v>
      </c>
      <c r="Q425" s="4" t="str">
        <f>HYPERLINK("http://141.218.60.56/~jnz1568/getInfo.php?workbook=08_02.xlsx&amp;sheet=A0&amp;row=425&amp;col=17&amp;number=2.409e-05&amp;sourceID=32","2.409e-05")</f>
        <v>2.409e-05</v>
      </c>
      <c r="R425" s="4" t="str">
        <f>HYPERLINK("http://141.218.60.56/~jnz1568/getInfo.php?workbook=08_02.xlsx&amp;sheet=A0&amp;row=425&amp;col=18&amp;number=&amp;sourceID=32","")</f>
        <v/>
      </c>
      <c r="S425" s="4" t="str">
        <f>HYPERLINK("http://141.218.60.56/~jnz1568/getInfo.php?workbook=08_02.xlsx&amp;sheet=A0&amp;row=425&amp;col=19&amp;number=&amp;sourceID=1","")</f>
        <v/>
      </c>
      <c r="T425" s="4" t="str">
        <f>HYPERLINK("http://141.218.60.56/~jnz1568/getInfo.php?workbook=08_02.xlsx&amp;sheet=A0&amp;row=425&amp;col=20&amp;number=&amp;sourceID=1","")</f>
        <v/>
      </c>
    </row>
    <row r="426" spans="1:20">
      <c r="A426" s="3">
        <v>8</v>
      </c>
      <c r="B426" s="3">
        <v>2</v>
      </c>
      <c r="C426" s="3">
        <v>32</v>
      </c>
      <c r="D426" s="3">
        <v>24</v>
      </c>
      <c r="E426" s="3">
        <f>((1/(INDEX(E0!J$4:J$52,C426,1)-INDEX(E0!J$4:J$52,D426,1))))*100000000</f>
        <v>0</v>
      </c>
      <c r="F426" s="4" t="str">
        <f>HYPERLINK("http://141.218.60.56/~jnz1568/getInfo.php?workbook=08_02.xlsx&amp;sheet=A0&amp;row=426&amp;col=6&amp;number=&amp;sourceID=27","")</f>
        <v/>
      </c>
      <c r="G426" s="4" t="str">
        <f>HYPERLINK("http://141.218.60.56/~jnz1568/getInfo.php?workbook=08_02.xlsx&amp;sheet=A0&amp;row=426&amp;col=7&amp;number=&amp;sourceID=34","")</f>
        <v/>
      </c>
      <c r="H426" s="4" t="str">
        <f>HYPERLINK("http://141.218.60.56/~jnz1568/getInfo.php?workbook=08_02.xlsx&amp;sheet=A0&amp;row=426&amp;col=8&amp;number=&amp;sourceID=34","")</f>
        <v/>
      </c>
      <c r="I426" s="4" t="str">
        <f>HYPERLINK("http://141.218.60.56/~jnz1568/getInfo.php?workbook=08_02.xlsx&amp;sheet=A0&amp;row=426&amp;col=9&amp;number=&amp;sourceID=34","")</f>
        <v/>
      </c>
      <c r="J426" s="4" t="str">
        <f>HYPERLINK("http://141.218.60.56/~jnz1568/getInfo.php?workbook=08_02.xlsx&amp;sheet=A0&amp;row=426&amp;col=10&amp;number=&amp;sourceID=34","")</f>
        <v/>
      </c>
      <c r="K426" s="4" t="str">
        <f>HYPERLINK("http://141.218.60.56/~jnz1568/getInfo.php?workbook=08_02.xlsx&amp;sheet=A0&amp;row=426&amp;col=11&amp;number=&amp;sourceID=30","")</f>
        <v/>
      </c>
      <c r="L426" s="4" t="str">
        <f>HYPERLINK("http://141.218.60.56/~jnz1568/getInfo.php?workbook=08_02.xlsx&amp;sheet=A0&amp;row=426&amp;col=12&amp;number=13960&amp;sourceID=30","13960")</f>
        <v>13960</v>
      </c>
      <c r="M426" s="4" t="str">
        <f>HYPERLINK("http://141.218.60.56/~jnz1568/getInfo.php?workbook=08_02.xlsx&amp;sheet=A0&amp;row=426&amp;col=13&amp;number=4.987e-06&amp;sourceID=30","4.987e-06")</f>
        <v>4.987e-06</v>
      </c>
      <c r="N426" s="4" t="str">
        <f>HYPERLINK("http://141.218.60.56/~jnz1568/getInfo.php?workbook=08_02.xlsx&amp;sheet=A0&amp;row=426&amp;col=14&amp;number=&amp;sourceID=30","")</f>
        <v/>
      </c>
      <c r="O426" s="4" t="str">
        <f>HYPERLINK("http://141.218.60.56/~jnz1568/getInfo.php?workbook=08_02.xlsx&amp;sheet=A0&amp;row=426&amp;col=15&amp;number=&amp;sourceID=32","")</f>
        <v/>
      </c>
      <c r="P426" s="4" t="str">
        <f>HYPERLINK("http://141.218.60.56/~jnz1568/getInfo.php?workbook=08_02.xlsx&amp;sheet=A0&amp;row=426&amp;col=16&amp;number=14070&amp;sourceID=32","14070")</f>
        <v>14070</v>
      </c>
      <c r="Q426" s="4" t="str">
        <f>HYPERLINK("http://141.218.60.56/~jnz1568/getInfo.php?workbook=08_02.xlsx&amp;sheet=A0&amp;row=426&amp;col=17&amp;number=4.857e-06&amp;sourceID=32","4.857e-06")</f>
        <v>4.857e-06</v>
      </c>
      <c r="R426" s="4" t="str">
        <f>HYPERLINK("http://141.218.60.56/~jnz1568/getInfo.php?workbook=08_02.xlsx&amp;sheet=A0&amp;row=426&amp;col=18&amp;number=&amp;sourceID=32","")</f>
        <v/>
      </c>
      <c r="S426" s="4" t="str">
        <f>HYPERLINK("http://141.218.60.56/~jnz1568/getInfo.php?workbook=08_02.xlsx&amp;sheet=A0&amp;row=426&amp;col=19&amp;number=&amp;sourceID=1","")</f>
        <v/>
      </c>
      <c r="T426" s="4" t="str">
        <f>HYPERLINK("http://141.218.60.56/~jnz1568/getInfo.php?workbook=08_02.xlsx&amp;sheet=A0&amp;row=426&amp;col=20&amp;number=&amp;sourceID=1","")</f>
        <v/>
      </c>
    </row>
    <row r="427" spans="1:20">
      <c r="A427" s="3">
        <v>8</v>
      </c>
      <c r="B427" s="3">
        <v>2</v>
      </c>
      <c r="C427" s="3">
        <v>32</v>
      </c>
      <c r="D427" s="3">
        <v>26</v>
      </c>
      <c r="E427" s="3">
        <f>((1/(INDEX(E0!J$4:J$52,C427,1)-INDEX(E0!J$4:J$52,D427,1))))*100000000</f>
        <v>0</v>
      </c>
      <c r="F427" s="4" t="str">
        <f>HYPERLINK("http://141.218.60.56/~jnz1568/getInfo.php?workbook=08_02.xlsx&amp;sheet=A0&amp;row=427&amp;col=6&amp;number=&amp;sourceID=27","")</f>
        <v/>
      </c>
      <c r="G427" s="4" t="str">
        <f>HYPERLINK("http://141.218.60.56/~jnz1568/getInfo.php?workbook=08_02.xlsx&amp;sheet=A0&amp;row=427&amp;col=7&amp;number=&amp;sourceID=34","")</f>
        <v/>
      </c>
      <c r="H427" s="4" t="str">
        <f>HYPERLINK("http://141.218.60.56/~jnz1568/getInfo.php?workbook=08_02.xlsx&amp;sheet=A0&amp;row=427&amp;col=8&amp;number=&amp;sourceID=34","")</f>
        <v/>
      </c>
      <c r="I427" s="4" t="str">
        <f>HYPERLINK("http://141.218.60.56/~jnz1568/getInfo.php?workbook=08_02.xlsx&amp;sheet=A0&amp;row=427&amp;col=9&amp;number=&amp;sourceID=34","")</f>
        <v/>
      </c>
      <c r="J427" s="4" t="str">
        <f>HYPERLINK("http://141.218.60.56/~jnz1568/getInfo.php?workbook=08_02.xlsx&amp;sheet=A0&amp;row=427&amp;col=10&amp;number=&amp;sourceID=34","")</f>
        <v/>
      </c>
      <c r="K427" s="4" t="str">
        <f>HYPERLINK("http://141.218.60.56/~jnz1568/getInfo.php?workbook=08_02.xlsx&amp;sheet=A0&amp;row=427&amp;col=11&amp;number=&amp;sourceID=30","")</f>
        <v/>
      </c>
      <c r="L427" s="4" t="str">
        <f>HYPERLINK("http://141.218.60.56/~jnz1568/getInfo.php?workbook=08_02.xlsx&amp;sheet=A0&amp;row=427&amp;col=12&amp;number=19700&amp;sourceID=30","19700")</f>
        <v>19700</v>
      </c>
      <c r="M427" s="4" t="str">
        <f>HYPERLINK("http://141.218.60.56/~jnz1568/getInfo.php?workbook=08_02.xlsx&amp;sheet=A0&amp;row=427&amp;col=13&amp;number=&amp;sourceID=30","")</f>
        <v/>
      </c>
      <c r="N427" s="4" t="str">
        <f>HYPERLINK("http://141.218.60.56/~jnz1568/getInfo.php?workbook=08_02.xlsx&amp;sheet=A0&amp;row=427&amp;col=14&amp;number=&amp;sourceID=30","")</f>
        <v/>
      </c>
      <c r="O427" s="4" t="str">
        <f>HYPERLINK("http://141.218.60.56/~jnz1568/getInfo.php?workbook=08_02.xlsx&amp;sheet=A0&amp;row=427&amp;col=15&amp;number=&amp;sourceID=32","")</f>
        <v/>
      </c>
      <c r="P427" s="4" t="str">
        <f>HYPERLINK("http://141.218.60.56/~jnz1568/getInfo.php?workbook=08_02.xlsx&amp;sheet=A0&amp;row=427&amp;col=16&amp;number=19900&amp;sourceID=32","19900")</f>
        <v>19900</v>
      </c>
      <c r="Q427" s="4" t="str">
        <f>HYPERLINK("http://141.218.60.56/~jnz1568/getInfo.php?workbook=08_02.xlsx&amp;sheet=A0&amp;row=427&amp;col=17&amp;number=&amp;sourceID=32","")</f>
        <v/>
      </c>
      <c r="R427" s="4" t="str">
        <f>HYPERLINK("http://141.218.60.56/~jnz1568/getInfo.php?workbook=08_02.xlsx&amp;sheet=A0&amp;row=427&amp;col=18&amp;number=&amp;sourceID=32","")</f>
        <v/>
      </c>
      <c r="S427" s="4" t="str">
        <f>HYPERLINK("http://141.218.60.56/~jnz1568/getInfo.php?workbook=08_02.xlsx&amp;sheet=A0&amp;row=427&amp;col=19&amp;number=&amp;sourceID=1","")</f>
        <v/>
      </c>
      <c r="T427" s="4" t="str">
        <f>HYPERLINK("http://141.218.60.56/~jnz1568/getInfo.php?workbook=08_02.xlsx&amp;sheet=A0&amp;row=427&amp;col=20&amp;number=&amp;sourceID=1","")</f>
        <v/>
      </c>
    </row>
    <row r="428" spans="1:20">
      <c r="A428" s="3">
        <v>8</v>
      </c>
      <c r="B428" s="3">
        <v>2</v>
      </c>
      <c r="C428" s="3">
        <v>32</v>
      </c>
      <c r="D428" s="3">
        <v>27</v>
      </c>
      <c r="E428" s="3">
        <f>((1/(INDEX(E0!J$4:J$52,C428,1)-INDEX(E0!J$4:J$52,D428,1))))*100000000</f>
        <v>0</v>
      </c>
      <c r="F428" s="4" t="str">
        <f>HYPERLINK("http://141.218.60.56/~jnz1568/getInfo.php?workbook=08_02.xlsx&amp;sheet=A0&amp;row=428&amp;col=6&amp;number=&amp;sourceID=27","")</f>
        <v/>
      </c>
      <c r="G428" s="4" t="str">
        <f>HYPERLINK("http://141.218.60.56/~jnz1568/getInfo.php?workbook=08_02.xlsx&amp;sheet=A0&amp;row=428&amp;col=7&amp;number=&amp;sourceID=34","")</f>
        <v/>
      </c>
      <c r="H428" s="4" t="str">
        <f>HYPERLINK("http://141.218.60.56/~jnz1568/getInfo.php?workbook=08_02.xlsx&amp;sheet=A0&amp;row=428&amp;col=8&amp;number=&amp;sourceID=34","")</f>
        <v/>
      </c>
      <c r="I428" s="4" t="str">
        <f>HYPERLINK("http://141.218.60.56/~jnz1568/getInfo.php?workbook=08_02.xlsx&amp;sheet=A0&amp;row=428&amp;col=9&amp;number=&amp;sourceID=34","")</f>
        <v/>
      </c>
      <c r="J428" s="4" t="str">
        <f>HYPERLINK("http://141.218.60.56/~jnz1568/getInfo.php?workbook=08_02.xlsx&amp;sheet=A0&amp;row=428&amp;col=10&amp;number=&amp;sourceID=34","")</f>
        <v/>
      </c>
      <c r="K428" s="4" t="str">
        <f>HYPERLINK("http://141.218.60.56/~jnz1568/getInfo.php?workbook=08_02.xlsx&amp;sheet=A0&amp;row=428&amp;col=11&amp;number=&amp;sourceID=30","")</f>
        <v/>
      </c>
      <c r="L428" s="4" t="str">
        <f>HYPERLINK("http://141.218.60.56/~jnz1568/getInfo.php?workbook=08_02.xlsx&amp;sheet=A0&amp;row=428&amp;col=12&amp;number=&amp;sourceID=30","")</f>
        <v/>
      </c>
      <c r="M428" s="4" t="str">
        <f>HYPERLINK("http://141.218.60.56/~jnz1568/getInfo.php?workbook=08_02.xlsx&amp;sheet=A0&amp;row=428&amp;col=13&amp;number=&amp;sourceID=30","")</f>
        <v/>
      </c>
      <c r="N428" s="4" t="str">
        <f>HYPERLINK("http://141.218.60.56/~jnz1568/getInfo.php?workbook=08_02.xlsx&amp;sheet=A0&amp;row=428&amp;col=14&amp;number=4.429e-11&amp;sourceID=30","4.429e-11")</f>
        <v>4.429e-11</v>
      </c>
      <c r="O428" s="4" t="str">
        <f>HYPERLINK("http://141.218.60.56/~jnz1568/getInfo.php?workbook=08_02.xlsx&amp;sheet=A0&amp;row=428&amp;col=15&amp;number=&amp;sourceID=32","")</f>
        <v/>
      </c>
      <c r="P428" s="4" t="str">
        <f>HYPERLINK("http://141.218.60.56/~jnz1568/getInfo.php?workbook=08_02.xlsx&amp;sheet=A0&amp;row=428&amp;col=16&amp;number=&amp;sourceID=32","")</f>
        <v/>
      </c>
      <c r="Q428" s="4" t="str">
        <f>HYPERLINK("http://141.218.60.56/~jnz1568/getInfo.php?workbook=08_02.xlsx&amp;sheet=A0&amp;row=428&amp;col=17&amp;number=&amp;sourceID=32","")</f>
        <v/>
      </c>
      <c r="R428" s="4" t="str">
        <f>HYPERLINK("http://141.218.60.56/~jnz1568/getInfo.php?workbook=08_02.xlsx&amp;sheet=A0&amp;row=428&amp;col=18&amp;number=5.052e-11&amp;sourceID=32","5.052e-11")</f>
        <v>5.052e-11</v>
      </c>
      <c r="S428" s="4" t="str">
        <f>HYPERLINK("http://141.218.60.56/~jnz1568/getInfo.php?workbook=08_02.xlsx&amp;sheet=A0&amp;row=428&amp;col=19&amp;number=&amp;sourceID=1","")</f>
        <v/>
      </c>
      <c r="T428" s="4" t="str">
        <f>HYPERLINK("http://141.218.60.56/~jnz1568/getInfo.php?workbook=08_02.xlsx&amp;sheet=A0&amp;row=428&amp;col=20&amp;number=&amp;sourceID=1","")</f>
        <v/>
      </c>
    </row>
    <row r="429" spans="1:20">
      <c r="A429" s="3">
        <v>8</v>
      </c>
      <c r="B429" s="3">
        <v>2</v>
      </c>
      <c r="C429" s="3">
        <v>32</v>
      </c>
      <c r="D429" s="3">
        <v>28</v>
      </c>
      <c r="E429" s="3">
        <f>((1/(INDEX(E0!J$4:J$52,C429,1)-INDEX(E0!J$4:J$52,D429,1))))*100000000</f>
        <v>0</v>
      </c>
      <c r="F429" s="4" t="str">
        <f>HYPERLINK("http://141.218.60.56/~jnz1568/getInfo.php?workbook=08_02.xlsx&amp;sheet=A0&amp;row=429&amp;col=6&amp;number=&amp;sourceID=27","")</f>
        <v/>
      </c>
      <c r="G429" s="4" t="str">
        <f>HYPERLINK("http://141.218.60.56/~jnz1568/getInfo.php?workbook=08_02.xlsx&amp;sheet=A0&amp;row=429&amp;col=7&amp;number=&amp;sourceID=34","")</f>
        <v/>
      </c>
      <c r="H429" s="4" t="str">
        <f>HYPERLINK("http://141.218.60.56/~jnz1568/getInfo.php?workbook=08_02.xlsx&amp;sheet=A0&amp;row=429&amp;col=8&amp;number=&amp;sourceID=34","")</f>
        <v/>
      </c>
      <c r="I429" s="4" t="str">
        <f>HYPERLINK("http://141.218.60.56/~jnz1568/getInfo.php?workbook=08_02.xlsx&amp;sheet=A0&amp;row=429&amp;col=9&amp;number=&amp;sourceID=34","")</f>
        <v/>
      </c>
      <c r="J429" s="4" t="str">
        <f>HYPERLINK("http://141.218.60.56/~jnz1568/getInfo.php?workbook=08_02.xlsx&amp;sheet=A0&amp;row=429&amp;col=10&amp;number=&amp;sourceID=34","")</f>
        <v/>
      </c>
      <c r="K429" s="4" t="str">
        <f>HYPERLINK("http://141.218.60.56/~jnz1568/getInfo.php?workbook=08_02.xlsx&amp;sheet=A0&amp;row=429&amp;col=11&amp;number=2.057&amp;sourceID=30","2.057")</f>
        <v>2.057</v>
      </c>
      <c r="L429" s="4" t="str">
        <f>HYPERLINK("http://141.218.60.56/~jnz1568/getInfo.php?workbook=08_02.xlsx&amp;sheet=A0&amp;row=429&amp;col=12&amp;number=&amp;sourceID=30","")</f>
        <v/>
      </c>
      <c r="M429" s="4" t="str">
        <f>HYPERLINK("http://141.218.60.56/~jnz1568/getInfo.php?workbook=08_02.xlsx&amp;sheet=A0&amp;row=429&amp;col=13&amp;number=&amp;sourceID=30","")</f>
        <v/>
      </c>
      <c r="N429" s="4" t="str">
        <f>HYPERLINK("http://141.218.60.56/~jnz1568/getInfo.php?workbook=08_02.xlsx&amp;sheet=A0&amp;row=429&amp;col=14&amp;number=5.817e-12&amp;sourceID=30","5.817e-12")</f>
        <v>5.817e-12</v>
      </c>
      <c r="O429" s="4" t="str">
        <f>HYPERLINK("http://141.218.60.56/~jnz1568/getInfo.php?workbook=08_02.xlsx&amp;sheet=A0&amp;row=429&amp;col=15&amp;number=2.495&amp;sourceID=32","2.495")</f>
        <v>2.495</v>
      </c>
      <c r="P429" s="4" t="str">
        <f>HYPERLINK("http://141.218.60.56/~jnz1568/getInfo.php?workbook=08_02.xlsx&amp;sheet=A0&amp;row=429&amp;col=16&amp;number=&amp;sourceID=32","")</f>
        <v/>
      </c>
      <c r="Q429" s="4" t="str">
        <f>HYPERLINK("http://141.218.60.56/~jnz1568/getInfo.php?workbook=08_02.xlsx&amp;sheet=A0&amp;row=429&amp;col=17&amp;number=&amp;sourceID=32","")</f>
        <v/>
      </c>
      <c r="R429" s="4" t="str">
        <f>HYPERLINK("http://141.218.60.56/~jnz1568/getInfo.php?workbook=08_02.xlsx&amp;sheet=A0&amp;row=429&amp;col=18&amp;number=1.041e-11&amp;sourceID=32","1.041e-11")</f>
        <v>1.041e-11</v>
      </c>
      <c r="S429" s="4" t="str">
        <f>HYPERLINK("http://141.218.60.56/~jnz1568/getInfo.php?workbook=08_02.xlsx&amp;sheet=A0&amp;row=429&amp;col=19&amp;number=&amp;sourceID=1","")</f>
        <v/>
      </c>
      <c r="T429" s="4" t="str">
        <f>HYPERLINK("http://141.218.60.56/~jnz1568/getInfo.php?workbook=08_02.xlsx&amp;sheet=A0&amp;row=429&amp;col=20&amp;number=&amp;sourceID=1","")</f>
        <v/>
      </c>
    </row>
    <row r="430" spans="1:20">
      <c r="A430" s="3">
        <v>8</v>
      </c>
      <c r="B430" s="3">
        <v>2</v>
      </c>
      <c r="C430" s="3">
        <v>32</v>
      </c>
      <c r="D430" s="3">
        <v>29</v>
      </c>
      <c r="E430" s="3">
        <f>((1/(INDEX(E0!J$4:J$52,C430,1)-INDEX(E0!J$4:J$52,D430,1))))*100000000</f>
        <v>0</v>
      </c>
      <c r="F430" s="4" t="str">
        <f>HYPERLINK("http://141.218.60.56/~jnz1568/getInfo.php?workbook=08_02.xlsx&amp;sheet=A0&amp;row=430&amp;col=6&amp;number=&amp;sourceID=27","")</f>
        <v/>
      </c>
      <c r="G430" s="4" t="str">
        <f>HYPERLINK("http://141.218.60.56/~jnz1568/getInfo.php?workbook=08_02.xlsx&amp;sheet=A0&amp;row=430&amp;col=7&amp;number=&amp;sourceID=34","")</f>
        <v/>
      </c>
      <c r="H430" s="4" t="str">
        <f>HYPERLINK("http://141.218.60.56/~jnz1568/getInfo.php?workbook=08_02.xlsx&amp;sheet=A0&amp;row=430&amp;col=8&amp;number=&amp;sourceID=34","")</f>
        <v/>
      </c>
      <c r="I430" s="4" t="str">
        <f>HYPERLINK("http://141.218.60.56/~jnz1568/getInfo.php?workbook=08_02.xlsx&amp;sheet=A0&amp;row=430&amp;col=9&amp;number=&amp;sourceID=34","")</f>
        <v/>
      </c>
      <c r="J430" s="4" t="str">
        <f>HYPERLINK("http://141.218.60.56/~jnz1568/getInfo.php?workbook=08_02.xlsx&amp;sheet=A0&amp;row=430&amp;col=10&amp;number=&amp;sourceID=34","")</f>
        <v/>
      </c>
      <c r="K430" s="4" t="str">
        <f>HYPERLINK("http://141.218.60.56/~jnz1568/getInfo.php?workbook=08_02.xlsx&amp;sheet=A0&amp;row=430&amp;col=11&amp;number=&amp;sourceID=30","")</f>
        <v/>
      </c>
      <c r="L430" s="4" t="str">
        <f>HYPERLINK("http://141.218.60.56/~jnz1568/getInfo.php?workbook=08_02.xlsx&amp;sheet=A0&amp;row=430&amp;col=12&amp;number=109.6&amp;sourceID=30","109.6")</f>
        <v>109.6</v>
      </c>
      <c r="M430" s="4" t="str">
        <f>HYPERLINK("http://141.218.60.56/~jnz1568/getInfo.php?workbook=08_02.xlsx&amp;sheet=A0&amp;row=430&amp;col=13&amp;number=2.428e-07&amp;sourceID=30","2.428e-07")</f>
        <v>2.428e-07</v>
      </c>
      <c r="N430" s="4" t="str">
        <f>HYPERLINK("http://141.218.60.56/~jnz1568/getInfo.php?workbook=08_02.xlsx&amp;sheet=A0&amp;row=430&amp;col=14&amp;number=&amp;sourceID=30","")</f>
        <v/>
      </c>
      <c r="O430" s="4" t="str">
        <f>HYPERLINK("http://141.218.60.56/~jnz1568/getInfo.php?workbook=08_02.xlsx&amp;sheet=A0&amp;row=430&amp;col=15&amp;number=&amp;sourceID=32","")</f>
        <v/>
      </c>
      <c r="P430" s="4" t="str">
        <f>HYPERLINK("http://141.218.60.56/~jnz1568/getInfo.php?workbook=08_02.xlsx&amp;sheet=A0&amp;row=430&amp;col=16&amp;number=139&amp;sourceID=32","139")</f>
        <v>139</v>
      </c>
      <c r="Q430" s="4" t="str">
        <f>HYPERLINK("http://141.218.60.56/~jnz1568/getInfo.php?workbook=08_02.xlsx&amp;sheet=A0&amp;row=430&amp;col=17&amp;number=3.399e-07&amp;sourceID=32","3.399e-07")</f>
        <v>3.399e-07</v>
      </c>
      <c r="R430" s="4" t="str">
        <f>HYPERLINK("http://141.218.60.56/~jnz1568/getInfo.php?workbook=08_02.xlsx&amp;sheet=A0&amp;row=430&amp;col=18&amp;number=&amp;sourceID=32","")</f>
        <v/>
      </c>
      <c r="S430" s="4" t="str">
        <f>HYPERLINK("http://141.218.60.56/~jnz1568/getInfo.php?workbook=08_02.xlsx&amp;sheet=A0&amp;row=430&amp;col=19&amp;number=&amp;sourceID=1","")</f>
        <v/>
      </c>
      <c r="T430" s="4" t="str">
        <f>HYPERLINK("http://141.218.60.56/~jnz1568/getInfo.php?workbook=08_02.xlsx&amp;sheet=A0&amp;row=430&amp;col=20&amp;number=&amp;sourceID=1","")</f>
        <v/>
      </c>
    </row>
    <row r="431" spans="1:20">
      <c r="A431" s="3">
        <v>8</v>
      </c>
      <c r="B431" s="3">
        <v>2</v>
      </c>
      <c r="C431" s="3">
        <v>32</v>
      </c>
      <c r="D431" s="3">
        <v>30</v>
      </c>
      <c r="E431" s="3">
        <f>((1/(INDEX(E0!J$4:J$52,C431,1)-INDEX(E0!J$4:J$52,D431,1))))*100000000</f>
        <v>0</v>
      </c>
      <c r="F431" s="4" t="str">
        <f>HYPERLINK("http://141.218.60.56/~jnz1568/getInfo.php?workbook=08_02.xlsx&amp;sheet=A0&amp;row=431&amp;col=6&amp;number=&amp;sourceID=27","")</f>
        <v/>
      </c>
      <c r="G431" s="4" t="str">
        <f>HYPERLINK("http://141.218.60.56/~jnz1568/getInfo.php?workbook=08_02.xlsx&amp;sheet=A0&amp;row=431&amp;col=7&amp;number=&amp;sourceID=34","")</f>
        <v/>
      </c>
      <c r="H431" s="4" t="str">
        <f>HYPERLINK("http://141.218.60.56/~jnz1568/getInfo.php?workbook=08_02.xlsx&amp;sheet=A0&amp;row=431&amp;col=8&amp;number=&amp;sourceID=34","")</f>
        <v/>
      </c>
      <c r="I431" s="4" t="str">
        <f>HYPERLINK("http://141.218.60.56/~jnz1568/getInfo.php?workbook=08_02.xlsx&amp;sheet=A0&amp;row=431&amp;col=9&amp;number=&amp;sourceID=34","")</f>
        <v/>
      </c>
      <c r="J431" s="4" t="str">
        <f>HYPERLINK("http://141.218.60.56/~jnz1568/getInfo.php?workbook=08_02.xlsx&amp;sheet=A0&amp;row=431&amp;col=10&amp;number=&amp;sourceID=34","")</f>
        <v/>
      </c>
      <c r="K431" s="4" t="str">
        <f>HYPERLINK("http://141.218.60.56/~jnz1568/getInfo.php?workbook=08_02.xlsx&amp;sheet=A0&amp;row=431&amp;col=11&amp;number=&amp;sourceID=30","")</f>
        <v/>
      </c>
      <c r="L431" s="4" t="str">
        <f>HYPERLINK("http://141.218.60.56/~jnz1568/getInfo.php?workbook=08_02.xlsx&amp;sheet=A0&amp;row=431&amp;col=12&amp;number=&amp;sourceID=30","")</f>
        <v/>
      </c>
      <c r="M431" s="4" t="str">
        <f>HYPERLINK("http://141.218.60.56/~jnz1568/getInfo.php?workbook=08_02.xlsx&amp;sheet=A0&amp;row=431&amp;col=13&amp;number=&amp;sourceID=30","")</f>
        <v/>
      </c>
      <c r="N431" s="4" t="str">
        <f>HYPERLINK("http://141.218.60.56/~jnz1568/getInfo.php?workbook=08_02.xlsx&amp;sheet=A0&amp;row=431&amp;col=14&amp;number=4.254e-10&amp;sourceID=30","4.254e-10")</f>
        <v>4.254e-10</v>
      </c>
      <c r="O431" s="4" t="str">
        <f>HYPERLINK("http://141.218.60.56/~jnz1568/getInfo.php?workbook=08_02.xlsx&amp;sheet=A0&amp;row=431&amp;col=15&amp;number=&amp;sourceID=32","")</f>
        <v/>
      </c>
      <c r="P431" s="4" t="str">
        <f>HYPERLINK("http://141.218.60.56/~jnz1568/getInfo.php?workbook=08_02.xlsx&amp;sheet=A0&amp;row=431&amp;col=16&amp;number=&amp;sourceID=32","")</f>
        <v/>
      </c>
      <c r="Q431" s="4" t="str">
        <f>HYPERLINK("http://141.218.60.56/~jnz1568/getInfo.php?workbook=08_02.xlsx&amp;sheet=A0&amp;row=431&amp;col=17&amp;number=&amp;sourceID=32","")</f>
        <v/>
      </c>
      <c r="R431" s="4" t="str">
        <f>HYPERLINK("http://141.218.60.56/~jnz1568/getInfo.php?workbook=08_02.xlsx&amp;sheet=A0&amp;row=431&amp;col=18&amp;number=4.693e-10&amp;sourceID=32","4.693e-10")</f>
        <v>4.693e-10</v>
      </c>
      <c r="S431" s="4" t="str">
        <f>HYPERLINK("http://141.218.60.56/~jnz1568/getInfo.php?workbook=08_02.xlsx&amp;sheet=A0&amp;row=431&amp;col=19&amp;number=&amp;sourceID=1","")</f>
        <v/>
      </c>
      <c r="T431" s="4" t="str">
        <f>HYPERLINK("http://141.218.60.56/~jnz1568/getInfo.php?workbook=08_02.xlsx&amp;sheet=A0&amp;row=431&amp;col=20&amp;number=&amp;sourceID=1","")</f>
        <v/>
      </c>
    </row>
    <row r="432" spans="1:20">
      <c r="A432" s="3">
        <v>8</v>
      </c>
      <c r="B432" s="3">
        <v>2</v>
      </c>
      <c r="C432" s="3">
        <v>32</v>
      </c>
      <c r="D432" s="3">
        <v>31</v>
      </c>
      <c r="E432" s="3">
        <f>((1/(INDEX(E0!J$4:J$52,C432,1)-INDEX(E0!J$4:J$52,D432,1))))*100000000</f>
        <v>0</v>
      </c>
      <c r="F432" s="4" t="str">
        <f>HYPERLINK("http://141.218.60.56/~jnz1568/getInfo.php?workbook=08_02.xlsx&amp;sheet=A0&amp;row=432&amp;col=6&amp;number=&amp;sourceID=27","")</f>
        <v/>
      </c>
      <c r="G432" s="4" t="str">
        <f>HYPERLINK("http://141.218.60.56/~jnz1568/getInfo.php?workbook=08_02.xlsx&amp;sheet=A0&amp;row=432&amp;col=7&amp;number=&amp;sourceID=34","")</f>
        <v/>
      </c>
      <c r="H432" s="4" t="str">
        <f>HYPERLINK("http://141.218.60.56/~jnz1568/getInfo.php?workbook=08_02.xlsx&amp;sheet=A0&amp;row=432&amp;col=8&amp;number=&amp;sourceID=34","")</f>
        <v/>
      </c>
      <c r="I432" s="4" t="str">
        <f>HYPERLINK("http://141.218.60.56/~jnz1568/getInfo.php?workbook=08_02.xlsx&amp;sheet=A0&amp;row=432&amp;col=9&amp;number=&amp;sourceID=34","")</f>
        <v/>
      </c>
      <c r="J432" s="4" t="str">
        <f>HYPERLINK("http://141.218.60.56/~jnz1568/getInfo.php?workbook=08_02.xlsx&amp;sheet=A0&amp;row=432&amp;col=10&amp;number=&amp;sourceID=34","")</f>
        <v/>
      </c>
      <c r="K432" s="4" t="str">
        <f>HYPERLINK("http://141.218.60.56/~jnz1568/getInfo.php?workbook=08_02.xlsx&amp;sheet=A0&amp;row=432&amp;col=11&amp;number=130000&amp;sourceID=30","130000")</f>
        <v>130000</v>
      </c>
      <c r="L432" s="4" t="str">
        <f>HYPERLINK("http://141.218.60.56/~jnz1568/getInfo.php?workbook=08_02.xlsx&amp;sheet=A0&amp;row=432&amp;col=12&amp;number=&amp;sourceID=30","")</f>
        <v/>
      </c>
      <c r="M432" s="4" t="str">
        <f>HYPERLINK("http://141.218.60.56/~jnz1568/getInfo.php?workbook=08_02.xlsx&amp;sheet=A0&amp;row=432&amp;col=13&amp;number=&amp;sourceID=30","")</f>
        <v/>
      </c>
      <c r="N432" s="4" t="str">
        <f>HYPERLINK("http://141.218.60.56/~jnz1568/getInfo.php?workbook=08_02.xlsx&amp;sheet=A0&amp;row=432&amp;col=14&amp;number=0.08561&amp;sourceID=30","0.08561")</f>
        <v>0.08561</v>
      </c>
      <c r="O432" s="4" t="str">
        <f>HYPERLINK("http://141.218.60.56/~jnz1568/getInfo.php?workbook=08_02.xlsx&amp;sheet=A0&amp;row=432&amp;col=15&amp;number=145100&amp;sourceID=32","145100")</f>
        <v>145100</v>
      </c>
      <c r="P432" s="4" t="str">
        <f>HYPERLINK("http://141.218.60.56/~jnz1568/getInfo.php?workbook=08_02.xlsx&amp;sheet=A0&amp;row=432&amp;col=16&amp;number=&amp;sourceID=32","")</f>
        <v/>
      </c>
      <c r="Q432" s="4" t="str">
        <f>HYPERLINK("http://141.218.60.56/~jnz1568/getInfo.php?workbook=08_02.xlsx&amp;sheet=A0&amp;row=432&amp;col=17&amp;number=&amp;sourceID=32","")</f>
        <v/>
      </c>
      <c r="R432" s="4" t="str">
        <f>HYPERLINK("http://141.218.60.56/~jnz1568/getInfo.php?workbook=08_02.xlsx&amp;sheet=A0&amp;row=432&amp;col=18&amp;number=0.08048&amp;sourceID=32","0.08048")</f>
        <v>0.08048</v>
      </c>
      <c r="S432" s="4" t="str">
        <f>HYPERLINK("http://141.218.60.56/~jnz1568/getInfo.php?workbook=08_02.xlsx&amp;sheet=A0&amp;row=432&amp;col=19&amp;number=&amp;sourceID=1","")</f>
        <v/>
      </c>
      <c r="T432" s="4" t="str">
        <f>HYPERLINK("http://141.218.60.56/~jnz1568/getInfo.php?workbook=08_02.xlsx&amp;sheet=A0&amp;row=432&amp;col=20&amp;number=&amp;sourceID=1","")</f>
        <v/>
      </c>
    </row>
    <row r="433" spans="1:20">
      <c r="A433" s="3">
        <v>8</v>
      </c>
      <c r="B433" s="3">
        <v>2</v>
      </c>
      <c r="C433" s="3">
        <v>33</v>
      </c>
      <c r="D433" s="3">
        <v>2</v>
      </c>
      <c r="E433" s="3">
        <f>((1/(INDEX(E0!J$4:J$52,C433,1)-INDEX(E0!J$4:J$52,D433,1))))*100000000</f>
        <v>0</v>
      </c>
      <c r="F433" s="4" t="str">
        <f>HYPERLINK("http://141.218.60.56/~jnz1568/getInfo.php?workbook=08_02.xlsx&amp;sheet=A0&amp;row=433&amp;col=6&amp;number=&amp;sourceID=27","")</f>
        <v/>
      </c>
      <c r="G433" s="4" t="str">
        <f>HYPERLINK("http://141.218.60.56/~jnz1568/getInfo.php?workbook=08_02.xlsx&amp;sheet=A0&amp;row=433&amp;col=7&amp;number=&amp;sourceID=34","")</f>
        <v/>
      </c>
      <c r="H433" s="4" t="str">
        <f>HYPERLINK("http://141.218.60.56/~jnz1568/getInfo.php?workbook=08_02.xlsx&amp;sheet=A0&amp;row=433&amp;col=8&amp;number=&amp;sourceID=34","")</f>
        <v/>
      </c>
      <c r="I433" s="4" t="str">
        <f>HYPERLINK("http://141.218.60.56/~jnz1568/getInfo.php?workbook=08_02.xlsx&amp;sheet=A0&amp;row=433&amp;col=9&amp;number=&amp;sourceID=34","")</f>
        <v/>
      </c>
      <c r="J433" s="4" t="str">
        <f>HYPERLINK("http://141.218.60.56/~jnz1568/getInfo.php?workbook=08_02.xlsx&amp;sheet=A0&amp;row=433&amp;col=10&amp;number=&amp;sourceID=34","")</f>
        <v/>
      </c>
      <c r="K433" s="4" t="str">
        <f>HYPERLINK("http://141.218.60.56/~jnz1568/getInfo.php?workbook=08_02.xlsx&amp;sheet=A0&amp;row=433&amp;col=11&amp;number=&amp;sourceID=30","")</f>
        <v/>
      </c>
      <c r="L433" s="4" t="str">
        <f>HYPERLINK("http://141.218.60.56/~jnz1568/getInfo.php?workbook=08_02.xlsx&amp;sheet=A0&amp;row=433&amp;col=12&amp;number=&amp;sourceID=30","")</f>
        <v/>
      </c>
      <c r="M433" s="4" t="str">
        <f>HYPERLINK("http://141.218.60.56/~jnz1568/getInfo.php?workbook=08_02.xlsx&amp;sheet=A0&amp;row=433&amp;col=13&amp;number=0.5859&amp;sourceID=30","0.5859")</f>
        <v>0.5859</v>
      </c>
      <c r="N433" s="4" t="str">
        <f>HYPERLINK("http://141.218.60.56/~jnz1568/getInfo.php?workbook=08_02.xlsx&amp;sheet=A0&amp;row=433&amp;col=14&amp;number=&amp;sourceID=30","")</f>
        <v/>
      </c>
      <c r="O433" s="4" t="str">
        <f>HYPERLINK("http://141.218.60.56/~jnz1568/getInfo.php?workbook=08_02.xlsx&amp;sheet=A0&amp;row=433&amp;col=15&amp;number=&amp;sourceID=32","")</f>
        <v/>
      </c>
      <c r="P433" s="4" t="str">
        <f>HYPERLINK("http://141.218.60.56/~jnz1568/getInfo.php?workbook=08_02.xlsx&amp;sheet=A0&amp;row=433&amp;col=16&amp;number=&amp;sourceID=32","")</f>
        <v/>
      </c>
      <c r="Q433" s="4" t="str">
        <f>HYPERLINK("http://141.218.60.56/~jnz1568/getInfo.php?workbook=08_02.xlsx&amp;sheet=A0&amp;row=433&amp;col=17&amp;number=0.2852&amp;sourceID=32","0.2852")</f>
        <v>0.2852</v>
      </c>
      <c r="R433" s="4" t="str">
        <f>HYPERLINK("http://141.218.60.56/~jnz1568/getInfo.php?workbook=08_02.xlsx&amp;sheet=A0&amp;row=433&amp;col=18&amp;number=&amp;sourceID=32","")</f>
        <v/>
      </c>
      <c r="S433" s="4" t="str">
        <f>HYPERLINK("http://141.218.60.56/~jnz1568/getInfo.php?workbook=08_02.xlsx&amp;sheet=A0&amp;row=433&amp;col=19&amp;number=&amp;sourceID=1","")</f>
        <v/>
      </c>
      <c r="T433" s="4" t="str">
        <f>HYPERLINK("http://141.218.60.56/~jnz1568/getInfo.php?workbook=08_02.xlsx&amp;sheet=A0&amp;row=433&amp;col=20&amp;number=&amp;sourceID=1","")</f>
        <v/>
      </c>
    </row>
    <row r="434" spans="1:20">
      <c r="A434" s="3">
        <v>8</v>
      </c>
      <c r="B434" s="3">
        <v>2</v>
      </c>
      <c r="C434" s="3">
        <v>33</v>
      </c>
      <c r="D434" s="3">
        <v>4</v>
      </c>
      <c r="E434" s="3">
        <f>((1/(INDEX(E0!J$4:J$52,C434,1)-INDEX(E0!J$4:J$52,D434,1))))*100000000</f>
        <v>0</v>
      </c>
      <c r="F434" s="4" t="str">
        <f>HYPERLINK("http://141.218.60.56/~jnz1568/getInfo.php?workbook=08_02.xlsx&amp;sheet=A0&amp;row=434&amp;col=6&amp;number=&amp;sourceID=27","")</f>
        <v/>
      </c>
      <c r="G434" s="4" t="str">
        <f>HYPERLINK("http://141.218.60.56/~jnz1568/getInfo.php?workbook=08_02.xlsx&amp;sheet=A0&amp;row=434&amp;col=7&amp;number=&amp;sourceID=34","")</f>
        <v/>
      </c>
      <c r="H434" s="4" t="str">
        <f>HYPERLINK("http://141.218.60.56/~jnz1568/getInfo.php?workbook=08_02.xlsx&amp;sheet=A0&amp;row=434&amp;col=8&amp;number=&amp;sourceID=34","")</f>
        <v/>
      </c>
      <c r="I434" s="4" t="str">
        <f>HYPERLINK("http://141.218.60.56/~jnz1568/getInfo.php?workbook=08_02.xlsx&amp;sheet=A0&amp;row=434&amp;col=9&amp;number=&amp;sourceID=34","")</f>
        <v/>
      </c>
      <c r="J434" s="4" t="str">
        <f>HYPERLINK("http://141.218.60.56/~jnz1568/getInfo.php?workbook=08_02.xlsx&amp;sheet=A0&amp;row=434&amp;col=10&amp;number=&amp;sourceID=34","")</f>
        <v/>
      </c>
      <c r="K434" s="4" t="str">
        <f>HYPERLINK("http://141.218.60.56/~jnz1568/getInfo.php?workbook=08_02.xlsx&amp;sheet=A0&amp;row=434&amp;col=11&amp;number=1185000&amp;sourceID=30","1185000")</f>
        <v>1185000</v>
      </c>
      <c r="L434" s="4" t="str">
        <f>HYPERLINK("http://141.218.60.56/~jnz1568/getInfo.php?workbook=08_02.xlsx&amp;sheet=A0&amp;row=434&amp;col=12&amp;number=&amp;sourceID=30","")</f>
        <v/>
      </c>
      <c r="M434" s="4" t="str">
        <f>HYPERLINK("http://141.218.60.56/~jnz1568/getInfo.php?workbook=08_02.xlsx&amp;sheet=A0&amp;row=434&amp;col=13&amp;number=&amp;sourceID=30","")</f>
        <v/>
      </c>
      <c r="N434" s="4" t="str">
        <f>HYPERLINK("http://141.218.60.56/~jnz1568/getInfo.php?workbook=08_02.xlsx&amp;sheet=A0&amp;row=434&amp;col=14&amp;number=&amp;sourceID=30","")</f>
        <v/>
      </c>
      <c r="O434" s="4" t="str">
        <f>HYPERLINK("http://141.218.60.56/~jnz1568/getInfo.php?workbook=08_02.xlsx&amp;sheet=A0&amp;row=434&amp;col=15&amp;number=503300&amp;sourceID=32","503300")</f>
        <v>503300</v>
      </c>
      <c r="P434" s="4" t="str">
        <f>HYPERLINK("http://141.218.60.56/~jnz1568/getInfo.php?workbook=08_02.xlsx&amp;sheet=A0&amp;row=434&amp;col=16&amp;number=&amp;sourceID=32","")</f>
        <v/>
      </c>
      <c r="Q434" s="4" t="str">
        <f>HYPERLINK("http://141.218.60.56/~jnz1568/getInfo.php?workbook=08_02.xlsx&amp;sheet=A0&amp;row=434&amp;col=17&amp;number=&amp;sourceID=32","")</f>
        <v/>
      </c>
      <c r="R434" s="4" t="str">
        <f>HYPERLINK("http://141.218.60.56/~jnz1568/getInfo.php?workbook=08_02.xlsx&amp;sheet=A0&amp;row=434&amp;col=18&amp;number=&amp;sourceID=32","")</f>
        <v/>
      </c>
      <c r="S434" s="4" t="str">
        <f>HYPERLINK("http://141.218.60.56/~jnz1568/getInfo.php?workbook=08_02.xlsx&amp;sheet=A0&amp;row=434&amp;col=19&amp;number=&amp;sourceID=1","")</f>
        <v/>
      </c>
      <c r="T434" s="4" t="str">
        <f>HYPERLINK("http://141.218.60.56/~jnz1568/getInfo.php?workbook=08_02.xlsx&amp;sheet=A0&amp;row=434&amp;col=20&amp;number=&amp;sourceID=1","")</f>
        <v/>
      </c>
    </row>
    <row r="435" spans="1:20">
      <c r="A435" s="3">
        <v>8</v>
      </c>
      <c r="B435" s="3">
        <v>2</v>
      </c>
      <c r="C435" s="3">
        <v>33</v>
      </c>
      <c r="D435" s="3">
        <v>5</v>
      </c>
      <c r="E435" s="3">
        <f>((1/(INDEX(E0!J$4:J$52,C435,1)-INDEX(E0!J$4:J$52,D435,1))))*100000000</f>
        <v>0</v>
      </c>
      <c r="F435" s="4" t="str">
        <f>HYPERLINK("http://141.218.60.56/~jnz1568/getInfo.php?workbook=08_02.xlsx&amp;sheet=A0&amp;row=435&amp;col=6&amp;number=&amp;sourceID=27","")</f>
        <v/>
      </c>
      <c r="G435" s="4" t="str">
        <f>HYPERLINK("http://141.218.60.56/~jnz1568/getInfo.php?workbook=08_02.xlsx&amp;sheet=A0&amp;row=435&amp;col=7&amp;number=&amp;sourceID=34","")</f>
        <v/>
      </c>
      <c r="H435" s="4" t="str">
        <f>HYPERLINK("http://141.218.60.56/~jnz1568/getInfo.php?workbook=08_02.xlsx&amp;sheet=A0&amp;row=435&amp;col=8&amp;number=&amp;sourceID=34","")</f>
        <v/>
      </c>
      <c r="I435" s="4" t="str">
        <f>HYPERLINK("http://141.218.60.56/~jnz1568/getInfo.php?workbook=08_02.xlsx&amp;sheet=A0&amp;row=435&amp;col=9&amp;number=&amp;sourceID=34","")</f>
        <v/>
      </c>
      <c r="J435" s="4" t="str">
        <f>HYPERLINK("http://141.218.60.56/~jnz1568/getInfo.php?workbook=08_02.xlsx&amp;sheet=A0&amp;row=435&amp;col=10&amp;number=&amp;sourceID=34","")</f>
        <v/>
      </c>
      <c r="K435" s="4" t="str">
        <f>HYPERLINK("http://141.218.60.56/~jnz1568/getInfo.php?workbook=08_02.xlsx&amp;sheet=A0&amp;row=435&amp;col=11&amp;number=&amp;sourceID=30","")</f>
        <v/>
      </c>
      <c r="L435" s="4" t="str">
        <f>HYPERLINK("http://141.218.60.56/~jnz1568/getInfo.php?workbook=08_02.xlsx&amp;sheet=A0&amp;row=435&amp;col=12&amp;number=&amp;sourceID=30","")</f>
        <v/>
      </c>
      <c r="M435" s="4" t="str">
        <f>HYPERLINK("http://141.218.60.56/~jnz1568/getInfo.php?workbook=08_02.xlsx&amp;sheet=A0&amp;row=435&amp;col=13&amp;number=&amp;sourceID=30","")</f>
        <v/>
      </c>
      <c r="N435" s="4" t="str">
        <f>HYPERLINK("http://141.218.60.56/~jnz1568/getInfo.php?workbook=08_02.xlsx&amp;sheet=A0&amp;row=435&amp;col=14&amp;number=23.58&amp;sourceID=30","23.58")</f>
        <v>23.58</v>
      </c>
      <c r="O435" s="4" t="str">
        <f>HYPERLINK("http://141.218.60.56/~jnz1568/getInfo.php?workbook=08_02.xlsx&amp;sheet=A0&amp;row=435&amp;col=15&amp;number=&amp;sourceID=32","")</f>
        <v/>
      </c>
      <c r="P435" s="4" t="str">
        <f>HYPERLINK("http://141.218.60.56/~jnz1568/getInfo.php?workbook=08_02.xlsx&amp;sheet=A0&amp;row=435&amp;col=16&amp;number=&amp;sourceID=32","")</f>
        <v/>
      </c>
      <c r="Q435" s="4" t="str">
        <f>HYPERLINK("http://141.218.60.56/~jnz1568/getInfo.php?workbook=08_02.xlsx&amp;sheet=A0&amp;row=435&amp;col=17&amp;number=&amp;sourceID=32","")</f>
        <v/>
      </c>
      <c r="R435" s="4" t="str">
        <f>HYPERLINK("http://141.218.60.56/~jnz1568/getInfo.php?workbook=08_02.xlsx&amp;sheet=A0&amp;row=435&amp;col=18&amp;number=30.15&amp;sourceID=32","30.15")</f>
        <v>30.15</v>
      </c>
      <c r="S435" s="4" t="str">
        <f>HYPERLINK("http://141.218.60.56/~jnz1568/getInfo.php?workbook=08_02.xlsx&amp;sheet=A0&amp;row=435&amp;col=19&amp;number=&amp;sourceID=1","")</f>
        <v/>
      </c>
      <c r="T435" s="4" t="str">
        <f>HYPERLINK("http://141.218.60.56/~jnz1568/getInfo.php?workbook=08_02.xlsx&amp;sheet=A0&amp;row=435&amp;col=20&amp;number=&amp;sourceID=1","")</f>
        <v/>
      </c>
    </row>
    <row r="436" spans="1:20">
      <c r="A436" s="3">
        <v>8</v>
      </c>
      <c r="B436" s="3">
        <v>2</v>
      </c>
      <c r="C436" s="3">
        <v>33</v>
      </c>
      <c r="D436" s="3">
        <v>7</v>
      </c>
      <c r="E436" s="3">
        <f>((1/(INDEX(E0!J$4:J$52,C436,1)-INDEX(E0!J$4:J$52,D436,1))))*100000000</f>
        <v>0</v>
      </c>
      <c r="F436" s="4" t="str">
        <f>HYPERLINK("http://141.218.60.56/~jnz1568/getInfo.php?workbook=08_02.xlsx&amp;sheet=A0&amp;row=436&amp;col=6&amp;number=&amp;sourceID=27","")</f>
        <v/>
      </c>
      <c r="G436" s="4" t="str">
        <f>HYPERLINK("http://141.218.60.56/~jnz1568/getInfo.php?workbook=08_02.xlsx&amp;sheet=A0&amp;row=436&amp;col=7&amp;number=&amp;sourceID=34","")</f>
        <v/>
      </c>
      <c r="H436" s="4" t="str">
        <f>HYPERLINK("http://141.218.60.56/~jnz1568/getInfo.php?workbook=08_02.xlsx&amp;sheet=A0&amp;row=436&amp;col=8&amp;number=&amp;sourceID=34","")</f>
        <v/>
      </c>
      <c r="I436" s="4" t="str">
        <f>HYPERLINK("http://141.218.60.56/~jnz1568/getInfo.php?workbook=08_02.xlsx&amp;sheet=A0&amp;row=436&amp;col=9&amp;number=&amp;sourceID=34","")</f>
        <v/>
      </c>
      <c r="J436" s="4" t="str">
        <f>HYPERLINK("http://141.218.60.56/~jnz1568/getInfo.php?workbook=08_02.xlsx&amp;sheet=A0&amp;row=436&amp;col=10&amp;number=&amp;sourceID=34","")</f>
        <v/>
      </c>
      <c r="K436" s="4" t="str">
        <f>HYPERLINK("http://141.218.60.56/~jnz1568/getInfo.php?workbook=08_02.xlsx&amp;sheet=A0&amp;row=436&amp;col=11&amp;number=10310000000&amp;sourceID=30","10310000000")</f>
        <v>10310000000</v>
      </c>
      <c r="L436" s="4" t="str">
        <f>HYPERLINK("http://141.218.60.56/~jnz1568/getInfo.php?workbook=08_02.xlsx&amp;sheet=A0&amp;row=436&amp;col=12&amp;number=&amp;sourceID=30","")</f>
        <v/>
      </c>
      <c r="M436" s="4" t="str">
        <f>HYPERLINK("http://141.218.60.56/~jnz1568/getInfo.php?workbook=08_02.xlsx&amp;sheet=A0&amp;row=436&amp;col=13&amp;number=&amp;sourceID=30","")</f>
        <v/>
      </c>
      <c r="N436" s="4" t="str">
        <f>HYPERLINK("http://141.218.60.56/~jnz1568/getInfo.php?workbook=08_02.xlsx&amp;sheet=A0&amp;row=436&amp;col=14&amp;number=&amp;sourceID=30","")</f>
        <v/>
      </c>
      <c r="O436" s="4" t="str">
        <f>HYPERLINK("http://141.218.60.56/~jnz1568/getInfo.php?workbook=08_02.xlsx&amp;sheet=A0&amp;row=436&amp;col=15&amp;number=4057000000&amp;sourceID=32","4057000000")</f>
        <v>4057000000</v>
      </c>
      <c r="P436" s="4" t="str">
        <f>HYPERLINK("http://141.218.60.56/~jnz1568/getInfo.php?workbook=08_02.xlsx&amp;sheet=A0&amp;row=436&amp;col=16&amp;number=&amp;sourceID=32","")</f>
        <v/>
      </c>
      <c r="Q436" s="4" t="str">
        <f>HYPERLINK("http://141.218.60.56/~jnz1568/getInfo.php?workbook=08_02.xlsx&amp;sheet=A0&amp;row=436&amp;col=17&amp;number=&amp;sourceID=32","")</f>
        <v/>
      </c>
      <c r="R436" s="4" t="str">
        <f>HYPERLINK("http://141.218.60.56/~jnz1568/getInfo.php?workbook=08_02.xlsx&amp;sheet=A0&amp;row=436&amp;col=18&amp;number=&amp;sourceID=32","")</f>
        <v/>
      </c>
      <c r="S436" s="4" t="str">
        <f>HYPERLINK("http://141.218.60.56/~jnz1568/getInfo.php?workbook=08_02.xlsx&amp;sheet=A0&amp;row=436&amp;col=19&amp;number=&amp;sourceID=1","")</f>
        <v/>
      </c>
      <c r="T436" s="4" t="str">
        <f>HYPERLINK("http://141.218.60.56/~jnz1568/getInfo.php?workbook=08_02.xlsx&amp;sheet=A0&amp;row=436&amp;col=20&amp;number=&amp;sourceID=1","")</f>
        <v/>
      </c>
    </row>
    <row r="437" spans="1:20">
      <c r="A437" s="3">
        <v>8</v>
      </c>
      <c r="B437" s="3">
        <v>2</v>
      </c>
      <c r="C437" s="3">
        <v>33</v>
      </c>
      <c r="D437" s="3">
        <v>8</v>
      </c>
      <c r="E437" s="3">
        <f>((1/(INDEX(E0!J$4:J$52,C437,1)-INDEX(E0!J$4:J$52,D437,1))))*100000000</f>
        <v>0</v>
      </c>
      <c r="F437" s="4" t="str">
        <f>HYPERLINK("http://141.218.60.56/~jnz1568/getInfo.php?workbook=08_02.xlsx&amp;sheet=A0&amp;row=437&amp;col=6&amp;number=&amp;sourceID=27","")</f>
        <v/>
      </c>
      <c r="G437" s="4" t="str">
        <f>HYPERLINK("http://141.218.60.56/~jnz1568/getInfo.php?workbook=08_02.xlsx&amp;sheet=A0&amp;row=437&amp;col=7&amp;number=&amp;sourceID=34","")</f>
        <v/>
      </c>
      <c r="H437" s="4" t="str">
        <f>HYPERLINK("http://141.218.60.56/~jnz1568/getInfo.php?workbook=08_02.xlsx&amp;sheet=A0&amp;row=437&amp;col=8&amp;number=&amp;sourceID=34","")</f>
        <v/>
      </c>
      <c r="I437" s="4" t="str">
        <f>HYPERLINK("http://141.218.60.56/~jnz1568/getInfo.php?workbook=08_02.xlsx&amp;sheet=A0&amp;row=437&amp;col=9&amp;number=&amp;sourceID=34","")</f>
        <v/>
      </c>
      <c r="J437" s="4" t="str">
        <f>HYPERLINK("http://141.218.60.56/~jnz1568/getInfo.php?workbook=08_02.xlsx&amp;sheet=A0&amp;row=437&amp;col=10&amp;number=&amp;sourceID=34","")</f>
        <v/>
      </c>
      <c r="K437" s="4" t="str">
        <f>HYPERLINK("http://141.218.60.56/~jnz1568/getInfo.php?workbook=08_02.xlsx&amp;sheet=A0&amp;row=437&amp;col=11&amp;number=&amp;sourceID=30","")</f>
        <v/>
      </c>
      <c r="L437" s="4" t="str">
        <f>HYPERLINK("http://141.218.60.56/~jnz1568/getInfo.php?workbook=08_02.xlsx&amp;sheet=A0&amp;row=437&amp;col=12&amp;number=&amp;sourceID=30","")</f>
        <v/>
      </c>
      <c r="M437" s="4" t="str">
        <f>HYPERLINK("http://141.218.60.56/~jnz1568/getInfo.php?workbook=08_02.xlsx&amp;sheet=A0&amp;row=437&amp;col=13&amp;number=0.003926&amp;sourceID=30","0.003926")</f>
        <v>0.003926</v>
      </c>
      <c r="N437" s="4" t="str">
        <f>HYPERLINK("http://141.218.60.56/~jnz1568/getInfo.php?workbook=08_02.xlsx&amp;sheet=A0&amp;row=437&amp;col=14&amp;number=&amp;sourceID=30","")</f>
        <v/>
      </c>
      <c r="O437" s="4" t="str">
        <f>HYPERLINK("http://141.218.60.56/~jnz1568/getInfo.php?workbook=08_02.xlsx&amp;sheet=A0&amp;row=437&amp;col=15&amp;number=&amp;sourceID=32","")</f>
        <v/>
      </c>
      <c r="P437" s="4" t="str">
        <f>HYPERLINK("http://141.218.60.56/~jnz1568/getInfo.php?workbook=08_02.xlsx&amp;sheet=A0&amp;row=437&amp;col=16&amp;number=&amp;sourceID=32","")</f>
        <v/>
      </c>
      <c r="Q437" s="4" t="str">
        <f>HYPERLINK("http://141.218.60.56/~jnz1568/getInfo.php?workbook=08_02.xlsx&amp;sheet=A0&amp;row=437&amp;col=17&amp;number=0.002562&amp;sourceID=32","0.002562")</f>
        <v>0.002562</v>
      </c>
      <c r="R437" s="4" t="str">
        <f>HYPERLINK("http://141.218.60.56/~jnz1568/getInfo.php?workbook=08_02.xlsx&amp;sheet=A0&amp;row=437&amp;col=18&amp;number=&amp;sourceID=32","")</f>
        <v/>
      </c>
      <c r="S437" s="4" t="str">
        <f>HYPERLINK("http://141.218.60.56/~jnz1568/getInfo.php?workbook=08_02.xlsx&amp;sheet=A0&amp;row=437&amp;col=19&amp;number=&amp;sourceID=1","")</f>
        <v/>
      </c>
      <c r="T437" s="4" t="str">
        <f>HYPERLINK("http://141.218.60.56/~jnz1568/getInfo.php?workbook=08_02.xlsx&amp;sheet=A0&amp;row=437&amp;col=20&amp;number=&amp;sourceID=1","")</f>
        <v/>
      </c>
    </row>
    <row r="438" spans="1:20">
      <c r="A438" s="3">
        <v>8</v>
      </c>
      <c r="B438" s="3">
        <v>2</v>
      </c>
      <c r="C438" s="3">
        <v>33</v>
      </c>
      <c r="D438" s="3">
        <v>10</v>
      </c>
      <c r="E438" s="3">
        <f>((1/(INDEX(E0!J$4:J$52,C438,1)-INDEX(E0!J$4:J$52,D438,1))))*100000000</f>
        <v>0</v>
      </c>
      <c r="F438" s="4" t="str">
        <f>HYPERLINK("http://141.218.60.56/~jnz1568/getInfo.php?workbook=08_02.xlsx&amp;sheet=A0&amp;row=438&amp;col=6&amp;number=&amp;sourceID=27","")</f>
        <v/>
      </c>
      <c r="G438" s="4" t="str">
        <f>HYPERLINK("http://141.218.60.56/~jnz1568/getInfo.php?workbook=08_02.xlsx&amp;sheet=A0&amp;row=438&amp;col=7&amp;number=&amp;sourceID=34","")</f>
        <v/>
      </c>
      <c r="H438" s="4" t="str">
        <f>HYPERLINK("http://141.218.60.56/~jnz1568/getInfo.php?workbook=08_02.xlsx&amp;sheet=A0&amp;row=438&amp;col=8&amp;number=&amp;sourceID=34","")</f>
        <v/>
      </c>
      <c r="I438" s="4" t="str">
        <f>HYPERLINK("http://141.218.60.56/~jnz1568/getInfo.php?workbook=08_02.xlsx&amp;sheet=A0&amp;row=438&amp;col=9&amp;number=&amp;sourceID=34","")</f>
        <v/>
      </c>
      <c r="J438" s="4" t="str">
        <f>HYPERLINK("http://141.218.60.56/~jnz1568/getInfo.php?workbook=08_02.xlsx&amp;sheet=A0&amp;row=438&amp;col=10&amp;number=&amp;sourceID=34","")</f>
        <v/>
      </c>
      <c r="K438" s="4" t="str">
        <f>HYPERLINK("http://141.218.60.56/~jnz1568/getInfo.php?workbook=08_02.xlsx&amp;sheet=A0&amp;row=438&amp;col=11&amp;number=508500&amp;sourceID=30","508500")</f>
        <v>508500</v>
      </c>
      <c r="L438" s="4" t="str">
        <f>HYPERLINK("http://141.218.60.56/~jnz1568/getInfo.php?workbook=08_02.xlsx&amp;sheet=A0&amp;row=438&amp;col=12&amp;number=&amp;sourceID=30","")</f>
        <v/>
      </c>
      <c r="M438" s="4" t="str">
        <f>HYPERLINK("http://141.218.60.56/~jnz1568/getInfo.php?workbook=08_02.xlsx&amp;sheet=A0&amp;row=438&amp;col=13&amp;number=&amp;sourceID=30","")</f>
        <v/>
      </c>
      <c r="N438" s="4" t="str">
        <f>HYPERLINK("http://141.218.60.56/~jnz1568/getInfo.php?workbook=08_02.xlsx&amp;sheet=A0&amp;row=438&amp;col=14&amp;number=&amp;sourceID=30","")</f>
        <v/>
      </c>
      <c r="O438" s="4" t="str">
        <f>HYPERLINK("http://141.218.60.56/~jnz1568/getInfo.php?workbook=08_02.xlsx&amp;sheet=A0&amp;row=438&amp;col=15&amp;number=382700&amp;sourceID=32","382700")</f>
        <v>382700</v>
      </c>
      <c r="P438" s="4" t="str">
        <f>HYPERLINK("http://141.218.60.56/~jnz1568/getInfo.php?workbook=08_02.xlsx&amp;sheet=A0&amp;row=438&amp;col=16&amp;number=&amp;sourceID=32","")</f>
        <v/>
      </c>
      <c r="Q438" s="4" t="str">
        <f>HYPERLINK("http://141.218.60.56/~jnz1568/getInfo.php?workbook=08_02.xlsx&amp;sheet=A0&amp;row=438&amp;col=17&amp;number=&amp;sourceID=32","")</f>
        <v/>
      </c>
      <c r="R438" s="4" t="str">
        <f>HYPERLINK("http://141.218.60.56/~jnz1568/getInfo.php?workbook=08_02.xlsx&amp;sheet=A0&amp;row=438&amp;col=18&amp;number=&amp;sourceID=32","")</f>
        <v/>
      </c>
      <c r="S438" s="4" t="str">
        <f>HYPERLINK("http://141.218.60.56/~jnz1568/getInfo.php?workbook=08_02.xlsx&amp;sheet=A0&amp;row=438&amp;col=19&amp;number=&amp;sourceID=1","")</f>
        <v/>
      </c>
      <c r="T438" s="4" t="str">
        <f>HYPERLINK("http://141.218.60.56/~jnz1568/getInfo.php?workbook=08_02.xlsx&amp;sheet=A0&amp;row=438&amp;col=20&amp;number=&amp;sourceID=1","")</f>
        <v/>
      </c>
    </row>
    <row r="439" spans="1:20">
      <c r="A439" s="3">
        <v>8</v>
      </c>
      <c r="B439" s="3">
        <v>2</v>
      </c>
      <c r="C439" s="3">
        <v>33</v>
      </c>
      <c r="D439" s="3">
        <v>11</v>
      </c>
      <c r="E439" s="3">
        <f>((1/(INDEX(E0!J$4:J$52,C439,1)-INDEX(E0!J$4:J$52,D439,1))))*100000000</f>
        <v>0</v>
      </c>
      <c r="F439" s="4" t="str">
        <f>HYPERLINK("http://141.218.60.56/~jnz1568/getInfo.php?workbook=08_02.xlsx&amp;sheet=A0&amp;row=439&amp;col=6&amp;number=&amp;sourceID=27","")</f>
        <v/>
      </c>
      <c r="G439" s="4" t="str">
        <f>HYPERLINK("http://141.218.60.56/~jnz1568/getInfo.php?workbook=08_02.xlsx&amp;sheet=A0&amp;row=439&amp;col=7&amp;number=&amp;sourceID=34","")</f>
        <v/>
      </c>
      <c r="H439" s="4" t="str">
        <f>HYPERLINK("http://141.218.60.56/~jnz1568/getInfo.php?workbook=08_02.xlsx&amp;sheet=A0&amp;row=439&amp;col=8&amp;number=&amp;sourceID=34","")</f>
        <v/>
      </c>
      <c r="I439" s="4" t="str">
        <f>HYPERLINK("http://141.218.60.56/~jnz1568/getInfo.php?workbook=08_02.xlsx&amp;sheet=A0&amp;row=439&amp;col=9&amp;number=&amp;sourceID=34","")</f>
        <v/>
      </c>
      <c r="J439" s="4" t="str">
        <f>HYPERLINK("http://141.218.60.56/~jnz1568/getInfo.php?workbook=08_02.xlsx&amp;sheet=A0&amp;row=439&amp;col=10&amp;number=&amp;sourceID=34","")</f>
        <v/>
      </c>
      <c r="K439" s="4" t="str">
        <f>HYPERLINK("http://141.218.60.56/~jnz1568/getInfo.php?workbook=08_02.xlsx&amp;sheet=A0&amp;row=439&amp;col=11&amp;number=&amp;sourceID=30","")</f>
        <v/>
      </c>
      <c r="L439" s="4" t="str">
        <f>HYPERLINK("http://141.218.60.56/~jnz1568/getInfo.php?workbook=08_02.xlsx&amp;sheet=A0&amp;row=439&amp;col=12&amp;number=&amp;sourceID=30","")</f>
        <v/>
      </c>
      <c r="M439" s="4" t="str">
        <f>HYPERLINK("http://141.218.60.56/~jnz1568/getInfo.php?workbook=08_02.xlsx&amp;sheet=A0&amp;row=439&amp;col=13&amp;number=&amp;sourceID=30","")</f>
        <v/>
      </c>
      <c r="N439" s="4" t="str">
        <f>HYPERLINK("http://141.218.60.56/~jnz1568/getInfo.php?workbook=08_02.xlsx&amp;sheet=A0&amp;row=439&amp;col=14&amp;number=2.409&amp;sourceID=30","2.409")</f>
        <v>2.409</v>
      </c>
      <c r="O439" s="4" t="str">
        <f>HYPERLINK("http://141.218.60.56/~jnz1568/getInfo.php?workbook=08_02.xlsx&amp;sheet=A0&amp;row=439&amp;col=15&amp;number=&amp;sourceID=32","")</f>
        <v/>
      </c>
      <c r="P439" s="4" t="str">
        <f>HYPERLINK("http://141.218.60.56/~jnz1568/getInfo.php?workbook=08_02.xlsx&amp;sheet=A0&amp;row=439&amp;col=16&amp;number=&amp;sourceID=32","")</f>
        <v/>
      </c>
      <c r="Q439" s="4" t="str">
        <f>HYPERLINK("http://141.218.60.56/~jnz1568/getInfo.php?workbook=08_02.xlsx&amp;sheet=A0&amp;row=439&amp;col=17&amp;number=&amp;sourceID=32","")</f>
        <v/>
      </c>
      <c r="R439" s="4" t="str">
        <f>HYPERLINK("http://141.218.60.56/~jnz1568/getInfo.php?workbook=08_02.xlsx&amp;sheet=A0&amp;row=439&amp;col=18&amp;number=2.479&amp;sourceID=32","2.479")</f>
        <v>2.479</v>
      </c>
      <c r="S439" s="4" t="str">
        <f>HYPERLINK("http://141.218.60.56/~jnz1568/getInfo.php?workbook=08_02.xlsx&amp;sheet=A0&amp;row=439&amp;col=19&amp;number=&amp;sourceID=1","")</f>
        <v/>
      </c>
      <c r="T439" s="4" t="str">
        <f>HYPERLINK("http://141.218.60.56/~jnz1568/getInfo.php?workbook=08_02.xlsx&amp;sheet=A0&amp;row=439&amp;col=20&amp;number=&amp;sourceID=1","")</f>
        <v/>
      </c>
    </row>
    <row r="440" spans="1:20">
      <c r="A440" s="3">
        <v>8</v>
      </c>
      <c r="B440" s="3">
        <v>2</v>
      </c>
      <c r="C440" s="3">
        <v>33</v>
      </c>
      <c r="D440" s="3">
        <v>13</v>
      </c>
      <c r="E440" s="3">
        <f>((1/(INDEX(E0!J$4:J$52,C440,1)-INDEX(E0!J$4:J$52,D440,1))))*100000000</f>
        <v>0</v>
      </c>
      <c r="F440" s="4" t="str">
        <f>HYPERLINK("http://141.218.60.56/~jnz1568/getInfo.php?workbook=08_02.xlsx&amp;sheet=A0&amp;row=440&amp;col=6&amp;number=&amp;sourceID=27","")</f>
        <v/>
      </c>
      <c r="G440" s="4" t="str">
        <f>HYPERLINK("http://141.218.60.56/~jnz1568/getInfo.php?workbook=08_02.xlsx&amp;sheet=A0&amp;row=440&amp;col=7&amp;number=&amp;sourceID=34","")</f>
        <v/>
      </c>
      <c r="H440" s="4" t="str">
        <f>HYPERLINK("http://141.218.60.56/~jnz1568/getInfo.php?workbook=08_02.xlsx&amp;sheet=A0&amp;row=440&amp;col=8&amp;number=&amp;sourceID=34","")</f>
        <v/>
      </c>
      <c r="I440" s="4" t="str">
        <f>HYPERLINK("http://141.218.60.56/~jnz1568/getInfo.php?workbook=08_02.xlsx&amp;sheet=A0&amp;row=440&amp;col=9&amp;number=&amp;sourceID=34","")</f>
        <v/>
      </c>
      <c r="J440" s="4" t="str">
        <f>HYPERLINK("http://141.218.60.56/~jnz1568/getInfo.php?workbook=08_02.xlsx&amp;sheet=A0&amp;row=440&amp;col=10&amp;number=&amp;sourceID=34","")</f>
        <v/>
      </c>
      <c r="K440" s="4" t="str">
        <f>HYPERLINK("http://141.218.60.56/~jnz1568/getInfo.php?workbook=08_02.xlsx&amp;sheet=A0&amp;row=440&amp;col=11&amp;number=&amp;sourceID=30","")</f>
        <v/>
      </c>
      <c r="L440" s="4" t="str">
        <f>HYPERLINK("http://141.218.60.56/~jnz1568/getInfo.php?workbook=08_02.xlsx&amp;sheet=A0&amp;row=440&amp;col=12&amp;number=&amp;sourceID=30","")</f>
        <v/>
      </c>
      <c r="M440" s="4" t="str">
        <f>HYPERLINK("http://141.218.60.56/~jnz1568/getInfo.php?workbook=08_02.xlsx&amp;sheet=A0&amp;row=440&amp;col=13&amp;number=6.833e-07&amp;sourceID=30","6.833e-07")</f>
        <v>6.833e-07</v>
      </c>
      <c r="N440" s="4" t="str">
        <f>HYPERLINK("http://141.218.60.56/~jnz1568/getInfo.php?workbook=08_02.xlsx&amp;sheet=A0&amp;row=440&amp;col=14&amp;number=&amp;sourceID=30","")</f>
        <v/>
      </c>
      <c r="O440" s="4" t="str">
        <f>HYPERLINK("http://141.218.60.56/~jnz1568/getInfo.php?workbook=08_02.xlsx&amp;sheet=A0&amp;row=440&amp;col=15&amp;number=&amp;sourceID=32","")</f>
        <v/>
      </c>
      <c r="P440" s="4" t="str">
        <f>HYPERLINK("http://141.218.60.56/~jnz1568/getInfo.php?workbook=08_02.xlsx&amp;sheet=A0&amp;row=440&amp;col=16&amp;number=&amp;sourceID=32","")</f>
        <v/>
      </c>
      <c r="Q440" s="4" t="str">
        <f>HYPERLINK("http://141.218.60.56/~jnz1568/getInfo.php?workbook=08_02.xlsx&amp;sheet=A0&amp;row=440&amp;col=17&amp;number=3.075e-06&amp;sourceID=32","3.075e-06")</f>
        <v>3.075e-06</v>
      </c>
      <c r="R440" s="4" t="str">
        <f>HYPERLINK("http://141.218.60.56/~jnz1568/getInfo.php?workbook=08_02.xlsx&amp;sheet=A0&amp;row=440&amp;col=18&amp;number=&amp;sourceID=32","")</f>
        <v/>
      </c>
      <c r="S440" s="4" t="str">
        <f>HYPERLINK("http://141.218.60.56/~jnz1568/getInfo.php?workbook=08_02.xlsx&amp;sheet=A0&amp;row=440&amp;col=19&amp;number=&amp;sourceID=1","")</f>
        <v/>
      </c>
      <c r="T440" s="4" t="str">
        <f>HYPERLINK("http://141.218.60.56/~jnz1568/getInfo.php?workbook=08_02.xlsx&amp;sheet=A0&amp;row=440&amp;col=20&amp;number=&amp;sourceID=1","")</f>
        <v/>
      </c>
    </row>
    <row r="441" spans="1:20">
      <c r="A441" s="3">
        <v>8</v>
      </c>
      <c r="B441" s="3">
        <v>2</v>
      </c>
      <c r="C441" s="3">
        <v>33</v>
      </c>
      <c r="D441" s="3">
        <v>14</v>
      </c>
      <c r="E441" s="3">
        <f>((1/(INDEX(E0!J$4:J$52,C441,1)-INDEX(E0!J$4:J$52,D441,1))))*100000000</f>
        <v>0</v>
      </c>
      <c r="F441" s="4" t="str">
        <f>HYPERLINK("http://141.218.60.56/~jnz1568/getInfo.php?workbook=08_02.xlsx&amp;sheet=A0&amp;row=441&amp;col=6&amp;number=&amp;sourceID=27","")</f>
        <v/>
      </c>
      <c r="G441" s="4" t="str">
        <f>HYPERLINK("http://141.218.60.56/~jnz1568/getInfo.php?workbook=08_02.xlsx&amp;sheet=A0&amp;row=441&amp;col=7&amp;number=&amp;sourceID=34","")</f>
        <v/>
      </c>
      <c r="H441" s="4" t="str">
        <f>HYPERLINK("http://141.218.60.56/~jnz1568/getInfo.php?workbook=08_02.xlsx&amp;sheet=A0&amp;row=441&amp;col=8&amp;number=&amp;sourceID=34","")</f>
        <v/>
      </c>
      <c r="I441" s="4" t="str">
        <f>HYPERLINK("http://141.218.60.56/~jnz1568/getInfo.php?workbook=08_02.xlsx&amp;sheet=A0&amp;row=441&amp;col=9&amp;number=&amp;sourceID=34","")</f>
        <v/>
      </c>
      <c r="J441" s="4" t="str">
        <f>HYPERLINK("http://141.218.60.56/~jnz1568/getInfo.php?workbook=08_02.xlsx&amp;sheet=A0&amp;row=441&amp;col=10&amp;number=&amp;sourceID=34","")</f>
        <v/>
      </c>
      <c r="K441" s="4" t="str">
        <f>HYPERLINK("http://141.218.60.56/~jnz1568/getInfo.php?workbook=08_02.xlsx&amp;sheet=A0&amp;row=441&amp;col=11&amp;number=&amp;sourceID=30","")</f>
        <v/>
      </c>
      <c r="L441" s="4" t="str">
        <f>HYPERLINK("http://141.218.60.56/~jnz1568/getInfo.php?workbook=08_02.xlsx&amp;sheet=A0&amp;row=441&amp;col=12&amp;number=1140&amp;sourceID=30","1140")</f>
        <v>1140</v>
      </c>
      <c r="M441" s="4" t="str">
        <f>HYPERLINK("http://141.218.60.56/~jnz1568/getInfo.php?workbook=08_02.xlsx&amp;sheet=A0&amp;row=441&amp;col=13&amp;number=&amp;sourceID=30","")</f>
        <v/>
      </c>
      <c r="N441" s="4" t="str">
        <f>HYPERLINK("http://141.218.60.56/~jnz1568/getInfo.php?workbook=08_02.xlsx&amp;sheet=A0&amp;row=441&amp;col=14&amp;number=&amp;sourceID=30","")</f>
        <v/>
      </c>
      <c r="O441" s="4" t="str">
        <f>HYPERLINK("http://141.218.60.56/~jnz1568/getInfo.php?workbook=08_02.xlsx&amp;sheet=A0&amp;row=441&amp;col=15&amp;number=&amp;sourceID=32","")</f>
        <v/>
      </c>
      <c r="P441" s="4" t="str">
        <f>HYPERLINK("http://141.218.60.56/~jnz1568/getInfo.php?workbook=08_02.xlsx&amp;sheet=A0&amp;row=441&amp;col=16&amp;number=1252&amp;sourceID=32","1252")</f>
        <v>1252</v>
      </c>
      <c r="Q441" s="4" t="str">
        <f>HYPERLINK("http://141.218.60.56/~jnz1568/getInfo.php?workbook=08_02.xlsx&amp;sheet=A0&amp;row=441&amp;col=17&amp;number=&amp;sourceID=32","")</f>
        <v/>
      </c>
      <c r="R441" s="4" t="str">
        <f>HYPERLINK("http://141.218.60.56/~jnz1568/getInfo.php?workbook=08_02.xlsx&amp;sheet=A0&amp;row=441&amp;col=18&amp;number=&amp;sourceID=32","")</f>
        <v/>
      </c>
      <c r="S441" s="4" t="str">
        <f>HYPERLINK("http://141.218.60.56/~jnz1568/getInfo.php?workbook=08_02.xlsx&amp;sheet=A0&amp;row=441&amp;col=19&amp;number=&amp;sourceID=1","")</f>
        <v/>
      </c>
      <c r="T441" s="4" t="str">
        <f>HYPERLINK("http://141.218.60.56/~jnz1568/getInfo.php?workbook=08_02.xlsx&amp;sheet=A0&amp;row=441&amp;col=20&amp;number=&amp;sourceID=1","")</f>
        <v/>
      </c>
    </row>
    <row r="442" spans="1:20">
      <c r="A442" s="3">
        <v>8</v>
      </c>
      <c r="B442" s="3">
        <v>2</v>
      </c>
      <c r="C442" s="3">
        <v>33</v>
      </c>
      <c r="D442" s="3">
        <v>16</v>
      </c>
      <c r="E442" s="3">
        <f>((1/(INDEX(E0!J$4:J$52,C442,1)-INDEX(E0!J$4:J$52,D442,1))))*100000000</f>
        <v>0</v>
      </c>
      <c r="F442" s="4" t="str">
        <f>HYPERLINK("http://141.218.60.56/~jnz1568/getInfo.php?workbook=08_02.xlsx&amp;sheet=A0&amp;row=442&amp;col=6&amp;number=&amp;sourceID=27","")</f>
        <v/>
      </c>
      <c r="G442" s="4" t="str">
        <f>HYPERLINK("http://141.218.60.56/~jnz1568/getInfo.php?workbook=08_02.xlsx&amp;sheet=A0&amp;row=442&amp;col=7&amp;number=&amp;sourceID=34","")</f>
        <v/>
      </c>
      <c r="H442" s="4" t="str">
        <f>HYPERLINK("http://141.218.60.56/~jnz1568/getInfo.php?workbook=08_02.xlsx&amp;sheet=A0&amp;row=442&amp;col=8&amp;number=&amp;sourceID=34","")</f>
        <v/>
      </c>
      <c r="I442" s="4" t="str">
        <f>HYPERLINK("http://141.218.60.56/~jnz1568/getInfo.php?workbook=08_02.xlsx&amp;sheet=A0&amp;row=442&amp;col=9&amp;number=&amp;sourceID=34","")</f>
        <v/>
      </c>
      <c r="J442" s="4" t="str">
        <f>HYPERLINK("http://141.218.60.56/~jnz1568/getInfo.php?workbook=08_02.xlsx&amp;sheet=A0&amp;row=442&amp;col=10&amp;number=&amp;sourceID=34","")</f>
        <v/>
      </c>
      <c r="K442" s="4" t="str">
        <f>HYPERLINK("http://141.218.60.56/~jnz1568/getInfo.php?workbook=08_02.xlsx&amp;sheet=A0&amp;row=442&amp;col=11&amp;number=&amp;sourceID=30","")</f>
        <v/>
      </c>
      <c r="L442" s="4" t="str">
        <f>HYPERLINK("http://141.218.60.56/~jnz1568/getInfo.php?workbook=08_02.xlsx&amp;sheet=A0&amp;row=442&amp;col=12&amp;number=89780&amp;sourceID=30","89780")</f>
        <v>89780</v>
      </c>
      <c r="M442" s="4" t="str">
        <f>HYPERLINK("http://141.218.60.56/~jnz1568/getInfo.php?workbook=08_02.xlsx&amp;sheet=A0&amp;row=442&amp;col=13&amp;number=&amp;sourceID=30","")</f>
        <v/>
      </c>
      <c r="N442" s="4" t="str">
        <f>HYPERLINK("http://141.218.60.56/~jnz1568/getInfo.php?workbook=08_02.xlsx&amp;sheet=A0&amp;row=442&amp;col=14&amp;number=&amp;sourceID=30","")</f>
        <v/>
      </c>
      <c r="O442" s="4" t="str">
        <f>HYPERLINK("http://141.218.60.56/~jnz1568/getInfo.php?workbook=08_02.xlsx&amp;sheet=A0&amp;row=442&amp;col=15&amp;number=&amp;sourceID=32","")</f>
        <v/>
      </c>
      <c r="P442" s="4" t="str">
        <f>HYPERLINK("http://141.218.60.56/~jnz1568/getInfo.php?workbook=08_02.xlsx&amp;sheet=A0&amp;row=442&amp;col=16&amp;number=77810&amp;sourceID=32","77810")</f>
        <v>77810</v>
      </c>
      <c r="Q442" s="4" t="str">
        <f>HYPERLINK("http://141.218.60.56/~jnz1568/getInfo.php?workbook=08_02.xlsx&amp;sheet=A0&amp;row=442&amp;col=17&amp;number=&amp;sourceID=32","")</f>
        <v/>
      </c>
      <c r="R442" s="4" t="str">
        <f>HYPERLINK("http://141.218.60.56/~jnz1568/getInfo.php?workbook=08_02.xlsx&amp;sheet=A0&amp;row=442&amp;col=18&amp;number=&amp;sourceID=32","")</f>
        <v/>
      </c>
      <c r="S442" s="4" t="str">
        <f>HYPERLINK("http://141.218.60.56/~jnz1568/getInfo.php?workbook=08_02.xlsx&amp;sheet=A0&amp;row=442&amp;col=19&amp;number=&amp;sourceID=1","")</f>
        <v/>
      </c>
      <c r="T442" s="4" t="str">
        <f>HYPERLINK("http://141.218.60.56/~jnz1568/getInfo.php?workbook=08_02.xlsx&amp;sheet=A0&amp;row=442&amp;col=20&amp;number=&amp;sourceID=1","")</f>
        <v/>
      </c>
    </row>
    <row r="443" spans="1:20">
      <c r="A443" s="3">
        <v>8</v>
      </c>
      <c r="B443" s="3">
        <v>2</v>
      </c>
      <c r="C443" s="3">
        <v>33</v>
      </c>
      <c r="D443" s="3">
        <v>17</v>
      </c>
      <c r="E443" s="3">
        <f>((1/(INDEX(E0!J$4:J$52,C443,1)-INDEX(E0!J$4:J$52,D443,1))))*100000000</f>
        <v>0</v>
      </c>
      <c r="F443" s="4" t="str">
        <f>HYPERLINK("http://141.218.60.56/~jnz1568/getInfo.php?workbook=08_02.xlsx&amp;sheet=A0&amp;row=443&amp;col=6&amp;number=&amp;sourceID=27","")</f>
        <v/>
      </c>
      <c r="G443" s="4" t="str">
        <f>HYPERLINK("http://141.218.60.56/~jnz1568/getInfo.php?workbook=08_02.xlsx&amp;sheet=A0&amp;row=443&amp;col=7&amp;number=&amp;sourceID=34","")</f>
        <v/>
      </c>
      <c r="H443" s="4" t="str">
        <f>HYPERLINK("http://141.218.60.56/~jnz1568/getInfo.php?workbook=08_02.xlsx&amp;sheet=A0&amp;row=443&amp;col=8&amp;number=&amp;sourceID=34","")</f>
        <v/>
      </c>
      <c r="I443" s="4" t="str">
        <f>HYPERLINK("http://141.218.60.56/~jnz1568/getInfo.php?workbook=08_02.xlsx&amp;sheet=A0&amp;row=443&amp;col=9&amp;number=&amp;sourceID=34","")</f>
        <v/>
      </c>
      <c r="J443" s="4" t="str">
        <f>HYPERLINK("http://141.218.60.56/~jnz1568/getInfo.php?workbook=08_02.xlsx&amp;sheet=A0&amp;row=443&amp;col=10&amp;number=&amp;sourceID=34","")</f>
        <v/>
      </c>
      <c r="K443" s="4" t="str">
        <f>HYPERLINK("http://141.218.60.56/~jnz1568/getInfo.php?workbook=08_02.xlsx&amp;sheet=A0&amp;row=443&amp;col=11&amp;number=3961000000&amp;sourceID=30","3961000000")</f>
        <v>3961000000</v>
      </c>
      <c r="L443" s="4" t="str">
        <f>HYPERLINK("http://141.218.60.56/~jnz1568/getInfo.php?workbook=08_02.xlsx&amp;sheet=A0&amp;row=443&amp;col=12&amp;number=&amp;sourceID=30","")</f>
        <v/>
      </c>
      <c r="M443" s="4" t="str">
        <f>HYPERLINK("http://141.218.60.56/~jnz1568/getInfo.php?workbook=08_02.xlsx&amp;sheet=A0&amp;row=443&amp;col=13&amp;number=&amp;sourceID=30","")</f>
        <v/>
      </c>
      <c r="N443" s="4" t="str">
        <f>HYPERLINK("http://141.218.60.56/~jnz1568/getInfo.php?workbook=08_02.xlsx&amp;sheet=A0&amp;row=443&amp;col=14&amp;number=&amp;sourceID=30","")</f>
        <v/>
      </c>
      <c r="O443" s="4" t="str">
        <f>HYPERLINK("http://141.218.60.56/~jnz1568/getInfo.php?workbook=08_02.xlsx&amp;sheet=A0&amp;row=443&amp;col=15&amp;number=2707000000&amp;sourceID=32","2707000000")</f>
        <v>2707000000</v>
      </c>
      <c r="P443" s="4" t="str">
        <f>HYPERLINK("http://141.218.60.56/~jnz1568/getInfo.php?workbook=08_02.xlsx&amp;sheet=A0&amp;row=443&amp;col=16&amp;number=&amp;sourceID=32","")</f>
        <v/>
      </c>
      <c r="Q443" s="4" t="str">
        <f>HYPERLINK("http://141.218.60.56/~jnz1568/getInfo.php?workbook=08_02.xlsx&amp;sheet=A0&amp;row=443&amp;col=17&amp;number=&amp;sourceID=32","")</f>
        <v/>
      </c>
      <c r="R443" s="4" t="str">
        <f>HYPERLINK("http://141.218.60.56/~jnz1568/getInfo.php?workbook=08_02.xlsx&amp;sheet=A0&amp;row=443&amp;col=18&amp;number=&amp;sourceID=32","")</f>
        <v/>
      </c>
      <c r="S443" s="4" t="str">
        <f>HYPERLINK("http://141.218.60.56/~jnz1568/getInfo.php?workbook=08_02.xlsx&amp;sheet=A0&amp;row=443&amp;col=19&amp;number=&amp;sourceID=1","")</f>
        <v/>
      </c>
      <c r="T443" s="4" t="str">
        <f>HYPERLINK("http://141.218.60.56/~jnz1568/getInfo.php?workbook=08_02.xlsx&amp;sheet=A0&amp;row=443&amp;col=20&amp;number=&amp;sourceID=1","")</f>
        <v/>
      </c>
    </row>
    <row r="444" spans="1:20">
      <c r="A444" s="3">
        <v>8</v>
      </c>
      <c r="B444" s="3">
        <v>2</v>
      </c>
      <c r="C444" s="3">
        <v>33</v>
      </c>
      <c r="D444" s="3">
        <v>18</v>
      </c>
      <c r="E444" s="3">
        <f>((1/(INDEX(E0!J$4:J$52,C444,1)-INDEX(E0!J$4:J$52,D444,1))))*100000000</f>
        <v>0</v>
      </c>
      <c r="F444" s="4" t="str">
        <f>HYPERLINK("http://141.218.60.56/~jnz1568/getInfo.php?workbook=08_02.xlsx&amp;sheet=A0&amp;row=444&amp;col=6&amp;number=&amp;sourceID=27","")</f>
        <v/>
      </c>
      <c r="G444" s="4" t="str">
        <f>HYPERLINK("http://141.218.60.56/~jnz1568/getInfo.php?workbook=08_02.xlsx&amp;sheet=A0&amp;row=444&amp;col=7&amp;number=&amp;sourceID=34","")</f>
        <v/>
      </c>
      <c r="H444" s="4" t="str">
        <f>HYPERLINK("http://141.218.60.56/~jnz1568/getInfo.php?workbook=08_02.xlsx&amp;sheet=A0&amp;row=444&amp;col=8&amp;number=&amp;sourceID=34","")</f>
        <v/>
      </c>
      <c r="I444" s="4" t="str">
        <f>HYPERLINK("http://141.218.60.56/~jnz1568/getInfo.php?workbook=08_02.xlsx&amp;sheet=A0&amp;row=444&amp;col=9&amp;number=&amp;sourceID=34","")</f>
        <v/>
      </c>
      <c r="J444" s="4" t="str">
        <f>HYPERLINK("http://141.218.60.56/~jnz1568/getInfo.php?workbook=08_02.xlsx&amp;sheet=A0&amp;row=444&amp;col=10&amp;number=&amp;sourceID=34","")</f>
        <v/>
      </c>
      <c r="K444" s="4" t="str">
        <f>HYPERLINK("http://141.218.60.56/~jnz1568/getInfo.php?workbook=08_02.xlsx&amp;sheet=A0&amp;row=444&amp;col=11&amp;number=&amp;sourceID=30","")</f>
        <v/>
      </c>
      <c r="L444" s="4" t="str">
        <f>HYPERLINK("http://141.218.60.56/~jnz1568/getInfo.php?workbook=08_02.xlsx&amp;sheet=A0&amp;row=444&amp;col=12&amp;number=&amp;sourceID=30","")</f>
        <v/>
      </c>
      <c r="M444" s="4" t="str">
        <f>HYPERLINK("http://141.218.60.56/~jnz1568/getInfo.php?workbook=08_02.xlsx&amp;sheet=A0&amp;row=444&amp;col=13&amp;number=2.62e-06&amp;sourceID=30","2.62e-06")</f>
        <v>2.62e-06</v>
      </c>
      <c r="N444" s="4" t="str">
        <f>HYPERLINK("http://141.218.60.56/~jnz1568/getInfo.php?workbook=08_02.xlsx&amp;sheet=A0&amp;row=444&amp;col=14&amp;number=&amp;sourceID=30","")</f>
        <v/>
      </c>
      <c r="O444" s="4" t="str">
        <f>HYPERLINK("http://141.218.60.56/~jnz1568/getInfo.php?workbook=08_02.xlsx&amp;sheet=A0&amp;row=444&amp;col=15&amp;number=&amp;sourceID=32","")</f>
        <v/>
      </c>
      <c r="P444" s="4" t="str">
        <f>HYPERLINK("http://141.218.60.56/~jnz1568/getInfo.php?workbook=08_02.xlsx&amp;sheet=A0&amp;row=444&amp;col=16&amp;number=&amp;sourceID=32","")</f>
        <v/>
      </c>
      <c r="Q444" s="4" t="str">
        <f>HYPERLINK("http://141.218.60.56/~jnz1568/getInfo.php?workbook=08_02.xlsx&amp;sheet=A0&amp;row=444&amp;col=17&amp;number=1.14e-06&amp;sourceID=32","1.14e-06")</f>
        <v>1.14e-06</v>
      </c>
      <c r="R444" s="4" t="str">
        <f>HYPERLINK("http://141.218.60.56/~jnz1568/getInfo.php?workbook=08_02.xlsx&amp;sheet=A0&amp;row=444&amp;col=18&amp;number=&amp;sourceID=32","")</f>
        <v/>
      </c>
      <c r="S444" s="4" t="str">
        <f>HYPERLINK("http://141.218.60.56/~jnz1568/getInfo.php?workbook=08_02.xlsx&amp;sheet=A0&amp;row=444&amp;col=19&amp;number=&amp;sourceID=1","")</f>
        <v/>
      </c>
      <c r="T444" s="4" t="str">
        <f>HYPERLINK("http://141.218.60.56/~jnz1568/getInfo.php?workbook=08_02.xlsx&amp;sheet=A0&amp;row=444&amp;col=20&amp;number=&amp;sourceID=1","")</f>
        <v/>
      </c>
    </row>
    <row r="445" spans="1:20">
      <c r="A445" s="3">
        <v>8</v>
      </c>
      <c r="B445" s="3">
        <v>2</v>
      </c>
      <c r="C445" s="3">
        <v>33</v>
      </c>
      <c r="D445" s="3">
        <v>20</v>
      </c>
      <c r="E445" s="3">
        <f>((1/(INDEX(E0!J$4:J$52,C445,1)-INDEX(E0!J$4:J$52,D445,1))))*100000000</f>
        <v>0</v>
      </c>
      <c r="F445" s="4" t="str">
        <f>HYPERLINK("http://141.218.60.56/~jnz1568/getInfo.php?workbook=08_02.xlsx&amp;sheet=A0&amp;row=445&amp;col=6&amp;number=&amp;sourceID=27","")</f>
        <v/>
      </c>
      <c r="G445" s="4" t="str">
        <f>HYPERLINK("http://141.218.60.56/~jnz1568/getInfo.php?workbook=08_02.xlsx&amp;sheet=A0&amp;row=445&amp;col=7&amp;number=&amp;sourceID=34","")</f>
        <v/>
      </c>
      <c r="H445" s="4" t="str">
        <f>HYPERLINK("http://141.218.60.56/~jnz1568/getInfo.php?workbook=08_02.xlsx&amp;sheet=A0&amp;row=445&amp;col=8&amp;number=&amp;sourceID=34","")</f>
        <v/>
      </c>
      <c r="I445" s="4" t="str">
        <f>HYPERLINK("http://141.218.60.56/~jnz1568/getInfo.php?workbook=08_02.xlsx&amp;sheet=A0&amp;row=445&amp;col=9&amp;number=&amp;sourceID=34","")</f>
        <v/>
      </c>
      <c r="J445" s="4" t="str">
        <f>HYPERLINK("http://141.218.60.56/~jnz1568/getInfo.php?workbook=08_02.xlsx&amp;sheet=A0&amp;row=445&amp;col=10&amp;number=&amp;sourceID=34","")</f>
        <v/>
      </c>
      <c r="K445" s="4" t="str">
        <f>HYPERLINK("http://141.218.60.56/~jnz1568/getInfo.php?workbook=08_02.xlsx&amp;sheet=A0&amp;row=445&amp;col=11&amp;number=285500&amp;sourceID=30","285500")</f>
        <v>285500</v>
      </c>
      <c r="L445" s="4" t="str">
        <f>HYPERLINK("http://141.218.60.56/~jnz1568/getInfo.php?workbook=08_02.xlsx&amp;sheet=A0&amp;row=445&amp;col=12&amp;number=&amp;sourceID=30","")</f>
        <v/>
      </c>
      <c r="M445" s="4" t="str">
        <f>HYPERLINK("http://141.218.60.56/~jnz1568/getInfo.php?workbook=08_02.xlsx&amp;sheet=A0&amp;row=445&amp;col=13&amp;number=&amp;sourceID=30","")</f>
        <v/>
      </c>
      <c r="N445" s="4" t="str">
        <f>HYPERLINK("http://141.218.60.56/~jnz1568/getInfo.php?workbook=08_02.xlsx&amp;sheet=A0&amp;row=445&amp;col=14&amp;number=&amp;sourceID=30","")</f>
        <v/>
      </c>
      <c r="O445" s="4" t="str">
        <f>HYPERLINK("http://141.218.60.56/~jnz1568/getInfo.php?workbook=08_02.xlsx&amp;sheet=A0&amp;row=445&amp;col=15&amp;number=282100&amp;sourceID=32","282100")</f>
        <v>282100</v>
      </c>
      <c r="P445" s="4" t="str">
        <f>HYPERLINK("http://141.218.60.56/~jnz1568/getInfo.php?workbook=08_02.xlsx&amp;sheet=A0&amp;row=445&amp;col=16&amp;number=&amp;sourceID=32","")</f>
        <v/>
      </c>
      <c r="Q445" s="4" t="str">
        <f>HYPERLINK("http://141.218.60.56/~jnz1568/getInfo.php?workbook=08_02.xlsx&amp;sheet=A0&amp;row=445&amp;col=17&amp;number=&amp;sourceID=32","")</f>
        <v/>
      </c>
      <c r="R445" s="4" t="str">
        <f>HYPERLINK("http://141.218.60.56/~jnz1568/getInfo.php?workbook=08_02.xlsx&amp;sheet=A0&amp;row=445&amp;col=18&amp;number=&amp;sourceID=32","")</f>
        <v/>
      </c>
      <c r="S445" s="4" t="str">
        <f>HYPERLINK("http://141.218.60.56/~jnz1568/getInfo.php?workbook=08_02.xlsx&amp;sheet=A0&amp;row=445&amp;col=19&amp;number=&amp;sourceID=1","")</f>
        <v/>
      </c>
      <c r="T445" s="4" t="str">
        <f>HYPERLINK("http://141.218.60.56/~jnz1568/getInfo.php?workbook=08_02.xlsx&amp;sheet=A0&amp;row=445&amp;col=20&amp;number=&amp;sourceID=1","")</f>
        <v/>
      </c>
    </row>
    <row r="446" spans="1:20">
      <c r="A446" s="3">
        <v>8</v>
      </c>
      <c r="B446" s="3">
        <v>2</v>
      </c>
      <c r="C446" s="3">
        <v>33</v>
      </c>
      <c r="D446" s="3">
        <v>21</v>
      </c>
      <c r="E446" s="3">
        <f>((1/(INDEX(E0!J$4:J$52,C446,1)-INDEX(E0!J$4:J$52,D446,1))))*100000000</f>
        <v>0</v>
      </c>
      <c r="F446" s="4" t="str">
        <f>HYPERLINK("http://141.218.60.56/~jnz1568/getInfo.php?workbook=08_02.xlsx&amp;sheet=A0&amp;row=446&amp;col=6&amp;number=&amp;sourceID=27","")</f>
        <v/>
      </c>
      <c r="G446" s="4" t="str">
        <f>HYPERLINK("http://141.218.60.56/~jnz1568/getInfo.php?workbook=08_02.xlsx&amp;sheet=A0&amp;row=446&amp;col=7&amp;number=&amp;sourceID=34","")</f>
        <v/>
      </c>
      <c r="H446" s="4" t="str">
        <f>HYPERLINK("http://141.218.60.56/~jnz1568/getInfo.php?workbook=08_02.xlsx&amp;sheet=A0&amp;row=446&amp;col=8&amp;number=&amp;sourceID=34","")</f>
        <v/>
      </c>
      <c r="I446" s="4" t="str">
        <f>HYPERLINK("http://141.218.60.56/~jnz1568/getInfo.php?workbook=08_02.xlsx&amp;sheet=A0&amp;row=446&amp;col=9&amp;number=&amp;sourceID=34","")</f>
        <v/>
      </c>
      <c r="J446" s="4" t="str">
        <f>HYPERLINK("http://141.218.60.56/~jnz1568/getInfo.php?workbook=08_02.xlsx&amp;sheet=A0&amp;row=446&amp;col=10&amp;number=&amp;sourceID=34","")</f>
        <v/>
      </c>
      <c r="K446" s="4" t="str">
        <f>HYPERLINK("http://141.218.60.56/~jnz1568/getInfo.php?workbook=08_02.xlsx&amp;sheet=A0&amp;row=446&amp;col=11&amp;number=&amp;sourceID=30","")</f>
        <v/>
      </c>
      <c r="L446" s="4" t="str">
        <f>HYPERLINK("http://141.218.60.56/~jnz1568/getInfo.php?workbook=08_02.xlsx&amp;sheet=A0&amp;row=446&amp;col=12&amp;number=&amp;sourceID=30","")</f>
        <v/>
      </c>
      <c r="M446" s="4" t="str">
        <f>HYPERLINK("http://141.218.60.56/~jnz1568/getInfo.php?workbook=08_02.xlsx&amp;sheet=A0&amp;row=446&amp;col=13&amp;number=&amp;sourceID=30","")</f>
        <v/>
      </c>
      <c r="N446" s="4" t="str">
        <f>HYPERLINK("http://141.218.60.56/~jnz1568/getInfo.php?workbook=08_02.xlsx&amp;sheet=A0&amp;row=446&amp;col=14&amp;number=0.1755&amp;sourceID=30","0.1755")</f>
        <v>0.1755</v>
      </c>
      <c r="O446" s="4" t="str">
        <f>HYPERLINK("http://141.218.60.56/~jnz1568/getInfo.php?workbook=08_02.xlsx&amp;sheet=A0&amp;row=446&amp;col=15&amp;number=&amp;sourceID=32","")</f>
        <v/>
      </c>
      <c r="P446" s="4" t="str">
        <f>HYPERLINK("http://141.218.60.56/~jnz1568/getInfo.php?workbook=08_02.xlsx&amp;sheet=A0&amp;row=446&amp;col=16&amp;number=&amp;sourceID=32","")</f>
        <v/>
      </c>
      <c r="Q446" s="4" t="str">
        <f>HYPERLINK("http://141.218.60.56/~jnz1568/getInfo.php?workbook=08_02.xlsx&amp;sheet=A0&amp;row=446&amp;col=17&amp;number=&amp;sourceID=32","")</f>
        <v/>
      </c>
      <c r="R446" s="4" t="str">
        <f>HYPERLINK("http://141.218.60.56/~jnz1568/getInfo.php?workbook=08_02.xlsx&amp;sheet=A0&amp;row=446&amp;col=18&amp;number=0.1763&amp;sourceID=32","0.1763")</f>
        <v>0.1763</v>
      </c>
      <c r="S446" s="4" t="str">
        <f>HYPERLINK("http://141.218.60.56/~jnz1568/getInfo.php?workbook=08_02.xlsx&amp;sheet=A0&amp;row=446&amp;col=19&amp;number=&amp;sourceID=1","")</f>
        <v/>
      </c>
      <c r="T446" s="4" t="str">
        <f>HYPERLINK("http://141.218.60.56/~jnz1568/getInfo.php?workbook=08_02.xlsx&amp;sheet=A0&amp;row=446&amp;col=20&amp;number=&amp;sourceID=1","")</f>
        <v/>
      </c>
    </row>
    <row r="447" spans="1:20">
      <c r="A447" s="3">
        <v>8</v>
      </c>
      <c r="B447" s="3">
        <v>2</v>
      </c>
      <c r="C447" s="3">
        <v>33</v>
      </c>
      <c r="D447" s="3">
        <v>23</v>
      </c>
      <c r="E447" s="3">
        <f>((1/(INDEX(E0!J$4:J$52,C447,1)-INDEX(E0!J$4:J$52,D447,1))))*100000000</f>
        <v>0</v>
      </c>
      <c r="F447" s="4" t="str">
        <f>HYPERLINK("http://141.218.60.56/~jnz1568/getInfo.php?workbook=08_02.xlsx&amp;sheet=A0&amp;row=447&amp;col=6&amp;number=&amp;sourceID=27","")</f>
        <v/>
      </c>
      <c r="G447" s="4" t="str">
        <f>HYPERLINK("http://141.218.60.56/~jnz1568/getInfo.php?workbook=08_02.xlsx&amp;sheet=A0&amp;row=447&amp;col=7&amp;number=&amp;sourceID=34","")</f>
        <v/>
      </c>
      <c r="H447" s="4" t="str">
        <f>HYPERLINK("http://141.218.60.56/~jnz1568/getInfo.php?workbook=08_02.xlsx&amp;sheet=A0&amp;row=447&amp;col=8&amp;number=&amp;sourceID=34","")</f>
        <v/>
      </c>
      <c r="I447" s="4" t="str">
        <f>HYPERLINK("http://141.218.60.56/~jnz1568/getInfo.php?workbook=08_02.xlsx&amp;sheet=A0&amp;row=447&amp;col=9&amp;number=&amp;sourceID=34","")</f>
        <v/>
      </c>
      <c r="J447" s="4" t="str">
        <f>HYPERLINK("http://141.218.60.56/~jnz1568/getInfo.php?workbook=08_02.xlsx&amp;sheet=A0&amp;row=447&amp;col=10&amp;number=&amp;sourceID=34","")</f>
        <v/>
      </c>
      <c r="K447" s="4" t="str">
        <f>HYPERLINK("http://141.218.60.56/~jnz1568/getInfo.php?workbook=08_02.xlsx&amp;sheet=A0&amp;row=447&amp;col=11&amp;number=&amp;sourceID=30","")</f>
        <v/>
      </c>
      <c r="L447" s="4" t="str">
        <f>HYPERLINK("http://141.218.60.56/~jnz1568/getInfo.php?workbook=08_02.xlsx&amp;sheet=A0&amp;row=447&amp;col=12&amp;number=&amp;sourceID=30","")</f>
        <v/>
      </c>
      <c r="M447" s="4" t="str">
        <f>HYPERLINK("http://141.218.60.56/~jnz1568/getInfo.php?workbook=08_02.xlsx&amp;sheet=A0&amp;row=447&amp;col=13&amp;number=1.825e-07&amp;sourceID=30","1.825e-07")</f>
        <v>1.825e-07</v>
      </c>
      <c r="N447" s="4" t="str">
        <f>HYPERLINK("http://141.218.60.56/~jnz1568/getInfo.php?workbook=08_02.xlsx&amp;sheet=A0&amp;row=447&amp;col=14&amp;number=&amp;sourceID=30","")</f>
        <v/>
      </c>
      <c r="O447" s="4" t="str">
        <f>HYPERLINK("http://141.218.60.56/~jnz1568/getInfo.php?workbook=08_02.xlsx&amp;sheet=A0&amp;row=447&amp;col=15&amp;number=&amp;sourceID=32","")</f>
        <v/>
      </c>
      <c r="P447" s="4" t="str">
        <f>HYPERLINK("http://141.218.60.56/~jnz1568/getInfo.php?workbook=08_02.xlsx&amp;sheet=A0&amp;row=447&amp;col=16&amp;number=&amp;sourceID=32","")</f>
        <v/>
      </c>
      <c r="Q447" s="4" t="str">
        <f>HYPERLINK("http://141.218.60.56/~jnz1568/getInfo.php?workbook=08_02.xlsx&amp;sheet=A0&amp;row=447&amp;col=17&amp;number=3.794e-07&amp;sourceID=32","3.794e-07")</f>
        <v>3.794e-07</v>
      </c>
      <c r="R447" s="4" t="str">
        <f>HYPERLINK("http://141.218.60.56/~jnz1568/getInfo.php?workbook=08_02.xlsx&amp;sheet=A0&amp;row=447&amp;col=18&amp;number=&amp;sourceID=32","")</f>
        <v/>
      </c>
      <c r="S447" s="4" t="str">
        <f>HYPERLINK("http://141.218.60.56/~jnz1568/getInfo.php?workbook=08_02.xlsx&amp;sheet=A0&amp;row=447&amp;col=19&amp;number=&amp;sourceID=1","")</f>
        <v/>
      </c>
      <c r="T447" s="4" t="str">
        <f>HYPERLINK("http://141.218.60.56/~jnz1568/getInfo.php?workbook=08_02.xlsx&amp;sheet=A0&amp;row=447&amp;col=20&amp;number=&amp;sourceID=1","")</f>
        <v/>
      </c>
    </row>
    <row r="448" spans="1:20">
      <c r="A448" s="3">
        <v>8</v>
      </c>
      <c r="B448" s="3">
        <v>2</v>
      </c>
      <c r="C448" s="3">
        <v>33</v>
      </c>
      <c r="D448" s="3">
        <v>24</v>
      </c>
      <c r="E448" s="3">
        <f>((1/(INDEX(E0!J$4:J$52,C448,1)-INDEX(E0!J$4:J$52,D448,1))))*100000000</f>
        <v>0</v>
      </c>
      <c r="F448" s="4" t="str">
        <f>HYPERLINK("http://141.218.60.56/~jnz1568/getInfo.php?workbook=08_02.xlsx&amp;sheet=A0&amp;row=448&amp;col=6&amp;number=&amp;sourceID=27","")</f>
        <v/>
      </c>
      <c r="G448" s="4" t="str">
        <f>HYPERLINK("http://141.218.60.56/~jnz1568/getInfo.php?workbook=08_02.xlsx&amp;sheet=A0&amp;row=448&amp;col=7&amp;number=&amp;sourceID=34","")</f>
        <v/>
      </c>
      <c r="H448" s="4" t="str">
        <f>HYPERLINK("http://141.218.60.56/~jnz1568/getInfo.php?workbook=08_02.xlsx&amp;sheet=A0&amp;row=448&amp;col=8&amp;number=&amp;sourceID=34","")</f>
        <v/>
      </c>
      <c r="I448" s="4" t="str">
        <f>HYPERLINK("http://141.218.60.56/~jnz1568/getInfo.php?workbook=08_02.xlsx&amp;sheet=A0&amp;row=448&amp;col=9&amp;number=&amp;sourceID=34","")</f>
        <v/>
      </c>
      <c r="J448" s="4" t="str">
        <f>HYPERLINK("http://141.218.60.56/~jnz1568/getInfo.php?workbook=08_02.xlsx&amp;sheet=A0&amp;row=448&amp;col=10&amp;number=&amp;sourceID=34","")</f>
        <v/>
      </c>
      <c r="K448" s="4" t="str">
        <f>HYPERLINK("http://141.218.60.56/~jnz1568/getInfo.php?workbook=08_02.xlsx&amp;sheet=A0&amp;row=448&amp;col=11&amp;number=&amp;sourceID=30","")</f>
        <v/>
      </c>
      <c r="L448" s="4" t="str">
        <f>HYPERLINK("http://141.218.60.56/~jnz1568/getInfo.php?workbook=08_02.xlsx&amp;sheet=A0&amp;row=448&amp;col=12&amp;number=322.1&amp;sourceID=30","322.1")</f>
        <v>322.1</v>
      </c>
      <c r="M448" s="4" t="str">
        <f>HYPERLINK("http://141.218.60.56/~jnz1568/getInfo.php?workbook=08_02.xlsx&amp;sheet=A0&amp;row=448&amp;col=13&amp;number=&amp;sourceID=30","")</f>
        <v/>
      </c>
      <c r="N448" s="4" t="str">
        <f>HYPERLINK("http://141.218.60.56/~jnz1568/getInfo.php?workbook=08_02.xlsx&amp;sheet=A0&amp;row=448&amp;col=14&amp;number=&amp;sourceID=30","")</f>
        <v/>
      </c>
      <c r="O448" s="4" t="str">
        <f>HYPERLINK("http://141.218.60.56/~jnz1568/getInfo.php?workbook=08_02.xlsx&amp;sheet=A0&amp;row=448&amp;col=15&amp;number=&amp;sourceID=32","")</f>
        <v/>
      </c>
      <c r="P448" s="4" t="str">
        <f>HYPERLINK("http://141.218.60.56/~jnz1568/getInfo.php?workbook=08_02.xlsx&amp;sheet=A0&amp;row=448&amp;col=16&amp;number=391.9&amp;sourceID=32","391.9")</f>
        <v>391.9</v>
      </c>
      <c r="Q448" s="4" t="str">
        <f>HYPERLINK("http://141.218.60.56/~jnz1568/getInfo.php?workbook=08_02.xlsx&amp;sheet=A0&amp;row=448&amp;col=17&amp;number=&amp;sourceID=32","")</f>
        <v/>
      </c>
      <c r="R448" s="4" t="str">
        <f>HYPERLINK("http://141.218.60.56/~jnz1568/getInfo.php?workbook=08_02.xlsx&amp;sheet=A0&amp;row=448&amp;col=18&amp;number=&amp;sourceID=32","")</f>
        <v/>
      </c>
      <c r="S448" s="4" t="str">
        <f>HYPERLINK("http://141.218.60.56/~jnz1568/getInfo.php?workbook=08_02.xlsx&amp;sheet=A0&amp;row=448&amp;col=19&amp;number=&amp;sourceID=1","")</f>
        <v/>
      </c>
      <c r="T448" s="4" t="str">
        <f>HYPERLINK("http://141.218.60.56/~jnz1568/getInfo.php?workbook=08_02.xlsx&amp;sheet=A0&amp;row=448&amp;col=20&amp;number=&amp;sourceID=1","")</f>
        <v/>
      </c>
    </row>
    <row r="449" spans="1:20">
      <c r="A449" s="3">
        <v>8</v>
      </c>
      <c r="B449" s="3">
        <v>2</v>
      </c>
      <c r="C449" s="3">
        <v>33</v>
      </c>
      <c r="D449" s="3">
        <v>28</v>
      </c>
      <c r="E449" s="3">
        <f>((1/(INDEX(E0!J$4:J$52,C449,1)-INDEX(E0!J$4:J$52,D449,1))))*100000000</f>
        <v>0</v>
      </c>
      <c r="F449" s="4" t="str">
        <f>HYPERLINK("http://141.218.60.56/~jnz1568/getInfo.php?workbook=08_02.xlsx&amp;sheet=A0&amp;row=449&amp;col=6&amp;number=&amp;sourceID=27","")</f>
        <v/>
      </c>
      <c r="G449" s="4" t="str">
        <f>HYPERLINK("http://141.218.60.56/~jnz1568/getInfo.php?workbook=08_02.xlsx&amp;sheet=A0&amp;row=449&amp;col=7&amp;number=&amp;sourceID=34","")</f>
        <v/>
      </c>
      <c r="H449" s="4" t="str">
        <f>HYPERLINK("http://141.218.60.56/~jnz1568/getInfo.php?workbook=08_02.xlsx&amp;sheet=A0&amp;row=449&amp;col=8&amp;number=&amp;sourceID=34","")</f>
        <v/>
      </c>
      <c r="I449" s="4" t="str">
        <f>HYPERLINK("http://141.218.60.56/~jnz1568/getInfo.php?workbook=08_02.xlsx&amp;sheet=A0&amp;row=449&amp;col=9&amp;number=&amp;sourceID=34","")</f>
        <v/>
      </c>
      <c r="J449" s="4" t="str">
        <f>HYPERLINK("http://141.218.60.56/~jnz1568/getInfo.php?workbook=08_02.xlsx&amp;sheet=A0&amp;row=449&amp;col=10&amp;number=&amp;sourceID=34","")</f>
        <v/>
      </c>
      <c r="K449" s="4" t="str">
        <f>HYPERLINK("http://141.218.60.56/~jnz1568/getInfo.php?workbook=08_02.xlsx&amp;sheet=A0&amp;row=449&amp;col=11&amp;number=&amp;sourceID=30","")</f>
        <v/>
      </c>
      <c r="L449" s="4" t="str">
        <f>HYPERLINK("http://141.218.60.56/~jnz1568/getInfo.php?workbook=08_02.xlsx&amp;sheet=A0&amp;row=449&amp;col=12&amp;number=&amp;sourceID=30","")</f>
        <v/>
      </c>
      <c r="M449" s="4" t="str">
        <f>HYPERLINK("http://141.218.60.56/~jnz1568/getInfo.php?workbook=08_02.xlsx&amp;sheet=A0&amp;row=449&amp;col=13&amp;number=&amp;sourceID=30","")</f>
        <v/>
      </c>
      <c r="N449" s="4" t="str">
        <f>HYPERLINK("http://141.218.60.56/~jnz1568/getInfo.php?workbook=08_02.xlsx&amp;sheet=A0&amp;row=449&amp;col=14&amp;number=2.081e-10&amp;sourceID=30","2.081e-10")</f>
        <v>2.081e-10</v>
      </c>
      <c r="O449" s="4" t="str">
        <f>HYPERLINK("http://141.218.60.56/~jnz1568/getInfo.php?workbook=08_02.xlsx&amp;sheet=A0&amp;row=449&amp;col=15&amp;number=&amp;sourceID=32","")</f>
        <v/>
      </c>
      <c r="P449" s="4" t="str">
        <f>HYPERLINK("http://141.218.60.56/~jnz1568/getInfo.php?workbook=08_02.xlsx&amp;sheet=A0&amp;row=449&amp;col=16&amp;number=&amp;sourceID=32","")</f>
        <v/>
      </c>
      <c r="Q449" s="4" t="str">
        <f>HYPERLINK("http://141.218.60.56/~jnz1568/getInfo.php?workbook=08_02.xlsx&amp;sheet=A0&amp;row=449&amp;col=17&amp;number=&amp;sourceID=32","")</f>
        <v/>
      </c>
      <c r="R449" s="4" t="str">
        <f>HYPERLINK("http://141.218.60.56/~jnz1568/getInfo.php?workbook=08_02.xlsx&amp;sheet=A0&amp;row=449&amp;col=18&amp;number=1.969e-10&amp;sourceID=32","1.969e-10")</f>
        <v>1.969e-10</v>
      </c>
      <c r="S449" s="4" t="str">
        <f>HYPERLINK("http://141.218.60.56/~jnz1568/getInfo.php?workbook=08_02.xlsx&amp;sheet=A0&amp;row=449&amp;col=19&amp;number=&amp;sourceID=1","")</f>
        <v/>
      </c>
      <c r="T449" s="4" t="str">
        <f>HYPERLINK("http://141.218.60.56/~jnz1568/getInfo.php?workbook=08_02.xlsx&amp;sheet=A0&amp;row=449&amp;col=20&amp;number=&amp;sourceID=1","")</f>
        <v/>
      </c>
    </row>
    <row r="450" spans="1:20">
      <c r="A450" s="3">
        <v>8</v>
      </c>
      <c r="B450" s="3">
        <v>2</v>
      </c>
      <c r="C450" s="3">
        <v>33</v>
      </c>
      <c r="D450" s="3">
        <v>29</v>
      </c>
      <c r="E450" s="3">
        <f>((1/(INDEX(E0!J$4:J$52,C450,1)-INDEX(E0!J$4:J$52,D450,1))))*100000000</f>
        <v>0</v>
      </c>
      <c r="F450" s="4" t="str">
        <f>HYPERLINK("http://141.218.60.56/~jnz1568/getInfo.php?workbook=08_02.xlsx&amp;sheet=A0&amp;row=450&amp;col=6&amp;number=&amp;sourceID=27","")</f>
        <v/>
      </c>
      <c r="G450" s="4" t="str">
        <f>HYPERLINK("http://141.218.60.56/~jnz1568/getInfo.php?workbook=08_02.xlsx&amp;sheet=A0&amp;row=450&amp;col=7&amp;number=&amp;sourceID=34","")</f>
        <v/>
      </c>
      <c r="H450" s="4" t="str">
        <f>HYPERLINK("http://141.218.60.56/~jnz1568/getInfo.php?workbook=08_02.xlsx&amp;sheet=A0&amp;row=450&amp;col=8&amp;number=&amp;sourceID=34","")</f>
        <v/>
      </c>
      <c r="I450" s="4" t="str">
        <f>HYPERLINK("http://141.218.60.56/~jnz1568/getInfo.php?workbook=08_02.xlsx&amp;sheet=A0&amp;row=450&amp;col=9&amp;number=&amp;sourceID=34","")</f>
        <v/>
      </c>
      <c r="J450" s="4" t="str">
        <f>HYPERLINK("http://141.218.60.56/~jnz1568/getInfo.php?workbook=08_02.xlsx&amp;sheet=A0&amp;row=450&amp;col=10&amp;number=&amp;sourceID=34","")</f>
        <v/>
      </c>
      <c r="K450" s="4" t="str">
        <f>HYPERLINK("http://141.218.60.56/~jnz1568/getInfo.php?workbook=08_02.xlsx&amp;sheet=A0&amp;row=450&amp;col=11&amp;number=&amp;sourceID=30","")</f>
        <v/>
      </c>
      <c r="L450" s="4" t="str">
        <f>HYPERLINK("http://141.218.60.56/~jnz1568/getInfo.php?workbook=08_02.xlsx&amp;sheet=A0&amp;row=450&amp;col=12&amp;number=41230&amp;sourceID=30","41230")</f>
        <v>41230</v>
      </c>
      <c r="M450" s="4" t="str">
        <f>HYPERLINK("http://141.218.60.56/~jnz1568/getInfo.php?workbook=08_02.xlsx&amp;sheet=A0&amp;row=450&amp;col=13&amp;number=&amp;sourceID=30","")</f>
        <v/>
      </c>
      <c r="N450" s="4" t="str">
        <f>HYPERLINK("http://141.218.60.56/~jnz1568/getInfo.php?workbook=08_02.xlsx&amp;sheet=A0&amp;row=450&amp;col=14&amp;number=&amp;sourceID=30","")</f>
        <v/>
      </c>
      <c r="O450" s="4" t="str">
        <f>HYPERLINK("http://141.218.60.56/~jnz1568/getInfo.php?workbook=08_02.xlsx&amp;sheet=A0&amp;row=450&amp;col=15&amp;number=&amp;sourceID=32","")</f>
        <v/>
      </c>
      <c r="P450" s="4" t="str">
        <f>HYPERLINK("http://141.218.60.56/~jnz1568/getInfo.php?workbook=08_02.xlsx&amp;sheet=A0&amp;row=450&amp;col=16&amp;number=39700&amp;sourceID=32","39700")</f>
        <v>39700</v>
      </c>
      <c r="Q450" s="4" t="str">
        <f>HYPERLINK("http://141.218.60.56/~jnz1568/getInfo.php?workbook=08_02.xlsx&amp;sheet=A0&amp;row=450&amp;col=17&amp;number=&amp;sourceID=32","")</f>
        <v/>
      </c>
      <c r="R450" s="4" t="str">
        <f>HYPERLINK("http://141.218.60.56/~jnz1568/getInfo.php?workbook=08_02.xlsx&amp;sheet=A0&amp;row=450&amp;col=18&amp;number=&amp;sourceID=32","")</f>
        <v/>
      </c>
      <c r="S450" s="4" t="str">
        <f>HYPERLINK("http://141.218.60.56/~jnz1568/getInfo.php?workbook=08_02.xlsx&amp;sheet=A0&amp;row=450&amp;col=19&amp;number=&amp;sourceID=1","")</f>
        <v/>
      </c>
      <c r="T450" s="4" t="str">
        <f>HYPERLINK("http://141.218.60.56/~jnz1568/getInfo.php?workbook=08_02.xlsx&amp;sheet=A0&amp;row=450&amp;col=20&amp;number=&amp;sourceID=1","")</f>
        <v/>
      </c>
    </row>
    <row r="451" spans="1:20">
      <c r="A451" s="3">
        <v>8</v>
      </c>
      <c r="B451" s="3">
        <v>2</v>
      </c>
      <c r="C451" s="3">
        <v>33</v>
      </c>
      <c r="D451" s="3">
        <v>31</v>
      </c>
      <c r="E451" s="3">
        <f>((1/(INDEX(E0!J$4:J$52,C451,1)-INDEX(E0!J$4:J$52,D451,1))))*100000000</f>
        <v>0</v>
      </c>
      <c r="F451" s="4" t="str">
        <f>HYPERLINK("http://141.218.60.56/~jnz1568/getInfo.php?workbook=08_02.xlsx&amp;sheet=A0&amp;row=451&amp;col=6&amp;number=&amp;sourceID=27","")</f>
        <v/>
      </c>
      <c r="G451" s="4" t="str">
        <f>HYPERLINK("http://141.218.60.56/~jnz1568/getInfo.php?workbook=08_02.xlsx&amp;sheet=A0&amp;row=451&amp;col=7&amp;number=&amp;sourceID=34","")</f>
        <v/>
      </c>
      <c r="H451" s="4" t="str">
        <f>HYPERLINK("http://141.218.60.56/~jnz1568/getInfo.php?workbook=08_02.xlsx&amp;sheet=A0&amp;row=451&amp;col=8&amp;number=&amp;sourceID=34","")</f>
        <v/>
      </c>
      <c r="I451" s="4" t="str">
        <f>HYPERLINK("http://141.218.60.56/~jnz1568/getInfo.php?workbook=08_02.xlsx&amp;sheet=A0&amp;row=451&amp;col=9&amp;number=&amp;sourceID=34","")</f>
        <v/>
      </c>
      <c r="J451" s="4" t="str">
        <f>HYPERLINK("http://141.218.60.56/~jnz1568/getInfo.php?workbook=08_02.xlsx&amp;sheet=A0&amp;row=451&amp;col=10&amp;number=&amp;sourceID=34","")</f>
        <v/>
      </c>
      <c r="K451" s="4" t="str">
        <f>HYPERLINK("http://141.218.60.56/~jnz1568/getInfo.php?workbook=08_02.xlsx&amp;sheet=A0&amp;row=451&amp;col=11&amp;number=2173000000&amp;sourceID=30","2173000000")</f>
        <v>2173000000</v>
      </c>
      <c r="L451" s="4" t="str">
        <f>HYPERLINK("http://141.218.60.56/~jnz1568/getInfo.php?workbook=08_02.xlsx&amp;sheet=A0&amp;row=451&amp;col=12&amp;number=&amp;sourceID=30","")</f>
        <v/>
      </c>
      <c r="M451" s="4" t="str">
        <f>HYPERLINK("http://141.218.60.56/~jnz1568/getInfo.php?workbook=08_02.xlsx&amp;sheet=A0&amp;row=451&amp;col=13&amp;number=&amp;sourceID=30","")</f>
        <v/>
      </c>
      <c r="N451" s="4" t="str">
        <f>HYPERLINK("http://141.218.60.56/~jnz1568/getInfo.php?workbook=08_02.xlsx&amp;sheet=A0&amp;row=451&amp;col=14&amp;number=&amp;sourceID=30","")</f>
        <v/>
      </c>
      <c r="O451" s="4" t="str">
        <f>HYPERLINK("http://141.218.60.56/~jnz1568/getInfo.php?workbook=08_02.xlsx&amp;sheet=A0&amp;row=451&amp;col=15&amp;number=1924000000&amp;sourceID=32","1924000000")</f>
        <v>1924000000</v>
      </c>
      <c r="P451" s="4" t="str">
        <f>HYPERLINK("http://141.218.60.56/~jnz1568/getInfo.php?workbook=08_02.xlsx&amp;sheet=A0&amp;row=451&amp;col=16&amp;number=&amp;sourceID=32","")</f>
        <v/>
      </c>
      <c r="Q451" s="4" t="str">
        <f>HYPERLINK("http://141.218.60.56/~jnz1568/getInfo.php?workbook=08_02.xlsx&amp;sheet=A0&amp;row=451&amp;col=17&amp;number=&amp;sourceID=32","")</f>
        <v/>
      </c>
      <c r="R451" s="4" t="str">
        <f>HYPERLINK("http://141.218.60.56/~jnz1568/getInfo.php?workbook=08_02.xlsx&amp;sheet=A0&amp;row=451&amp;col=18&amp;number=&amp;sourceID=32","")</f>
        <v/>
      </c>
      <c r="S451" s="4" t="str">
        <f>HYPERLINK("http://141.218.60.56/~jnz1568/getInfo.php?workbook=08_02.xlsx&amp;sheet=A0&amp;row=451&amp;col=19&amp;number=&amp;sourceID=1","")</f>
        <v/>
      </c>
      <c r="T451" s="4" t="str">
        <f>HYPERLINK("http://141.218.60.56/~jnz1568/getInfo.php?workbook=08_02.xlsx&amp;sheet=A0&amp;row=451&amp;col=20&amp;number=&amp;sourceID=1","")</f>
        <v/>
      </c>
    </row>
    <row r="452" spans="1:20">
      <c r="A452" s="3">
        <v>8</v>
      </c>
      <c r="B452" s="3">
        <v>2</v>
      </c>
      <c r="C452" s="3">
        <v>33</v>
      </c>
      <c r="D452" s="3">
        <v>32</v>
      </c>
      <c r="E452" s="3">
        <f>((1/(INDEX(E0!J$4:J$52,C452,1)-INDEX(E0!J$4:J$52,D452,1))))*100000000</f>
        <v>0</v>
      </c>
      <c r="F452" s="4" t="str">
        <f>HYPERLINK("http://141.218.60.56/~jnz1568/getInfo.php?workbook=08_02.xlsx&amp;sheet=A0&amp;row=452&amp;col=6&amp;number=&amp;sourceID=27","")</f>
        <v/>
      </c>
      <c r="G452" s="4" t="str">
        <f>HYPERLINK("http://141.218.60.56/~jnz1568/getInfo.php?workbook=08_02.xlsx&amp;sheet=A0&amp;row=452&amp;col=7&amp;number=&amp;sourceID=34","")</f>
        <v/>
      </c>
      <c r="H452" s="4" t="str">
        <f>HYPERLINK("http://141.218.60.56/~jnz1568/getInfo.php?workbook=08_02.xlsx&amp;sheet=A0&amp;row=452&amp;col=8&amp;number=&amp;sourceID=34","")</f>
        <v/>
      </c>
      <c r="I452" s="4" t="str">
        <f>HYPERLINK("http://141.218.60.56/~jnz1568/getInfo.php?workbook=08_02.xlsx&amp;sheet=A0&amp;row=452&amp;col=9&amp;number=&amp;sourceID=34","")</f>
        <v/>
      </c>
      <c r="J452" s="4" t="str">
        <f>HYPERLINK("http://141.218.60.56/~jnz1568/getInfo.php?workbook=08_02.xlsx&amp;sheet=A0&amp;row=452&amp;col=10&amp;number=&amp;sourceID=34","")</f>
        <v/>
      </c>
      <c r="K452" s="4" t="str">
        <f>HYPERLINK("http://141.218.60.56/~jnz1568/getInfo.php?workbook=08_02.xlsx&amp;sheet=A0&amp;row=452&amp;col=11&amp;number=&amp;sourceID=30","")</f>
        <v/>
      </c>
      <c r="L452" s="4" t="str">
        <f>HYPERLINK("http://141.218.60.56/~jnz1568/getInfo.php?workbook=08_02.xlsx&amp;sheet=A0&amp;row=452&amp;col=12&amp;number=&amp;sourceID=30","")</f>
        <v/>
      </c>
      <c r="M452" s="4" t="str">
        <f>HYPERLINK("http://141.218.60.56/~jnz1568/getInfo.php?workbook=08_02.xlsx&amp;sheet=A0&amp;row=452&amp;col=13&amp;number=5.918e-06&amp;sourceID=30","5.918e-06")</f>
        <v>5.918e-06</v>
      </c>
      <c r="N452" s="4" t="str">
        <f>HYPERLINK("http://141.218.60.56/~jnz1568/getInfo.php?workbook=08_02.xlsx&amp;sheet=A0&amp;row=452&amp;col=14&amp;number=&amp;sourceID=30","")</f>
        <v/>
      </c>
      <c r="O452" s="4" t="str">
        <f>HYPERLINK("http://141.218.60.56/~jnz1568/getInfo.php?workbook=08_02.xlsx&amp;sheet=A0&amp;row=452&amp;col=15&amp;number=&amp;sourceID=32","")</f>
        <v/>
      </c>
      <c r="P452" s="4" t="str">
        <f>HYPERLINK("http://141.218.60.56/~jnz1568/getInfo.php?workbook=08_02.xlsx&amp;sheet=A0&amp;row=452&amp;col=16&amp;number=&amp;sourceID=32","")</f>
        <v/>
      </c>
      <c r="Q452" s="4" t="str">
        <f>HYPERLINK("http://141.218.60.56/~jnz1568/getInfo.php?workbook=08_02.xlsx&amp;sheet=A0&amp;row=452&amp;col=17&amp;number=3.829e-06&amp;sourceID=32","3.829e-06")</f>
        <v>3.829e-06</v>
      </c>
      <c r="R452" s="4" t="str">
        <f>HYPERLINK("http://141.218.60.56/~jnz1568/getInfo.php?workbook=08_02.xlsx&amp;sheet=A0&amp;row=452&amp;col=18&amp;number=&amp;sourceID=32","")</f>
        <v/>
      </c>
      <c r="S452" s="4" t="str">
        <f>HYPERLINK("http://141.218.60.56/~jnz1568/getInfo.php?workbook=08_02.xlsx&amp;sheet=A0&amp;row=452&amp;col=19&amp;number=&amp;sourceID=1","")</f>
        <v/>
      </c>
      <c r="T452" s="4" t="str">
        <f>HYPERLINK("http://141.218.60.56/~jnz1568/getInfo.php?workbook=08_02.xlsx&amp;sheet=A0&amp;row=452&amp;col=20&amp;number=&amp;sourceID=1","")</f>
        <v/>
      </c>
    </row>
    <row r="453" spans="1:20">
      <c r="A453" s="3">
        <v>8</v>
      </c>
      <c r="B453" s="3">
        <v>2</v>
      </c>
      <c r="C453" s="3">
        <v>33</v>
      </c>
      <c r="D453" s="3">
        <v>35</v>
      </c>
      <c r="E453" s="3">
        <f>((1/(INDEX(E0!J$4:J$52,C453,1)-INDEX(E0!J$4:J$52,D453,1))))*100000000</f>
        <v>0</v>
      </c>
      <c r="F453" s="4" t="str">
        <f>HYPERLINK("http://141.218.60.56/~jnz1568/getInfo.php?workbook=08_02.xlsx&amp;sheet=A0&amp;row=453&amp;col=6&amp;number=&amp;sourceID=27","")</f>
        <v/>
      </c>
      <c r="G453" s="4" t="str">
        <f>HYPERLINK("http://141.218.60.56/~jnz1568/getInfo.php?workbook=08_02.xlsx&amp;sheet=A0&amp;row=453&amp;col=7&amp;number=&amp;sourceID=34","")</f>
        <v/>
      </c>
      <c r="H453" s="4" t="str">
        <f>HYPERLINK("http://141.218.60.56/~jnz1568/getInfo.php?workbook=08_02.xlsx&amp;sheet=A0&amp;row=453&amp;col=8&amp;number=&amp;sourceID=34","")</f>
        <v/>
      </c>
      <c r="I453" s="4" t="str">
        <f>HYPERLINK("http://141.218.60.56/~jnz1568/getInfo.php?workbook=08_02.xlsx&amp;sheet=A0&amp;row=453&amp;col=9&amp;number=&amp;sourceID=34","")</f>
        <v/>
      </c>
      <c r="J453" s="4" t="str">
        <f>HYPERLINK("http://141.218.60.56/~jnz1568/getInfo.php?workbook=08_02.xlsx&amp;sheet=A0&amp;row=453&amp;col=10&amp;number=&amp;sourceID=34","")</f>
        <v/>
      </c>
      <c r="K453" s="4" t="str">
        <f>HYPERLINK("http://141.218.60.56/~jnz1568/getInfo.php?workbook=08_02.xlsx&amp;sheet=A0&amp;row=453&amp;col=11&amp;number=0.9372&amp;sourceID=30","0.9372")</f>
        <v>0.9372</v>
      </c>
      <c r="L453" s="4" t="str">
        <f>HYPERLINK("http://141.218.60.56/~jnz1568/getInfo.php?workbook=08_02.xlsx&amp;sheet=A0&amp;row=453&amp;col=12&amp;number=&amp;sourceID=30","")</f>
        <v/>
      </c>
      <c r="M453" s="4" t="str">
        <f>HYPERLINK("http://141.218.60.56/~jnz1568/getInfo.php?workbook=08_02.xlsx&amp;sheet=A0&amp;row=453&amp;col=13&amp;number=&amp;sourceID=30","")</f>
        <v/>
      </c>
      <c r="N453" s="4" t="str">
        <f>HYPERLINK("http://141.218.60.56/~jnz1568/getInfo.php?workbook=08_02.xlsx&amp;sheet=A0&amp;row=453&amp;col=14&amp;number=&amp;sourceID=30","")</f>
        <v/>
      </c>
      <c r="O453" s="4" t="str">
        <f>HYPERLINK("http://141.218.60.56/~jnz1568/getInfo.php?workbook=08_02.xlsx&amp;sheet=A0&amp;row=453&amp;col=15&amp;number=&amp;sourceID=32","")</f>
        <v/>
      </c>
      <c r="P453" s="4" t="str">
        <f>HYPERLINK("http://141.218.60.56/~jnz1568/getInfo.php?workbook=08_02.xlsx&amp;sheet=A0&amp;row=453&amp;col=16&amp;number=&amp;sourceID=32","")</f>
        <v/>
      </c>
      <c r="Q453" s="4" t="str">
        <f>HYPERLINK("http://141.218.60.56/~jnz1568/getInfo.php?workbook=08_02.xlsx&amp;sheet=A0&amp;row=453&amp;col=17&amp;number=&amp;sourceID=32","")</f>
        <v/>
      </c>
      <c r="R453" s="4" t="str">
        <f>HYPERLINK("http://141.218.60.56/~jnz1568/getInfo.php?workbook=08_02.xlsx&amp;sheet=A0&amp;row=453&amp;col=18&amp;number=&amp;sourceID=32","")</f>
        <v/>
      </c>
      <c r="S453" s="4" t="str">
        <f>HYPERLINK("http://141.218.60.56/~jnz1568/getInfo.php?workbook=08_02.xlsx&amp;sheet=A0&amp;row=453&amp;col=19&amp;number=&amp;sourceID=1","")</f>
        <v/>
      </c>
      <c r="T453" s="4" t="str">
        <f>HYPERLINK("http://141.218.60.56/~jnz1568/getInfo.php?workbook=08_02.xlsx&amp;sheet=A0&amp;row=453&amp;col=20&amp;number=&amp;sourceID=1","")</f>
        <v/>
      </c>
    </row>
    <row r="454" spans="1:20">
      <c r="A454" s="3">
        <v>8</v>
      </c>
      <c r="B454" s="3">
        <v>2</v>
      </c>
      <c r="C454" s="3">
        <v>33</v>
      </c>
      <c r="D454" s="3">
        <v>36</v>
      </c>
      <c r="E454" s="3">
        <f>((1/(INDEX(E0!J$4:J$52,C454,1)-INDEX(E0!J$4:J$52,D454,1))))*100000000</f>
        <v>0</v>
      </c>
      <c r="F454" s="4" t="str">
        <f>HYPERLINK("http://141.218.60.56/~jnz1568/getInfo.php?workbook=08_02.xlsx&amp;sheet=A0&amp;row=454&amp;col=6&amp;number=&amp;sourceID=27","")</f>
        <v/>
      </c>
      <c r="G454" s="4" t="str">
        <f>HYPERLINK("http://141.218.60.56/~jnz1568/getInfo.php?workbook=08_02.xlsx&amp;sheet=A0&amp;row=454&amp;col=7&amp;number=&amp;sourceID=34","")</f>
        <v/>
      </c>
      <c r="H454" s="4" t="str">
        <f>HYPERLINK("http://141.218.60.56/~jnz1568/getInfo.php?workbook=08_02.xlsx&amp;sheet=A0&amp;row=454&amp;col=8&amp;number=&amp;sourceID=34","")</f>
        <v/>
      </c>
      <c r="I454" s="4" t="str">
        <f>HYPERLINK("http://141.218.60.56/~jnz1568/getInfo.php?workbook=08_02.xlsx&amp;sheet=A0&amp;row=454&amp;col=9&amp;number=&amp;sourceID=34","")</f>
        <v/>
      </c>
      <c r="J454" s="4" t="str">
        <f>HYPERLINK("http://141.218.60.56/~jnz1568/getInfo.php?workbook=08_02.xlsx&amp;sheet=A0&amp;row=454&amp;col=10&amp;number=&amp;sourceID=34","")</f>
        <v/>
      </c>
      <c r="K454" s="4" t="str">
        <f>HYPERLINK("http://141.218.60.56/~jnz1568/getInfo.php?workbook=08_02.xlsx&amp;sheet=A0&amp;row=454&amp;col=11&amp;number=&amp;sourceID=30","")</f>
        <v/>
      </c>
      <c r="L454" s="4" t="str">
        <f>HYPERLINK("http://141.218.60.56/~jnz1568/getInfo.php?workbook=08_02.xlsx&amp;sheet=A0&amp;row=454&amp;col=12&amp;number=&amp;sourceID=30","")</f>
        <v/>
      </c>
      <c r="M454" s="4" t="str">
        <f>HYPERLINK("http://141.218.60.56/~jnz1568/getInfo.php?workbook=08_02.xlsx&amp;sheet=A0&amp;row=454&amp;col=13&amp;number=&amp;sourceID=30","")</f>
        <v/>
      </c>
      <c r="N454" s="4" t="str">
        <f>HYPERLINK("http://141.218.60.56/~jnz1568/getInfo.php?workbook=08_02.xlsx&amp;sheet=A0&amp;row=454&amp;col=14&amp;number=7.06e-12&amp;sourceID=30","7.06e-12")</f>
        <v>7.06e-12</v>
      </c>
      <c r="O454" s="4" t="str">
        <f>HYPERLINK("http://141.218.60.56/~jnz1568/getInfo.php?workbook=08_02.xlsx&amp;sheet=A0&amp;row=454&amp;col=15&amp;number=&amp;sourceID=32","")</f>
        <v/>
      </c>
      <c r="P454" s="4" t="str">
        <f>HYPERLINK("http://141.218.60.56/~jnz1568/getInfo.php?workbook=08_02.xlsx&amp;sheet=A0&amp;row=454&amp;col=16&amp;number=&amp;sourceID=32","")</f>
        <v/>
      </c>
      <c r="Q454" s="4" t="str">
        <f>HYPERLINK("http://141.218.60.56/~jnz1568/getInfo.php?workbook=08_02.xlsx&amp;sheet=A0&amp;row=454&amp;col=17&amp;number=&amp;sourceID=32","")</f>
        <v/>
      </c>
      <c r="R454" s="4" t="str">
        <f>HYPERLINK("http://141.218.60.56/~jnz1568/getInfo.php?workbook=08_02.xlsx&amp;sheet=A0&amp;row=454&amp;col=18&amp;number=&amp;sourceID=32","")</f>
        <v/>
      </c>
      <c r="S454" s="4" t="str">
        <f>HYPERLINK("http://141.218.60.56/~jnz1568/getInfo.php?workbook=08_02.xlsx&amp;sheet=A0&amp;row=454&amp;col=19&amp;number=&amp;sourceID=1","")</f>
        <v/>
      </c>
      <c r="T454" s="4" t="str">
        <f>HYPERLINK("http://141.218.60.56/~jnz1568/getInfo.php?workbook=08_02.xlsx&amp;sheet=A0&amp;row=454&amp;col=20&amp;number=&amp;sourceID=1","")</f>
        <v/>
      </c>
    </row>
    <row r="455" spans="1:20">
      <c r="A455" s="3">
        <v>8</v>
      </c>
      <c r="B455" s="3">
        <v>2</v>
      </c>
      <c r="C455" s="3">
        <v>34</v>
      </c>
      <c r="D455" s="3">
        <v>2</v>
      </c>
      <c r="E455" s="3">
        <f>((1/(INDEX(E0!J$4:J$52,C455,1)-INDEX(E0!J$4:J$52,D455,1))))*100000000</f>
        <v>0</v>
      </c>
      <c r="F455" s="4" t="str">
        <f>HYPERLINK("http://141.218.60.56/~jnz1568/getInfo.php?workbook=08_02.xlsx&amp;sheet=A0&amp;row=455&amp;col=6&amp;number=&amp;sourceID=27","")</f>
        <v/>
      </c>
      <c r="G455" s="4" t="str">
        <f>HYPERLINK("http://141.218.60.56/~jnz1568/getInfo.php?workbook=08_02.xlsx&amp;sheet=A0&amp;row=455&amp;col=7&amp;number=&amp;sourceID=34","")</f>
        <v/>
      </c>
      <c r="H455" s="4" t="str">
        <f>HYPERLINK("http://141.218.60.56/~jnz1568/getInfo.php?workbook=08_02.xlsx&amp;sheet=A0&amp;row=455&amp;col=8&amp;number=&amp;sourceID=34","")</f>
        <v/>
      </c>
      <c r="I455" s="4" t="str">
        <f>HYPERLINK("http://141.218.60.56/~jnz1568/getInfo.php?workbook=08_02.xlsx&amp;sheet=A0&amp;row=455&amp;col=9&amp;number=&amp;sourceID=34","")</f>
        <v/>
      </c>
      <c r="J455" s="4" t="str">
        <f>HYPERLINK("http://141.218.60.56/~jnz1568/getInfo.php?workbook=08_02.xlsx&amp;sheet=A0&amp;row=455&amp;col=10&amp;number=&amp;sourceID=34","")</f>
        <v/>
      </c>
      <c r="K455" s="4" t="str">
        <f>HYPERLINK("http://141.218.60.56/~jnz1568/getInfo.php?workbook=08_02.xlsx&amp;sheet=A0&amp;row=455&amp;col=11&amp;number=10510000000&amp;sourceID=30","10510000000")</f>
        <v>10510000000</v>
      </c>
      <c r="L455" s="4" t="str">
        <f>HYPERLINK("http://141.218.60.56/~jnz1568/getInfo.php?workbook=08_02.xlsx&amp;sheet=A0&amp;row=455&amp;col=12&amp;number=&amp;sourceID=30","")</f>
        <v/>
      </c>
      <c r="M455" s="4" t="str">
        <f>HYPERLINK("http://141.218.60.56/~jnz1568/getInfo.php?workbook=08_02.xlsx&amp;sheet=A0&amp;row=455&amp;col=13&amp;number=&amp;sourceID=30","")</f>
        <v/>
      </c>
      <c r="N455" s="4" t="str">
        <f>HYPERLINK("http://141.218.60.56/~jnz1568/getInfo.php?workbook=08_02.xlsx&amp;sheet=A0&amp;row=455&amp;col=14&amp;number=&amp;sourceID=30","")</f>
        <v/>
      </c>
      <c r="O455" s="4" t="str">
        <f>HYPERLINK("http://141.218.60.56/~jnz1568/getInfo.php?workbook=08_02.xlsx&amp;sheet=A0&amp;row=455&amp;col=15&amp;number=12350000000&amp;sourceID=32","12350000000")</f>
        <v>12350000000</v>
      </c>
      <c r="P455" s="4" t="str">
        <f>HYPERLINK("http://141.218.60.56/~jnz1568/getInfo.php?workbook=08_02.xlsx&amp;sheet=A0&amp;row=455&amp;col=16&amp;number=&amp;sourceID=32","")</f>
        <v/>
      </c>
      <c r="Q455" s="4" t="str">
        <f>HYPERLINK("http://141.218.60.56/~jnz1568/getInfo.php?workbook=08_02.xlsx&amp;sheet=A0&amp;row=455&amp;col=17&amp;number=&amp;sourceID=32","")</f>
        <v/>
      </c>
      <c r="R455" s="4" t="str">
        <f>HYPERLINK("http://141.218.60.56/~jnz1568/getInfo.php?workbook=08_02.xlsx&amp;sheet=A0&amp;row=455&amp;col=18&amp;number=&amp;sourceID=32","")</f>
        <v/>
      </c>
      <c r="S455" s="4" t="str">
        <f>HYPERLINK("http://141.218.60.56/~jnz1568/getInfo.php?workbook=08_02.xlsx&amp;sheet=A0&amp;row=455&amp;col=19&amp;number=&amp;sourceID=1","")</f>
        <v/>
      </c>
      <c r="T455" s="4" t="str">
        <f>HYPERLINK("http://141.218.60.56/~jnz1568/getInfo.php?workbook=08_02.xlsx&amp;sheet=A0&amp;row=455&amp;col=20&amp;number=&amp;sourceID=1","")</f>
        <v/>
      </c>
    </row>
    <row r="456" spans="1:20">
      <c r="A456" s="3">
        <v>8</v>
      </c>
      <c r="B456" s="3">
        <v>2</v>
      </c>
      <c r="C456" s="3">
        <v>34</v>
      </c>
      <c r="D456" s="3">
        <v>4</v>
      </c>
      <c r="E456" s="3">
        <f>((1/(INDEX(E0!J$4:J$52,C456,1)-INDEX(E0!J$4:J$52,D456,1))))*100000000</f>
        <v>0</v>
      </c>
      <c r="F456" s="4" t="str">
        <f>HYPERLINK("http://141.218.60.56/~jnz1568/getInfo.php?workbook=08_02.xlsx&amp;sheet=A0&amp;row=456&amp;col=6&amp;number=&amp;sourceID=27","")</f>
        <v/>
      </c>
      <c r="G456" s="4" t="str">
        <f>HYPERLINK("http://141.218.60.56/~jnz1568/getInfo.php?workbook=08_02.xlsx&amp;sheet=A0&amp;row=456&amp;col=7&amp;number=&amp;sourceID=34","")</f>
        <v/>
      </c>
      <c r="H456" s="4" t="str">
        <f>HYPERLINK("http://141.218.60.56/~jnz1568/getInfo.php?workbook=08_02.xlsx&amp;sheet=A0&amp;row=456&amp;col=8&amp;number=&amp;sourceID=34","")</f>
        <v/>
      </c>
      <c r="I456" s="4" t="str">
        <f>HYPERLINK("http://141.218.60.56/~jnz1568/getInfo.php?workbook=08_02.xlsx&amp;sheet=A0&amp;row=456&amp;col=9&amp;number=&amp;sourceID=34","")</f>
        <v/>
      </c>
      <c r="J456" s="4" t="str">
        <f>HYPERLINK("http://141.218.60.56/~jnz1568/getInfo.php?workbook=08_02.xlsx&amp;sheet=A0&amp;row=456&amp;col=10&amp;number=&amp;sourceID=34","")</f>
        <v/>
      </c>
      <c r="K456" s="4" t="str">
        <f>HYPERLINK("http://141.218.60.56/~jnz1568/getInfo.php?workbook=08_02.xlsx&amp;sheet=A0&amp;row=456&amp;col=11&amp;number=&amp;sourceID=30","")</f>
        <v/>
      </c>
      <c r="L456" s="4" t="str">
        <f>HYPERLINK("http://141.218.60.56/~jnz1568/getInfo.php?workbook=08_02.xlsx&amp;sheet=A0&amp;row=456&amp;col=12&amp;number=&amp;sourceID=30","")</f>
        <v/>
      </c>
      <c r="M456" s="4" t="str">
        <f>HYPERLINK("http://141.218.60.56/~jnz1568/getInfo.php?workbook=08_02.xlsx&amp;sheet=A0&amp;row=456&amp;col=13&amp;number=0.009181&amp;sourceID=30","0.009181")</f>
        <v>0.009181</v>
      </c>
      <c r="N456" s="4" t="str">
        <f>HYPERLINK("http://141.218.60.56/~jnz1568/getInfo.php?workbook=08_02.xlsx&amp;sheet=A0&amp;row=456&amp;col=14&amp;number=&amp;sourceID=30","")</f>
        <v/>
      </c>
      <c r="O456" s="4" t="str">
        <f>HYPERLINK("http://141.218.60.56/~jnz1568/getInfo.php?workbook=08_02.xlsx&amp;sheet=A0&amp;row=456&amp;col=15&amp;number=&amp;sourceID=32","")</f>
        <v/>
      </c>
      <c r="P456" s="4" t="str">
        <f>HYPERLINK("http://141.218.60.56/~jnz1568/getInfo.php?workbook=08_02.xlsx&amp;sheet=A0&amp;row=456&amp;col=16&amp;number=&amp;sourceID=32","")</f>
        <v/>
      </c>
      <c r="Q456" s="4" t="str">
        <f>HYPERLINK("http://141.218.60.56/~jnz1568/getInfo.php?workbook=08_02.xlsx&amp;sheet=A0&amp;row=456&amp;col=17&amp;number=0.001464&amp;sourceID=32","0.001464")</f>
        <v>0.001464</v>
      </c>
      <c r="R456" s="4" t="str">
        <f>HYPERLINK("http://141.218.60.56/~jnz1568/getInfo.php?workbook=08_02.xlsx&amp;sheet=A0&amp;row=456&amp;col=18&amp;number=&amp;sourceID=32","")</f>
        <v/>
      </c>
      <c r="S456" s="4" t="str">
        <f>HYPERLINK("http://141.218.60.56/~jnz1568/getInfo.php?workbook=08_02.xlsx&amp;sheet=A0&amp;row=456&amp;col=19&amp;number=&amp;sourceID=1","")</f>
        <v/>
      </c>
      <c r="T456" s="4" t="str">
        <f>HYPERLINK("http://141.218.60.56/~jnz1568/getInfo.php?workbook=08_02.xlsx&amp;sheet=A0&amp;row=456&amp;col=20&amp;number=&amp;sourceID=1","")</f>
        <v/>
      </c>
    </row>
    <row r="457" spans="1:20">
      <c r="A457" s="3">
        <v>8</v>
      </c>
      <c r="B457" s="3">
        <v>2</v>
      </c>
      <c r="C457" s="3">
        <v>34</v>
      </c>
      <c r="D457" s="3">
        <v>5</v>
      </c>
      <c r="E457" s="3">
        <f>((1/(INDEX(E0!J$4:J$52,C457,1)-INDEX(E0!J$4:J$52,D457,1))))*100000000</f>
        <v>0</v>
      </c>
      <c r="F457" s="4" t="str">
        <f>HYPERLINK("http://141.218.60.56/~jnz1568/getInfo.php?workbook=08_02.xlsx&amp;sheet=A0&amp;row=457&amp;col=6&amp;number=&amp;sourceID=27","")</f>
        <v/>
      </c>
      <c r="G457" s="4" t="str">
        <f>HYPERLINK("http://141.218.60.56/~jnz1568/getInfo.php?workbook=08_02.xlsx&amp;sheet=A0&amp;row=457&amp;col=7&amp;number=&amp;sourceID=34","")</f>
        <v/>
      </c>
      <c r="H457" s="4" t="str">
        <f>HYPERLINK("http://141.218.60.56/~jnz1568/getInfo.php?workbook=08_02.xlsx&amp;sheet=A0&amp;row=457&amp;col=8&amp;number=&amp;sourceID=34","")</f>
        <v/>
      </c>
      <c r="I457" s="4" t="str">
        <f>HYPERLINK("http://141.218.60.56/~jnz1568/getInfo.php?workbook=08_02.xlsx&amp;sheet=A0&amp;row=457&amp;col=9&amp;number=&amp;sourceID=34","")</f>
        <v/>
      </c>
      <c r="J457" s="4" t="str">
        <f>HYPERLINK("http://141.218.60.56/~jnz1568/getInfo.php?workbook=08_02.xlsx&amp;sheet=A0&amp;row=457&amp;col=10&amp;number=&amp;sourceID=34","")</f>
        <v/>
      </c>
      <c r="K457" s="4" t="str">
        <f>HYPERLINK("http://141.218.60.56/~jnz1568/getInfo.php?workbook=08_02.xlsx&amp;sheet=A0&amp;row=457&amp;col=11&amp;number=&amp;sourceID=30","")</f>
        <v/>
      </c>
      <c r="L457" s="4" t="str">
        <f>HYPERLINK("http://141.218.60.56/~jnz1568/getInfo.php?workbook=08_02.xlsx&amp;sheet=A0&amp;row=457&amp;col=12&amp;number=175000&amp;sourceID=30","175000")</f>
        <v>175000</v>
      </c>
      <c r="M457" s="4" t="str">
        <f>HYPERLINK("http://141.218.60.56/~jnz1568/getInfo.php?workbook=08_02.xlsx&amp;sheet=A0&amp;row=457&amp;col=13&amp;number=&amp;sourceID=30","")</f>
        <v/>
      </c>
      <c r="N457" s="4" t="str">
        <f>HYPERLINK("http://141.218.60.56/~jnz1568/getInfo.php?workbook=08_02.xlsx&amp;sheet=A0&amp;row=457&amp;col=14&amp;number=&amp;sourceID=30","")</f>
        <v/>
      </c>
      <c r="O457" s="4" t="str">
        <f>HYPERLINK("http://141.218.60.56/~jnz1568/getInfo.php?workbook=08_02.xlsx&amp;sheet=A0&amp;row=457&amp;col=15&amp;number=&amp;sourceID=32","")</f>
        <v/>
      </c>
      <c r="P457" s="4" t="str">
        <f>HYPERLINK("http://141.218.60.56/~jnz1568/getInfo.php?workbook=08_02.xlsx&amp;sheet=A0&amp;row=457&amp;col=16&amp;number=651900&amp;sourceID=32","651900")</f>
        <v>651900</v>
      </c>
      <c r="Q457" s="4" t="str">
        <f>HYPERLINK("http://141.218.60.56/~jnz1568/getInfo.php?workbook=08_02.xlsx&amp;sheet=A0&amp;row=457&amp;col=17&amp;number=&amp;sourceID=32","")</f>
        <v/>
      </c>
      <c r="R457" s="4" t="str">
        <f>HYPERLINK("http://141.218.60.56/~jnz1568/getInfo.php?workbook=08_02.xlsx&amp;sheet=A0&amp;row=457&amp;col=18&amp;number=&amp;sourceID=32","")</f>
        <v/>
      </c>
      <c r="S457" s="4" t="str">
        <f>HYPERLINK("http://141.218.60.56/~jnz1568/getInfo.php?workbook=08_02.xlsx&amp;sheet=A0&amp;row=457&amp;col=19&amp;number=&amp;sourceID=1","")</f>
        <v/>
      </c>
      <c r="T457" s="4" t="str">
        <f>HYPERLINK("http://141.218.60.56/~jnz1568/getInfo.php?workbook=08_02.xlsx&amp;sheet=A0&amp;row=457&amp;col=20&amp;number=&amp;sourceID=1","")</f>
        <v/>
      </c>
    </row>
    <row r="458" spans="1:20">
      <c r="A458" s="3">
        <v>8</v>
      </c>
      <c r="B458" s="3">
        <v>2</v>
      </c>
      <c r="C458" s="3">
        <v>34</v>
      </c>
      <c r="D458" s="3">
        <v>7</v>
      </c>
      <c r="E458" s="3">
        <f>((1/(INDEX(E0!J$4:J$52,C458,1)-INDEX(E0!J$4:J$52,D458,1))))*100000000</f>
        <v>0</v>
      </c>
      <c r="F458" s="4" t="str">
        <f>HYPERLINK("http://141.218.60.56/~jnz1568/getInfo.php?workbook=08_02.xlsx&amp;sheet=A0&amp;row=458&amp;col=6&amp;number=&amp;sourceID=27","")</f>
        <v/>
      </c>
      <c r="G458" s="4" t="str">
        <f>HYPERLINK("http://141.218.60.56/~jnz1568/getInfo.php?workbook=08_02.xlsx&amp;sheet=A0&amp;row=458&amp;col=7&amp;number=&amp;sourceID=34","")</f>
        <v/>
      </c>
      <c r="H458" s="4" t="str">
        <f>HYPERLINK("http://141.218.60.56/~jnz1568/getInfo.php?workbook=08_02.xlsx&amp;sheet=A0&amp;row=458&amp;col=8&amp;number=&amp;sourceID=34","")</f>
        <v/>
      </c>
      <c r="I458" s="4" t="str">
        <f>HYPERLINK("http://141.218.60.56/~jnz1568/getInfo.php?workbook=08_02.xlsx&amp;sheet=A0&amp;row=458&amp;col=9&amp;number=&amp;sourceID=34","")</f>
        <v/>
      </c>
      <c r="J458" s="4" t="str">
        <f>HYPERLINK("http://141.218.60.56/~jnz1568/getInfo.php?workbook=08_02.xlsx&amp;sheet=A0&amp;row=458&amp;col=10&amp;number=&amp;sourceID=34","")</f>
        <v/>
      </c>
      <c r="K458" s="4" t="str">
        <f>HYPERLINK("http://141.218.60.56/~jnz1568/getInfo.php?workbook=08_02.xlsx&amp;sheet=A0&amp;row=458&amp;col=11&amp;number=&amp;sourceID=30","")</f>
        <v/>
      </c>
      <c r="L458" s="4" t="str">
        <f>HYPERLINK("http://141.218.60.56/~jnz1568/getInfo.php?workbook=08_02.xlsx&amp;sheet=A0&amp;row=458&amp;col=12&amp;number=&amp;sourceID=30","")</f>
        <v/>
      </c>
      <c r="M458" s="4" t="str">
        <f>HYPERLINK("http://141.218.60.56/~jnz1568/getInfo.php?workbook=08_02.xlsx&amp;sheet=A0&amp;row=458&amp;col=13&amp;number=1.241&amp;sourceID=30","1.241")</f>
        <v>1.241</v>
      </c>
      <c r="N458" s="4" t="str">
        <f>HYPERLINK("http://141.218.60.56/~jnz1568/getInfo.php?workbook=08_02.xlsx&amp;sheet=A0&amp;row=458&amp;col=14&amp;number=&amp;sourceID=30","")</f>
        <v/>
      </c>
      <c r="O458" s="4" t="str">
        <f>HYPERLINK("http://141.218.60.56/~jnz1568/getInfo.php?workbook=08_02.xlsx&amp;sheet=A0&amp;row=458&amp;col=15&amp;number=&amp;sourceID=32","")</f>
        <v/>
      </c>
      <c r="P458" s="4" t="str">
        <f>HYPERLINK("http://141.218.60.56/~jnz1568/getInfo.php?workbook=08_02.xlsx&amp;sheet=A0&amp;row=458&amp;col=16&amp;number=&amp;sourceID=32","")</f>
        <v/>
      </c>
      <c r="Q458" s="4" t="str">
        <f>HYPERLINK("http://141.218.60.56/~jnz1568/getInfo.php?workbook=08_02.xlsx&amp;sheet=A0&amp;row=458&amp;col=17&amp;number=1.676&amp;sourceID=32","1.676")</f>
        <v>1.676</v>
      </c>
      <c r="R458" s="4" t="str">
        <f>HYPERLINK("http://141.218.60.56/~jnz1568/getInfo.php?workbook=08_02.xlsx&amp;sheet=A0&amp;row=458&amp;col=18&amp;number=&amp;sourceID=32","")</f>
        <v/>
      </c>
      <c r="S458" s="4" t="str">
        <f>HYPERLINK("http://141.218.60.56/~jnz1568/getInfo.php?workbook=08_02.xlsx&amp;sheet=A0&amp;row=458&amp;col=19&amp;number=&amp;sourceID=1","")</f>
        <v/>
      </c>
      <c r="T458" s="4" t="str">
        <f>HYPERLINK("http://141.218.60.56/~jnz1568/getInfo.php?workbook=08_02.xlsx&amp;sheet=A0&amp;row=458&amp;col=20&amp;number=&amp;sourceID=1","")</f>
        <v/>
      </c>
    </row>
    <row r="459" spans="1:20">
      <c r="A459" s="3">
        <v>8</v>
      </c>
      <c r="B459" s="3">
        <v>2</v>
      </c>
      <c r="C459" s="3">
        <v>34</v>
      </c>
      <c r="D459" s="3">
        <v>8</v>
      </c>
      <c r="E459" s="3">
        <f>((1/(INDEX(E0!J$4:J$52,C459,1)-INDEX(E0!J$4:J$52,D459,1))))*100000000</f>
        <v>0</v>
      </c>
      <c r="F459" s="4" t="str">
        <f>HYPERLINK("http://141.218.60.56/~jnz1568/getInfo.php?workbook=08_02.xlsx&amp;sheet=A0&amp;row=459&amp;col=6&amp;number=&amp;sourceID=27","")</f>
        <v/>
      </c>
      <c r="G459" s="4" t="str">
        <f>HYPERLINK("http://141.218.60.56/~jnz1568/getInfo.php?workbook=08_02.xlsx&amp;sheet=A0&amp;row=459&amp;col=7&amp;number=&amp;sourceID=34","")</f>
        <v/>
      </c>
      <c r="H459" s="4" t="str">
        <f>HYPERLINK("http://141.218.60.56/~jnz1568/getInfo.php?workbook=08_02.xlsx&amp;sheet=A0&amp;row=459&amp;col=8&amp;number=&amp;sourceID=34","")</f>
        <v/>
      </c>
      <c r="I459" s="4" t="str">
        <f>HYPERLINK("http://141.218.60.56/~jnz1568/getInfo.php?workbook=08_02.xlsx&amp;sheet=A0&amp;row=459&amp;col=9&amp;number=&amp;sourceID=34","")</f>
        <v/>
      </c>
      <c r="J459" s="4" t="str">
        <f>HYPERLINK("http://141.218.60.56/~jnz1568/getInfo.php?workbook=08_02.xlsx&amp;sheet=A0&amp;row=459&amp;col=10&amp;number=&amp;sourceID=34","")</f>
        <v/>
      </c>
      <c r="K459" s="4" t="str">
        <f>HYPERLINK("http://141.218.60.56/~jnz1568/getInfo.php?workbook=08_02.xlsx&amp;sheet=A0&amp;row=459&amp;col=11&amp;number=3469000000&amp;sourceID=30","3469000000")</f>
        <v>3469000000</v>
      </c>
      <c r="L459" s="4" t="str">
        <f>HYPERLINK("http://141.218.60.56/~jnz1568/getInfo.php?workbook=08_02.xlsx&amp;sheet=A0&amp;row=459&amp;col=12&amp;number=&amp;sourceID=30","")</f>
        <v/>
      </c>
      <c r="M459" s="4" t="str">
        <f>HYPERLINK("http://141.218.60.56/~jnz1568/getInfo.php?workbook=08_02.xlsx&amp;sheet=A0&amp;row=459&amp;col=13&amp;number=&amp;sourceID=30","")</f>
        <v/>
      </c>
      <c r="N459" s="4" t="str">
        <f>HYPERLINK("http://141.218.60.56/~jnz1568/getInfo.php?workbook=08_02.xlsx&amp;sheet=A0&amp;row=459&amp;col=14&amp;number=&amp;sourceID=30","")</f>
        <v/>
      </c>
      <c r="O459" s="4" t="str">
        <f>HYPERLINK("http://141.218.60.56/~jnz1568/getInfo.php?workbook=08_02.xlsx&amp;sheet=A0&amp;row=459&amp;col=15&amp;number=3752000000&amp;sourceID=32","3752000000")</f>
        <v>3752000000</v>
      </c>
      <c r="P459" s="4" t="str">
        <f>HYPERLINK("http://141.218.60.56/~jnz1568/getInfo.php?workbook=08_02.xlsx&amp;sheet=A0&amp;row=459&amp;col=16&amp;number=&amp;sourceID=32","")</f>
        <v/>
      </c>
      <c r="Q459" s="4" t="str">
        <f>HYPERLINK("http://141.218.60.56/~jnz1568/getInfo.php?workbook=08_02.xlsx&amp;sheet=A0&amp;row=459&amp;col=17&amp;number=&amp;sourceID=32","")</f>
        <v/>
      </c>
      <c r="R459" s="4" t="str">
        <f>HYPERLINK("http://141.218.60.56/~jnz1568/getInfo.php?workbook=08_02.xlsx&amp;sheet=A0&amp;row=459&amp;col=18&amp;number=&amp;sourceID=32","")</f>
        <v/>
      </c>
      <c r="S459" s="4" t="str">
        <f>HYPERLINK("http://141.218.60.56/~jnz1568/getInfo.php?workbook=08_02.xlsx&amp;sheet=A0&amp;row=459&amp;col=19&amp;number=&amp;sourceID=1","")</f>
        <v/>
      </c>
      <c r="T459" s="4" t="str">
        <f>HYPERLINK("http://141.218.60.56/~jnz1568/getInfo.php?workbook=08_02.xlsx&amp;sheet=A0&amp;row=459&amp;col=20&amp;number=&amp;sourceID=1","")</f>
        <v/>
      </c>
    </row>
    <row r="460" spans="1:20">
      <c r="A460" s="3">
        <v>8</v>
      </c>
      <c r="B460" s="3">
        <v>2</v>
      </c>
      <c r="C460" s="3">
        <v>34</v>
      </c>
      <c r="D460" s="3">
        <v>10</v>
      </c>
      <c r="E460" s="3">
        <f>((1/(INDEX(E0!J$4:J$52,C460,1)-INDEX(E0!J$4:J$52,D460,1))))*100000000</f>
        <v>0</v>
      </c>
      <c r="F460" s="4" t="str">
        <f>HYPERLINK("http://141.218.60.56/~jnz1568/getInfo.php?workbook=08_02.xlsx&amp;sheet=A0&amp;row=460&amp;col=6&amp;number=&amp;sourceID=27","")</f>
        <v/>
      </c>
      <c r="G460" s="4" t="str">
        <f>HYPERLINK("http://141.218.60.56/~jnz1568/getInfo.php?workbook=08_02.xlsx&amp;sheet=A0&amp;row=460&amp;col=7&amp;number=&amp;sourceID=34","")</f>
        <v/>
      </c>
      <c r="H460" s="4" t="str">
        <f>HYPERLINK("http://141.218.60.56/~jnz1568/getInfo.php?workbook=08_02.xlsx&amp;sheet=A0&amp;row=460&amp;col=8&amp;number=&amp;sourceID=34","")</f>
        <v/>
      </c>
      <c r="I460" s="4" t="str">
        <f>HYPERLINK("http://141.218.60.56/~jnz1568/getInfo.php?workbook=08_02.xlsx&amp;sheet=A0&amp;row=460&amp;col=9&amp;number=&amp;sourceID=34","")</f>
        <v/>
      </c>
      <c r="J460" s="4" t="str">
        <f>HYPERLINK("http://141.218.60.56/~jnz1568/getInfo.php?workbook=08_02.xlsx&amp;sheet=A0&amp;row=460&amp;col=10&amp;number=&amp;sourceID=34","")</f>
        <v/>
      </c>
      <c r="K460" s="4" t="str">
        <f>HYPERLINK("http://141.218.60.56/~jnz1568/getInfo.php?workbook=08_02.xlsx&amp;sheet=A0&amp;row=460&amp;col=11&amp;number=&amp;sourceID=30","")</f>
        <v/>
      </c>
      <c r="L460" s="4" t="str">
        <f>HYPERLINK("http://141.218.60.56/~jnz1568/getInfo.php?workbook=08_02.xlsx&amp;sheet=A0&amp;row=460&amp;col=12&amp;number=&amp;sourceID=30","")</f>
        <v/>
      </c>
      <c r="M460" s="4" t="str">
        <f>HYPERLINK("http://141.218.60.56/~jnz1568/getInfo.php?workbook=08_02.xlsx&amp;sheet=A0&amp;row=460&amp;col=13&amp;number=0.001261&amp;sourceID=30","0.001261")</f>
        <v>0.001261</v>
      </c>
      <c r="N460" s="4" t="str">
        <f>HYPERLINK("http://141.218.60.56/~jnz1568/getInfo.php?workbook=08_02.xlsx&amp;sheet=A0&amp;row=460&amp;col=14&amp;number=&amp;sourceID=30","")</f>
        <v/>
      </c>
      <c r="O460" s="4" t="str">
        <f>HYPERLINK("http://141.218.60.56/~jnz1568/getInfo.php?workbook=08_02.xlsx&amp;sheet=A0&amp;row=460&amp;col=15&amp;number=&amp;sourceID=32","")</f>
        <v/>
      </c>
      <c r="P460" s="4" t="str">
        <f>HYPERLINK("http://141.218.60.56/~jnz1568/getInfo.php?workbook=08_02.xlsx&amp;sheet=A0&amp;row=460&amp;col=16&amp;number=&amp;sourceID=32","")</f>
        <v/>
      </c>
      <c r="Q460" s="4" t="str">
        <f>HYPERLINK("http://141.218.60.56/~jnz1568/getInfo.php?workbook=08_02.xlsx&amp;sheet=A0&amp;row=460&amp;col=17&amp;number=0.0004243&amp;sourceID=32","0.0004243")</f>
        <v>0.0004243</v>
      </c>
      <c r="R460" s="4" t="str">
        <f>HYPERLINK("http://141.218.60.56/~jnz1568/getInfo.php?workbook=08_02.xlsx&amp;sheet=A0&amp;row=460&amp;col=18&amp;number=&amp;sourceID=32","")</f>
        <v/>
      </c>
      <c r="S460" s="4" t="str">
        <f>HYPERLINK("http://141.218.60.56/~jnz1568/getInfo.php?workbook=08_02.xlsx&amp;sheet=A0&amp;row=460&amp;col=19&amp;number=&amp;sourceID=1","")</f>
        <v/>
      </c>
      <c r="T460" s="4" t="str">
        <f>HYPERLINK("http://141.218.60.56/~jnz1568/getInfo.php?workbook=08_02.xlsx&amp;sheet=A0&amp;row=460&amp;col=20&amp;number=&amp;sourceID=1","")</f>
        <v/>
      </c>
    </row>
    <row r="461" spans="1:20">
      <c r="A461" s="3">
        <v>8</v>
      </c>
      <c r="B461" s="3">
        <v>2</v>
      </c>
      <c r="C461" s="3">
        <v>34</v>
      </c>
      <c r="D461" s="3">
        <v>11</v>
      </c>
      <c r="E461" s="3">
        <f>((1/(INDEX(E0!J$4:J$52,C461,1)-INDEX(E0!J$4:J$52,D461,1))))*100000000</f>
        <v>0</v>
      </c>
      <c r="F461" s="4" t="str">
        <f>HYPERLINK("http://141.218.60.56/~jnz1568/getInfo.php?workbook=08_02.xlsx&amp;sheet=A0&amp;row=461&amp;col=6&amp;number=&amp;sourceID=27","")</f>
        <v/>
      </c>
      <c r="G461" s="4" t="str">
        <f>HYPERLINK("http://141.218.60.56/~jnz1568/getInfo.php?workbook=08_02.xlsx&amp;sheet=A0&amp;row=461&amp;col=7&amp;number=&amp;sourceID=34","")</f>
        <v/>
      </c>
      <c r="H461" s="4" t="str">
        <f>HYPERLINK("http://141.218.60.56/~jnz1568/getInfo.php?workbook=08_02.xlsx&amp;sheet=A0&amp;row=461&amp;col=8&amp;number=&amp;sourceID=34","")</f>
        <v/>
      </c>
      <c r="I461" s="4" t="str">
        <f>HYPERLINK("http://141.218.60.56/~jnz1568/getInfo.php?workbook=08_02.xlsx&amp;sheet=A0&amp;row=461&amp;col=9&amp;number=&amp;sourceID=34","")</f>
        <v/>
      </c>
      <c r="J461" s="4" t="str">
        <f>HYPERLINK("http://141.218.60.56/~jnz1568/getInfo.php?workbook=08_02.xlsx&amp;sheet=A0&amp;row=461&amp;col=10&amp;number=&amp;sourceID=34","")</f>
        <v/>
      </c>
      <c r="K461" s="4" t="str">
        <f>HYPERLINK("http://141.218.60.56/~jnz1568/getInfo.php?workbook=08_02.xlsx&amp;sheet=A0&amp;row=461&amp;col=11&amp;number=&amp;sourceID=30","")</f>
        <v/>
      </c>
      <c r="L461" s="4" t="str">
        <f>HYPERLINK("http://141.218.60.56/~jnz1568/getInfo.php?workbook=08_02.xlsx&amp;sheet=A0&amp;row=461&amp;col=12&amp;number=145300&amp;sourceID=30","145300")</f>
        <v>145300</v>
      </c>
      <c r="M461" s="4" t="str">
        <f>HYPERLINK("http://141.218.60.56/~jnz1568/getInfo.php?workbook=08_02.xlsx&amp;sheet=A0&amp;row=461&amp;col=13&amp;number=&amp;sourceID=30","")</f>
        <v/>
      </c>
      <c r="N461" s="4" t="str">
        <f>HYPERLINK("http://141.218.60.56/~jnz1568/getInfo.php?workbook=08_02.xlsx&amp;sheet=A0&amp;row=461&amp;col=14&amp;number=&amp;sourceID=30","")</f>
        <v/>
      </c>
      <c r="O461" s="4" t="str">
        <f>HYPERLINK("http://141.218.60.56/~jnz1568/getInfo.php?workbook=08_02.xlsx&amp;sheet=A0&amp;row=461&amp;col=15&amp;number=&amp;sourceID=32","")</f>
        <v/>
      </c>
      <c r="P461" s="4" t="str">
        <f>HYPERLINK("http://141.218.60.56/~jnz1568/getInfo.php?workbook=08_02.xlsx&amp;sheet=A0&amp;row=461&amp;col=16&amp;number=174900&amp;sourceID=32","174900")</f>
        <v>174900</v>
      </c>
      <c r="Q461" s="4" t="str">
        <f>HYPERLINK("http://141.218.60.56/~jnz1568/getInfo.php?workbook=08_02.xlsx&amp;sheet=A0&amp;row=461&amp;col=17&amp;number=&amp;sourceID=32","")</f>
        <v/>
      </c>
      <c r="R461" s="4" t="str">
        <f>HYPERLINK("http://141.218.60.56/~jnz1568/getInfo.php?workbook=08_02.xlsx&amp;sheet=A0&amp;row=461&amp;col=18&amp;number=&amp;sourceID=32","")</f>
        <v/>
      </c>
      <c r="S461" s="4" t="str">
        <f>HYPERLINK("http://141.218.60.56/~jnz1568/getInfo.php?workbook=08_02.xlsx&amp;sheet=A0&amp;row=461&amp;col=19&amp;number=&amp;sourceID=1","")</f>
        <v/>
      </c>
      <c r="T461" s="4" t="str">
        <f>HYPERLINK("http://141.218.60.56/~jnz1568/getInfo.php?workbook=08_02.xlsx&amp;sheet=A0&amp;row=461&amp;col=20&amp;number=&amp;sourceID=1","")</f>
        <v/>
      </c>
    </row>
    <row r="462" spans="1:20">
      <c r="A462" s="3">
        <v>8</v>
      </c>
      <c r="B462" s="3">
        <v>2</v>
      </c>
      <c r="C462" s="3">
        <v>34</v>
      </c>
      <c r="D462" s="3">
        <v>13</v>
      </c>
      <c r="E462" s="3">
        <f>((1/(INDEX(E0!J$4:J$52,C462,1)-INDEX(E0!J$4:J$52,D462,1))))*100000000</f>
        <v>0</v>
      </c>
      <c r="F462" s="4" t="str">
        <f>HYPERLINK("http://141.218.60.56/~jnz1568/getInfo.php?workbook=08_02.xlsx&amp;sheet=A0&amp;row=462&amp;col=6&amp;number=&amp;sourceID=27","")</f>
        <v/>
      </c>
      <c r="G462" s="4" t="str">
        <f>HYPERLINK("http://141.218.60.56/~jnz1568/getInfo.php?workbook=08_02.xlsx&amp;sheet=A0&amp;row=462&amp;col=7&amp;number=449400000&amp;sourceID=34","449400000")</f>
        <v>449400000</v>
      </c>
      <c r="H462" s="4" t="str">
        <f>HYPERLINK("http://141.218.60.56/~jnz1568/getInfo.php?workbook=08_02.xlsx&amp;sheet=A0&amp;row=462&amp;col=8&amp;number=&amp;sourceID=34","")</f>
        <v/>
      </c>
      <c r="I462" s="4" t="str">
        <f>HYPERLINK("http://141.218.60.56/~jnz1568/getInfo.php?workbook=08_02.xlsx&amp;sheet=A0&amp;row=462&amp;col=9&amp;number=&amp;sourceID=34","")</f>
        <v/>
      </c>
      <c r="J462" s="4" t="str">
        <f>HYPERLINK("http://141.218.60.56/~jnz1568/getInfo.php?workbook=08_02.xlsx&amp;sheet=A0&amp;row=462&amp;col=10&amp;number=&amp;sourceID=34","")</f>
        <v/>
      </c>
      <c r="K462" s="4" t="str">
        <f>HYPERLINK("http://141.218.60.56/~jnz1568/getInfo.php?workbook=08_02.xlsx&amp;sheet=A0&amp;row=462&amp;col=11&amp;number=433400000&amp;sourceID=30","433400000")</f>
        <v>433400000</v>
      </c>
      <c r="L462" s="4" t="str">
        <f>HYPERLINK("http://141.218.60.56/~jnz1568/getInfo.php?workbook=08_02.xlsx&amp;sheet=A0&amp;row=462&amp;col=12&amp;number=&amp;sourceID=30","")</f>
        <v/>
      </c>
      <c r="M462" s="4" t="str">
        <f>HYPERLINK("http://141.218.60.56/~jnz1568/getInfo.php?workbook=08_02.xlsx&amp;sheet=A0&amp;row=462&amp;col=13&amp;number=&amp;sourceID=30","")</f>
        <v/>
      </c>
      <c r="N462" s="4" t="str">
        <f>HYPERLINK("http://141.218.60.56/~jnz1568/getInfo.php?workbook=08_02.xlsx&amp;sheet=A0&amp;row=462&amp;col=14&amp;number=&amp;sourceID=30","")</f>
        <v/>
      </c>
      <c r="O462" s="4" t="str">
        <f>HYPERLINK("http://141.218.60.56/~jnz1568/getInfo.php?workbook=08_02.xlsx&amp;sheet=A0&amp;row=462&amp;col=15&amp;number=450600000&amp;sourceID=32","450600000")</f>
        <v>450600000</v>
      </c>
      <c r="P462" s="4" t="str">
        <f>HYPERLINK("http://141.218.60.56/~jnz1568/getInfo.php?workbook=08_02.xlsx&amp;sheet=A0&amp;row=462&amp;col=16&amp;number=&amp;sourceID=32","")</f>
        <v/>
      </c>
      <c r="Q462" s="4" t="str">
        <f>HYPERLINK("http://141.218.60.56/~jnz1568/getInfo.php?workbook=08_02.xlsx&amp;sheet=A0&amp;row=462&amp;col=17&amp;number=&amp;sourceID=32","")</f>
        <v/>
      </c>
      <c r="R462" s="4" t="str">
        <f>HYPERLINK("http://141.218.60.56/~jnz1568/getInfo.php?workbook=08_02.xlsx&amp;sheet=A0&amp;row=462&amp;col=18&amp;number=&amp;sourceID=32","")</f>
        <v/>
      </c>
      <c r="S462" s="4" t="str">
        <f>HYPERLINK("http://141.218.60.56/~jnz1568/getInfo.php?workbook=08_02.xlsx&amp;sheet=A0&amp;row=462&amp;col=19&amp;number=&amp;sourceID=1","")</f>
        <v/>
      </c>
      <c r="T462" s="4" t="str">
        <f>HYPERLINK("http://141.218.60.56/~jnz1568/getInfo.php?workbook=08_02.xlsx&amp;sheet=A0&amp;row=462&amp;col=20&amp;number=&amp;sourceID=1","")</f>
        <v/>
      </c>
    </row>
    <row r="463" spans="1:20">
      <c r="A463" s="3">
        <v>8</v>
      </c>
      <c r="B463" s="3">
        <v>2</v>
      </c>
      <c r="C463" s="3">
        <v>34</v>
      </c>
      <c r="D463" s="3">
        <v>14</v>
      </c>
      <c r="E463" s="3">
        <f>((1/(INDEX(E0!J$4:J$52,C463,1)-INDEX(E0!J$4:J$52,D463,1))))*100000000</f>
        <v>0</v>
      </c>
      <c r="F463" s="4" t="str">
        <f>HYPERLINK("http://141.218.60.56/~jnz1568/getInfo.php?workbook=08_02.xlsx&amp;sheet=A0&amp;row=463&amp;col=6&amp;number=&amp;sourceID=27","")</f>
        <v/>
      </c>
      <c r="G463" s="4" t="str">
        <f>HYPERLINK("http://141.218.60.56/~jnz1568/getInfo.php?workbook=08_02.xlsx&amp;sheet=A0&amp;row=463&amp;col=7&amp;number=&amp;sourceID=34","")</f>
        <v/>
      </c>
      <c r="H463" s="4" t="str">
        <f>HYPERLINK("http://141.218.60.56/~jnz1568/getInfo.php?workbook=08_02.xlsx&amp;sheet=A0&amp;row=463&amp;col=8&amp;number=&amp;sourceID=34","")</f>
        <v/>
      </c>
      <c r="I463" s="4" t="str">
        <f>HYPERLINK("http://141.218.60.56/~jnz1568/getInfo.php?workbook=08_02.xlsx&amp;sheet=A0&amp;row=463&amp;col=9&amp;number=&amp;sourceID=34","")</f>
        <v/>
      </c>
      <c r="J463" s="4" t="str">
        <f>HYPERLINK("http://141.218.60.56/~jnz1568/getInfo.php?workbook=08_02.xlsx&amp;sheet=A0&amp;row=463&amp;col=10&amp;number=&amp;sourceID=34","")</f>
        <v/>
      </c>
      <c r="K463" s="4" t="str">
        <f>HYPERLINK("http://141.218.60.56/~jnz1568/getInfo.php?workbook=08_02.xlsx&amp;sheet=A0&amp;row=463&amp;col=11&amp;number=&amp;sourceID=30","")</f>
        <v/>
      </c>
      <c r="L463" s="4" t="str">
        <f>HYPERLINK("http://141.218.60.56/~jnz1568/getInfo.php?workbook=08_02.xlsx&amp;sheet=A0&amp;row=463&amp;col=12&amp;number=&amp;sourceID=30","")</f>
        <v/>
      </c>
      <c r="M463" s="4" t="str">
        <f>HYPERLINK("http://141.218.60.56/~jnz1568/getInfo.php?workbook=08_02.xlsx&amp;sheet=A0&amp;row=463&amp;col=13&amp;number=&amp;sourceID=30","")</f>
        <v/>
      </c>
      <c r="N463" s="4" t="str">
        <f>HYPERLINK("http://141.218.60.56/~jnz1568/getInfo.php?workbook=08_02.xlsx&amp;sheet=A0&amp;row=463&amp;col=14&amp;number=0.02338&amp;sourceID=30","0.02338")</f>
        <v>0.02338</v>
      </c>
      <c r="O463" s="4" t="str">
        <f>HYPERLINK("http://141.218.60.56/~jnz1568/getInfo.php?workbook=08_02.xlsx&amp;sheet=A0&amp;row=463&amp;col=15&amp;number=&amp;sourceID=32","")</f>
        <v/>
      </c>
      <c r="P463" s="4" t="str">
        <f>HYPERLINK("http://141.218.60.56/~jnz1568/getInfo.php?workbook=08_02.xlsx&amp;sheet=A0&amp;row=463&amp;col=16&amp;number=&amp;sourceID=32","")</f>
        <v/>
      </c>
      <c r="Q463" s="4" t="str">
        <f>HYPERLINK("http://141.218.60.56/~jnz1568/getInfo.php?workbook=08_02.xlsx&amp;sheet=A0&amp;row=463&amp;col=17&amp;number=&amp;sourceID=32","")</f>
        <v/>
      </c>
      <c r="R463" s="4" t="str">
        <f>HYPERLINK("http://141.218.60.56/~jnz1568/getInfo.php?workbook=08_02.xlsx&amp;sheet=A0&amp;row=463&amp;col=18&amp;number=0.02262&amp;sourceID=32","0.02262")</f>
        <v>0.02262</v>
      </c>
      <c r="S463" s="4" t="str">
        <f>HYPERLINK("http://141.218.60.56/~jnz1568/getInfo.php?workbook=08_02.xlsx&amp;sheet=A0&amp;row=463&amp;col=19&amp;number=&amp;sourceID=1","")</f>
        <v/>
      </c>
      <c r="T463" s="4" t="str">
        <f>HYPERLINK("http://141.218.60.56/~jnz1568/getInfo.php?workbook=08_02.xlsx&amp;sheet=A0&amp;row=463&amp;col=20&amp;number=&amp;sourceID=1","")</f>
        <v/>
      </c>
    </row>
    <row r="464" spans="1:20">
      <c r="A464" s="3">
        <v>8</v>
      </c>
      <c r="B464" s="3">
        <v>2</v>
      </c>
      <c r="C464" s="3">
        <v>34</v>
      </c>
      <c r="D464" s="3">
        <v>16</v>
      </c>
      <c r="E464" s="3">
        <f>((1/(INDEX(E0!J$4:J$52,C464,1)-INDEX(E0!J$4:J$52,D464,1))))*100000000</f>
        <v>0</v>
      </c>
      <c r="F464" s="4" t="str">
        <f>HYPERLINK("http://141.218.60.56/~jnz1568/getInfo.php?workbook=08_02.xlsx&amp;sheet=A0&amp;row=464&amp;col=6&amp;number=&amp;sourceID=27","")</f>
        <v/>
      </c>
      <c r="G464" s="4" t="str">
        <f>HYPERLINK("http://141.218.60.56/~jnz1568/getInfo.php?workbook=08_02.xlsx&amp;sheet=A0&amp;row=464&amp;col=7&amp;number=&amp;sourceID=34","")</f>
        <v/>
      </c>
      <c r="H464" s="4" t="str">
        <f>HYPERLINK("http://141.218.60.56/~jnz1568/getInfo.php?workbook=08_02.xlsx&amp;sheet=A0&amp;row=464&amp;col=8&amp;number=&amp;sourceID=34","")</f>
        <v/>
      </c>
      <c r="I464" s="4" t="str">
        <f>HYPERLINK("http://141.218.60.56/~jnz1568/getInfo.php?workbook=08_02.xlsx&amp;sheet=A0&amp;row=464&amp;col=9&amp;number=&amp;sourceID=34","")</f>
        <v/>
      </c>
      <c r="J464" s="4" t="str">
        <f>HYPERLINK("http://141.218.60.56/~jnz1568/getInfo.php?workbook=08_02.xlsx&amp;sheet=A0&amp;row=464&amp;col=10&amp;number=&amp;sourceID=34","")</f>
        <v/>
      </c>
      <c r="K464" s="4" t="str">
        <f>HYPERLINK("http://141.218.60.56/~jnz1568/getInfo.php?workbook=08_02.xlsx&amp;sheet=A0&amp;row=464&amp;col=11&amp;number=&amp;sourceID=30","")</f>
        <v/>
      </c>
      <c r="L464" s="4" t="str">
        <f>HYPERLINK("http://141.218.60.56/~jnz1568/getInfo.php?workbook=08_02.xlsx&amp;sheet=A0&amp;row=464&amp;col=12&amp;number=&amp;sourceID=30","")</f>
        <v/>
      </c>
      <c r="M464" s="4" t="str">
        <f>HYPERLINK("http://141.218.60.56/~jnz1568/getInfo.php?workbook=08_02.xlsx&amp;sheet=A0&amp;row=464&amp;col=13&amp;number=&amp;sourceID=30","")</f>
        <v/>
      </c>
      <c r="N464" s="4" t="str">
        <f>HYPERLINK("http://141.218.60.56/~jnz1568/getInfo.php?workbook=08_02.xlsx&amp;sheet=A0&amp;row=464&amp;col=14&amp;number=0.3187&amp;sourceID=30","0.3187")</f>
        <v>0.3187</v>
      </c>
      <c r="O464" s="4" t="str">
        <f>HYPERLINK("http://141.218.60.56/~jnz1568/getInfo.php?workbook=08_02.xlsx&amp;sheet=A0&amp;row=464&amp;col=15&amp;number=&amp;sourceID=32","")</f>
        <v/>
      </c>
      <c r="P464" s="4" t="str">
        <f>HYPERLINK("http://141.218.60.56/~jnz1568/getInfo.php?workbook=08_02.xlsx&amp;sheet=A0&amp;row=464&amp;col=16&amp;number=&amp;sourceID=32","")</f>
        <v/>
      </c>
      <c r="Q464" s="4" t="str">
        <f>HYPERLINK("http://141.218.60.56/~jnz1568/getInfo.php?workbook=08_02.xlsx&amp;sheet=A0&amp;row=464&amp;col=17&amp;number=&amp;sourceID=32","")</f>
        <v/>
      </c>
      <c r="R464" s="4" t="str">
        <f>HYPERLINK("http://141.218.60.56/~jnz1568/getInfo.php?workbook=08_02.xlsx&amp;sheet=A0&amp;row=464&amp;col=18&amp;number=0.3171&amp;sourceID=32","0.3171")</f>
        <v>0.3171</v>
      </c>
      <c r="S464" s="4" t="str">
        <f>HYPERLINK("http://141.218.60.56/~jnz1568/getInfo.php?workbook=08_02.xlsx&amp;sheet=A0&amp;row=464&amp;col=19&amp;number=&amp;sourceID=1","")</f>
        <v/>
      </c>
      <c r="T464" s="4" t="str">
        <f>HYPERLINK("http://141.218.60.56/~jnz1568/getInfo.php?workbook=08_02.xlsx&amp;sheet=A0&amp;row=464&amp;col=20&amp;number=&amp;sourceID=1","")</f>
        <v/>
      </c>
    </row>
    <row r="465" spans="1:20">
      <c r="A465" s="3">
        <v>8</v>
      </c>
      <c r="B465" s="3">
        <v>2</v>
      </c>
      <c r="C465" s="3">
        <v>34</v>
      </c>
      <c r="D465" s="3">
        <v>17</v>
      </c>
      <c r="E465" s="3">
        <f>((1/(INDEX(E0!J$4:J$52,C465,1)-INDEX(E0!J$4:J$52,D465,1))))*100000000</f>
        <v>0</v>
      </c>
      <c r="F465" s="4" t="str">
        <f>HYPERLINK("http://141.218.60.56/~jnz1568/getInfo.php?workbook=08_02.xlsx&amp;sheet=A0&amp;row=465&amp;col=6&amp;number=&amp;sourceID=27","")</f>
        <v/>
      </c>
      <c r="G465" s="4" t="str">
        <f>HYPERLINK("http://141.218.60.56/~jnz1568/getInfo.php?workbook=08_02.xlsx&amp;sheet=A0&amp;row=465&amp;col=7&amp;number=&amp;sourceID=34","")</f>
        <v/>
      </c>
      <c r="H465" s="4" t="str">
        <f>HYPERLINK("http://141.218.60.56/~jnz1568/getInfo.php?workbook=08_02.xlsx&amp;sheet=A0&amp;row=465&amp;col=8&amp;number=&amp;sourceID=34","")</f>
        <v/>
      </c>
      <c r="I465" s="4" t="str">
        <f>HYPERLINK("http://141.218.60.56/~jnz1568/getInfo.php?workbook=08_02.xlsx&amp;sheet=A0&amp;row=465&amp;col=9&amp;number=&amp;sourceID=34","")</f>
        <v/>
      </c>
      <c r="J465" s="4" t="str">
        <f>HYPERLINK("http://141.218.60.56/~jnz1568/getInfo.php?workbook=08_02.xlsx&amp;sheet=A0&amp;row=465&amp;col=10&amp;number=&amp;sourceID=34","")</f>
        <v/>
      </c>
      <c r="K465" s="4" t="str">
        <f>HYPERLINK("http://141.218.60.56/~jnz1568/getInfo.php?workbook=08_02.xlsx&amp;sheet=A0&amp;row=465&amp;col=11&amp;number=&amp;sourceID=30","")</f>
        <v/>
      </c>
      <c r="L465" s="4" t="str">
        <f>HYPERLINK("http://141.218.60.56/~jnz1568/getInfo.php?workbook=08_02.xlsx&amp;sheet=A0&amp;row=465&amp;col=12&amp;number=&amp;sourceID=30","")</f>
        <v/>
      </c>
      <c r="M465" s="4" t="str">
        <f>HYPERLINK("http://141.218.60.56/~jnz1568/getInfo.php?workbook=08_02.xlsx&amp;sheet=A0&amp;row=465&amp;col=13&amp;number=0.1378&amp;sourceID=30","0.1378")</f>
        <v>0.1378</v>
      </c>
      <c r="N465" s="4" t="str">
        <f>HYPERLINK("http://141.218.60.56/~jnz1568/getInfo.php?workbook=08_02.xlsx&amp;sheet=A0&amp;row=465&amp;col=14&amp;number=&amp;sourceID=30","")</f>
        <v/>
      </c>
      <c r="O465" s="4" t="str">
        <f>HYPERLINK("http://141.218.60.56/~jnz1568/getInfo.php?workbook=08_02.xlsx&amp;sheet=A0&amp;row=465&amp;col=15&amp;number=&amp;sourceID=32","")</f>
        <v/>
      </c>
      <c r="P465" s="4" t="str">
        <f>HYPERLINK("http://141.218.60.56/~jnz1568/getInfo.php?workbook=08_02.xlsx&amp;sheet=A0&amp;row=465&amp;col=16&amp;number=&amp;sourceID=32","")</f>
        <v/>
      </c>
      <c r="Q465" s="4" t="str">
        <f>HYPERLINK("http://141.218.60.56/~jnz1568/getInfo.php?workbook=08_02.xlsx&amp;sheet=A0&amp;row=465&amp;col=17&amp;number=0.1518&amp;sourceID=32","0.1518")</f>
        <v>0.1518</v>
      </c>
      <c r="R465" s="4" t="str">
        <f>HYPERLINK("http://141.218.60.56/~jnz1568/getInfo.php?workbook=08_02.xlsx&amp;sheet=A0&amp;row=465&amp;col=18&amp;number=&amp;sourceID=32","")</f>
        <v/>
      </c>
      <c r="S465" s="4" t="str">
        <f>HYPERLINK("http://141.218.60.56/~jnz1568/getInfo.php?workbook=08_02.xlsx&amp;sheet=A0&amp;row=465&amp;col=19&amp;number=&amp;sourceID=1","")</f>
        <v/>
      </c>
      <c r="T465" s="4" t="str">
        <f>HYPERLINK("http://141.218.60.56/~jnz1568/getInfo.php?workbook=08_02.xlsx&amp;sheet=A0&amp;row=465&amp;col=20&amp;number=&amp;sourceID=1","")</f>
        <v/>
      </c>
    </row>
    <row r="466" spans="1:20">
      <c r="A466" s="3">
        <v>8</v>
      </c>
      <c r="B466" s="3">
        <v>2</v>
      </c>
      <c r="C466" s="3">
        <v>34</v>
      </c>
      <c r="D466" s="3">
        <v>18</v>
      </c>
      <c r="E466" s="3">
        <f>((1/(INDEX(E0!J$4:J$52,C466,1)-INDEX(E0!J$4:J$52,D466,1))))*100000000</f>
        <v>0</v>
      </c>
      <c r="F466" s="4" t="str">
        <f>HYPERLINK("http://141.218.60.56/~jnz1568/getInfo.php?workbook=08_02.xlsx&amp;sheet=A0&amp;row=466&amp;col=6&amp;number=&amp;sourceID=27","")</f>
        <v/>
      </c>
      <c r="G466" s="4" t="str">
        <f>HYPERLINK("http://141.218.60.56/~jnz1568/getInfo.php?workbook=08_02.xlsx&amp;sheet=A0&amp;row=466&amp;col=7&amp;number=&amp;sourceID=34","")</f>
        <v/>
      </c>
      <c r="H466" s="4" t="str">
        <f>HYPERLINK("http://141.218.60.56/~jnz1568/getInfo.php?workbook=08_02.xlsx&amp;sheet=A0&amp;row=466&amp;col=8&amp;number=&amp;sourceID=34","")</f>
        <v/>
      </c>
      <c r="I466" s="4" t="str">
        <f>HYPERLINK("http://141.218.60.56/~jnz1568/getInfo.php?workbook=08_02.xlsx&amp;sheet=A0&amp;row=466&amp;col=9&amp;number=&amp;sourceID=34","")</f>
        <v/>
      </c>
      <c r="J466" s="4" t="str">
        <f>HYPERLINK("http://141.218.60.56/~jnz1568/getInfo.php?workbook=08_02.xlsx&amp;sheet=A0&amp;row=466&amp;col=10&amp;number=&amp;sourceID=34","")</f>
        <v/>
      </c>
      <c r="K466" s="4" t="str">
        <f>HYPERLINK("http://141.218.60.56/~jnz1568/getInfo.php?workbook=08_02.xlsx&amp;sheet=A0&amp;row=466&amp;col=11&amp;number=1508000000&amp;sourceID=30","1508000000")</f>
        <v>1508000000</v>
      </c>
      <c r="L466" s="4" t="str">
        <f>HYPERLINK("http://141.218.60.56/~jnz1568/getInfo.php?workbook=08_02.xlsx&amp;sheet=A0&amp;row=466&amp;col=12&amp;number=&amp;sourceID=30","")</f>
        <v/>
      </c>
      <c r="M466" s="4" t="str">
        <f>HYPERLINK("http://141.218.60.56/~jnz1568/getInfo.php?workbook=08_02.xlsx&amp;sheet=A0&amp;row=466&amp;col=13&amp;number=&amp;sourceID=30","")</f>
        <v/>
      </c>
      <c r="N466" s="4" t="str">
        <f>HYPERLINK("http://141.218.60.56/~jnz1568/getInfo.php?workbook=08_02.xlsx&amp;sheet=A0&amp;row=466&amp;col=14&amp;number=&amp;sourceID=30","")</f>
        <v/>
      </c>
      <c r="O466" s="4" t="str">
        <f>HYPERLINK("http://141.218.60.56/~jnz1568/getInfo.php?workbook=08_02.xlsx&amp;sheet=A0&amp;row=466&amp;col=15&amp;number=1560000000&amp;sourceID=32","1560000000")</f>
        <v>1560000000</v>
      </c>
      <c r="P466" s="4" t="str">
        <f>HYPERLINK("http://141.218.60.56/~jnz1568/getInfo.php?workbook=08_02.xlsx&amp;sheet=A0&amp;row=466&amp;col=16&amp;number=&amp;sourceID=32","")</f>
        <v/>
      </c>
      <c r="Q466" s="4" t="str">
        <f>HYPERLINK("http://141.218.60.56/~jnz1568/getInfo.php?workbook=08_02.xlsx&amp;sheet=A0&amp;row=466&amp;col=17&amp;number=&amp;sourceID=32","")</f>
        <v/>
      </c>
      <c r="R466" s="4" t="str">
        <f>HYPERLINK("http://141.218.60.56/~jnz1568/getInfo.php?workbook=08_02.xlsx&amp;sheet=A0&amp;row=466&amp;col=18&amp;number=&amp;sourceID=32","")</f>
        <v/>
      </c>
      <c r="S466" s="4" t="str">
        <f>HYPERLINK("http://141.218.60.56/~jnz1568/getInfo.php?workbook=08_02.xlsx&amp;sheet=A0&amp;row=466&amp;col=19&amp;number=&amp;sourceID=1","")</f>
        <v/>
      </c>
      <c r="T466" s="4" t="str">
        <f>HYPERLINK("http://141.218.60.56/~jnz1568/getInfo.php?workbook=08_02.xlsx&amp;sheet=A0&amp;row=466&amp;col=20&amp;number=&amp;sourceID=1","")</f>
        <v/>
      </c>
    </row>
    <row r="467" spans="1:20">
      <c r="A467" s="3">
        <v>8</v>
      </c>
      <c r="B467" s="3">
        <v>2</v>
      </c>
      <c r="C467" s="3">
        <v>34</v>
      </c>
      <c r="D467" s="3">
        <v>20</v>
      </c>
      <c r="E467" s="3">
        <f>((1/(INDEX(E0!J$4:J$52,C467,1)-INDEX(E0!J$4:J$52,D467,1))))*100000000</f>
        <v>0</v>
      </c>
      <c r="F467" s="4" t="str">
        <f>HYPERLINK("http://141.218.60.56/~jnz1568/getInfo.php?workbook=08_02.xlsx&amp;sheet=A0&amp;row=467&amp;col=6&amp;number=&amp;sourceID=27","")</f>
        <v/>
      </c>
      <c r="G467" s="4" t="str">
        <f>HYPERLINK("http://141.218.60.56/~jnz1568/getInfo.php?workbook=08_02.xlsx&amp;sheet=A0&amp;row=467&amp;col=7&amp;number=&amp;sourceID=34","")</f>
        <v/>
      </c>
      <c r="H467" s="4" t="str">
        <f>HYPERLINK("http://141.218.60.56/~jnz1568/getInfo.php?workbook=08_02.xlsx&amp;sheet=A0&amp;row=467&amp;col=8&amp;number=&amp;sourceID=34","")</f>
        <v/>
      </c>
      <c r="I467" s="4" t="str">
        <f>HYPERLINK("http://141.218.60.56/~jnz1568/getInfo.php?workbook=08_02.xlsx&amp;sheet=A0&amp;row=467&amp;col=9&amp;number=&amp;sourceID=34","")</f>
        <v/>
      </c>
      <c r="J467" s="4" t="str">
        <f>HYPERLINK("http://141.218.60.56/~jnz1568/getInfo.php?workbook=08_02.xlsx&amp;sheet=A0&amp;row=467&amp;col=10&amp;number=&amp;sourceID=34","")</f>
        <v/>
      </c>
      <c r="K467" s="4" t="str">
        <f>HYPERLINK("http://141.218.60.56/~jnz1568/getInfo.php?workbook=08_02.xlsx&amp;sheet=A0&amp;row=467&amp;col=11&amp;number=&amp;sourceID=30","")</f>
        <v/>
      </c>
      <c r="L467" s="4" t="str">
        <f>HYPERLINK("http://141.218.60.56/~jnz1568/getInfo.php?workbook=08_02.xlsx&amp;sheet=A0&amp;row=467&amp;col=12&amp;number=&amp;sourceID=30","")</f>
        <v/>
      </c>
      <c r="M467" s="4" t="str">
        <f>HYPERLINK("http://141.218.60.56/~jnz1568/getInfo.php?workbook=08_02.xlsx&amp;sheet=A0&amp;row=467&amp;col=13&amp;number=0.0002867&amp;sourceID=30","0.0002867")</f>
        <v>0.0002867</v>
      </c>
      <c r="N467" s="4" t="str">
        <f>HYPERLINK("http://141.218.60.56/~jnz1568/getInfo.php?workbook=08_02.xlsx&amp;sheet=A0&amp;row=467&amp;col=14&amp;number=&amp;sourceID=30","")</f>
        <v/>
      </c>
      <c r="O467" s="4" t="str">
        <f>HYPERLINK("http://141.218.60.56/~jnz1568/getInfo.php?workbook=08_02.xlsx&amp;sheet=A0&amp;row=467&amp;col=15&amp;number=&amp;sourceID=32","")</f>
        <v/>
      </c>
      <c r="P467" s="4" t="str">
        <f>HYPERLINK("http://141.218.60.56/~jnz1568/getInfo.php?workbook=08_02.xlsx&amp;sheet=A0&amp;row=467&amp;col=16&amp;number=&amp;sourceID=32","")</f>
        <v/>
      </c>
      <c r="Q467" s="4" t="str">
        <f>HYPERLINK("http://141.218.60.56/~jnz1568/getInfo.php?workbook=08_02.xlsx&amp;sheet=A0&amp;row=467&amp;col=17&amp;number=0.0002007&amp;sourceID=32","0.0002007")</f>
        <v>0.0002007</v>
      </c>
      <c r="R467" s="4" t="str">
        <f>HYPERLINK("http://141.218.60.56/~jnz1568/getInfo.php?workbook=08_02.xlsx&amp;sheet=A0&amp;row=467&amp;col=18&amp;number=&amp;sourceID=32","")</f>
        <v/>
      </c>
      <c r="S467" s="4" t="str">
        <f>HYPERLINK("http://141.218.60.56/~jnz1568/getInfo.php?workbook=08_02.xlsx&amp;sheet=A0&amp;row=467&amp;col=19&amp;number=&amp;sourceID=1","")</f>
        <v/>
      </c>
      <c r="T467" s="4" t="str">
        <f>HYPERLINK("http://141.218.60.56/~jnz1568/getInfo.php?workbook=08_02.xlsx&amp;sheet=A0&amp;row=467&amp;col=20&amp;number=&amp;sourceID=1","")</f>
        <v/>
      </c>
    </row>
    <row r="468" spans="1:20">
      <c r="A468" s="3">
        <v>8</v>
      </c>
      <c r="B468" s="3">
        <v>2</v>
      </c>
      <c r="C468" s="3">
        <v>34</v>
      </c>
      <c r="D468" s="3">
        <v>21</v>
      </c>
      <c r="E468" s="3">
        <f>((1/(INDEX(E0!J$4:J$52,C468,1)-INDEX(E0!J$4:J$52,D468,1))))*100000000</f>
        <v>0</v>
      </c>
      <c r="F468" s="4" t="str">
        <f>HYPERLINK("http://141.218.60.56/~jnz1568/getInfo.php?workbook=08_02.xlsx&amp;sheet=A0&amp;row=468&amp;col=6&amp;number=&amp;sourceID=27","")</f>
        <v/>
      </c>
      <c r="G468" s="4" t="str">
        <f>HYPERLINK("http://141.218.60.56/~jnz1568/getInfo.php?workbook=08_02.xlsx&amp;sheet=A0&amp;row=468&amp;col=7&amp;number=&amp;sourceID=34","")</f>
        <v/>
      </c>
      <c r="H468" s="4" t="str">
        <f>HYPERLINK("http://141.218.60.56/~jnz1568/getInfo.php?workbook=08_02.xlsx&amp;sheet=A0&amp;row=468&amp;col=8&amp;number=&amp;sourceID=34","")</f>
        <v/>
      </c>
      <c r="I468" s="4" t="str">
        <f>HYPERLINK("http://141.218.60.56/~jnz1568/getInfo.php?workbook=08_02.xlsx&amp;sheet=A0&amp;row=468&amp;col=9&amp;number=&amp;sourceID=34","")</f>
        <v/>
      </c>
      <c r="J468" s="4" t="str">
        <f>HYPERLINK("http://141.218.60.56/~jnz1568/getInfo.php?workbook=08_02.xlsx&amp;sheet=A0&amp;row=468&amp;col=10&amp;number=&amp;sourceID=34","")</f>
        <v/>
      </c>
      <c r="K468" s="4" t="str">
        <f>HYPERLINK("http://141.218.60.56/~jnz1568/getInfo.php?workbook=08_02.xlsx&amp;sheet=A0&amp;row=468&amp;col=11&amp;number=&amp;sourceID=30","")</f>
        <v/>
      </c>
      <c r="L468" s="4" t="str">
        <f>HYPERLINK("http://141.218.60.56/~jnz1568/getInfo.php?workbook=08_02.xlsx&amp;sheet=A0&amp;row=468&amp;col=12&amp;number=53700&amp;sourceID=30","53700")</f>
        <v>53700</v>
      </c>
      <c r="M468" s="4" t="str">
        <f>HYPERLINK("http://141.218.60.56/~jnz1568/getInfo.php?workbook=08_02.xlsx&amp;sheet=A0&amp;row=468&amp;col=13&amp;number=&amp;sourceID=30","")</f>
        <v/>
      </c>
      <c r="N468" s="4" t="str">
        <f>HYPERLINK("http://141.218.60.56/~jnz1568/getInfo.php?workbook=08_02.xlsx&amp;sheet=A0&amp;row=468&amp;col=14&amp;number=&amp;sourceID=30","")</f>
        <v/>
      </c>
      <c r="O468" s="4" t="str">
        <f>HYPERLINK("http://141.218.60.56/~jnz1568/getInfo.php?workbook=08_02.xlsx&amp;sheet=A0&amp;row=468&amp;col=15&amp;number=&amp;sourceID=32","")</f>
        <v/>
      </c>
      <c r="P468" s="4" t="str">
        <f>HYPERLINK("http://141.218.60.56/~jnz1568/getInfo.php?workbook=08_02.xlsx&amp;sheet=A0&amp;row=468&amp;col=16&amp;number=55320&amp;sourceID=32","55320")</f>
        <v>55320</v>
      </c>
      <c r="Q468" s="4" t="str">
        <f>HYPERLINK("http://141.218.60.56/~jnz1568/getInfo.php?workbook=08_02.xlsx&amp;sheet=A0&amp;row=468&amp;col=17&amp;number=&amp;sourceID=32","")</f>
        <v/>
      </c>
      <c r="R468" s="4" t="str">
        <f>HYPERLINK("http://141.218.60.56/~jnz1568/getInfo.php?workbook=08_02.xlsx&amp;sheet=A0&amp;row=468&amp;col=18&amp;number=&amp;sourceID=32","")</f>
        <v/>
      </c>
      <c r="S468" s="4" t="str">
        <f>HYPERLINK("http://141.218.60.56/~jnz1568/getInfo.php?workbook=08_02.xlsx&amp;sheet=A0&amp;row=468&amp;col=19&amp;number=&amp;sourceID=1","")</f>
        <v/>
      </c>
      <c r="T468" s="4" t="str">
        <f>HYPERLINK("http://141.218.60.56/~jnz1568/getInfo.php?workbook=08_02.xlsx&amp;sheet=A0&amp;row=468&amp;col=20&amp;number=&amp;sourceID=1","")</f>
        <v/>
      </c>
    </row>
    <row r="469" spans="1:20">
      <c r="A469" s="3">
        <v>8</v>
      </c>
      <c r="B469" s="3">
        <v>2</v>
      </c>
      <c r="C469" s="3">
        <v>34</v>
      </c>
      <c r="D469" s="3">
        <v>23</v>
      </c>
      <c r="E469" s="3">
        <f>((1/(INDEX(E0!J$4:J$52,C469,1)-INDEX(E0!J$4:J$52,D469,1))))*100000000</f>
        <v>0</v>
      </c>
      <c r="F469" s="4" t="str">
        <f>HYPERLINK("http://141.218.60.56/~jnz1568/getInfo.php?workbook=08_02.xlsx&amp;sheet=A0&amp;row=469&amp;col=6&amp;number=&amp;sourceID=27","")</f>
        <v/>
      </c>
      <c r="G469" s="4" t="str">
        <f>HYPERLINK("http://141.218.60.56/~jnz1568/getInfo.php?workbook=08_02.xlsx&amp;sheet=A0&amp;row=469&amp;col=7&amp;number=556300000&amp;sourceID=34","556300000")</f>
        <v>556300000</v>
      </c>
      <c r="H469" s="4" t="str">
        <f>HYPERLINK("http://141.218.60.56/~jnz1568/getInfo.php?workbook=08_02.xlsx&amp;sheet=A0&amp;row=469&amp;col=8&amp;number=&amp;sourceID=34","")</f>
        <v/>
      </c>
      <c r="I469" s="4" t="str">
        <f>HYPERLINK("http://141.218.60.56/~jnz1568/getInfo.php?workbook=08_02.xlsx&amp;sheet=A0&amp;row=469&amp;col=9&amp;number=&amp;sourceID=34","")</f>
        <v/>
      </c>
      <c r="J469" s="4" t="str">
        <f>HYPERLINK("http://141.218.60.56/~jnz1568/getInfo.php?workbook=08_02.xlsx&amp;sheet=A0&amp;row=469&amp;col=10&amp;number=&amp;sourceID=34","")</f>
        <v/>
      </c>
      <c r="K469" s="4" t="str">
        <f>HYPERLINK("http://141.218.60.56/~jnz1568/getInfo.php?workbook=08_02.xlsx&amp;sheet=A0&amp;row=469&amp;col=11&amp;number=545400000&amp;sourceID=30","545400000")</f>
        <v>545400000</v>
      </c>
      <c r="L469" s="4" t="str">
        <f>HYPERLINK("http://141.218.60.56/~jnz1568/getInfo.php?workbook=08_02.xlsx&amp;sheet=A0&amp;row=469&amp;col=12&amp;number=&amp;sourceID=30","")</f>
        <v/>
      </c>
      <c r="M469" s="4" t="str">
        <f>HYPERLINK("http://141.218.60.56/~jnz1568/getInfo.php?workbook=08_02.xlsx&amp;sheet=A0&amp;row=469&amp;col=13&amp;number=&amp;sourceID=30","")</f>
        <v/>
      </c>
      <c r="N469" s="4" t="str">
        <f>HYPERLINK("http://141.218.60.56/~jnz1568/getInfo.php?workbook=08_02.xlsx&amp;sheet=A0&amp;row=469&amp;col=14&amp;number=&amp;sourceID=30","")</f>
        <v/>
      </c>
      <c r="O469" s="4" t="str">
        <f>HYPERLINK("http://141.218.60.56/~jnz1568/getInfo.php?workbook=08_02.xlsx&amp;sheet=A0&amp;row=469&amp;col=15&amp;number=555100000&amp;sourceID=32","555100000")</f>
        <v>555100000</v>
      </c>
      <c r="P469" s="4" t="str">
        <f>HYPERLINK("http://141.218.60.56/~jnz1568/getInfo.php?workbook=08_02.xlsx&amp;sheet=A0&amp;row=469&amp;col=16&amp;number=&amp;sourceID=32","")</f>
        <v/>
      </c>
      <c r="Q469" s="4" t="str">
        <f>HYPERLINK("http://141.218.60.56/~jnz1568/getInfo.php?workbook=08_02.xlsx&amp;sheet=A0&amp;row=469&amp;col=17&amp;number=&amp;sourceID=32","")</f>
        <v/>
      </c>
      <c r="R469" s="4" t="str">
        <f>HYPERLINK("http://141.218.60.56/~jnz1568/getInfo.php?workbook=08_02.xlsx&amp;sheet=A0&amp;row=469&amp;col=18&amp;number=&amp;sourceID=32","")</f>
        <v/>
      </c>
      <c r="S469" s="4" t="str">
        <f>HYPERLINK("http://141.218.60.56/~jnz1568/getInfo.php?workbook=08_02.xlsx&amp;sheet=A0&amp;row=469&amp;col=19&amp;number=&amp;sourceID=1","")</f>
        <v/>
      </c>
      <c r="T469" s="4" t="str">
        <f>HYPERLINK("http://141.218.60.56/~jnz1568/getInfo.php?workbook=08_02.xlsx&amp;sheet=A0&amp;row=469&amp;col=20&amp;number=&amp;sourceID=1","")</f>
        <v/>
      </c>
    </row>
    <row r="470" spans="1:20">
      <c r="A470" s="3">
        <v>8</v>
      </c>
      <c r="B470" s="3">
        <v>2</v>
      </c>
      <c r="C470" s="3">
        <v>34</v>
      </c>
      <c r="D470" s="3">
        <v>24</v>
      </c>
      <c r="E470" s="3">
        <f>((1/(INDEX(E0!J$4:J$52,C470,1)-INDEX(E0!J$4:J$52,D470,1))))*100000000</f>
        <v>0</v>
      </c>
      <c r="F470" s="4" t="str">
        <f>HYPERLINK("http://141.218.60.56/~jnz1568/getInfo.php?workbook=08_02.xlsx&amp;sheet=A0&amp;row=470&amp;col=6&amp;number=&amp;sourceID=27","")</f>
        <v/>
      </c>
      <c r="G470" s="4" t="str">
        <f>HYPERLINK("http://141.218.60.56/~jnz1568/getInfo.php?workbook=08_02.xlsx&amp;sheet=A0&amp;row=470&amp;col=7&amp;number=&amp;sourceID=34","")</f>
        <v/>
      </c>
      <c r="H470" s="4" t="str">
        <f>HYPERLINK("http://141.218.60.56/~jnz1568/getInfo.php?workbook=08_02.xlsx&amp;sheet=A0&amp;row=470&amp;col=8&amp;number=&amp;sourceID=34","")</f>
        <v/>
      </c>
      <c r="I470" s="4" t="str">
        <f>HYPERLINK("http://141.218.60.56/~jnz1568/getInfo.php?workbook=08_02.xlsx&amp;sheet=A0&amp;row=470&amp;col=9&amp;number=&amp;sourceID=34","")</f>
        <v/>
      </c>
      <c r="J470" s="4" t="str">
        <f>HYPERLINK("http://141.218.60.56/~jnz1568/getInfo.php?workbook=08_02.xlsx&amp;sheet=A0&amp;row=470&amp;col=10&amp;number=&amp;sourceID=34","")</f>
        <v/>
      </c>
      <c r="K470" s="4" t="str">
        <f>HYPERLINK("http://141.218.60.56/~jnz1568/getInfo.php?workbook=08_02.xlsx&amp;sheet=A0&amp;row=470&amp;col=11&amp;number=&amp;sourceID=30","")</f>
        <v/>
      </c>
      <c r="L470" s="4" t="str">
        <f>HYPERLINK("http://141.218.60.56/~jnz1568/getInfo.php?workbook=08_02.xlsx&amp;sheet=A0&amp;row=470&amp;col=12&amp;number=&amp;sourceID=30","")</f>
        <v/>
      </c>
      <c r="M470" s="4" t="str">
        <f>HYPERLINK("http://141.218.60.56/~jnz1568/getInfo.php?workbook=08_02.xlsx&amp;sheet=A0&amp;row=470&amp;col=13&amp;number=&amp;sourceID=30","")</f>
        <v/>
      </c>
      <c r="N470" s="4" t="str">
        <f>HYPERLINK("http://141.218.60.56/~jnz1568/getInfo.php?workbook=08_02.xlsx&amp;sheet=A0&amp;row=470&amp;col=14&amp;number=0.003467&amp;sourceID=30","0.003467")</f>
        <v>0.003467</v>
      </c>
      <c r="O470" s="4" t="str">
        <f>HYPERLINK("http://141.218.60.56/~jnz1568/getInfo.php?workbook=08_02.xlsx&amp;sheet=A0&amp;row=470&amp;col=15&amp;number=&amp;sourceID=32","")</f>
        <v/>
      </c>
      <c r="P470" s="4" t="str">
        <f>HYPERLINK("http://141.218.60.56/~jnz1568/getInfo.php?workbook=08_02.xlsx&amp;sheet=A0&amp;row=470&amp;col=16&amp;number=&amp;sourceID=32","")</f>
        <v/>
      </c>
      <c r="Q470" s="4" t="str">
        <f>HYPERLINK("http://141.218.60.56/~jnz1568/getInfo.php?workbook=08_02.xlsx&amp;sheet=A0&amp;row=470&amp;col=17&amp;number=&amp;sourceID=32","")</f>
        <v/>
      </c>
      <c r="R470" s="4" t="str">
        <f>HYPERLINK("http://141.218.60.56/~jnz1568/getInfo.php?workbook=08_02.xlsx&amp;sheet=A0&amp;row=470&amp;col=18&amp;number=0.003295&amp;sourceID=32","0.003295")</f>
        <v>0.003295</v>
      </c>
      <c r="S470" s="4" t="str">
        <f>HYPERLINK("http://141.218.60.56/~jnz1568/getInfo.php?workbook=08_02.xlsx&amp;sheet=A0&amp;row=470&amp;col=19&amp;number=&amp;sourceID=1","")</f>
        <v/>
      </c>
      <c r="T470" s="4" t="str">
        <f>HYPERLINK("http://141.218.60.56/~jnz1568/getInfo.php?workbook=08_02.xlsx&amp;sheet=A0&amp;row=470&amp;col=20&amp;number=&amp;sourceID=1","")</f>
        <v/>
      </c>
    </row>
    <row r="471" spans="1:20">
      <c r="A471" s="3">
        <v>8</v>
      </c>
      <c r="B471" s="3">
        <v>2</v>
      </c>
      <c r="C471" s="3">
        <v>34</v>
      </c>
      <c r="D471" s="3">
        <v>28</v>
      </c>
      <c r="E471" s="3">
        <f>((1/(INDEX(E0!J$4:J$52,C471,1)-INDEX(E0!J$4:J$52,D471,1))))*100000000</f>
        <v>0</v>
      </c>
      <c r="F471" s="4" t="str">
        <f>HYPERLINK("http://141.218.60.56/~jnz1568/getInfo.php?workbook=08_02.xlsx&amp;sheet=A0&amp;row=471&amp;col=6&amp;number=&amp;sourceID=27","")</f>
        <v/>
      </c>
      <c r="G471" s="4" t="str">
        <f>HYPERLINK("http://141.218.60.56/~jnz1568/getInfo.php?workbook=08_02.xlsx&amp;sheet=A0&amp;row=471&amp;col=7&amp;number=&amp;sourceID=34","")</f>
        <v/>
      </c>
      <c r="H471" s="4" t="str">
        <f>HYPERLINK("http://141.218.60.56/~jnz1568/getInfo.php?workbook=08_02.xlsx&amp;sheet=A0&amp;row=471&amp;col=8&amp;number=&amp;sourceID=34","")</f>
        <v/>
      </c>
      <c r="I471" s="4" t="str">
        <f>HYPERLINK("http://141.218.60.56/~jnz1568/getInfo.php?workbook=08_02.xlsx&amp;sheet=A0&amp;row=471&amp;col=9&amp;number=&amp;sourceID=34","")</f>
        <v/>
      </c>
      <c r="J471" s="4" t="str">
        <f>HYPERLINK("http://141.218.60.56/~jnz1568/getInfo.php?workbook=08_02.xlsx&amp;sheet=A0&amp;row=471&amp;col=10&amp;number=&amp;sourceID=34","")</f>
        <v/>
      </c>
      <c r="K471" s="4" t="str">
        <f>HYPERLINK("http://141.218.60.56/~jnz1568/getInfo.php?workbook=08_02.xlsx&amp;sheet=A0&amp;row=471&amp;col=11&amp;number=&amp;sourceID=30","")</f>
        <v/>
      </c>
      <c r="L471" s="4" t="str">
        <f>HYPERLINK("http://141.218.60.56/~jnz1568/getInfo.php?workbook=08_02.xlsx&amp;sheet=A0&amp;row=471&amp;col=12&amp;number=5917&amp;sourceID=30","5917")</f>
        <v>5917</v>
      </c>
      <c r="M471" s="4" t="str">
        <f>HYPERLINK("http://141.218.60.56/~jnz1568/getInfo.php?workbook=08_02.xlsx&amp;sheet=A0&amp;row=471&amp;col=13&amp;number=&amp;sourceID=30","")</f>
        <v/>
      </c>
      <c r="N471" s="4" t="str">
        <f>HYPERLINK("http://141.218.60.56/~jnz1568/getInfo.php?workbook=08_02.xlsx&amp;sheet=A0&amp;row=471&amp;col=14&amp;number=&amp;sourceID=30","")</f>
        <v/>
      </c>
      <c r="O471" s="4" t="str">
        <f>HYPERLINK("http://141.218.60.56/~jnz1568/getInfo.php?workbook=08_02.xlsx&amp;sheet=A0&amp;row=471&amp;col=15&amp;number=&amp;sourceID=32","")</f>
        <v/>
      </c>
      <c r="P471" s="4" t="str">
        <f>HYPERLINK("http://141.218.60.56/~jnz1568/getInfo.php?workbook=08_02.xlsx&amp;sheet=A0&amp;row=471&amp;col=16&amp;number=5960&amp;sourceID=32","5960")</f>
        <v>5960</v>
      </c>
      <c r="Q471" s="4" t="str">
        <f>HYPERLINK("http://141.218.60.56/~jnz1568/getInfo.php?workbook=08_02.xlsx&amp;sheet=A0&amp;row=471&amp;col=17&amp;number=&amp;sourceID=32","")</f>
        <v/>
      </c>
      <c r="R471" s="4" t="str">
        <f>HYPERLINK("http://141.218.60.56/~jnz1568/getInfo.php?workbook=08_02.xlsx&amp;sheet=A0&amp;row=471&amp;col=18&amp;number=&amp;sourceID=32","")</f>
        <v/>
      </c>
      <c r="S471" s="4" t="str">
        <f>HYPERLINK("http://141.218.60.56/~jnz1568/getInfo.php?workbook=08_02.xlsx&amp;sheet=A0&amp;row=471&amp;col=19&amp;number=&amp;sourceID=1","")</f>
        <v/>
      </c>
      <c r="T471" s="4" t="str">
        <f>HYPERLINK("http://141.218.60.56/~jnz1568/getInfo.php?workbook=08_02.xlsx&amp;sheet=A0&amp;row=471&amp;col=20&amp;number=&amp;sourceID=1","")</f>
        <v/>
      </c>
    </row>
    <row r="472" spans="1:20">
      <c r="A472" s="3">
        <v>8</v>
      </c>
      <c r="B472" s="3">
        <v>2</v>
      </c>
      <c r="C472" s="3">
        <v>34</v>
      </c>
      <c r="D472" s="3">
        <v>29</v>
      </c>
      <c r="E472" s="3">
        <f>((1/(INDEX(E0!J$4:J$52,C472,1)-INDEX(E0!J$4:J$52,D472,1))))*100000000</f>
        <v>0</v>
      </c>
      <c r="F472" s="4" t="str">
        <f>HYPERLINK("http://141.218.60.56/~jnz1568/getInfo.php?workbook=08_02.xlsx&amp;sheet=A0&amp;row=472&amp;col=6&amp;number=&amp;sourceID=27","")</f>
        <v/>
      </c>
      <c r="G472" s="4" t="str">
        <f>HYPERLINK("http://141.218.60.56/~jnz1568/getInfo.php?workbook=08_02.xlsx&amp;sheet=A0&amp;row=472&amp;col=7&amp;number=&amp;sourceID=34","")</f>
        <v/>
      </c>
      <c r="H472" s="4" t="str">
        <f>HYPERLINK("http://141.218.60.56/~jnz1568/getInfo.php?workbook=08_02.xlsx&amp;sheet=A0&amp;row=472&amp;col=8&amp;number=&amp;sourceID=34","")</f>
        <v/>
      </c>
      <c r="I472" s="4" t="str">
        <f>HYPERLINK("http://141.218.60.56/~jnz1568/getInfo.php?workbook=08_02.xlsx&amp;sheet=A0&amp;row=472&amp;col=9&amp;number=&amp;sourceID=34","")</f>
        <v/>
      </c>
      <c r="J472" s="4" t="str">
        <f>HYPERLINK("http://141.218.60.56/~jnz1568/getInfo.php?workbook=08_02.xlsx&amp;sheet=A0&amp;row=472&amp;col=10&amp;number=&amp;sourceID=34","")</f>
        <v/>
      </c>
      <c r="K472" s="4" t="str">
        <f>HYPERLINK("http://141.218.60.56/~jnz1568/getInfo.php?workbook=08_02.xlsx&amp;sheet=A0&amp;row=472&amp;col=11&amp;number=&amp;sourceID=30","")</f>
        <v/>
      </c>
      <c r="L472" s="4" t="str">
        <f>HYPERLINK("http://141.218.60.56/~jnz1568/getInfo.php?workbook=08_02.xlsx&amp;sheet=A0&amp;row=472&amp;col=12&amp;number=&amp;sourceID=30","")</f>
        <v/>
      </c>
      <c r="M472" s="4" t="str">
        <f>HYPERLINK("http://141.218.60.56/~jnz1568/getInfo.php?workbook=08_02.xlsx&amp;sheet=A0&amp;row=472&amp;col=13&amp;number=&amp;sourceID=30","")</f>
        <v/>
      </c>
      <c r="N472" s="4" t="str">
        <f>HYPERLINK("http://141.218.60.56/~jnz1568/getInfo.php?workbook=08_02.xlsx&amp;sheet=A0&amp;row=472&amp;col=14&amp;number=0.0373&amp;sourceID=30","0.0373")</f>
        <v>0.0373</v>
      </c>
      <c r="O472" s="4" t="str">
        <f>HYPERLINK("http://141.218.60.56/~jnz1568/getInfo.php?workbook=08_02.xlsx&amp;sheet=A0&amp;row=472&amp;col=15&amp;number=&amp;sourceID=32","")</f>
        <v/>
      </c>
      <c r="P472" s="4" t="str">
        <f>HYPERLINK("http://141.218.60.56/~jnz1568/getInfo.php?workbook=08_02.xlsx&amp;sheet=A0&amp;row=472&amp;col=16&amp;number=&amp;sourceID=32","")</f>
        <v/>
      </c>
      <c r="Q472" s="4" t="str">
        <f>HYPERLINK("http://141.218.60.56/~jnz1568/getInfo.php?workbook=08_02.xlsx&amp;sheet=A0&amp;row=472&amp;col=17&amp;number=&amp;sourceID=32","")</f>
        <v/>
      </c>
      <c r="R472" s="4" t="str">
        <f>HYPERLINK("http://141.218.60.56/~jnz1568/getInfo.php?workbook=08_02.xlsx&amp;sheet=A0&amp;row=472&amp;col=18&amp;number=0.03767&amp;sourceID=32","0.03767")</f>
        <v>0.03767</v>
      </c>
      <c r="S472" s="4" t="str">
        <f>HYPERLINK("http://141.218.60.56/~jnz1568/getInfo.php?workbook=08_02.xlsx&amp;sheet=A0&amp;row=472&amp;col=19&amp;number=&amp;sourceID=1","")</f>
        <v/>
      </c>
      <c r="T472" s="4" t="str">
        <f>HYPERLINK("http://141.218.60.56/~jnz1568/getInfo.php?workbook=08_02.xlsx&amp;sheet=A0&amp;row=472&amp;col=20&amp;number=&amp;sourceID=1","")</f>
        <v/>
      </c>
    </row>
    <row r="473" spans="1:20">
      <c r="A473" s="3">
        <v>8</v>
      </c>
      <c r="B473" s="3">
        <v>2</v>
      </c>
      <c r="C473" s="3">
        <v>34</v>
      </c>
      <c r="D473" s="3">
        <v>31</v>
      </c>
      <c r="E473" s="3">
        <f>((1/(INDEX(E0!J$4:J$52,C473,1)-INDEX(E0!J$4:J$52,D473,1))))*100000000</f>
        <v>0</v>
      </c>
      <c r="F473" s="4" t="str">
        <f>HYPERLINK("http://141.218.60.56/~jnz1568/getInfo.php?workbook=08_02.xlsx&amp;sheet=A0&amp;row=473&amp;col=6&amp;number=&amp;sourceID=27","")</f>
        <v/>
      </c>
      <c r="G473" s="4" t="str">
        <f>HYPERLINK("http://141.218.60.56/~jnz1568/getInfo.php?workbook=08_02.xlsx&amp;sheet=A0&amp;row=473&amp;col=7&amp;number=&amp;sourceID=34","")</f>
        <v/>
      </c>
      <c r="H473" s="4" t="str">
        <f>HYPERLINK("http://141.218.60.56/~jnz1568/getInfo.php?workbook=08_02.xlsx&amp;sheet=A0&amp;row=473&amp;col=8&amp;number=&amp;sourceID=34","")</f>
        <v/>
      </c>
      <c r="I473" s="4" t="str">
        <f>HYPERLINK("http://141.218.60.56/~jnz1568/getInfo.php?workbook=08_02.xlsx&amp;sheet=A0&amp;row=473&amp;col=9&amp;number=&amp;sourceID=34","")</f>
        <v/>
      </c>
      <c r="J473" s="4" t="str">
        <f>HYPERLINK("http://141.218.60.56/~jnz1568/getInfo.php?workbook=08_02.xlsx&amp;sheet=A0&amp;row=473&amp;col=10&amp;number=&amp;sourceID=34","")</f>
        <v/>
      </c>
      <c r="K473" s="4" t="str">
        <f>HYPERLINK("http://141.218.60.56/~jnz1568/getInfo.php?workbook=08_02.xlsx&amp;sheet=A0&amp;row=473&amp;col=11&amp;number=&amp;sourceID=30","")</f>
        <v/>
      </c>
      <c r="L473" s="4" t="str">
        <f>HYPERLINK("http://141.218.60.56/~jnz1568/getInfo.php?workbook=08_02.xlsx&amp;sheet=A0&amp;row=473&amp;col=12&amp;number=&amp;sourceID=30","")</f>
        <v/>
      </c>
      <c r="M473" s="4" t="str">
        <f>HYPERLINK("http://141.218.60.56/~jnz1568/getInfo.php?workbook=08_02.xlsx&amp;sheet=A0&amp;row=473&amp;col=13&amp;number=0.01735&amp;sourceID=30","0.01735")</f>
        <v>0.01735</v>
      </c>
      <c r="N473" s="4" t="str">
        <f>HYPERLINK("http://141.218.60.56/~jnz1568/getInfo.php?workbook=08_02.xlsx&amp;sheet=A0&amp;row=473&amp;col=14&amp;number=&amp;sourceID=30","")</f>
        <v/>
      </c>
      <c r="O473" s="4" t="str">
        <f>HYPERLINK("http://141.218.60.56/~jnz1568/getInfo.php?workbook=08_02.xlsx&amp;sheet=A0&amp;row=473&amp;col=15&amp;number=&amp;sourceID=32","")</f>
        <v/>
      </c>
      <c r="P473" s="4" t="str">
        <f>HYPERLINK("http://141.218.60.56/~jnz1568/getInfo.php?workbook=08_02.xlsx&amp;sheet=A0&amp;row=473&amp;col=16&amp;number=&amp;sourceID=32","")</f>
        <v/>
      </c>
      <c r="Q473" s="4" t="str">
        <f>HYPERLINK("http://141.218.60.56/~jnz1568/getInfo.php?workbook=08_02.xlsx&amp;sheet=A0&amp;row=473&amp;col=17&amp;number=0.01798&amp;sourceID=32","0.01798")</f>
        <v>0.01798</v>
      </c>
      <c r="R473" s="4" t="str">
        <f>HYPERLINK("http://141.218.60.56/~jnz1568/getInfo.php?workbook=08_02.xlsx&amp;sheet=A0&amp;row=473&amp;col=18&amp;number=&amp;sourceID=32","")</f>
        <v/>
      </c>
      <c r="S473" s="4" t="str">
        <f>HYPERLINK("http://141.218.60.56/~jnz1568/getInfo.php?workbook=08_02.xlsx&amp;sheet=A0&amp;row=473&amp;col=19&amp;number=&amp;sourceID=1","")</f>
        <v/>
      </c>
      <c r="T473" s="4" t="str">
        <f>HYPERLINK("http://141.218.60.56/~jnz1568/getInfo.php?workbook=08_02.xlsx&amp;sheet=A0&amp;row=473&amp;col=20&amp;number=&amp;sourceID=1","")</f>
        <v/>
      </c>
    </row>
    <row r="474" spans="1:20">
      <c r="A474" s="3">
        <v>8</v>
      </c>
      <c r="B474" s="3">
        <v>2</v>
      </c>
      <c r="C474" s="3">
        <v>34</v>
      </c>
      <c r="D474" s="3">
        <v>32</v>
      </c>
      <c r="E474" s="3">
        <f>((1/(INDEX(E0!J$4:J$52,C474,1)-INDEX(E0!J$4:J$52,D474,1))))*100000000</f>
        <v>0</v>
      </c>
      <c r="F474" s="4" t="str">
        <f>HYPERLINK("http://141.218.60.56/~jnz1568/getInfo.php?workbook=08_02.xlsx&amp;sheet=A0&amp;row=474&amp;col=6&amp;number=&amp;sourceID=27","")</f>
        <v/>
      </c>
      <c r="G474" s="4" t="str">
        <f>HYPERLINK("http://141.218.60.56/~jnz1568/getInfo.php?workbook=08_02.xlsx&amp;sheet=A0&amp;row=474&amp;col=7&amp;number=&amp;sourceID=34","")</f>
        <v/>
      </c>
      <c r="H474" s="4" t="str">
        <f>HYPERLINK("http://141.218.60.56/~jnz1568/getInfo.php?workbook=08_02.xlsx&amp;sheet=A0&amp;row=474&amp;col=8&amp;number=&amp;sourceID=34","")</f>
        <v/>
      </c>
      <c r="I474" s="4" t="str">
        <f>HYPERLINK("http://141.218.60.56/~jnz1568/getInfo.php?workbook=08_02.xlsx&amp;sheet=A0&amp;row=474&amp;col=9&amp;number=&amp;sourceID=34","")</f>
        <v/>
      </c>
      <c r="J474" s="4" t="str">
        <f>HYPERLINK("http://141.218.60.56/~jnz1568/getInfo.php?workbook=08_02.xlsx&amp;sheet=A0&amp;row=474&amp;col=10&amp;number=&amp;sourceID=34","")</f>
        <v/>
      </c>
      <c r="K474" s="4" t="str">
        <f>HYPERLINK("http://141.218.60.56/~jnz1568/getInfo.php?workbook=08_02.xlsx&amp;sheet=A0&amp;row=474&amp;col=11&amp;number=755000&amp;sourceID=30","755000")</f>
        <v>755000</v>
      </c>
      <c r="L474" s="4" t="str">
        <f>HYPERLINK("http://141.218.60.56/~jnz1568/getInfo.php?workbook=08_02.xlsx&amp;sheet=A0&amp;row=474&amp;col=12&amp;number=&amp;sourceID=30","")</f>
        <v/>
      </c>
      <c r="M474" s="4" t="str">
        <f>HYPERLINK("http://141.218.60.56/~jnz1568/getInfo.php?workbook=08_02.xlsx&amp;sheet=A0&amp;row=474&amp;col=13&amp;number=&amp;sourceID=30","")</f>
        <v/>
      </c>
      <c r="N474" s="4" t="str">
        <f>HYPERLINK("http://141.218.60.56/~jnz1568/getInfo.php?workbook=08_02.xlsx&amp;sheet=A0&amp;row=474&amp;col=14&amp;number=&amp;sourceID=30","")</f>
        <v/>
      </c>
      <c r="O474" s="4" t="str">
        <f>HYPERLINK("http://141.218.60.56/~jnz1568/getInfo.php?workbook=08_02.xlsx&amp;sheet=A0&amp;row=474&amp;col=15&amp;number=729500&amp;sourceID=32","729500")</f>
        <v>729500</v>
      </c>
      <c r="P474" s="4" t="str">
        <f>HYPERLINK("http://141.218.60.56/~jnz1568/getInfo.php?workbook=08_02.xlsx&amp;sheet=A0&amp;row=474&amp;col=16&amp;number=&amp;sourceID=32","")</f>
        <v/>
      </c>
      <c r="Q474" s="4" t="str">
        <f>HYPERLINK("http://141.218.60.56/~jnz1568/getInfo.php?workbook=08_02.xlsx&amp;sheet=A0&amp;row=474&amp;col=17&amp;number=&amp;sourceID=32","")</f>
        <v/>
      </c>
      <c r="R474" s="4" t="str">
        <f>HYPERLINK("http://141.218.60.56/~jnz1568/getInfo.php?workbook=08_02.xlsx&amp;sheet=A0&amp;row=474&amp;col=18&amp;number=&amp;sourceID=32","")</f>
        <v/>
      </c>
      <c r="S474" s="4" t="str">
        <f>HYPERLINK("http://141.218.60.56/~jnz1568/getInfo.php?workbook=08_02.xlsx&amp;sheet=A0&amp;row=474&amp;col=19&amp;number=&amp;sourceID=1","")</f>
        <v/>
      </c>
      <c r="T474" s="4" t="str">
        <f>HYPERLINK("http://141.218.60.56/~jnz1568/getInfo.php?workbook=08_02.xlsx&amp;sheet=A0&amp;row=474&amp;col=20&amp;number=&amp;sourceID=1","")</f>
        <v/>
      </c>
    </row>
    <row r="475" spans="1:20">
      <c r="A475" s="3">
        <v>8</v>
      </c>
      <c r="B475" s="3">
        <v>2</v>
      </c>
      <c r="C475" s="3">
        <v>35</v>
      </c>
      <c r="D475" s="3">
        <v>1</v>
      </c>
      <c r="E475" s="3">
        <f>((1/(INDEX(E0!J$4:J$52,C475,1)-INDEX(E0!J$4:J$52,D475,1))))*100000000</f>
        <v>0</v>
      </c>
      <c r="F475" s="4" t="str">
        <f>HYPERLINK("http://141.218.60.56/~jnz1568/getInfo.php?workbook=08_02.xlsx&amp;sheet=A0&amp;row=475&amp;col=6&amp;number=&amp;sourceID=27","")</f>
        <v/>
      </c>
      <c r="G475" s="4" t="str">
        <f>HYPERLINK("http://141.218.60.56/~jnz1568/getInfo.php?workbook=08_02.xlsx&amp;sheet=A0&amp;row=475&amp;col=7&amp;number=&amp;sourceID=34","")</f>
        <v/>
      </c>
      <c r="H475" s="4" t="str">
        <f>HYPERLINK("http://141.218.60.56/~jnz1568/getInfo.php?workbook=08_02.xlsx&amp;sheet=A0&amp;row=475&amp;col=8&amp;number=&amp;sourceID=34","")</f>
        <v/>
      </c>
      <c r="I475" s="4" t="str">
        <f>HYPERLINK("http://141.218.60.56/~jnz1568/getInfo.php?workbook=08_02.xlsx&amp;sheet=A0&amp;row=475&amp;col=9&amp;number=&amp;sourceID=34","")</f>
        <v/>
      </c>
      <c r="J475" s="4" t="str">
        <f>HYPERLINK("http://141.218.60.56/~jnz1568/getInfo.php?workbook=08_02.xlsx&amp;sheet=A0&amp;row=475&amp;col=10&amp;number=&amp;sourceID=34","")</f>
        <v/>
      </c>
      <c r="K475" s="4" t="str">
        <f>HYPERLINK("http://141.218.60.56/~jnz1568/getInfo.php?workbook=08_02.xlsx&amp;sheet=A0&amp;row=475&amp;col=11&amp;number=60130000&amp;sourceID=30","60130000")</f>
        <v>60130000</v>
      </c>
      <c r="L475" s="4" t="str">
        <f>HYPERLINK("http://141.218.60.56/~jnz1568/getInfo.php?workbook=08_02.xlsx&amp;sheet=A0&amp;row=475&amp;col=12&amp;number=&amp;sourceID=30","")</f>
        <v/>
      </c>
      <c r="M475" s="4" t="str">
        <f>HYPERLINK("http://141.218.60.56/~jnz1568/getInfo.php?workbook=08_02.xlsx&amp;sheet=A0&amp;row=475&amp;col=13&amp;number=&amp;sourceID=30","")</f>
        <v/>
      </c>
      <c r="N475" s="4" t="str">
        <f>HYPERLINK("http://141.218.60.56/~jnz1568/getInfo.php?workbook=08_02.xlsx&amp;sheet=A0&amp;row=475&amp;col=14&amp;number=&amp;sourceID=30","")</f>
        <v/>
      </c>
      <c r="O475" s="4" t="str">
        <f>HYPERLINK("http://141.218.60.56/~jnz1568/getInfo.php?workbook=08_02.xlsx&amp;sheet=A0&amp;row=475&amp;col=15&amp;number=35080000&amp;sourceID=32","35080000")</f>
        <v>35080000</v>
      </c>
      <c r="P475" s="4" t="str">
        <f>HYPERLINK("http://141.218.60.56/~jnz1568/getInfo.php?workbook=08_02.xlsx&amp;sheet=A0&amp;row=475&amp;col=16&amp;number=&amp;sourceID=32","")</f>
        <v/>
      </c>
      <c r="Q475" s="4" t="str">
        <f>HYPERLINK("http://141.218.60.56/~jnz1568/getInfo.php?workbook=08_02.xlsx&amp;sheet=A0&amp;row=475&amp;col=17&amp;number=&amp;sourceID=32","")</f>
        <v/>
      </c>
      <c r="R475" s="4" t="str">
        <f>HYPERLINK("http://141.218.60.56/~jnz1568/getInfo.php?workbook=08_02.xlsx&amp;sheet=A0&amp;row=475&amp;col=18&amp;number=&amp;sourceID=32","")</f>
        <v/>
      </c>
      <c r="S475" s="4" t="str">
        <f>HYPERLINK("http://141.218.60.56/~jnz1568/getInfo.php?workbook=08_02.xlsx&amp;sheet=A0&amp;row=475&amp;col=19&amp;number=&amp;sourceID=1","")</f>
        <v/>
      </c>
      <c r="T475" s="4" t="str">
        <f>HYPERLINK("http://141.218.60.56/~jnz1568/getInfo.php?workbook=08_02.xlsx&amp;sheet=A0&amp;row=475&amp;col=20&amp;number=&amp;sourceID=1","")</f>
        <v/>
      </c>
    </row>
    <row r="476" spans="1:20">
      <c r="A476" s="3">
        <v>8</v>
      </c>
      <c r="B476" s="3">
        <v>2</v>
      </c>
      <c r="C476" s="3">
        <v>35</v>
      </c>
      <c r="D476" s="3">
        <v>2</v>
      </c>
      <c r="E476" s="3">
        <f>((1/(INDEX(E0!J$4:J$52,C476,1)-INDEX(E0!J$4:J$52,D476,1))))*100000000</f>
        <v>0</v>
      </c>
      <c r="F476" s="4" t="str">
        <f>HYPERLINK("http://141.218.60.56/~jnz1568/getInfo.php?workbook=08_02.xlsx&amp;sheet=A0&amp;row=476&amp;col=6&amp;number=&amp;sourceID=27","")</f>
        <v/>
      </c>
      <c r="G476" s="4" t="str">
        <f>HYPERLINK("http://141.218.60.56/~jnz1568/getInfo.php?workbook=08_02.xlsx&amp;sheet=A0&amp;row=476&amp;col=7&amp;number=&amp;sourceID=34","")</f>
        <v/>
      </c>
      <c r="H476" s="4" t="str">
        <f>HYPERLINK("http://141.218.60.56/~jnz1568/getInfo.php?workbook=08_02.xlsx&amp;sheet=A0&amp;row=476&amp;col=8&amp;number=&amp;sourceID=34","")</f>
        <v/>
      </c>
      <c r="I476" s="4" t="str">
        <f>HYPERLINK("http://141.218.60.56/~jnz1568/getInfo.php?workbook=08_02.xlsx&amp;sheet=A0&amp;row=476&amp;col=9&amp;number=&amp;sourceID=34","")</f>
        <v/>
      </c>
      <c r="J476" s="4" t="str">
        <f>HYPERLINK("http://141.218.60.56/~jnz1568/getInfo.php?workbook=08_02.xlsx&amp;sheet=A0&amp;row=476&amp;col=10&amp;number=&amp;sourceID=34","")</f>
        <v/>
      </c>
      <c r="K476" s="4" t="str">
        <f>HYPERLINK("http://141.218.60.56/~jnz1568/getInfo.php?workbook=08_02.xlsx&amp;sheet=A0&amp;row=476&amp;col=11&amp;number=10500000000&amp;sourceID=30","10500000000")</f>
        <v>10500000000</v>
      </c>
      <c r="L476" s="4" t="str">
        <f>HYPERLINK("http://141.218.60.56/~jnz1568/getInfo.php?workbook=08_02.xlsx&amp;sheet=A0&amp;row=476&amp;col=12&amp;number=&amp;sourceID=30","")</f>
        <v/>
      </c>
      <c r="M476" s="4" t="str">
        <f>HYPERLINK("http://141.218.60.56/~jnz1568/getInfo.php?workbook=08_02.xlsx&amp;sheet=A0&amp;row=476&amp;col=13&amp;number=&amp;sourceID=30","")</f>
        <v/>
      </c>
      <c r="N476" s="4" t="str">
        <f>HYPERLINK("http://141.218.60.56/~jnz1568/getInfo.php?workbook=08_02.xlsx&amp;sheet=A0&amp;row=476&amp;col=14&amp;number=55.32&amp;sourceID=30","55.32")</f>
        <v>55.32</v>
      </c>
      <c r="O476" s="4" t="str">
        <f>HYPERLINK("http://141.218.60.56/~jnz1568/getInfo.php?workbook=08_02.xlsx&amp;sheet=A0&amp;row=476&amp;col=15&amp;number=12340000000&amp;sourceID=32","12340000000")</f>
        <v>12340000000</v>
      </c>
      <c r="P476" s="4" t="str">
        <f>HYPERLINK("http://141.218.60.56/~jnz1568/getInfo.php?workbook=08_02.xlsx&amp;sheet=A0&amp;row=476&amp;col=16&amp;number=&amp;sourceID=32","")</f>
        <v/>
      </c>
      <c r="Q476" s="4" t="str">
        <f>HYPERLINK("http://141.218.60.56/~jnz1568/getInfo.php?workbook=08_02.xlsx&amp;sheet=A0&amp;row=476&amp;col=17&amp;number=&amp;sourceID=32","")</f>
        <v/>
      </c>
      <c r="R476" s="4" t="str">
        <f>HYPERLINK("http://141.218.60.56/~jnz1568/getInfo.php?workbook=08_02.xlsx&amp;sheet=A0&amp;row=476&amp;col=18&amp;number=65.12&amp;sourceID=32","65.12")</f>
        <v>65.12</v>
      </c>
      <c r="S476" s="4" t="str">
        <f>HYPERLINK("http://141.218.60.56/~jnz1568/getInfo.php?workbook=08_02.xlsx&amp;sheet=A0&amp;row=476&amp;col=19&amp;number=&amp;sourceID=1","")</f>
        <v/>
      </c>
      <c r="T476" s="4" t="str">
        <f>HYPERLINK("http://141.218.60.56/~jnz1568/getInfo.php?workbook=08_02.xlsx&amp;sheet=A0&amp;row=476&amp;col=20&amp;number=&amp;sourceID=1","")</f>
        <v/>
      </c>
    </row>
    <row r="477" spans="1:20">
      <c r="A477" s="3">
        <v>8</v>
      </c>
      <c r="B477" s="3">
        <v>2</v>
      </c>
      <c r="C477" s="3">
        <v>35</v>
      </c>
      <c r="D477" s="3">
        <v>3</v>
      </c>
      <c r="E477" s="3">
        <f>((1/(INDEX(E0!J$4:J$52,C477,1)-INDEX(E0!J$4:J$52,D477,1))))*100000000</f>
        <v>0</v>
      </c>
      <c r="F477" s="4" t="str">
        <f>HYPERLINK("http://141.218.60.56/~jnz1568/getInfo.php?workbook=08_02.xlsx&amp;sheet=A0&amp;row=477&amp;col=6&amp;number=&amp;sourceID=27","")</f>
        <v/>
      </c>
      <c r="G477" s="4" t="str">
        <f>HYPERLINK("http://141.218.60.56/~jnz1568/getInfo.php?workbook=08_02.xlsx&amp;sheet=A0&amp;row=477&amp;col=7&amp;number=&amp;sourceID=34","")</f>
        <v/>
      </c>
      <c r="H477" s="4" t="str">
        <f>HYPERLINK("http://141.218.60.56/~jnz1568/getInfo.php?workbook=08_02.xlsx&amp;sheet=A0&amp;row=477&amp;col=8&amp;number=&amp;sourceID=34","")</f>
        <v/>
      </c>
      <c r="I477" s="4" t="str">
        <f>HYPERLINK("http://141.218.60.56/~jnz1568/getInfo.php?workbook=08_02.xlsx&amp;sheet=A0&amp;row=477&amp;col=9&amp;number=&amp;sourceID=34","")</f>
        <v/>
      </c>
      <c r="J477" s="4" t="str">
        <f>HYPERLINK("http://141.218.60.56/~jnz1568/getInfo.php?workbook=08_02.xlsx&amp;sheet=A0&amp;row=477&amp;col=10&amp;number=&amp;sourceID=34","")</f>
        <v/>
      </c>
      <c r="K477" s="4" t="str">
        <f>HYPERLINK("http://141.218.60.56/~jnz1568/getInfo.php?workbook=08_02.xlsx&amp;sheet=A0&amp;row=477&amp;col=11&amp;number=&amp;sourceID=30","")</f>
        <v/>
      </c>
      <c r="L477" s="4" t="str">
        <f>HYPERLINK("http://141.218.60.56/~jnz1568/getInfo.php?workbook=08_02.xlsx&amp;sheet=A0&amp;row=477&amp;col=12&amp;number=&amp;sourceID=30","")</f>
        <v/>
      </c>
      <c r="M477" s="4" t="str">
        <f>HYPERLINK("http://141.218.60.56/~jnz1568/getInfo.php?workbook=08_02.xlsx&amp;sheet=A0&amp;row=477&amp;col=13&amp;number=0.01548&amp;sourceID=30","0.01548")</f>
        <v>0.01548</v>
      </c>
      <c r="N477" s="4" t="str">
        <f>HYPERLINK("http://141.218.60.56/~jnz1568/getInfo.php?workbook=08_02.xlsx&amp;sheet=A0&amp;row=477&amp;col=14&amp;number=&amp;sourceID=30","")</f>
        <v/>
      </c>
      <c r="O477" s="4" t="str">
        <f>HYPERLINK("http://141.218.60.56/~jnz1568/getInfo.php?workbook=08_02.xlsx&amp;sheet=A0&amp;row=477&amp;col=15&amp;number=&amp;sourceID=32","")</f>
        <v/>
      </c>
      <c r="P477" s="4" t="str">
        <f>HYPERLINK("http://141.218.60.56/~jnz1568/getInfo.php?workbook=08_02.xlsx&amp;sheet=A0&amp;row=477&amp;col=16&amp;number=&amp;sourceID=32","")</f>
        <v/>
      </c>
      <c r="Q477" s="4" t="str">
        <f>HYPERLINK("http://141.218.60.56/~jnz1568/getInfo.php?workbook=08_02.xlsx&amp;sheet=A0&amp;row=477&amp;col=17&amp;number=0.03645&amp;sourceID=32","0.03645")</f>
        <v>0.03645</v>
      </c>
      <c r="R477" s="4" t="str">
        <f>HYPERLINK("http://141.218.60.56/~jnz1568/getInfo.php?workbook=08_02.xlsx&amp;sheet=A0&amp;row=477&amp;col=18&amp;number=&amp;sourceID=32","")</f>
        <v/>
      </c>
      <c r="S477" s="4" t="str">
        <f>HYPERLINK("http://141.218.60.56/~jnz1568/getInfo.php?workbook=08_02.xlsx&amp;sheet=A0&amp;row=477&amp;col=19&amp;number=&amp;sourceID=1","")</f>
        <v/>
      </c>
      <c r="T477" s="4" t="str">
        <f>HYPERLINK("http://141.218.60.56/~jnz1568/getInfo.php?workbook=08_02.xlsx&amp;sheet=A0&amp;row=477&amp;col=20&amp;number=&amp;sourceID=1","")</f>
        <v/>
      </c>
    </row>
    <row r="478" spans="1:20">
      <c r="A478" s="3">
        <v>8</v>
      </c>
      <c r="B478" s="3">
        <v>2</v>
      </c>
      <c r="C478" s="3">
        <v>35</v>
      </c>
      <c r="D478" s="3">
        <v>4</v>
      </c>
      <c r="E478" s="3">
        <f>((1/(INDEX(E0!J$4:J$52,C478,1)-INDEX(E0!J$4:J$52,D478,1))))*100000000</f>
        <v>0</v>
      </c>
      <c r="F478" s="4" t="str">
        <f>HYPERLINK("http://141.218.60.56/~jnz1568/getInfo.php?workbook=08_02.xlsx&amp;sheet=A0&amp;row=478&amp;col=6&amp;number=&amp;sourceID=27","")</f>
        <v/>
      </c>
      <c r="G478" s="4" t="str">
        <f>HYPERLINK("http://141.218.60.56/~jnz1568/getInfo.php?workbook=08_02.xlsx&amp;sheet=A0&amp;row=478&amp;col=7&amp;number=&amp;sourceID=34","")</f>
        <v/>
      </c>
      <c r="H478" s="4" t="str">
        <f>HYPERLINK("http://141.218.60.56/~jnz1568/getInfo.php?workbook=08_02.xlsx&amp;sheet=A0&amp;row=478&amp;col=8&amp;number=&amp;sourceID=34","")</f>
        <v/>
      </c>
      <c r="I478" s="4" t="str">
        <f>HYPERLINK("http://141.218.60.56/~jnz1568/getInfo.php?workbook=08_02.xlsx&amp;sheet=A0&amp;row=478&amp;col=9&amp;number=&amp;sourceID=34","")</f>
        <v/>
      </c>
      <c r="J478" s="4" t="str">
        <f>HYPERLINK("http://141.218.60.56/~jnz1568/getInfo.php?workbook=08_02.xlsx&amp;sheet=A0&amp;row=478&amp;col=10&amp;number=&amp;sourceID=34","")</f>
        <v/>
      </c>
      <c r="K478" s="4" t="str">
        <f>HYPERLINK("http://141.218.60.56/~jnz1568/getInfo.php?workbook=08_02.xlsx&amp;sheet=A0&amp;row=478&amp;col=11&amp;number=&amp;sourceID=30","")</f>
        <v/>
      </c>
      <c r="L478" s="4" t="str">
        <f>HYPERLINK("http://141.218.60.56/~jnz1568/getInfo.php?workbook=08_02.xlsx&amp;sheet=A0&amp;row=478&amp;col=12&amp;number=44350&amp;sourceID=30","44350")</f>
        <v>44350</v>
      </c>
      <c r="M478" s="4" t="str">
        <f>HYPERLINK("http://141.218.60.56/~jnz1568/getInfo.php?workbook=08_02.xlsx&amp;sheet=A0&amp;row=478&amp;col=13&amp;number=0.2586&amp;sourceID=30","0.2586")</f>
        <v>0.2586</v>
      </c>
      <c r="N478" s="4" t="str">
        <f>HYPERLINK("http://141.218.60.56/~jnz1568/getInfo.php?workbook=08_02.xlsx&amp;sheet=A0&amp;row=478&amp;col=14&amp;number=&amp;sourceID=30","")</f>
        <v/>
      </c>
      <c r="O478" s="4" t="str">
        <f>HYPERLINK("http://141.218.60.56/~jnz1568/getInfo.php?workbook=08_02.xlsx&amp;sheet=A0&amp;row=478&amp;col=15&amp;number=&amp;sourceID=32","")</f>
        <v/>
      </c>
      <c r="P478" s="4" t="str">
        <f>HYPERLINK("http://141.218.60.56/~jnz1568/getInfo.php?workbook=08_02.xlsx&amp;sheet=A0&amp;row=478&amp;col=16&amp;number=163100&amp;sourceID=32","163100")</f>
        <v>163100</v>
      </c>
      <c r="Q478" s="4" t="str">
        <f>HYPERLINK("http://141.218.60.56/~jnz1568/getInfo.php?workbook=08_02.xlsx&amp;sheet=A0&amp;row=478&amp;col=17&amp;number=0.219&amp;sourceID=32","0.219")</f>
        <v>0.219</v>
      </c>
      <c r="R478" s="4" t="str">
        <f>HYPERLINK("http://141.218.60.56/~jnz1568/getInfo.php?workbook=08_02.xlsx&amp;sheet=A0&amp;row=478&amp;col=18&amp;number=&amp;sourceID=32","")</f>
        <v/>
      </c>
      <c r="S478" s="4" t="str">
        <f>HYPERLINK("http://141.218.60.56/~jnz1568/getInfo.php?workbook=08_02.xlsx&amp;sheet=A0&amp;row=478&amp;col=19&amp;number=&amp;sourceID=1","")</f>
        <v/>
      </c>
      <c r="T478" s="4" t="str">
        <f>HYPERLINK("http://141.218.60.56/~jnz1568/getInfo.php?workbook=08_02.xlsx&amp;sheet=A0&amp;row=478&amp;col=20&amp;number=&amp;sourceID=1","")</f>
        <v/>
      </c>
    </row>
    <row r="479" spans="1:20">
      <c r="A479" s="3">
        <v>8</v>
      </c>
      <c r="B479" s="3">
        <v>2</v>
      </c>
      <c r="C479" s="3">
        <v>35</v>
      </c>
      <c r="D479" s="3">
        <v>5</v>
      </c>
      <c r="E479" s="3">
        <f>((1/(INDEX(E0!J$4:J$52,C479,1)-INDEX(E0!J$4:J$52,D479,1))))*100000000</f>
        <v>0</v>
      </c>
      <c r="F479" s="4" t="str">
        <f>HYPERLINK("http://141.218.60.56/~jnz1568/getInfo.php?workbook=08_02.xlsx&amp;sheet=A0&amp;row=479&amp;col=6&amp;number=&amp;sourceID=27","")</f>
        <v/>
      </c>
      <c r="G479" s="4" t="str">
        <f>HYPERLINK("http://141.218.60.56/~jnz1568/getInfo.php?workbook=08_02.xlsx&amp;sheet=A0&amp;row=479&amp;col=7&amp;number=&amp;sourceID=34","")</f>
        <v/>
      </c>
      <c r="H479" s="4" t="str">
        <f>HYPERLINK("http://141.218.60.56/~jnz1568/getInfo.php?workbook=08_02.xlsx&amp;sheet=A0&amp;row=479&amp;col=8&amp;number=&amp;sourceID=34","")</f>
        <v/>
      </c>
      <c r="I479" s="4" t="str">
        <f>HYPERLINK("http://141.218.60.56/~jnz1568/getInfo.php?workbook=08_02.xlsx&amp;sheet=A0&amp;row=479&amp;col=9&amp;number=&amp;sourceID=34","")</f>
        <v/>
      </c>
      <c r="J479" s="4" t="str">
        <f>HYPERLINK("http://141.218.60.56/~jnz1568/getInfo.php?workbook=08_02.xlsx&amp;sheet=A0&amp;row=479&amp;col=10&amp;number=&amp;sourceID=34","")</f>
        <v/>
      </c>
      <c r="K479" s="4" t="str">
        <f>HYPERLINK("http://141.218.60.56/~jnz1568/getInfo.php?workbook=08_02.xlsx&amp;sheet=A0&amp;row=479&amp;col=11&amp;number=&amp;sourceID=30","")</f>
        <v/>
      </c>
      <c r="L479" s="4" t="str">
        <f>HYPERLINK("http://141.218.60.56/~jnz1568/getInfo.php?workbook=08_02.xlsx&amp;sheet=A0&amp;row=479&amp;col=12&amp;number=130600&amp;sourceID=30","130600")</f>
        <v>130600</v>
      </c>
      <c r="M479" s="4" t="str">
        <f>HYPERLINK("http://141.218.60.56/~jnz1568/getInfo.php?workbook=08_02.xlsx&amp;sheet=A0&amp;row=479&amp;col=13&amp;number=0.4123&amp;sourceID=30","0.4123")</f>
        <v>0.4123</v>
      </c>
      <c r="N479" s="4" t="str">
        <f>HYPERLINK("http://141.218.60.56/~jnz1568/getInfo.php?workbook=08_02.xlsx&amp;sheet=A0&amp;row=479&amp;col=14&amp;number=&amp;sourceID=30","")</f>
        <v/>
      </c>
      <c r="O479" s="4" t="str">
        <f>HYPERLINK("http://141.218.60.56/~jnz1568/getInfo.php?workbook=08_02.xlsx&amp;sheet=A0&amp;row=479&amp;col=15&amp;number=&amp;sourceID=32","")</f>
        <v/>
      </c>
      <c r="P479" s="4" t="str">
        <f>HYPERLINK("http://141.218.60.56/~jnz1568/getInfo.php?workbook=08_02.xlsx&amp;sheet=A0&amp;row=479&amp;col=16&amp;number=488900&amp;sourceID=32","488900")</f>
        <v>488900</v>
      </c>
      <c r="Q479" s="4" t="str">
        <f>HYPERLINK("http://141.218.60.56/~jnz1568/getInfo.php?workbook=08_02.xlsx&amp;sheet=A0&amp;row=479&amp;col=17&amp;number=0.354&amp;sourceID=32","0.354")</f>
        <v>0.354</v>
      </c>
      <c r="R479" s="4" t="str">
        <f>HYPERLINK("http://141.218.60.56/~jnz1568/getInfo.php?workbook=08_02.xlsx&amp;sheet=A0&amp;row=479&amp;col=18&amp;number=&amp;sourceID=32","")</f>
        <v/>
      </c>
      <c r="S479" s="4" t="str">
        <f>HYPERLINK("http://141.218.60.56/~jnz1568/getInfo.php?workbook=08_02.xlsx&amp;sheet=A0&amp;row=479&amp;col=19&amp;number=&amp;sourceID=1","")</f>
        <v/>
      </c>
      <c r="T479" s="4" t="str">
        <f>HYPERLINK("http://141.218.60.56/~jnz1568/getInfo.php?workbook=08_02.xlsx&amp;sheet=A0&amp;row=479&amp;col=20&amp;number=&amp;sourceID=1","")</f>
        <v/>
      </c>
    </row>
    <row r="480" spans="1:20">
      <c r="A480" s="3">
        <v>8</v>
      </c>
      <c r="B480" s="3">
        <v>2</v>
      </c>
      <c r="C480" s="3">
        <v>35</v>
      </c>
      <c r="D480" s="3">
        <v>6</v>
      </c>
      <c r="E480" s="3">
        <f>((1/(INDEX(E0!J$4:J$52,C480,1)-INDEX(E0!J$4:J$52,D480,1))))*100000000</f>
        <v>0</v>
      </c>
      <c r="F480" s="4" t="str">
        <f>HYPERLINK("http://141.218.60.56/~jnz1568/getInfo.php?workbook=08_02.xlsx&amp;sheet=A0&amp;row=480&amp;col=6&amp;number=&amp;sourceID=27","")</f>
        <v/>
      </c>
      <c r="G480" s="4" t="str">
        <f>HYPERLINK("http://141.218.60.56/~jnz1568/getInfo.php?workbook=08_02.xlsx&amp;sheet=A0&amp;row=480&amp;col=7&amp;number=&amp;sourceID=34","")</f>
        <v/>
      </c>
      <c r="H480" s="4" t="str">
        <f>HYPERLINK("http://141.218.60.56/~jnz1568/getInfo.php?workbook=08_02.xlsx&amp;sheet=A0&amp;row=480&amp;col=8&amp;number=&amp;sourceID=34","")</f>
        <v/>
      </c>
      <c r="I480" s="4" t="str">
        <f>HYPERLINK("http://141.218.60.56/~jnz1568/getInfo.php?workbook=08_02.xlsx&amp;sheet=A0&amp;row=480&amp;col=9&amp;number=&amp;sourceID=34","")</f>
        <v/>
      </c>
      <c r="J480" s="4" t="str">
        <f>HYPERLINK("http://141.218.60.56/~jnz1568/getInfo.php?workbook=08_02.xlsx&amp;sheet=A0&amp;row=480&amp;col=10&amp;number=&amp;sourceID=34","")</f>
        <v/>
      </c>
      <c r="K480" s="4" t="str">
        <f>HYPERLINK("http://141.218.60.56/~jnz1568/getInfo.php?workbook=08_02.xlsx&amp;sheet=A0&amp;row=480&amp;col=11&amp;number=2917000&amp;sourceID=30","2917000")</f>
        <v>2917000</v>
      </c>
      <c r="L480" s="4" t="str">
        <f>HYPERLINK("http://141.218.60.56/~jnz1568/getInfo.php?workbook=08_02.xlsx&amp;sheet=A0&amp;row=480&amp;col=12&amp;number=&amp;sourceID=30","")</f>
        <v/>
      </c>
      <c r="M480" s="4" t="str">
        <f>HYPERLINK("http://141.218.60.56/~jnz1568/getInfo.php?workbook=08_02.xlsx&amp;sheet=A0&amp;row=480&amp;col=13&amp;number=&amp;sourceID=30","")</f>
        <v/>
      </c>
      <c r="N480" s="4" t="str">
        <f>HYPERLINK("http://141.218.60.56/~jnz1568/getInfo.php?workbook=08_02.xlsx&amp;sheet=A0&amp;row=480&amp;col=14&amp;number=&amp;sourceID=30","")</f>
        <v/>
      </c>
      <c r="O480" s="4" t="str">
        <f>HYPERLINK("http://141.218.60.56/~jnz1568/getInfo.php?workbook=08_02.xlsx&amp;sheet=A0&amp;row=480&amp;col=15&amp;number=2233000&amp;sourceID=32","2233000")</f>
        <v>2233000</v>
      </c>
      <c r="P480" s="4" t="str">
        <f>HYPERLINK("http://141.218.60.56/~jnz1568/getInfo.php?workbook=08_02.xlsx&amp;sheet=A0&amp;row=480&amp;col=16&amp;number=&amp;sourceID=32","")</f>
        <v/>
      </c>
      <c r="Q480" s="4" t="str">
        <f>HYPERLINK("http://141.218.60.56/~jnz1568/getInfo.php?workbook=08_02.xlsx&amp;sheet=A0&amp;row=480&amp;col=17&amp;number=&amp;sourceID=32","")</f>
        <v/>
      </c>
      <c r="R480" s="4" t="str">
        <f>HYPERLINK("http://141.218.60.56/~jnz1568/getInfo.php?workbook=08_02.xlsx&amp;sheet=A0&amp;row=480&amp;col=18&amp;number=&amp;sourceID=32","")</f>
        <v/>
      </c>
      <c r="S480" s="4" t="str">
        <f>HYPERLINK("http://141.218.60.56/~jnz1568/getInfo.php?workbook=08_02.xlsx&amp;sheet=A0&amp;row=480&amp;col=19&amp;number=&amp;sourceID=1","")</f>
        <v/>
      </c>
      <c r="T480" s="4" t="str">
        <f>HYPERLINK("http://141.218.60.56/~jnz1568/getInfo.php?workbook=08_02.xlsx&amp;sheet=A0&amp;row=480&amp;col=20&amp;number=&amp;sourceID=1","")</f>
        <v/>
      </c>
    </row>
    <row r="481" spans="1:20">
      <c r="A481" s="3">
        <v>8</v>
      </c>
      <c r="B481" s="3">
        <v>2</v>
      </c>
      <c r="C481" s="3">
        <v>35</v>
      </c>
      <c r="D481" s="3">
        <v>7</v>
      </c>
      <c r="E481" s="3">
        <f>((1/(INDEX(E0!J$4:J$52,C481,1)-INDEX(E0!J$4:J$52,D481,1))))*100000000</f>
        <v>0</v>
      </c>
      <c r="F481" s="4" t="str">
        <f>HYPERLINK("http://141.218.60.56/~jnz1568/getInfo.php?workbook=08_02.xlsx&amp;sheet=A0&amp;row=481&amp;col=6&amp;number=&amp;sourceID=27","")</f>
        <v/>
      </c>
      <c r="G481" s="4" t="str">
        <f>HYPERLINK("http://141.218.60.56/~jnz1568/getInfo.php?workbook=08_02.xlsx&amp;sheet=A0&amp;row=481&amp;col=7&amp;number=&amp;sourceID=34","")</f>
        <v/>
      </c>
      <c r="H481" s="4" t="str">
        <f>HYPERLINK("http://141.218.60.56/~jnz1568/getInfo.php?workbook=08_02.xlsx&amp;sheet=A0&amp;row=481&amp;col=8&amp;number=&amp;sourceID=34","")</f>
        <v/>
      </c>
      <c r="I481" s="4" t="str">
        <f>HYPERLINK("http://141.218.60.56/~jnz1568/getInfo.php?workbook=08_02.xlsx&amp;sheet=A0&amp;row=481&amp;col=9&amp;number=&amp;sourceID=34","")</f>
        <v/>
      </c>
      <c r="J481" s="4" t="str">
        <f>HYPERLINK("http://141.218.60.56/~jnz1568/getInfo.php?workbook=08_02.xlsx&amp;sheet=A0&amp;row=481&amp;col=10&amp;number=&amp;sourceID=34","")</f>
        <v/>
      </c>
      <c r="K481" s="4" t="str">
        <f>HYPERLINK("http://141.218.60.56/~jnz1568/getInfo.php?workbook=08_02.xlsx&amp;sheet=A0&amp;row=481&amp;col=11&amp;number=&amp;sourceID=30","")</f>
        <v/>
      </c>
      <c r="L481" s="4" t="str">
        <f>HYPERLINK("http://141.218.60.56/~jnz1568/getInfo.php?workbook=08_02.xlsx&amp;sheet=A0&amp;row=481&amp;col=12&amp;number=676&amp;sourceID=30","676")</f>
        <v>676</v>
      </c>
      <c r="M481" s="4" t="str">
        <f>HYPERLINK("http://141.218.60.56/~jnz1568/getInfo.php?workbook=08_02.xlsx&amp;sheet=A0&amp;row=481&amp;col=13&amp;number=0.2673&amp;sourceID=30","0.2673")</f>
        <v>0.2673</v>
      </c>
      <c r="N481" s="4" t="str">
        <f>HYPERLINK("http://141.218.60.56/~jnz1568/getInfo.php?workbook=08_02.xlsx&amp;sheet=A0&amp;row=481&amp;col=14&amp;number=&amp;sourceID=30","")</f>
        <v/>
      </c>
      <c r="O481" s="4" t="str">
        <f>HYPERLINK("http://141.218.60.56/~jnz1568/getInfo.php?workbook=08_02.xlsx&amp;sheet=A0&amp;row=481&amp;col=15&amp;number=&amp;sourceID=32","")</f>
        <v/>
      </c>
      <c r="P481" s="4" t="str">
        <f>HYPERLINK("http://141.218.60.56/~jnz1568/getInfo.php?workbook=08_02.xlsx&amp;sheet=A0&amp;row=481&amp;col=16&amp;number=221.8&amp;sourceID=32","221.8")</f>
        <v>221.8</v>
      </c>
      <c r="Q481" s="4" t="str">
        <f>HYPERLINK("http://141.218.60.56/~jnz1568/getInfo.php?workbook=08_02.xlsx&amp;sheet=A0&amp;row=481&amp;col=17&amp;number=0.542&amp;sourceID=32","0.542")</f>
        <v>0.542</v>
      </c>
      <c r="R481" s="4" t="str">
        <f>HYPERLINK("http://141.218.60.56/~jnz1568/getInfo.php?workbook=08_02.xlsx&amp;sheet=A0&amp;row=481&amp;col=18&amp;number=&amp;sourceID=32","")</f>
        <v/>
      </c>
      <c r="S481" s="4" t="str">
        <f>HYPERLINK("http://141.218.60.56/~jnz1568/getInfo.php?workbook=08_02.xlsx&amp;sheet=A0&amp;row=481&amp;col=19&amp;number=&amp;sourceID=1","")</f>
        <v/>
      </c>
      <c r="T481" s="4" t="str">
        <f>HYPERLINK("http://141.218.60.56/~jnz1568/getInfo.php?workbook=08_02.xlsx&amp;sheet=A0&amp;row=481&amp;col=20&amp;number=&amp;sourceID=1","")</f>
        <v/>
      </c>
    </row>
    <row r="482" spans="1:20">
      <c r="A482" s="3">
        <v>8</v>
      </c>
      <c r="B482" s="3">
        <v>2</v>
      </c>
      <c r="C482" s="3">
        <v>35</v>
      </c>
      <c r="D482" s="3">
        <v>8</v>
      </c>
      <c r="E482" s="3">
        <f>((1/(INDEX(E0!J$4:J$52,C482,1)-INDEX(E0!J$4:J$52,D482,1))))*100000000</f>
        <v>0</v>
      </c>
      <c r="F482" s="4" t="str">
        <f>HYPERLINK("http://141.218.60.56/~jnz1568/getInfo.php?workbook=08_02.xlsx&amp;sheet=A0&amp;row=482&amp;col=6&amp;number=&amp;sourceID=27","")</f>
        <v/>
      </c>
      <c r="G482" s="4" t="str">
        <f>HYPERLINK("http://141.218.60.56/~jnz1568/getInfo.php?workbook=08_02.xlsx&amp;sheet=A0&amp;row=482&amp;col=7&amp;number=&amp;sourceID=34","")</f>
        <v/>
      </c>
      <c r="H482" s="4" t="str">
        <f>HYPERLINK("http://141.218.60.56/~jnz1568/getInfo.php?workbook=08_02.xlsx&amp;sheet=A0&amp;row=482&amp;col=8&amp;number=&amp;sourceID=34","")</f>
        <v/>
      </c>
      <c r="I482" s="4" t="str">
        <f>HYPERLINK("http://141.218.60.56/~jnz1568/getInfo.php?workbook=08_02.xlsx&amp;sheet=A0&amp;row=482&amp;col=9&amp;number=&amp;sourceID=34","")</f>
        <v/>
      </c>
      <c r="J482" s="4" t="str">
        <f>HYPERLINK("http://141.218.60.56/~jnz1568/getInfo.php?workbook=08_02.xlsx&amp;sheet=A0&amp;row=482&amp;col=10&amp;number=&amp;sourceID=34","")</f>
        <v/>
      </c>
      <c r="K482" s="4" t="str">
        <f>HYPERLINK("http://141.218.60.56/~jnz1568/getInfo.php?workbook=08_02.xlsx&amp;sheet=A0&amp;row=482&amp;col=11&amp;number=3466000000&amp;sourceID=30","3466000000")</f>
        <v>3466000000</v>
      </c>
      <c r="L482" s="4" t="str">
        <f>HYPERLINK("http://141.218.60.56/~jnz1568/getInfo.php?workbook=08_02.xlsx&amp;sheet=A0&amp;row=482&amp;col=12&amp;number=&amp;sourceID=30","")</f>
        <v/>
      </c>
      <c r="M482" s="4" t="str">
        <f>HYPERLINK("http://141.218.60.56/~jnz1568/getInfo.php?workbook=08_02.xlsx&amp;sheet=A0&amp;row=482&amp;col=13&amp;number=&amp;sourceID=30","")</f>
        <v/>
      </c>
      <c r="N482" s="4" t="str">
        <f>HYPERLINK("http://141.218.60.56/~jnz1568/getInfo.php?workbook=08_02.xlsx&amp;sheet=A0&amp;row=482&amp;col=14&amp;number=2.026&amp;sourceID=30","2.026")</f>
        <v>2.026</v>
      </c>
      <c r="O482" s="4" t="str">
        <f>HYPERLINK("http://141.218.60.56/~jnz1568/getInfo.php?workbook=08_02.xlsx&amp;sheet=A0&amp;row=482&amp;col=15&amp;number=3750000000&amp;sourceID=32","3750000000")</f>
        <v>3750000000</v>
      </c>
      <c r="P482" s="4" t="str">
        <f>HYPERLINK("http://141.218.60.56/~jnz1568/getInfo.php?workbook=08_02.xlsx&amp;sheet=A0&amp;row=482&amp;col=16&amp;number=&amp;sourceID=32","")</f>
        <v/>
      </c>
      <c r="Q482" s="4" t="str">
        <f>HYPERLINK("http://141.218.60.56/~jnz1568/getInfo.php?workbook=08_02.xlsx&amp;sheet=A0&amp;row=482&amp;col=17&amp;number=&amp;sourceID=32","")</f>
        <v/>
      </c>
      <c r="R482" s="4" t="str">
        <f>HYPERLINK("http://141.218.60.56/~jnz1568/getInfo.php?workbook=08_02.xlsx&amp;sheet=A0&amp;row=482&amp;col=18&amp;number=2.192&amp;sourceID=32","2.192")</f>
        <v>2.192</v>
      </c>
      <c r="S482" s="4" t="str">
        <f>HYPERLINK("http://141.218.60.56/~jnz1568/getInfo.php?workbook=08_02.xlsx&amp;sheet=A0&amp;row=482&amp;col=19&amp;number=&amp;sourceID=1","")</f>
        <v/>
      </c>
      <c r="T482" s="4" t="str">
        <f>HYPERLINK("http://141.218.60.56/~jnz1568/getInfo.php?workbook=08_02.xlsx&amp;sheet=A0&amp;row=482&amp;col=20&amp;number=&amp;sourceID=1","")</f>
        <v/>
      </c>
    </row>
    <row r="483" spans="1:20">
      <c r="A483" s="3">
        <v>8</v>
      </c>
      <c r="B483" s="3">
        <v>2</v>
      </c>
      <c r="C483" s="3">
        <v>35</v>
      </c>
      <c r="D483" s="3">
        <v>9</v>
      </c>
      <c r="E483" s="3">
        <f>((1/(INDEX(E0!J$4:J$52,C483,1)-INDEX(E0!J$4:J$52,D483,1))))*100000000</f>
        <v>0</v>
      </c>
      <c r="F483" s="4" t="str">
        <f>HYPERLINK("http://141.218.60.56/~jnz1568/getInfo.php?workbook=08_02.xlsx&amp;sheet=A0&amp;row=483&amp;col=6&amp;number=&amp;sourceID=27","")</f>
        <v/>
      </c>
      <c r="G483" s="4" t="str">
        <f>HYPERLINK("http://141.218.60.56/~jnz1568/getInfo.php?workbook=08_02.xlsx&amp;sheet=A0&amp;row=483&amp;col=7&amp;number=&amp;sourceID=34","")</f>
        <v/>
      </c>
      <c r="H483" s="4" t="str">
        <f>HYPERLINK("http://141.218.60.56/~jnz1568/getInfo.php?workbook=08_02.xlsx&amp;sheet=A0&amp;row=483&amp;col=8&amp;number=&amp;sourceID=34","")</f>
        <v/>
      </c>
      <c r="I483" s="4" t="str">
        <f>HYPERLINK("http://141.218.60.56/~jnz1568/getInfo.php?workbook=08_02.xlsx&amp;sheet=A0&amp;row=483&amp;col=9&amp;number=&amp;sourceID=34","")</f>
        <v/>
      </c>
      <c r="J483" s="4" t="str">
        <f>HYPERLINK("http://141.218.60.56/~jnz1568/getInfo.php?workbook=08_02.xlsx&amp;sheet=A0&amp;row=483&amp;col=10&amp;number=&amp;sourceID=34","")</f>
        <v/>
      </c>
      <c r="K483" s="4" t="str">
        <f>HYPERLINK("http://141.218.60.56/~jnz1568/getInfo.php?workbook=08_02.xlsx&amp;sheet=A0&amp;row=483&amp;col=11&amp;number=&amp;sourceID=30","")</f>
        <v/>
      </c>
      <c r="L483" s="4" t="str">
        <f>HYPERLINK("http://141.218.60.56/~jnz1568/getInfo.php?workbook=08_02.xlsx&amp;sheet=A0&amp;row=483&amp;col=12&amp;number=&amp;sourceID=30","")</f>
        <v/>
      </c>
      <c r="M483" s="4" t="str">
        <f>HYPERLINK("http://141.218.60.56/~jnz1568/getInfo.php?workbook=08_02.xlsx&amp;sheet=A0&amp;row=483&amp;col=13&amp;number=0.001732&amp;sourceID=30","0.001732")</f>
        <v>0.001732</v>
      </c>
      <c r="N483" s="4" t="str">
        <f>HYPERLINK("http://141.218.60.56/~jnz1568/getInfo.php?workbook=08_02.xlsx&amp;sheet=A0&amp;row=483&amp;col=14&amp;number=&amp;sourceID=30","")</f>
        <v/>
      </c>
      <c r="O483" s="4" t="str">
        <f>HYPERLINK("http://141.218.60.56/~jnz1568/getInfo.php?workbook=08_02.xlsx&amp;sheet=A0&amp;row=483&amp;col=15&amp;number=&amp;sourceID=32","")</f>
        <v/>
      </c>
      <c r="P483" s="4" t="str">
        <f>HYPERLINK("http://141.218.60.56/~jnz1568/getInfo.php?workbook=08_02.xlsx&amp;sheet=A0&amp;row=483&amp;col=16&amp;number=&amp;sourceID=32","")</f>
        <v/>
      </c>
      <c r="Q483" s="4" t="str">
        <f>HYPERLINK("http://141.218.60.56/~jnz1568/getInfo.php?workbook=08_02.xlsx&amp;sheet=A0&amp;row=483&amp;col=17&amp;number=0.002156&amp;sourceID=32","0.002156")</f>
        <v>0.002156</v>
      </c>
      <c r="R483" s="4" t="str">
        <f>HYPERLINK("http://141.218.60.56/~jnz1568/getInfo.php?workbook=08_02.xlsx&amp;sheet=A0&amp;row=483&amp;col=18&amp;number=&amp;sourceID=32","")</f>
        <v/>
      </c>
      <c r="S483" s="4" t="str">
        <f>HYPERLINK("http://141.218.60.56/~jnz1568/getInfo.php?workbook=08_02.xlsx&amp;sheet=A0&amp;row=483&amp;col=19&amp;number=&amp;sourceID=1","")</f>
        <v/>
      </c>
      <c r="T483" s="4" t="str">
        <f>HYPERLINK("http://141.218.60.56/~jnz1568/getInfo.php?workbook=08_02.xlsx&amp;sheet=A0&amp;row=483&amp;col=20&amp;number=&amp;sourceID=1","")</f>
        <v/>
      </c>
    </row>
    <row r="484" spans="1:20">
      <c r="A484" s="3">
        <v>8</v>
      </c>
      <c r="B484" s="3">
        <v>2</v>
      </c>
      <c r="C484" s="3">
        <v>35</v>
      </c>
      <c r="D484" s="3">
        <v>10</v>
      </c>
      <c r="E484" s="3">
        <f>((1/(INDEX(E0!J$4:J$52,C484,1)-INDEX(E0!J$4:J$52,D484,1))))*100000000</f>
        <v>0</v>
      </c>
      <c r="F484" s="4" t="str">
        <f>HYPERLINK("http://141.218.60.56/~jnz1568/getInfo.php?workbook=08_02.xlsx&amp;sheet=A0&amp;row=484&amp;col=6&amp;number=&amp;sourceID=27","")</f>
        <v/>
      </c>
      <c r="G484" s="4" t="str">
        <f>HYPERLINK("http://141.218.60.56/~jnz1568/getInfo.php?workbook=08_02.xlsx&amp;sheet=A0&amp;row=484&amp;col=7&amp;number=&amp;sourceID=34","")</f>
        <v/>
      </c>
      <c r="H484" s="4" t="str">
        <f>HYPERLINK("http://141.218.60.56/~jnz1568/getInfo.php?workbook=08_02.xlsx&amp;sheet=A0&amp;row=484&amp;col=8&amp;number=&amp;sourceID=34","")</f>
        <v/>
      </c>
      <c r="I484" s="4" t="str">
        <f>HYPERLINK("http://141.218.60.56/~jnz1568/getInfo.php?workbook=08_02.xlsx&amp;sheet=A0&amp;row=484&amp;col=9&amp;number=&amp;sourceID=34","")</f>
        <v/>
      </c>
      <c r="J484" s="4" t="str">
        <f>HYPERLINK("http://141.218.60.56/~jnz1568/getInfo.php?workbook=08_02.xlsx&amp;sheet=A0&amp;row=484&amp;col=10&amp;number=&amp;sourceID=34","")</f>
        <v/>
      </c>
      <c r="K484" s="4" t="str">
        <f>HYPERLINK("http://141.218.60.56/~jnz1568/getInfo.php?workbook=08_02.xlsx&amp;sheet=A0&amp;row=484&amp;col=11&amp;number=&amp;sourceID=30","")</f>
        <v/>
      </c>
      <c r="L484" s="4" t="str">
        <f>HYPERLINK("http://141.218.60.56/~jnz1568/getInfo.php?workbook=08_02.xlsx&amp;sheet=A0&amp;row=484&amp;col=12&amp;number=36380&amp;sourceID=30","36380")</f>
        <v>36380</v>
      </c>
      <c r="M484" s="4" t="str">
        <f>HYPERLINK("http://141.218.60.56/~jnz1568/getInfo.php?workbook=08_02.xlsx&amp;sheet=A0&amp;row=484&amp;col=13&amp;number=0.006227&amp;sourceID=30","0.006227")</f>
        <v>0.006227</v>
      </c>
      <c r="N484" s="4" t="str">
        <f>HYPERLINK("http://141.218.60.56/~jnz1568/getInfo.php?workbook=08_02.xlsx&amp;sheet=A0&amp;row=484&amp;col=14&amp;number=&amp;sourceID=30","")</f>
        <v/>
      </c>
      <c r="O484" s="4" t="str">
        <f>HYPERLINK("http://141.218.60.56/~jnz1568/getInfo.php?workbook=08_02.xlsx&amp;sheet=A0&amp;row=484&amp;col=15&amp;number=&amp;sourceID=32","")</f>
        <v/>
      </c>
      <c r="P484" s="4" t="str">
        <f>HYPERLINK("http://141.218.60.56/~jnz1568/getInfo.php?workbook=08_02.xlsx&amp;sheet=A0&amp;row=484&amp;col=16&amp;number=43720&amp;sourceID=32","43720")</f>
        <v>43720</v>
      </c>
      <c r="Q484" s="4" t="str">
        <f>HYPERLINK("http://141.218.60.56/~jnz1568/getInfo.php?workbook=08_02.xlsx&amp;sheet=A0&amp;row=484&amp;col=17&amp;number=0.006396&amp;sourceID=32","0.006396")</f>
        <v>0.006396</v>
      </c>
      <c r="R484" s="4" t="str">
        <f>HYPERLINK("http://141.218.60.56/~jnz1568/getInfo.php?workbook=08_02.xlsx&amp;sheet=A0&amp;row=484&amp;col=18&amp;number=&amp;sourceID=32","")</f>
        <v/>
      </c>
      <c r="S484" s="4" t="str">
        <f>HYPERLINK("http://141.218.60.56/~jnz1568/getInfo.php?workbook=08_02.xlsx&amp;sheet=A0&amp;row=484&amp;col=19&amp;number=&amp;sourceID=1","")</f>
        <v/>
      </c>
      <c r="T484" s="4" t="str">
        <f>HYPERLINK("http://141.218.60.56/~jnz1568/getInfo.php?workbook=08_02.xlsx&amp;sheet=A0&amp;row=484&amp;col=20&amp;number=&amp;sourceID=1","")</f>
        <v/>
      </c>
    </row>
    <row r="485" spans="1:20">
      <c r="A485" s="3">
        <v>8</v>
      </c>
      <c r="B485" s="3">
        <v>2</v>
      </c>
      <c r="C485" s="3">
        <v>35</v>
      </c>
      <c r="D485" s="3">
        <v>11</v>
      </c>
      <c r="E485" s="3">
        <f>((1/(INDEX(E0!J$4:J$52,C485,1)-INDEX(E0!J$4:J$52,D485,1))))*100000000</f>
        <v>0</v>
      </c>
      <c r="F485" s="4" t="str">
        <f>HYPERLINK("http://141.218.60.56/~jnz1568/getInfo.php?workbook=08_02.xlsx&amp;sheet=A0&amp;row=485&amp;col=6&amp;number=&amp;sourceID=27","")</f>
        <v/>
      </c>
      <c r="G485" s="4" t="str">
        <f>HYPERLINK("http://141.218.60.56/~jnz1568/getInfo.php?workbook=08_02.xlsx&amp;sheet=A0&amp;row=485&amp;col=7&amp;number=&amp;sourceID=34","")</f>
        <v/>
      </c>
      <c r="H485" s="4" t="str">
        <f>HYPERLINK("http://141.218.60.56/~jnz1568/getInfo.php?workbook=08_02.xlsx&amp;sheet=A0&amp;row=485&amp;col=8&amp;number=&amp;sourceID=34","")</f>
        <v/>
      </c>
      <c r="I485" s="4" t="str">
        <f>HYPERLINK("http://141.218.60.56/~jnz1568/getInfo.php?workbook=08_02.xlsx&amp;sheet=A0&amp;row=485&amp;col=9&amp;number=&amp;sourceID=34","")</f>
        <v/>
      </c>
      <c r="J485" s="4" t="str">
        <f>HYPERLINK("http://141.218.60.56/~jnz1568/getInfo.php?workbook=08_02.xlsx&amp;sheet=A0&amp;row=485&amp;col=10&amp;number=&amp;sourceID=34","")</f>
        <v/>
      </c>
      <c r="K485" s="4" t="str">
        <f>HYPERLINK("http://141.218.60.56/~jnz1568/getInfo.php?workbook=08_02.xlsx&amp;sheet=A0&amp;row=485&amp;col=11&amp;number=&amp;sourceID=30","")</f>
        <v/>
      </c>
      <c r="L485" s="4" t="str">
        <f>HYPERLINK("http://141.218.60.56/~jnz1568/getInfo.php?workbook=08_02.xlsx&amp;sheet=A0&amp;row=485&amp;col=12&amp;number=108900&amp;sourceID=30","108900")</f>
        <v>108900</v>
      </c>
      <c r="M485" s="4" t="str">
        <f>HYPERLINK("http://141.218.60.56/~jnz1568/getInfo.php?workbook=08_02.xlsx&amp;sheet=A0&amp;row=485&amp;col=13&amp;number=0.04545&amp;sourceID=30","0.04545")</f>
        <v>0.04545</v>
      </c>
      <c r="N485" s="4" t="str">
        <f>HYPERLINK("http://141.218.60.56/~jnz1568/getInfo.php?workbook=08_02.xlsx&amp;sheet=A0&amp;row=485&amp;col=14&amp;number=&amp;sourceID=30","")</f>
        <v/>
      </c>
      <c r="O485" s="4" t="str">
        <f>HYPERLINK("http://141.218.60.56/~jnz1568/getInfo.php?workbook=08_02.xlsx&amp;sheet=A0&amp;row=485&amp;col=15&amp;number=&amp;sourceID=32","")</f>
        <v/>
      </c>
      <c r="P485" s="4" t="str">
        <f>HYPERLINK("http://141.218.60.56/~jnz1568/getInfo.php?workbook=08_02.xlsx&amp;sheet=A0&amp;row=485&amp;col=16&amp;number=131100&amp;sourceID=32","131100")</f>
        <v>131100</v>
      </c>
      <c r="Q485" s="4" t="str">
        <f>HYPERLINK("http://141.218.60.56/~jnz1568/getInfo.php?workbook=08_02.xlsx&amp;sheet=A0&amp;row=485&amp;col=17&amp;number=0.04329&amp;sourceID=32","0.04329")</f>
        <v>0.04329</v>
      </c>
      <c r="R485" s="4" t="str">
        <f>HYPERLINK("http://141.218.60.56/~jnz1568/getInfo.php?workbook=08_02.xlsx&amp;sheet=A0&amp;row=485&amp;col=18&amp;number=&amp;sourceID=32","")</f>
        <v/>
      </c>
      <c r="S485" s="4" t="str">
        <f>HYPERLINK("http://141.218.60.56/~jnz1568/getInfo.php?workbook=08_02.xlsx&amp;sheet=A0&amp;row=485&amp;col=19&amp;number=&amp;sourceID=1","")</f>
        <v/>
      </c>
      <c r="T485" s="4" t="str">
        <f>HYPERLINK("http://141.218.60.56/~jnz1568/getInfo.php?workbook=08_02.xlsx&amp;sheet=A0&amp;row=485&amp;col=20&amp;number=&amp;sourceID=1","")</f>
        <v/>
      </c>
    </row>
    <row r="486" spans="1:20">
      <c r="A486" s="3">
        <v>8</v>
      </c>
      <c r="B486" s="3">
        <v>2</v>
      </c>
      <c r="C486" s="3">
        <v>35</v>
      </c>
      <c r="D486" s="3">
        <v>12</v>
      </c>
      <c r="E486" s="3">
        <f>((1/(INDEX(E0!J$4:J$52,C486,1)-INDEX(E0!J$4:J$52,D486,1))))*100000000</f>
        <v>0</v>
      </c>
      <c r="F486" s="4" t="str">
        <f>HYPERLINK("http://141.218.60.56/~jnz1568/getInfo.php?workbook=08_02.xlsx&amp;sheet=A0&amp;row=486&amp;col=6&amp;number=&amp;sourceID=27","")</f>
        <v/>
      </c>
      <c r="G486" s="4" t="str">
        <f>HYPERLINK("http://141.218.60.56/~jnz1568/getInfo.php?workbook=08_02.xlsx&amp;sheet=A0&amp;row=486&amp;col=7&amp;number=&amp;sourceID=34","")</f>
        <v/>
      </c>
      <c r="H486" s="4" t="str">
        <f>HYPERLINK("http://141.218.60.56/~jnz1568/getInfo.php?workbook=08_02.xlsx&amp;sheet=A0&amp;row=486&amp;col=8&amp;number=&amp;sourceID=34","")</f>
        <v/>
      </c>
      <c r="I486" s="4" t="str">
        <f>HYPERLINK("http://141.218.60.56/~jnz1568/getInfo.php?workbook=08_02.xlsx&amp;sheet=A0&amp;row=486&amp;col=9&amp;number=&amp;sourceID=34","")</f>
        <v/>
      </c>
      <c r="J486" s="4" t="str">
        <f>HYPERLINK("http://141.218.60.56/~jnz1568/getInfo.php?workbook=08_02.xlsx&amp;sheet=A0&amp;row=486&amp;col=10&amp;number=&amp;sourceID=34","")</f>
        <v/>
      </c>
      <c r="K486" s="4" t="str">
        <f>HYPERLINK("http://141.218.60.56/~jnz1568/getInfo.php?workbook=08_02.xlsx&amp;sheet=A0&amp;row=486&amp;col=11&amp;number=796600&amp;sourceID=30","796600")</f>
        <v>796600</v>
      </c>
      <c r="L486" s="4" t="str">
        <f>HYPERLINK("http://141.218.60.56/~jnz1568/getInfo.php?workbook=08_02.xlsx&amp;sheet=A0&amp;row=486&amp;col=12&amp;number=&amp;sourceID=30","")</f>
        <v/>
      </c>
      <c r="M486" s="4" t="str">
        <f>HYPERLINK("http://141.218.60.56/~jnz1568/getInfo.php?workbook=08_02.xlsx&amp;sheet=A0&amp;row=486&amp;col=13&amp;number=&amp;sourceID=30","")</f>
        <v/>
      </c>
      <c r="N486" s="4" t="str">
        <f>HYPERLINK("http://141.218.60.56/~jnz1568/getInfo.php?workbook=08_02.xlsx&amp;sheet=A0&amp;row=486&amp;col=14&amp;number=&amp;sourceID=30","")</f>
        <v/>
      </c>
      <c r="O486" s="4" t="str">
        <f>HYPERLINK("http://141.218.60.56/~jnz1568/getInfo.php?workbook=08_02.xlsx&amp;sheet=A0&amp;row=486&amp;col=15&amp;number=736300&amp;sourceID=32","736300")</f>
        <v>736300</v>
      </c>
      <c r="P486" s="4" t="str">
        <f>HYPERLINK("http://141.218.60.56/~jnz1568/getInfo.php?workbook=08_02.xlsx&amp;sheet=A0&amp;row=486&amp;col=16&amp;number=&amp;sourceID=32","")</f>
        <v/>
      </c>
      <c r="Q486" s="4" t="str">
        <f>HYPERLINK("http://141.218.60.56/~jnz1568/getInfo.php?workbook=08_02.xlsx&amp;sheet=A0&amp;row=486&amp;col=17&amp;number=&amp;sourceID=32","")</f>
        <v/>
      </c>
      <c r="R486" s="4" t="str">
        <f>HYPERLINK("http://141.218.60.56/~jnz1568/getInfo.php?workbook=08_02.xlsx&amp;sheet=A0&amp;row=486&amp;col=18&amp;number=&amp;sourceID=32","")</f>
        <v/>
      </c>
      <c r="S486" s="4" t="str">
        <f>HYPERLINK("http://141.218.60.56/~jnz1568/getInfo.php?workbook=08_02.xlsx&amp;sheet=A0&amp;row=486&amp;col=19&amp;number=&amp;sourceID=1","")</f>
        <v/>
      </c>
      <c r="T486" s="4" t="str">
        <f>HYPERLINK("http://141.218.60.56/~jnz1568/getInfo.php?workbook=08_02.xlsx&amp;sheet=A0&amp;row=486&amp;col=20&amp;number=&amp;sourceID=1","")</f>
        <v/>
      </c>
    </row>
    <row r="487" spans="1:20">
      <c r="A487" s="3">
        <v>8</v>
      </c>
      <c r="B487" s="3">
        <v>2</v>
      </c>
      <c r="C487" s="3">
        <v>35</v>
      </c>
      <c r="D487" s="3">
        <v>13</v>
      </c>
      <c r="E487" s="3">
        <f>((1/(INDEX(E0!J$4:J$52,C487,1)-INDEX(E0!J$4:J$52,D487,1))))*100000000</f>
        <v>0</v>
      </c>
      <c r="F487" s="4" t="str">
        <f>HYPERLINK("http://141.218.60.56/~jnz1568/getInfo.php?workbook=08_02.xlsx&amp;sheet=A0&amp;row=487&amp;col=6&amp;number=&amp;sourceID=27","")</f>
        <v/>
      </c>
      <c r="G487" s="4" t="str">
        <f>HYPERLINK("http://141.218.60.56/~jnz1568/getInfo.php?workbook=08_02.xlsx&amp;sheet=A0&amp;row=487&amp;col=7&amp;number=112400000&amp;sourceID=34","112400000")</f>
        <v>112400000</v>
      </c>
      <c r="H487" s="4" t="str">
        <f>HYPERLINK("http://141.218.60.56/~jnz1568/getInfo.php?workbook=08_02.xlsx&amp;sheet=A0&amp;row=487&amp;col=8&amp;number=&amp;sourceID=34","")</f>
        <v/>
      </c>
      <c r="I487" s="4" t="str">
        <f>HYPERLINK("http://141.218.60.56/~jnz1568/getInfo.php?workbook=08_02.xlsx&amp;sheet=A0&amp;row=487&amp;col=9&amp;number=&amp;sourceID=34","")</f>
        <v/>
      </c>
      <c r="J487" s="4" t="str">
        <f>HYPERLINK("http://141.218.60.56/~jnz1568/getInfo.php?workbook=08_02.xlsx&amp;sheet=A0&amp;row=487&amp;col=10&amp;number=&amp;sourceID=34","")</f>
        <v/>
      </c>
      <c r="K487" s="4" t="str">
        <f>HYPERLINK("http://141.218.60.56/~jnz1568/getInfo.php?workbook=08_02.xlsx&amp;sheet=A0&amp;row=487&amp;col=11&amp;number=108500000&amp;sourceID=30","108500000")</f>
        <v>108500000</v>
      </c>
      <c r="L487" s="4" t="str">
        <f>HYPERLINK("http://141.218.60.56/~jnz1568/getInfo.php?workbook=08_02.xlsx&amp;sheet=A0&amp;row=487&amp;col=12&amp;number=&amp;sourceID=30","")</f>
        <v/>
      </c>
      <c r="M487" s="4" t="str">
        <f>HYPERLINK("http://141.218.60.56/~jnz1568/getInfo.php?workbook=08_02.xlsx&amp;sheet=A0&amp;row=487&amp;col=13&amp;number=&amp;sourceID=30","")</f>
        <v/>
      </c>
      <c r="N487" s="4" t="str">
        <f>HYPERLINK("http://141.218.60.56/~jnz1568/getInfo.php?workbook=08_02.xlsx&amp;sheet=A0&amp;row=487&amp;col=14&amp;number=0.00947&amp;sourceID=30","0.00947")</f>
        <v>0.00947</v>
      </c>
      <c r="O487" s="4" t="str">
        <f>HYPERLINK("http://141.218.60.56/~jnz1568/getInfo.php?workbook=08_02.xlsx&amp;sheet=A0&amp;row=487&amp;col=15&amp;number=112900000&amp;sourceID=32","112900000")</f>
        <v>112900000</v>
      </c>
      <c r="P487" s="4" t="str">
        <f>HYPERLINK("http://141.218.60.56/~jnz1568/getInfo.php?workbook=08_02.xlsx&amp;sheet=A0&amp;row=487&amp;col=16&amp;number=&amp;sourceID=32","")</f>
        <v/>
      </c>
      <c r="Q487" s="4" t="str">
        <f>HYPERLINK("http://141.218.60.56/~jnz1568/getInfo.php?workbook=08_02.xlsx&amp;sheet=A0&amp;row=487&amp;col=17&amp;number=&amp;sourceID=32","")</f>
        <v/>
      </c>
      <c r="R487" s="4" t="str">
        <f>HYPERLINK("http://141.218.60.56/~jnz1568/getInfo.php?workbook=08_02.xlsx&amp;sheet=A0&amp;row=487&amp;col=18&amp;number=0.009796&amp;sourceID=32","0.009796")</f>
        <v>0.009796</v>
      </c>
      <c r="S487" s="4" t="str">
        <f>HYPERLINK("http://141.218.60.56/~jnz1568/getInfo.php?workbook=08_02.xlsx&amp;sheet=A0&amp;row=487&amp;col=19&amp;number=&amp;sourceID=1","")</f>
        <v/>
      </c>
      <c r="T487" s="4" t="str">
        <f>HYPERLINK("http://141.218.60.56/~jnz1568/getInfo.php?workbook=08_02.xlsx&amp;sheet=A0&amp;row=487&amp;col=20&amp;number=&amp;sourceID=1","")</f>
        <v/>
      </c>
    </row>
    <row r="488" spans="1:20">
      <c r="A488" s="3">
        <v>8</v>
      </c>
      <c r="B488" s="3">
        <v>2</v>
      </c>
      <c r="C488" s="3">
        <v>35</v>
      </c>
      <c r="D488" s="3">
        <v>14</v>
      </c>
      <c r="E488" s="3">
        <f>((1/(INDEX(E0!J$4:J$52,C488,1)-INDEX(E0!J$4:J$52,D488,1))))*100000000</f>
        <v>0</v>
      </c>
      <c r="F488" s="4" t="str">
        <f>HYPERLINK("http://141.218.60.56/~jnz1568/getInfo.php?workbook=08_02.xlsx&amp;sheet=A0&amp;row=488&amp;col=6&amp;number=&amp;sourceID=27","")</f>
        <v/>
      </c>
      <c r="G488" s="4" t="str">
        <f>HYPERLINK("http://141.218.60.56/~jnz1568/getInfo.php?workbook=08_02.xlsx&amp;sheet=A0&amp;row=488&amp;col=7&amp;number=337000000&amp;sourceID=34","337000000")</f>
        <v>337000000</v>
      </c>
      <c r="H488" s="4" t="str">
        <f>HYPERLINK("http://141.218.60.56/~jnz1568/getInfo.php?workbook=08_02.xlsx&amp;sheet=A0&amp;row=488&amp;col=8&amp;number=&amp;sourceID=34","")</f>
        <v/>
      </c>
      <c r="I488" s="4" t="str">
        <f>HYPERLINK("http://141.218.60.56/~jnz1568/getInfo.php?workbook=08_02.xlsx&amp;sheet=A0&amp;row=488&amp;col=9&amp;number=&amp;sourceID=34","")</f>
        <v/>
      </c>
      <c r="J488" s="4" t="str">
        <f>HYPERLINK("http://141.218.60.56/~jnz1568/getInfo.php?workbook=08_02.xlsx&amp;sheet=A0&amp;row=488&amp;col=10&amp;number=&amp;sourceID=34","")</f>
        <v/>
      </c>
      <c r="K488" s="4" t="str">
        <f>HYPERLINK("http://141.218.60.56/~jnz1568/getInfo.php?workbook=08_02.xlsx&amp;sheet=A0&amp;row=488&amp;col=11&amp;number=321500000&amp;sourceID=30","321500000")</f>
        <v>321500000</v>
      </c>
      <c r="L488" s="4" t="str">
        <f>HYPERLINK("http://141.218.60.56/~jnz1568/getInfo.php?workbook=08_02.xlsx&amp;sheet=A0&amp;row=488&amp;col=12&amp;number=&amp;sourceID=30","")</f>
        <v/>
      </c>
      <c r="M488" s="4" t="str">
        <f>HYPERLINK("http://141.218.60.56/~jnz1568/getInfo.php?workbook=08_02.xlsx&amp;sheet=A0&amp;row=488&amp;col=13&amp;number=&amp;sourceID=30","")</f>
        <v/>
      </c>
      <c r="N488" s="4" t="str">
        <f>HYPERLINK("http://141.218.60.56/~jnz1568/getInfo.php?workbook=08_02.xlsx&amp;sheet=A0&amp;row=488&amp;col=14&amp;number=0.1917&amp;sourceID=30","0.1917")</f>
        <v>0.1917</v>
      </c>
      <c r="O488" s="4" t="str">
        <f>HYPERLINK("http://141.218.60.56/~jnz1568/getInfo.php?workbook=08_02.xlsx&amp;sheet=A0&amp;row=488&amp;col=15&amp;number=334000000&amp;sourceID=32","334000000")</f>
        <v>334000000</v>
      </c>
      <c r="P488" s="4" t="str">
        <f>HYPERLINK("http://141.218.60.56/~jnz1568/getInfo.php?workbook=08_02.xlsx&amp;sheet=A0&amp;row=488&amp;col=16&amp;number=&amp;sourceID=32","")</f>
        <v/>
      </c>
      <c r="Q488" s="4" t="str">
        <f>HYPERLINK("http://141.218.60.56/~jnz1568/getInfo.php?workbook=08_02.xlsx&amp;sheet=A0&amp;row=488&amp;col=17&amp;number=&amp;sourceID=32","")</f>
        <v/>
      </c>
      <c r="R488" s="4" t="str">
        <f>HYPERLINK("http://141.218.60.56/~jnz1568/getInfo.php?workbook=08_02.xlsx&amp;sheet=A0&amp;row=488&amp;col=18&amp;number=0.1945&amp;sourceID=32","0.1945")</f>
        <v>0.1945</v>
      </c>
      <c r="S488" s="4" t="str">
        <f>HYPERLINK("http://141.218.60.56/~jnz1568/getInfo.php?workbook=08_02.xlsx&amp;sheet=A0&amp;row=488&amp;col=19&amp;number=&amp;sourceID=1","")</f>
        <v/>
      </c>
      <c r="T488" s="4" t="str">
        <f>HYPERLINK("http://141.218.60.56/~jnz1568/getInfo.php?workbook=08_02.xlsx&amp;sheet=A0&amp;row=488&amp;col=20&amp;number=&amp;sourceID=1","")</f>
        <v/>
      </c>
    </row>
    <row r="489" spans="1:20">
      <c r="A489" s="3">
        <v>8</v>
      </c>
      <c r="B489" s="3">
        <v>2</v>
      </c>
      <c r="C489" s="3">
        <v>35</v>
      </c>
      <c r="D489" s="3">
        <v>15</v>
      </c>
      <c r="E489" s="3">
        <f>((1/(INDEX(E0!J$4:J$52,C489,1)-INDEX(E0!J$4:J$52,D489,1))))*100000000</f>
        <v>0</v>
      </c>
      <c r="F489" s="4" t="str">
        <f>HYPERLINK("http://141.218.60.56/~jnz1568/getInfo.php?workbook=08_02.xlsx&amp;sheet=A0&amp;row=489&amp;col=6&amp;number=&amp;sourceID=27","")</f>
        <v/>
      </c>
      <c r="G489" s="4" t="str">
        <f>HYPERLINK("http://141.218.60.56/~jnz1568/getInfo.php?workbook=08_02.xlsx&amp;sheet=A0&amp;row=489&amp;col=7&amp;number=&amp;sourceID=34","")</f>
        <v/>
      </c>
      <c r="H489" s="4" t="str">
        <f>HYPERLINK("http://141.218.60.56/~jnz1568/getInfo.php?workbook=08_02.xlsx&amp;sheet=A0&amp;row=489&amp;col=8&amp;number=&amp;sourceID=34","")</f>
        <v/>
      </c>
      <c r="I489" s="4" t="str">
        <f>HYPERLINK("http://141.218.60.56/~jnz1568/getInfo.php?workbook=08_02.xlsx&amp;sheet=A0&amp;row=489&amp;col=9&amp;number=&amp;sourceID=34","")</f>
        <v/>
      </c>
      <c r="J489" s="4" t="str">
        <f>HYPERLINK("http://141.218.60.56/~jnz1568/getInfo.php?workbook=08_02.xlsx&amp;sheet=A0&amp;row=489&amp;col=10&amp;number=&amp;sourceID=34","")</f>
        <v/>
      </c>
      <c r="K489" s="4" t="str">
        <f>HYPERLINK("http://141.218.60.56/~jnz1568/getInfo.php?workbook=08_02.xlsx&amp;sheet=A0&amp;row=489&amp;col=11&amp;number=&amp;sourceID=30","")</f>
        <v/>
      </c>
      <c r="L489" s="4" t="str">
        <f>HYPERLINK("http://141.218.60.56/~jnz1568/getInfo.php?workbook=08_02.xlsx&amp;sheet=A0&amp;row=489&amp;col=12&amp;number=&amp;sourceID=30","")</f>
        <v/>
      </c>
      <c r="M489" s="4" t="str">
        <f>HYPERLINK("http://141.218.60.56/~jnz1568/getInfo.php?workbook=08_02.xlsx&amp;sheet=A0&amp;row=489&amp;col=13&amp;number=&amp;sourceID=30","")</f>
        <v/>
      </c>
      <c r="N489" s="4" t="str">
        <f>HYPERLINK("http://141.218.60.56/~jnz1568/getInfo.php?workbook=08_02.xlsx&amp;sheet=A0&amp;row=489&amp;col=14&amp;number=0.02403&amp;sourceID=30","0.02403")</f>
        <v>0.02403</v>
      </c>
      <c r="O489" s="4" t="str">
        <f>HYPERLINK("http://141.218.60.56/~jnz1568/getInfo.php?workbook=08_02.xlsx&amp;sheet=A0&amp;row=489&amp;col=15&amp;number=&amp;sourceID=32","")</f>
        <v/>
      </c>
      <c r="P489" s="4" t="str">
        <f>HYPERLINK("http://141.218.60.56/~jnz1568/getInfo.php?workbook=08_02.xlsx&amp;sheet=A0&amp;row=489&amp;col=16&amp;number=&amp;sourceID=32","")</f>
        <v/>
      </c>
      <c r="Q489" s="4" t="str">
        <f>HYPERLINK("http://141.218.60.56/~jnz1568/getInfo.php?workbook=08_02.xlsx&amp;sheet=A0&amp;row=489&amp;col=17&amp;number=&amp;sourceID=32","")</f>
        <v/>
      </c>
      <c r="R489" s="4" t="str">
        <f>HYPERLINK("http://141.218.60.56/~jnz1568/getInfo.php?workbook=08_02.xlsx&amp;sheet=A0&amp;row=489&amp;col=18&amp;number=0.0252&amp;sourceID=32","0.0252")</f>
        <v>0.0252</v>
      </c>
      <c r="S489" s="4" t="str">
        <f>HYPERLINK("http://141.218.60.56/~jnz1568/getInfo.php?workbook=08_02.xlsx&amp;sheet=A0&amp;row=489&amp;col=19&amp;number=&amp;sourceID=1","")</f>
        <v/>
      </c>
      <c r="T489" s="4" t="str">
        <f>HYPERLINK("http://141.218.60.56/~jnz1568/getInfo.php?workbook=08_02.xlsx&amp;sheet=A0&amp;row=489&amp;col=20&amp;number=&amp;sourceID=1","")</f>
        <v/>
      </c>
    </row>
    <row r="490" spans="1:20">
      <c r="A490" s="3">
        <v>8</v>
      </c>
      <c r="B490" s="3">
        <v>2</v>
      </c>
      <c r="C490" s="3">
        <v>35</v>
      </c>
      <c r="D490" s="3">
        <v>16</v>
      </c>
      <c r="E490" s="3">
        <f>((1/(INDEX(E0!J$4:J$52,C490,1)-INDEX(E0!J$4:J$52,D490,1))))*100000000</f>
        <v>0</v>
      </c>
      <c r="F490" s="4" t="str">
        <f>HYPERLINK("http://141.218.60.56/~jnz1568/getInfo.php?workbook=08_02.xlsx&amp;sheet=A0&amp;row=490&amp;col=6&amp;number=&amp;sourceID=27","")</f>
        <v/>
      </c>
      <c r="G490" s="4" t="str">
        <f>HYPERLINK("http://141.218.60.56/~jnz1568/getInfo.php?workbook=08_02.xlsx&amp;sheet=A0&amp;row=490&amp;col=7&amp;number=&amp;sourceID=34","")</f>
        <v/>
      </c>
      <c r="H490" s="4" t="str">
        <f>HYPERLINK("http://141.218.60.56/~jnz1568/getInfo.php?workbook=08_02.xlsx&amp;sheet=A0&amp;row=490&amp;col=8&amp;number=&amp;sourceID=34","")</f>
        <v/>
      </c>
      <c r="I490" s="4" t="str">
        <f>HYPERLINK("http://141.218.60.56/~jnz1568/getInfo.php?workbook=08_02.xlsx&amp;sheet=A0&amp;row=490&amp;col=9&amp;number=&amp;sourceID=34","")</f>
        <v/>
      </c>
      <c r="J490" s="4" t="str">
        <f>HYPERLINK("http://141.218.60.56/~jnz1568/getInfo.php?workbook=08_02.xlsx&amp;sheet=A0&amp;row=490&amp;col=10&amp;number=&amp;sourceID=34","")</f>
        <v/>
      </c>
      <c r="K490" s="4" t="str">
        <f>HYPERLINK("http://141.218.60.56/~jnz1568/getInfo.php?workbook=08_02.xlsx&amp;sheet=A0&amp;row=490&amp;col=11&amp;number=3132000&amp;sourceID=30","3132000")</f>
        <v>3132000</v>
      </c>
      <c r="L490" s="4" t="str">
        <f>HYPERLINK("http://141.218.60.56/~jnz1568/getInfo.php?workbook=08_02.xlsx&amp;sheet=A0&amp;row=490&amp;col=12&amp;number=&amp;sourceID=30","")</f>
        <v/>
      </c>
      <c r="M490" s="4" t="str">
        <f>HYPERLINK("http://141.218.60.56/~jnz1568/getInfo.php?workbook=08_02.xlsx&amp;sheet=A0&amp;row=490&amp;col=13&amp;number=&amp;sourceID=30","")</f>
        <v/>
      </c>
      <c r="N490" s="4" t="str">
        <f>HYPERLINK("http://141.218.60.56/~jnz1568/getInfo.php?workbook=08_02.xlsx&amp;sheet=A0&amp;row=490&amp;col=14&amp;number=0.268&amp;sourceID=30","0.268")</f>
        <v>0.268</v>
      </c>
      <c r="O490" s="4" t="str">
        <f>HYPERLINK("http://141.218.60.56/~jnz1568/getInfo.php?workbook=08_02.xlsx&amp;sheet=A0&amp;row=490&amp;col=15&amp;number=4164000&amp;sourceID=32","4164000")</f>
        <v>4164000</v>
      </c>
      <c r="P490" s="4" t="str">
        <f>HYPERLINK("http://141.218.60.56/~jnz1568/getInfo.php?workbook=08_02.xlsx&amp;sheet=A0&amp;row=490&amp;col=16&amp;number=&amp;sourceID=32","")</f>
        <v/>
      </c>
      <c r="Q490" s="4" t="str">
        <f>HYPERLINK("http://141.218.60.56/~jnz1568/getInfo.php?workbook=08_02.xlsx&amp;sheet=A0&amp;row=490&amp;col=17&amp;number=&amp;sourceID=32","")</f>
        <v/>
      </c>
      <c r="R490" s="4" t="str">
        <f>HYPERLINK("http://141.218.60.56/~jnz1568/getInfo.php?workbook=08_02.xlsx&amp;sheet=A0&amp;row=490&amp;col=18&amp;number=0.2715&amp;sourceID=32","0.2715")</f>
        <v>0.2715</v>
      </c>
      <c r="S490" s="4" t="str">
        <f>HYPERLINK("http://141.218.60.56/~jnz1568/getInfo.php?workbook=08_02.xlsx&amp;sheet=A0&amp;row=490&amp;col=19&amp;number=&amp;sourceID=1","")</f>
        <v/>
      </c>
      <c r="T490" s="4" t="str">
        <f>HYPERLINK("http://141.218.60.56/~jnz1568/getInfo.php?workbook=08_02.xlsx&amp;sheet=A0&amp;row=490&amp;col=20&amp;number=&amp;sourceID=1","")</f>
        <v/>
      </c>
    </row>
    <row r="491" spans="1:20">
      <c r="A491" s="3">
        <v>8</v>
      </c>
      <c r="B491" s="3">
        <v>2</v>
      </c>
      <c r="C491" s="3">
        <v>35</v>
      </c>
      <c r="D491" s="3">
        <v>17</v>
      </c>
      <c r="E491" s="3">
        <f>((1/(INDEX(E0!J$4:J$52,C491,1)-INDEX(E0!J$4:J$52,D491,1))))*100000000</f>
        <v>0</v>
      </c>
      <c r="F491" s="4" t="str">
        <f>HYPERLINK("http://141.218.60.56/~jnz1568/getInfo.php?workbook=08_02.xlsx&amp;sheet=A0&amp;row=491&amp;col=6&amp;number=&amp;sourceID=27","")</f>
        <v/>
      </c>
      <c r="G491" s="4" t="str">
        <f>HYPERLINK("http://141.218.60.56/~jnz1568/getInfo.php?workbook=08_02.xlsx&amp;sheet=A0&amp;row=491&amp;col=7&amp;number=&amp;sourceID=34","")</f>
        <v/>
      </c>
      <c r="H491" s="4" t="str">
        <f>HYPERLINK("http://141.218.60.56/~jnz1568/getInfo.php?workbook=08_02.xlsx&amp;sheet=A0&amp;row=491&amp;col=8&amp;number=&amp;sourceID=34","")</f>
        <v/>
      </c>
      <c r="I491" s="4" t="str">
        <f>HYPERLINK("http://141.218.60.56/~jnz1568/getInfo.php?workbook=08_02.xlsx&amp;sheet=A0&amp;row=491&amp;col=9&amp;number=&amp;sourceID=34","")</f>
        <v/>
      </c>
      <c r="J491" s="4" t="str">
        <f>HYPERLINK("http://141.218.60.56/~jnz1568/getInfo.php?workbook=08_02.xlsx&amp;sheet=A0&amp;row=491&amp;col=10&amp;number=&amp;sourceID=34","")</f>
        <v/>
      </c>
      <c r="K491" s="4" t="str">
        <f>HYPERLINK("http://141.218.60.56/~jnz1568/getInfo.php?workbook=08_02.xlsx&amp;sheet=A0&amp;row=491&amp;col=11&amp;number=&amp;sourceID=30","")</f>
        <v/>
      </c>
      <c r="L491" s="4" t="str">
        <f>HYPERLINK("http://141.218.60.56/~jnz1568/getInfo.php?workbook=08_02.xlsx&amp;sheet=A0&amp;row=491&amp;col=12&amp;number=76.4&amp;sourceID=30","76.4")</f>
        <v>76.4</v>
      </c>
      <c r="M491" s="4" t="str">
        <f>HYPERLINK("http://141.218.60.56/~jnz1568/getInfo.php?workbook=08_02.xlsx&amp;sheet=A0&amp;row=491&amp;col=13&amp;number=0.04183&amp;sourceID=30","0.04183")</f>
        <v>0.04183</v>
      </c>
      <c r="N491" s="4" t="str">
        <f>HYPERLINK("http://141.218.60.56/~jnz1568/getInfo.php?workbook=08_02.xlsx&amp;sheet=A0&amp;row=491&amp;col=14&amp;number=&amp;sourceID=30","")</f>
        <v/>
      </c>
      <c r="O491" s="4" t="str">
        <f>HYPERLINK("http://141.218.60.56/~jnz1568/getInfo.php?workbook=08_02.xlsx&amp;sheet=A0&amp;row=491&amp;col=15&amp;number=&amp;sourceID=32","")</f>
        <v/>
      </c>
      <c r="P491" s="4" t="str">
        <f>HYPERLINK("http://141.218.60.56/~jnz1568/getInfo.php?workbook=08_02.xlsx&amp;sheet=A0&amp;row=491&amp;col=16&amp;number=64.24&amp;sourceID=32","64.24")</f>
        <v>64.24</v>
      </c>
      <c r="Q491" s="4" t="str">
        <f>HYPERLINK("http://141.218.60.56/~jnz1568/getInfo.php?workbook=08_02.xlsx&amp;sheet=A0&amp;row=491&amp;col=17&amp;number=0.04585&amp;sourceID=32","0.04585")</f>
        <v>0.04585</v>
      </c>
      <c r="R491" s="4" t="str">
        <f>HYPERLINK("http://141.218.60.56/~jnz1568/getInfo.php?workbook=08_02.xlsx&amp;sheet=A0&amp;row=491&amp;col=18&amp;number=&amp;sourceID=32","")</f>
        <v/>
      </c>
      <c r="S491" s="4" t="str">
        <f>HYPERLINK("http://141.218.60.56/~jnz1568/getInfo.php?workbook=08_02.xlsx&amp;sheet=A0&amp;row=491&amp;col=19&amp;number=&amp;sourceID=1","")</f>
        <v/>
      </c>
      <c r="T491" s="4" t="str">
        <f>HYPERLINK("http://141.218.60.56/~jnz1568/getInfo.php?workbook=08_02.xlsx&amp;sheet=A0&amp;row=491&amp;col=20&amp;number=&amp;sourceID=1","")</f>
        <v/>
      </c>
    </row>
    <row r="492" spans="1:20">
      <c r="A492" s="3">
        <v>8</v>
      </c>
      <c r="B492" s="3">
        <v>2</v>
      </c>
      <c r="C492" s="3">
        <v>35</v>
      </c>
      <c r="D492" s="3">
        <v>18</v>
      </c>
      <c r="E492" s="3">
        <f>((1/(INDEX(E0!J$4:J$52,C492,1)-INDEX(E0!J$4:J$52,D492,1))))*100000000</f>
        <v>0</v>
      </c>
      <c r="F492" s="4" t="str">
        <f>HYPERLINK("http://141.218.60.56/~jnz1568/getInfo.php?workbook=08_02.xlsx&amp;sheet=A0&amp;row=492&amp;col=6&amp;number=&amp;sourceID=27","")</f>
        <v/>
      </c>
      <c r="G492" s="4" t="str">
        <f>HYPERLINK("http://141.218.60.56/~jnz1568/getInfo.php?workbook=08_02.xlsx&amp;sheet=A0&amp;row=492&amp;col=7&amp;number=&amp;sourceID=34","")</f>
        <v/>
      </c>
      <c r="H492" s="4" t="str">
        <f>HYPERLINK("http://141.218.60.56/~jnz1568/getInfo.php?workbook=08_02.xlsx&amp;sheet=A0&amp;row=492&amp;col=8&amp;number=&amp;sourceID=34","")</f>
        <v/>
      </c>
      <c r="I492" s="4" t="str">
        <f>HYPERLINK("http://141.218.60.56/~jnz1568/getInfo.php?workbook=08_02.xlsx&amp;sheet=A0&amp;row=492&amp;col=9&amp;number=&amp;sourceID=34","")</f>
        <v/>
      </c>
      <c r="J492" s="4" t="str">
        <f>HYPERLINK("http://141.218.60.56/~jnz1568/getInfo.php?workbook=08_02.xlsx&amp;sheet=A0&amp;row=492&amp;col=10&amp;number=&amp;sourceID=34","")</f>
        <v/>
      </c>
      <c r="K492" s="4" t="str">
        <f>HYPERLINK("http://141.218.60.56/~jnz1568/getInfo.php?workbook=08_02.xlsx&amp;sheet=A0&amp;row=492&amp;col=11&amp;number=1506000000&amp;sourceID=30","1506000000")</f>
        <v>1506000000</v>
      </c>
      <c r="L492" s="4" t="str">
        <f>HYPERLINK("http://141.218.60.56/~jnz1568/getInfo.php?workbook=08_02.xlsx&amp;sheet=A0&amp;row=492&amp;col=12&amp;number=&amp;sourceID=30","")</f>
        <v/>
      </c>
      <c r="M492" s="4" t="str">
        <f>HYPERLINK("http://141.218.60.56/~jnz1568/getInfo.php?workbook=08_02.xlsx&amp;sheet=A0&amp;row=492&amp;col=13&amp;number=&amp;sourceID=30","")</f>
        <v/>
      </c>
      <c r="N492" s="4" t="str">
        <f>HYPERLINK("http://141.218.60.56/~jnz1568/getInfo.php?workbook=08_02.xlsx&amp;sheet=A0&amp;row=492&amp;col=14&amp;number=0.08984&amp;sourceID=30","0.08984")</f>
        <v>0.08984</v>
      </c>
      <c r="O492" s="4" t="str">
        <f>HYPERLINK("http://141.218.60.56/~jnz1568/getInfo.php?workbook=08_02.xlsx&amp;sheet=A0&amp;row=492&amp;col=15&amp;number=1559000000&amp;sourceID=32","1559000000")</f>
        <v>1559000000</v>
      </c>
      <c r="P492" s="4" t="str">
        <f>HYPERLINK("http://141.218.60.56/~jnz1568/getInfo.php?workbook=08_02.xlsx&amp;sheet=A0&amp;row=492&amp;col=16&amp;number=&amp;sourceID=32","")</f>
        <v/>
      </c>
      <c r="Q492" s="4" t="str">
        <f>HYPERLINK("http://141.218.60.56/~jnz1568/getInfo.php?workbook=08_02.xlsx&amp;sheet=A0&amp;row=492&amp;col=17&amp;number=&amp;sourceID=32","")</f>
        <v/>
      </c>
      <c r="R492" s="4" t="str">
        <f>HYPERLINK("http://141.218.60.56/~jnz1568/getInfo.php?workbook=08_02.xlsx&amp;sheet=A0&amp;row=492&amp;col=18&amp;number=0.09285&amp;sourceID=32","0.09285")</f>
        <v>0.09285</v>
      </c>
      <c r="S492" s="4" t="str">
        <f>HYPERLINK("http://141.218.60.56/~jnz1568/getInfo.php?workbook=08_02.xlsx&amp;sheet=A0&amp;row=492&amp;col=19&amp;number=&amp;sourceID=1","")</f>
        <v/>
      </c>
      <c r="T492" s="4" t="str">
        <f>HYPERLINK("http://141.218.60.56/~jnz1568/getInfo.php?workbook=08_02.xlsx&amp;sheet=A0&amp;row=492&amp;col=20&amp;number=&amp;sourceID=1","")</f>
        <v/>
      </c>
    </row>
    <row r="493" spans="1:20">
      <c r="A493" s="3">
        <v>8</v>
      </c>
      <c r="B493" s="3">
        <v>2</v>
      </c>
      <c r="C493" s="3">
        <v>35</v>
      </c>
      <c r="D493" s="3">
        <v>19</v>
      </c>
      <c r="E493" s="3">
        <f>((1/(INDEX(E0!J$4:J$52,C493,1)-INDEX(E0!J$4:J$52,D493,1))))*100000000</f>
        <v>0</v>
      </c>
      <c r="F493" s="4" t="str">
        <f>HYPERLINK("http://141.218.60.56/~jnz1568/getInfo.php?workbook=08_02.xlsx&amp;sheet=A0&amp;row=493&amp;col=6&amp;number=&amp;sourceID=27","")</f>
        <v/>
      </c>
      <c r="G493" s="4" t="str">
        <f>HYPERLINK("http://141.218.60.56/~jnz1568/getInfo.php?workbook=08_02.xlsx&amp;sheet=A0&amp;row=493&amp;col=7&amp;number=&amp;sourceID=34","")</f>
        <v/>
      </c>
      <c r="H493" s="4" t="str">
        <f>HYPERLINK("http://141.218.60.56/~jnz1568/getInfo.php?workbook=08_02.xlsx&amp;sheet=A0&amp;row=493&amp;col=8&amp;number=&amp;sourceID=34","")</f>
        <v/>
      </c>
      <c r="I493" s="4" t="str">
        <f>HYPERLINK("http://141.218.60.56/~jnz1568/getInfo.php?workbook=08_02.xlsx&amp;sheet=A0&amp;row=493&amp;col=9&amp;number=&amp;sourceID=34","")</f>
        <v/>
      </c>
      <c r="J493" s="4" t="str">
        <f>HYPERLINK("http://141.218.60.56/~jnz1568/getInfo.php?workbook=08_02.xlsx&amp;sheet=A0&amp;row=493&amp;col=10&amp;number=&amp;sourceID=34","")</f>
        <v/>
      </c>
      <c r="K493" s="4" t="str">
        <f>HYPERLINK("http://141.218.60.56/~jnz1568/getInfo.php?workbook=08_02.xlsx&amp;sheet=A0&amp;row=493&amp;col=11&amp;number=&amp;sourceID=30","")</f>
        <v/>
      </c>
      <c r="L493" s="4" t="str">
        <f>HYPERLINK("http://141.218.60.56/~jnz1568/getInfo.php?workbook=08_02.xlsx&amp;sheet=A0&amp;row=493&amp;col=12&amp;number=&amp;sourceID=30","")</f>
        <v/>
      </c>
      <c r="M493" s="4" t="str">
        <f>HYPERLINK("http://141.218.60.56/~jnz1568/getInfo.php?workbook=08_02.xlsx&amp;sheet=A0&amp;row=493&amp;col=13&amp;number=0.0001912&amp;sourceID=30","0.0001912")</f>
        <v>0.0001912</v>
      </c>
      <c r="N493" s="4" t="str">
        <f>HYPERLINK("http://141.218.60.56/~jnz1568/getInfo.php?workbook=08_02.xlsx&amp;sheet=A0&amp;row=493&amp;col=14&amp;number=&amp;sourceID=30","")</f>
        <v/>
      </c>
      <c r="O493" s="4" t="str">
        <f>HYPERLINK("http://141.218.60.56/~jnz1568/getInfo.php?workbook=08_02.xlsx&amp;sheet=A0&amp;row=493&amp;col=15&amp;number=&amp;sourceID=32","")</f>
        <v/>
      </c>
      <c r="P493" s="4" t="str">
        <f>HYPERLINK("http://141.218.60.56/~jnz1568/getInfo.php?workbook=08_02.xlsx&amp;sheet=A0&amp;row=493&amp;col=16&amp;number=&amp;sourceID=32","")</f>
        <v/>
      </c>
      <c r="Q493" s="4" t="str">
        <f>HYPERLINK("http://141.218.60.56/~jnz1568/getInfo.php?workbook=08_02.xlsx&amp;sheet=A0&amp;row=493&amp;col=17&amp;number=0.0001882&amp;sourceID=32","0.0001882")</f>
        <v>0.0001882</v>
      </c>
      <c r="R493" s="4" t="str">
        <f>HYPERLINK("http://141.218.60.56/~jnz1568/getInfo.php?workbook=08_02.xlsx&amp;sheet=A0&amp;row=493&amp;col=18&amp;number=&amp;sourceID=32","")</f>
        <v/>
      </c>
      <c r="S493" s="4" t="str">
        <f>HYPERLINK("http://141.218.60.56/~jnz1568/getInfo.php?workbook=08_02.xlsx&amp;sheet=A0&amp;row=493&amp;col=19&amp;number=&amp;sourceID=1","")</f>
        <v/>
      </c>
      <c r="T493" s="4" t="str">
        <f>HYPERLINK("http://141.218.60.56/~jnz1568/getInfo.php?workbook=08_02.xlsx&amp;sheet=A0&amp;row=493&amp;col=20&amp;number=&amp;sourceID=1","")</f>
        <v/>
      </c>
    </row>
    <row r="494" spans="1:20">
      <c r="A494" s="3">
        <v>8</v>
      </c>
      <c r="B494" s="3">
        <v>2</v>
      </c>
      <c r="C494" s="3">
        <v>35</v>
      </c>
      <c r="D494" s="3">
        <v>20</v>
      </c>
      <c r="E494" s="3">
        <f>((1/(INDEX(E0!J$4:J$52,C494,1)-INDEX(E0!J$4:J$52,D494,1))))*100000000</f>
        <v>0</v>
      </c>
      <c r="F494" s="4" t="str">
        <f>HYPERLINK("http://141.218.60.56/~jnz1568/getInfo.php?workbook=08_02.xlsx&amp;sheet=A0&amp;row=494&amp;col=6&amp;number=&amp;sourceID=27","")</f>
        <v/>
      </c>
      <c r="G494" s="4" t="str">
        <f>HYPERLINK("http://141.218.60.56/~jnz1568/getInfo.php?workbook=08_02.xlsx&amp;sheet=A0&amp;row=494&amp;col=7&amp;number=&amp;sourceID=34","")</f>
        <v/>
      </c>
      <c r="H494" s="4" t="str">
        <f>HYPERLINK("http://141.218.60.56/~jnz1568/getInfo.php?workbook=08_02.xlsx&amp;sheet=A0&amp;row=494&amp;col=8&amp;number=&amp;sourceID=34","")</f>
        <v/>
      </c>
      <c r="I494" s="4" t="str">
        <f>HYPERLINK("http://141.218.60.56/~jnz1568/getInfo.php?workbook=08_02.xlsx&amp;sheet=A0&amp;row=494&amp;col=9&amp;number=&amp;sourceID=34","")</f>
        <v/>
      </c>
      <c r="J494" s="4" t="str">
        <f>HYPERLINK("http://141.218.60.56/~jnz1568/getInfo.php?workbook=08_02.xlsx&amp;sheet=A0&amp;row=494&amp;col=10&amp;number=&amp;sourceID=34","")</f>
        <v/>
      </c>
      <c r="K494" s="4" t="str">
        <f>HYPERLINK("http://141.218.60.56/~jnz1568/getInfo.php?workbook=08_02.xlsx&amp;sheet=A0&amp;row=494&amp;col=11&amp;number=&amp;sourceID=30","")</f>
        <v/>
      </c>
      <c r="L494" s="4" t="str">
        <f>HYPERLINK("http://141.218.60.56/~jnz1568/getInfo.php?workbook=08_02.xlsx&amp;sheet=A0&amp;row=494&amp;col=12&amp;number=13420&amp;sourceID=30","13420")</f>
        <v>13420</v>
      </c>
      <c r="M494" s="4" t="str">
        <f>HYPERLINK("http://141.218.60.56/~jnz1568/getInfo.php?workbook=08_02.xlsx&amp;sheet=A0&amp;row=494&amp;col=13&amp;number=0.0001862&amp;sourceID=30","0.0001862")</f>
        <v>0.0001862</v>
      </c>
      <c r="N494" s="4" t="str">
        <f>HYPERLINK("http://141.218.60.56/~jnz1568/getInfo.php?workbook=08_02.xlsx&amp;sheet=A0&amp;row=494&amp;col=14&amp;number=&amp;sourceID=30","")</f>
        <v/>
      </c>
      <c r="O494" s="4" t="str">
        <f>HYPERLINK("http://141.218.60.56/~jnz1568/getInfo.php?workbook=08_02.xlsx&amp;sheet=A0&amp;row=494&amp;col=15&amp;number=&amp;sourceID=32","")</f>
        <v/>
      </c>
      <c r="P494" s="4" t="str">
        <f>HYPERLINK("http://141.218.60.56/~jnz1568/getInfo.php?workbook=08_02.xlsx&amp;sheet=A0&amp;row=494&amp;col=16&amp;number=13820&amp;sourceID=32","13820")</f>
        <v>13820</v>
      </c>
      <c r="Q494" s="4" t="str">
        <f>HYPERLINK("http://141.218.60.56/~jnz1568/getInfo.php?workbook=08_02.xlsx&amp;sheet=A0&amp;row=494&amp;col=17&amp;number=0.0001967&amp;sourceID=32","0.0001967")</f>
        <v>0.0001967</v>
      </c>
      <c r="R494" s="4" t="str">
        <f>HYPERLINK("http://141.218.60.56/~jnz1568/getInfo.php?workbook=08_02.xlsx&amp;sheet=A0&amp;row=494&amp;col=18&amp;number=&amp;sourceID=32","")</f>
        <v/>
      </c>
      <c r="S494" s="4" t="str">
        <f>HYPERLINK("http://141.218.60.56/~jnz1568/getInfo.php?workbook=08_02.xlsx&amp;sheet=A0&amp;row=494&amp;col=19&amp;number=&amp;sourceID=1","")</f>
        <v/>
      </c>
      <c r="T494" s="4" t="str">
        <f>HYPERLINK("http://141.218.60.56/~jnz1568/getInfo.php?workbook=08_02.xlsx&amp;sheet=A0&amp;row=494&amp;col=20&amp;number=&amp;sourceID=1","")</f>
        <v/>
      </c>
    </row>
    <row r="495" spans="1:20">
      <c r="A495" s="3">
        <v>8</v>
      </c>
      <c r="B495" s="3">
        <v>2</v>
      </c>
      <c r="C495" s="3">
        <v>35</v>
      </c>
      <c r="D495" s="3">
        <v>21</v>
      </c>
      <c r="E495" s="3">
        <f>((1/(INDEX(E0!J$4:J$52,C495,1)-INDEX(E0!J$4:J$52,D495,1))))*100000000</f>
        <v>0</v>
      </c>
      <c r="F495" s="4" t="str">
        <f>HYPERLINK("http://141.218.60.56/~jnz1568/getInfo.php?workbook=08_02.xlsx&amp;sheet=A0&amp;row=495&amp;col=6&amp;number=&amp;sourceID=27","")</f>
        <v/>
      </c>
      <c r="G495" s="4" t="str">
        <f>HYPERLINK("http://141.218.60.56/~jnz1568/getInfo.php?workbook=08_02.xlsx&amp;sheet=A0&amp;row=495&amp;col=7&amp;number=&amp;sourceID=34","")</f>
        <v/>
      </c>
      <c r="H495" s="4" t="str">
        <f>HYPERLINK("http://141.218.60.56/~jnz1568/getInfo.php?workbook=08_02.xlsx&amp;sheet=A0&amp;row=495&amp;col=8&amp;number=&amp;sourceID=34","")</f>
        <v/>
      </c>
      <c r="I495" s="4" t="str">
        <f>HYPERLINK("http://141.218.60.56/~jnz1568/getInfo.php?workbook=08_02.xlsx&amp;sheet=A0&amp;row=495&amp;col=9&amp;number=&amp;sourceID=34","")</f>
        <v/>
      </c>
      <c r="J495" s="4" t="str">
        <f>HYPERLINK("http://141.218.60.56/~jnz1568/getInfo.php?workbook=08_02.xlsx&amp;sheet=A0&amp;row=495&amp;col=10&amp;number=&amp;sourceID=34","")</f>
        <v/>
      </c>
      <c r="K495" s="4" t="str">
        <f>HYPERLINK("http://141.218.60.56/~jnz1568/getInfo.php?workbook=08_02.xlsx&amp;sheet=A0&amp;row=495&amp;col=11&amp;number=&amp;sourceID=30","")</f>
        <v/>
      </c>
      <c r="L495" s="4" t="str">
        <f>HYPERLINK("http://141.218.60.56/~jnz1568/getInfo.php?workbook=08_02.xlsx&amp;sheet=A0&amp;row=495&amp;col=12&amp;number=40260&amp;sourceID=30","40260")</f>
        <v>40260</v>
      </c>
      <c r="M495" s="4" t="str">
        <f>HYPERLINK("http://141.218.60.56/~jnz1568/getInfo.php?workbook=08_02.xlsx&amp;sheet=A0&amp;row=495&amp;col=13&amp;number=0.006332&amp;sourceID=30","0.006332")</f>
        <v>0.006332</v>
      </c>
      <c r="N495" s="4" t="str">
        <f>HYPERLINK("http://141.218.60.56/~jnz1568/getInfo.php?workbook=08_02.xlsx&amp;sheet=A0&amp;row=495&amp;col=14&amp;number=&amp;sourceID=30","")</f>
        <v/>
      </c>
      <c r="O495" s="4" t="str">
        <f>HYPERLINK("http://141.218.60.56/~jnz1568/getInfo.php?workbook=08_02.xlsx&amp;sheet=A0&amp;row=495&amp;col=15&amp;number=&amp;sourceID=32","")</f>
        <v/>
      </c>
      <c r="P495" s="4" t="str">
        <f>HYPERLINK("http://141.218.60.56/~jnz1568/getInfo.php?workbook=08_02.xlsx&amp;sheet=A0&amp;row=495&amp;col=16&amp;number=41480&amp;sourceID=32","41480")</f>
        <v>41480</v>
      </c>
      <c r="Q495" s="4" t="str">
        <f>HYPERLINK("http://141.218.60.56/~jnz1568/getInfo.php?workbook=08_02.xlsx&amp;sheet=A0&amp;row=495&amp;col=17&amp;number=0.006193&amp;sourceID=32","0.006193")</f>
        <v>0.006193</v>
      </c>
      <c r="R495" s="4" t="str">
        <f>HYPERLINK("http://141.218.60.56/~jnz1568/getInfo.php?workbook=08_02.xlsx&amp;sheet=A0&amp;row=495&amp;col=18&amp;number=&amp;sourceID=32","")</f>
        <v/>
      </c>
      <c r="S495" s="4" t="str">
        <f>HYPERLINK("http://141.218.60.56/~jnz1568/getInfo.php?workbook=08_02.xlsx&amp;sheet=A0&amp;row=495&amp;col=19&amp;number=&amp;sourceID=1","")</f>
        <v/>
      </c>
      <c r="T495" s="4" t="str">
        <f>HYPERLINK("http://141.218.60.56/~jnz1568/getInfo.php?workbook=08_02.xlsx&amp;sheet=A0&amp;row=495&amp;col=20&amp;number=&amp;sourceID=1","")</f>
        <v/>
      </c>
    </row>
    <row r="496" spans="1:20">
      <c r="A496" s="3">
        <v>8</v>
      </c>
      <c r="B496" s="3">
        <v>2</v>
      </c>
      <c r="C496" s="3">
        <v>35</v>
      </c>
      <c r="D496" s="3">
        <v>22</v>
      </c>
      <c r="E496" s="3">
        <f>((1/(INDEX(E0!J$4:J$52,C496,1)-INDEX(E0!J$4:J$52,D496,1))))*100000000</f>
        <v>0</v>
      </c>
      <c r="F496" s="4" t="str">
        <f>HYPERLINK("http://141.218.60.56/~jnz1568/getInfo.php?workbook=08_02.xlsx&amp;sheet=A0&amp;row=496&amp;col=6&amp;number=&amp;sourceID=27","")</f>
        <v/>
      </c>
      <c r="G496" s="4" t="str">
        <f>HYPERLINK("http://141.218.60.56/~jnz1568/getInfo.php?workbook=08_02.xlsx&amp;sheet=A0&amp;row=496&amp;col=7&amp;number=&amp;sourceID=34","")</f>
        <v/>
      </c>
      <c r="H496" s="4" t="str">
        <f>HYPERLINK("http://141.218.60.56/~jnz1568/getInfo.php?workbook=08_02.xlsx&amp;sheet=A0&amp;row=496&amp;col=8&amp;number=&amp;sourceID=34","")</f>
        <v/>
      </c>
      <c r="I496" s="4" t="str">
        <f>HYPERLINK("http://141.218.60.56/~jnz1568/getInfo.php?workbook=08_02.xlsx&amp;sheet=A0&amp;row=496&amp;col=9&amp;number=&amp;sourceID=34","")</f>
        <v/>
      </c>
      <c r="J496" s="4" t="str">
        <f>HYPERLINK("http://141.218.60.56/~jnz1568/getInfo.php?workbook=08_02.xlsx&amp;sheet=A0&amp;row=496&amp;col=10&amp;number=&amp;sourceID=34","")</f>
        <v/>
      </c>
      <c r="K496" s="4" t="str">
        <f>HYPERLINK("http://141.218.60.56/~jnz1568/getInfo.php?workbook=08_02.xlsx&amp;sheet=A0&amp;row=496&amp;col=11&amp;number=320100&amp;sourceID=30","320100")</f>
        <v>320100</v>
      </c>
      <c r="L496" s="4" t="str">
        <f>HYPERLINK("http://141.218.60.56/~jnz1568/getInfo.php?workbook=08_02.xlsx&amp;sheet=A0&amp;row=496&amp;col=12&amp;number=&amp;sourceID=30","")</f>
        <v/>
      </c>
      <c r="M496" s="4" t="str">
        <f>HYPERLINK("http://141.218.60.56/~jnz1568/getInfo.php?workbook=08_02.xlsx&amp;sheet=A0&amp;row=496&amp;col=13&amp;number=&amp;sourceID=30","")</f>
        <v/>
      </c>
      <c r="N496" s="4" t="str">
        <f>HYPERLINK("http://141.218.60.56/~jnz1568/getInfo.php?workbook=08_02.xlsx&amp;sheet=A0&amp;row=496&amp;col=14&amp;number=&amp;sourceID=30","")</f>
        <v/>
      </c>
      <c r="O496" s="4" t="str">
        <f>HYPERLINK("http://141.218.60.56/~jnz1568/getInfo.php?workbook=08_02.xlsx&amp;sheet=A0&amp;row=496&amp;col=15&amp;number=329900&amp;sourceID=32","329900")</f>
        <v>329900</v>
      </c>
      <c r="P496" s="4" t="str">
        <f>HYPERLINK("http://141.218.60.56/~jnz1568/getInfo.php?workbook=08_02.xlsx&amp;sheet=A0&amp;row=496&amp;col=16&amp;number=&amp;sourceID=32","")</f>
        <v/>
      </c>
      <c r="Q496" s="4" t="str">
        <f>HYPERLINK("http://141.218.60.56/~jnz1568/getInfo.php?workbook=08_02.xlsx&amp;sheet=A0&amp;row=496&amp;col=17&amp;number=&amp;sourceID=32","")</f>
        <v/>
      </c>
      <c r="R496" s="4" t="str">
        <f>HYPERLINK("http://141.218.60.56/~jnz1568/getInfo.php?workbook=08_02.xlsx&amp;sheet=A0&amp;row=496&amp;col=18&amp;number=&amp;sourceID=32","")</f>
        <v/>
      </c>
      <c r="S496" s="4" t="str">
        <f>HYPERLINK("http://141.218.60.56/~jnz1568/getInfo.php?workbook=08_02.xlsx&amp;sheet=A0&amp;row=496&amp;col=19&amp;number=&amp;sourceID=1","")</f>
        <v/>
      </c>
      <c r="T496" s="4" t="str">
        <f>HYPERLINK("http://141.218.60.56/~jnz1568/getInfo.php?workbook=08_02.xlsx&amp;sheet=A0&amp;row=496&amp;col=20&amp;number=&amp;sourceID=1","")</f>
        <v/>
      </c>
    </row>
    <row r="497" spans="1:20">
      <c r="A497" s="3">
        <v>8</v>
      </c>
      <c r="B497" s="3">
        <v>2</v>
      </c>
      <c r="C497" s="3">
        <v>35</v>
      </c>
      <c r="D497" s="3">
        <v>23</v>
      </c>
      <c r="E497" s="3">
        <f>((1/(INDEX(E0!J$4:J$52,C497,1)-INDEX(E0!J$4:J$52,D497,1))))*100000000</f>
        <v>0</v>
      </c>
      <c r="F497" s="4" t="str">
        <f>HYPERLINK("http://141.218.60.56/~jnz1568/getInfo.php?workbook=08_02.xlsx&amp;sheet=A0&amp;row=497&amp;col=6&amp;number=&amp;sourceID=27","")</f>
        <v/>
      </c>
      <c r="G497" s="4" t="str">
        <f>HYPERLINK("http://141.218.60.56/~jnz1568/getInfo.php?workbook=08_02.xlsx&amp;sheet=A0&amp;row=497&amp;col=7&amp;number=139100000&amp;sourceID=34","139100000")</f>
        <v>139100000</v>
      </c>
      <c r="H497" s="4" t="str">
        <f>HYPERLINK("http://141.218.60.56/~jnz1568/getInfo.php?workbook=08_02.xlsx&amp;sheet=A0&amp;row=497&amp;col=8&amp;number=&amp;sourceID=34","")</f>
        <v/>
      </c>
      <c r="I497" s="4" t="str">
        <f>HYPERLINK("http://141.218.60.56/~jnz1568/getInfo.php?workbook=08_02.xlsx&amp;sheet=A0&amp;row=497&amp;col=9&amp;number=&amp;sourceID=34","")</f>
        <v/>
      </c>
      <c r="J497" s="4" t="str">
        <f>HYPERLINK("http://141.218.60.56/~jnz1568/getInfo.php?workbook=08_02.xlsx&amp;sheet=A0&amp;row=497&amp;col=10&amp;number=&amp;sourceID=34","")</f>
        <v/>
      </c>
      <c r="K497" s="4" t="str">
        <f>HYPERLINK("http://141.218.60.56/~jnz1568/getInfo.php?workbook=08_02.xlsx&amp;sheet=A0&amp;row=497&amp;col=11&amp;number=136500000&amp;sourceID=30","136500000")</f>
        <v>136500000</v>
      </c>
      <c r="L497" s="4" t="str">
        <f>HYPERLINK("http://141.218.60.56/~jnz1568/getInfo.php?workbook=08_02.xlsx&amp;sheet=A0&amp;row=497&amp;col=12&amp;number=&amp;sourceID=30","")</f>
        <v/>
      </c>
      <c r="M497" s="4" t="str">
        <f>HYPERLINK("http://141.218.60.56/~jnz1568/getInfo.php?workbook=08_02.xlsx&amp;sheet=A0&amp;row=497&amp;col=13&amp;number=&amp;sourceID=30","")</f>
        <v/>
      </c>
      <c r="N497" s="4" t="str">
        <f>HYPERLINK("http://141.218.60.56/~jnz1568/getInfo.php?workbook=08_02.xlsx&amp;sheet=A0&amp;row=497&amp;col=14&amp;number=0.001167&amp;sourceID=30","0.001167")</f>
        <v>0.001167</v>
      </c>
      <c r="O497" s="4" t="str">
        <f>HYPERLINK("http://141.218.60.56/~jnz1568/getInfo.php?workbook=08_02.xlsx&amp;sheet=A0&amp;row=497&amp;col=15&amp;number=139000000&amp;sourceID=32","139000000")</f>
        <v>139000000</v>
      </c>
      <c r="P497" s="4" t="str">
        <f>HYPERLINK("http://141.218.60.56/~jnz1568/getInfo.php?workbook=08_02.xlsx&amp;sheet=A0&amp;row=497&amp;col=16&amp;number=&amp;sourceID=32","")</f>
        <v/>
      </c>
      <c r="Q497" s="4" t="str">
        <f>HYPERLINK("http://141.218.60.56/~jnz1568/getInfo.php?workbook=08_02.xlsx&amp;sheet=A0&amp;row=497&amp;col=17&amp;number=&amp;sourceID=32","")</f>
        <v/>
      </c>
      <c r="R497" s="4" t="str">
        <f>HYPERLINK("http://141.218.60.56/~jnz1568/getInfo.php?workbook=08_02.xlsx&amp;sheet=A0&amp;row=497&amp;col=18&amp;number=0.001187&amp;sourceID=32","0.001187")</f>
        <v>0.001187</v>
      </c>
      <c r="S497" s="4" t="str">
        <f>HYPERLINK("http://141.218.60.56/~jnz1568/getInfo.php?workbook=08_02.xlsx&amp;sheet=A0&amp;row=497&amp;col=19&amp;number=&amp;sourceID=1","")</f>
        <v/>
      </c>
      <c r="T497" s="4" t="str">
        <f>HYPERLINK("http://141.218.60.56/~jnz1568/getInfo.php?workbook=08_02.xlsx&amp;sheet=A0&amp;row=497&amp;col=20&amp;number=&amp;sourceID=1","")</f>
        <v/>
      </c>
    </row>
    <row r="498" spans="1:20">
      <c r="A498" s="3">
        <v>8</v>
      </c>
      <c r="B498" s="3">
        <v>2</v>
      </c>
      <c r="C498" s="3">
        <v>35</v>
      </c>
      <c r="D498" s="3">
        <v>24</v>
      </c>
      <c r="E498" s="3">
        <f>((1/(INDEX(E0!J$4:J$52,C498,1)-INDEX(E0!J$4:J$52,D498,1))))*100000000</f>
        <v>0</v>
      </c>
      <c r="F498" s="4" t="str">
        <f>HYPERLINK("http://141.218.60.56/~jnz1568/getInfo.php?workbook=08_02.xlsx&amp;sheet=A0&amp;row=498&amp;col=6&amp;number=&amp;sourceID=27","")</f>
        <v/>
      </c>
      <c r="G498" s="4" t="str">
        <f>HYPERLINK("http://141.218.60.56/~jnz1568/getInfo.php?workbook=08_02.xlsx&amp;sheet=A0&amp;row=498&amp;col=7&amp;number=416666666.667&amp;sourceID=34","416666666.667")</f>
        <v>416666666.667</v>
      </c>
      <c r="H498" s="4" t="str">
        <f>HYPERLINK("http://141.218.60.56/~jnz1568/getInfo.php?workbook=08_02.xlsx&amp;sheet=A0&amp;row=498&amp;col=8&amp;number=&amp;sourceID=34","")</f>
        <v/>
      </c>
      <c r="I498" s="4" t="str">
        <f>HYPERLINK("http://141.218.60.56/~jnz1568/getInfo.php?workbook=08_02.xlsx&amp;sheet=A0&amp;row=498&amp;col=9&amp;number=&amp;sourceID=34","")</f>
        <v/>
      </c>
      <c r="J498" s="4" t="str">
        <f>HYPERLINK("http://141.218.60.56/~jnz1568/getInfo.php?workbook=08_02.xlsx&amp;sheet=A0&amp;row=498&amp;col=10&amp;number=&amp;sourceID=34","")</f>
        <v/>
      </c>
      <c r="K498" s="4" t="str">
        <f>HYPERLINK("http://141.218.60.56/~jnz1568/getInfo.php?workbook=08_02.xlsx&amp;sheet=A0&amp;row=498&amp;col=11&amp;number=406700000&amp;sourceID=30","406700000")</f>
        <v>406700000</v>
      </c>
      <c r="L498" s="4" t="str">
        <f>HYPERLINK("http://141.218.60.56/~jnz1568/getInfo.php?workbook=08_02.xlsx&amp;sheet=A0&amp;row=498&amp;col=12&amp;number=&amp;sourceID=30","")</f>
        <v/>
      </c>
      <c r="M498" s="4" t="str">
        <f>HYPERLINK("http://141.218.60.56/~jnz1568/getInfo.php?workbook=08_02.xlsx&amp;sheet=A0&amp;row=498&amp;col=13&amp;number=&amp;sourceID=30","")</f>
        <v/>
      </c>
      <c r="N498" s="4" t="str">
        <f>HYPERLINK("http://141.218.60.56/~jnz1568/getInfo.php?workbook=08_02.xlsx&amp;sheet=A0&amp;row=498&amp;col=14&amp;number=0.02515&amp;sourceID=30","0.02515")</f>
        <v>0.02515</v>
      </c>
      <c r="O498" s="4" t="str">
        <f>HYPERLINK("http://141.218.60.56/~jnz1568/getInfo.php?workbook=08_02.xlsx&amp;sheet=A0&amp;row=498&amp;col=15&amp;number=413600000&amp;sourceID=32","413600000")</f>
        <v>413600000</v>
      </c>
      <c r="P498" s="4" t="str">
        <f>HYPERLINK("http://141.218.60.56/~jnz1568/getInfo.php?workbook=08_02.xlsx&amp;sheet=A0&amp;row=498&amp;col=16&amp;number=&amp;sourceID=32","")</f>
        <v/>
      </c>
      <c r="Q498" s="4" t="str">
        <f>HYPERLINK("http://141.218.60.56/~jnz1568/getInfo.php?workbook=08_02.xlsx&amp;sheet=A0&amp;row=498&amp;col=17&amp;number=&amp;sourceID=32","")</f>
        <v/>
      </c>
      <c r="R498" s="4" t="str">
        <f>HYPERLINK("http://141.218.60.56/~jnz1568/getInfo.php?workbook=08_02.xlsx&amp;sheet=A0&amp;row=498&amp;col=18&amp;number=0.025&amp;sourceID=32","0.025")</f>
        <v>0.025</v>
      </c>
      <c r="S498" s="4" t="str">
        <f>HYPERLINK("http://141.218.60.56/~jnz1568/getInfo.php?workbook=08_02.xlsx&amp;sheet=A0&amp;row=498&amp;col=19&amp;number=&amp;sourceID=1","")</f>
        <v/>
      </c>
      <c r="T498" s="4" t="str">
        <f>HYPERLINK("http://141.218.60.56/~jnz1568/getInfo.php?workbook=08_02.xlsx&amp;sheet=A0&amp;row=498&amp;col=20&amp;number=&amp;sourceID=1","")</f>
        <v/>
      </c>
    </row>
    <row r="499" spans="1:20">
      <c r="A499" s="3">
        <v>8</v>
      </c>
      <c r="B499" s="3">
        <v>2</v>
      </c>
      <c r="C499" s="3">
        <v>35</v>
      </c>
      <c r="D499" s="3">
        <v>26</v>
      </c>
      <c r="E499" s="3">
        <f>((1/(INDEX(E0!J$4:J$52,C499,1)-INDEX(E0!J$4:J$52,D499,1))))*100000000</f>
        <v>0</v>
      </c>
      <c r="F499" s="4" t="str">
        <f>HYPERLINK("http://141.218.60.56/~jnz1568/getInfo.php?workbook=08_02.xlsx&amp;sheet=A0&amp;row=499&amp;col=6&amp;number=&amp;sourceID=27","")</f>
        <v/>
      </c>
      <c r="G499" s="4" t="str">
        <f>HYPERLINK("http://141.218.60.56/~jnz1568/getInfo.php?workbook=08_02.xlsx&amp;sheet=A0&amp;row=499&amp;col=7&amp;number=&amp;sourceID=34","")</f>
        <v/>
      </c>
      <c r="H499" s="4" t="str">
        <f>HYPERLINK("http://141.218.60.56/~jnz1568/getInfo.php?workbook=08_02.xlsx&amp;sheet=A0&amp;row=499&amp;col=8&amp;number=&amp;sourceID=34","")</f>
        <v/>
      </c>
      <c r="I499" s="4" t="str">
        <f>HYPERLINK("http://141.218.60.56/~jnz1568/getInfo.php?workbook=08_02.xlsx&amp;sheet=A0&amp;row=499&amp;col=9&amp;number=&amp;sourceID=34","")</f>
        <v/>
      </c>
      <c r="J499" s="4" t="str">
        <f>HYPERLINK("http://141.218.60.56/~jnz1568/getInfo.php?workbook=08_02.xlsx&amp;sheet=A0&amp;row=499&amp;col=10&amp;number=&amp;sourceID=34","")</f>
        <v/>
      </c>
      <c r="K499" s="4" t="str">
        <f>HYPERLINK("http://141.218.60.56/~jnz1568/getInfo.php?workbook=08_02.xlsx&amp;sheet=A0&amp;row=499&amp;col=11&amp;number=&amp;sourceID=30","")</f>
        <v/>
      </c>
      <c r="L499" s="4" t="str">
        <f>HYPERLINK("http://141.218.60.56/~jnz1568/getInfo.php?workbook=08_02.xlsx&amp;sheet=A0&amp;row=499&amp;col=12&amp;number=&amp;sourceID=30","")</f>
        <v/>
      </c>
      <c r="M499" s="4" t="str">
        <f>HYPERLINK("http://141.218.60.56/~jnz1568/getInfo.php?workbook=08_02.xlsx&amp;sheet=A0&amp;row=499&amp;col=13&amp;number=&amp;sourceID=30","")</f>
        <v/>
      </c>
      <c r="N499" s="4" t="str">
        <f>HYPERLINK("http://141.218.60.56/~jnz1568/getInfo.php?workbook=08_02.xlsx&amp;sheet=A0&amp;row=499&amp;col=14&amp;number=0.002964&amp;sourceID=30","0.002964")</f>
        <v>0.002964</v>
      </c>
      <c r="O499" s="4" t="str">
        <f>HYPERLINK("http://141.218.60.56/~jnz1568/getInfo.php?workbook=08_02.xlsx&amp;sheet=A0&amp;row=499&amp;col=15&amp;number=&amp;sourceID=32","")</f>
        <v/>
      </c>
      <c r="P499" s="4" t="str">
        <f>HYPERLINK("http://141.218.60.56/~jnz1568/getInfo.php?workbook=08_02.xlsx&amp;sheet=A0&amp;row=499&amp;col=16&amp;number=&amp;sourceID=32","")</f>
        <v/>
      </c>
      <c r="Q499" s="4" t="str">
        <f>HYPERLINK("http://141.218.60.56/~jnz1568/getInfo.php?workbook=08_02.xlsx&amp;sheet=A0&amp;row=499&amp;col=17&amp;number=&amp;sourceID=32","")</f>
        <v/>
      </c>
      <c r="R499" s="4" t="str">
        <f>HYPERLINK("http://141.218.60.56/~jnz1568/getInfo.php?workbook=08_02.xlsx&amp;sheet=A0&amp;row=499&amp;col=18&amp;number=0.003033&amp;sourceID=32","0.003033")</f>
        <v>0.003033</v>
      </c>
      <c r="S499" s="4" t="str">
        <f>HYPERLINK("http://141.218.60.56/~jnz1568/getInfo.php?workbook=08_02.xlsx&amp;sheet=A0&amp;row=499&amp;col=19&amp;number=&amp;sourceID=1","")</f>
        <v/>
      </c>
      <c r="T499" s="4" t="str">
        <f>HYPERLINK("http://141.218.60.56/~jnz1568/getInfo.php?workbook=08_02.xlsx&amp;sheet=A0&amp;row=499&amp;col=20&amp;number=&amp;sourceID=1","")</f>
        <v/>
      </c>
    </row>
    <row r="500" spans="1:20">
      <c r="A500" s="3">
        <v>8</v>
      </c>
      <c r="B500" s="3">
        <v>2</v>
      </c>
      <c r="C500" s="3">
        <v>35</v>
      </c>
      <c r="D500" s="3">
        <v>27</v>
      </c>
      <c r="E500" s="3">
        <f>((1/(INDEX(E0!J$4:J$52,C500,1)-INDEX(E0!J$4:J$52,D500,1))))*100000000</f>
        <v>0</v>
      </c>
      <c r="F500" s="4" t="str">
        <f>HYPERLINK("http://141.218.60.56/~jnz1568/getInfo.php?workbook=08_02.xlsx&amp;sheet=A0&amp;row=500&amp;col=6&amp;number=&amp;sourceID=27","")</f>
        <v/>
      </c>
      <c r="G500" s="4" t="str">
        <f>HYPERLINK("http://141.218.60.56/~jnz1568/getInfo.php?workbook=08_02.xlsx&amp;sheet=A0&amp;row=500&amp;col=7&amp;number=&amp;sourceID=34","")</f>
        <v/>
      </c>
      <c r="H500" s="4" t="str">
        <f>HYPERLINK("http://141.218.60.56/~jnz1568/getInfo.php?workbook=08_02.xlsx&amp;sheet=A0&amp;row=500&amp;col=8&amp;number=&amp;sourceID=34","")</f>
        <v/>
      </c>
      <c r="I500" s="4" t="str">
        <f>HYPERLINK("http://141.218.60.56/~jnz1568/getInfo.php?workbook=08_02.xlsx&amp;sheet=A0&amp;row=500&amp;col=9&amp;number=&amp;sourceID=34","")</f>
        <v/>
      </c>
      <c r="J500" s="4" t="str">
        <f>HYPERLINK("http://141.218.60.56/~jnz1568/getInfo.php?workbook=08_02.xlsx&amp;sheet=A0&amp;row=500&amp;col=10&amp;number=&amp;sourceID=34","")</f>
        <v/>
      </c>
      <c r="K500" s="4" t="str">
        <f>HYPERLINK("http://141.218.60.56/~jnz1568/getInfo.php?workbook=08_02.xlsx&amp;sheet=A0&amp;row=500&amp;col=11&amp;number=&amp;sourceID=30","")</f>
        <v/>
      </c>
      <c r="L500" s="4" t="str">
        <f>HYPERLINK("http://141.218.60.56/~jnz1568/getInfo.php?workbook=08_02.xlsx&amp;sheet=A0&amp;row=500&amp;col=12&amp;number=2484&amp;sourceID=30","2484")</f>
        <v>2484</v>
      </c>
      <c r="M500" s="4" t="str">
        <f>HYPERLINK("http://141.218.60.56/~jnz1568/getInfo.php?workbook=08_02.xlsx&amp;sheet=A0&amp;row=500&amp;col=13&amp;number=&amp;sourceID=30","")</f>
        <v/>
      </c>
      <c r="N500" s="4" t="str">
        <f>HYPERLINK("http://141.218.60.56/~jnz1568/getInfo.php?workbook=08_02.xlsx&amp;sheet=A0&amp;row=500&amp;col=14&amp;number=&amp;sourceID=30","")</f>
        <v/>
      </c>
      <c r="O500" s="4" t="str">
        <f>HYPERLINK("http://141.218.60.56/~jnz1568/getInfo.php?workbook=08_02.xlsx&amp;sheet=A0&amp;row=500&amp;col=15&amp;number=&amp;sourceID=32","")</f>
        <v/>
      </c>
      <c r="P500" s="4" t="str">
        <f>HYPERLINK("http://141.218.60.56/~jnz1568/getInfo.php?workbook=08_02.xlsx&amp;sheet=A0&amp;row=500&amp;col=16&amp;number=2473&amp;sourceID=32","2473")</f>
        <v>2473</v>
      </c>
      <c r="Q500" s="4" t="str">
        <f>HYPERLINK("http://141.218.60.56/~jnz1568/getInfo.php?workbook=08_02.xlsx&amp;sheet=A0&amp;row=500&amp;col=17&amp;number=&amp;sourceID=32","")</f>
        <v/>
      </c>
      <c r="R500" s="4" t="str">
        <f>HYPERLINK("http://141.218.60.56/~jnz1568/getInfo.php?workbook=08_02.xlsx&amp;sheet=A0&amp;row=500&amp;col=18&amp;number=&amp;sourceID=32","")</f>
        <v/>
      </c>
      <c r="S500" s="4" t="str">
        <f>HYPERLINK("http://141.218.60.56/~jnz1568/getInfo.php?workbook=08_02.xlsx&amp;sheet=A0&amp;row=500&amp;col=19&amp;number=&amp;sourceID=1","")</f>
        <v/>
      </c>
      <c r="T500" s="4" t="str">
        <f>HYPERLINK("http://141.218.60.56/~jnz1568/getInfo.php?workbook=08_02.xlsx&amp;sheet=A0&amp;row=500&amp;col=20&amp;number=&amp;sourceID=1","")</f>
        <v/>
      </c>
    </row>
    <row r="501" spans="1:20">
      <c r="A501" s="3">
        <v>8</v>
      </c>
      <c r="B501" s="3">
        <v>2</v>
      </c>
      <c r="C501" s="3">
        <v>35</v>
      </c>
      <c r="D501" s="3">
        <v>28</v>
      </c>
      <c r="E501" s="3">
        <f>((1/(INDEX(E0!J$4:J$52,C501,1)-INDEX(E0!J$4:J$52,D501,1))))*100000000</f>
        <v>0</v>
      </c>
      <c r="F501" s="4" t="str">
        <f>HYPERLINK("http://141.218.60.56/~jnz1568/getInfo.php?workbook=08_02.xlsx&amp;sheet=A0&amp;row=501&amp;col=6&amp;number=&amp;sourceID=27","")</f>
        <v/>
      </c>
      <c r="G501" s="4" t="str">
        <f>HYPERLINK("http://141.218.60.56/~jnz1568/getInfo.php?workbook=08_02.xlsx&amp;sheet=A0&amp;row=501&amp;col=7&amp;number=&amp;sourceID=34","")</f>
        <v/>
      </c>
      <c r="H501" s="4" t="str">
        <f>HYPERLINK("http://141.218.60.56/~jnz1568/getInfo.php?workbook=08_02.xlsx&amp;sheet=A0&amp;row=501&amp;col=8&amp;number=&amp;sourceID=34","")</f>
        <v/>
      </c>
      <c r="I501" s="4" t="str">
        <f>HYPERLINK("http://141.218.60.56/~jnz1568/getInfo.php?workbook=08_02.xlsx&amp;sheet=A0&amp;row=501&amp;col=9&amp;number=&amp;sourceID=34","")</f>
        <v/>
      </c>
      <c r="J501" s="4" t="str">
        <f>HYPERLINK("http://141.218.60.56/~jnz1568/getInfo.php?workbook=08_02.xlsx&amp;sheet=A0&amp;row=501&amp;col=10&amp;number=&amp;sourceID=34","")</f>
        <v/>
      </c>
      <c r="K501" s="4" t="str">
        <f>HYPERLINK("http://141.218.60.56/~jnz1568/getInfo.php?workbook=08_02.xlsx&amp;sheet=A0&amp;row=501&amp;col=11&amp;number=&amp;sourceID=30","")</f>
        <v/>
      </c>
      <c r="L501" s="4" t="str">
        <f>HYPERLINK("http://141.218.60.56/~jnz1568/getInfo.php?workbook=08_02.xlsx&amp;sheet=A0&amp;row=501&amp;col=12&amp;number=1972&amp;sourceID=30","1972")</f>
        <v>1972</v>
      </c>
      <c r="M501" s="4" t="str">
        <f>HYPERLINK("http://141.218.60.56/~jnz1568/getInfo.php?workbook=08_02.xlsx&amp;sheet=A0&amp;row=501&amp;col=13&amp;number=3.843e-08&amp;sourceID=30","3.843e-08")</f>
        <v>3.843e-08</v>
      </c>
      <c r="N501" s="4" t="str">
        <f>HYPERLINK("http://141.218.60.56/~jnz1568/getInfo.php?workbook=08_02.xlsx&amp;sheet=A0&amp;row=501&amp;col=14&amp;number=&amp;sourceID=30","")</f>
        <v/>
      </c>
      <c r="O501" s="4" t="str">
        <f>HYPERLINK("http://141.218.60.56/~jnz1568/getInfo.php?workbook=08_02.xlsx&amp;sheet=A0&amp;row=501&amp;col=15&amp;number=&amp;sourceID=32","")</f>
        <v/>
      </c>
      <c r="P501" s="4" t="str">
        <f>HYPERLINK("http://141.218.60.56/~jnz1568/getInfo.php?workbook=08_02.xlsx&amp;sheet=A0&amp;row=501&amp;col=16&amp;number=1987&amp;sourceID=32","1987")</f>
        <v>1987</v>
      </c>
      <c r="Q501" s="4" t="str">
        <f>HYPERLINK("http://141.218.60.56/~jnz1568/getInfo.php?workbook=08_02.xlsx&amp;sheet=A0&amp;row=501&amp;col=17&amp;number=5.214e-08&amp;sourceID=32","5.214e-08")</f>
        <v>5.214e-08</v>
      </c>
      <c r="R501" s="4" t="str">
        <f>HYPERLINK("http://141.218.60.56/~jnz1568/getInfo.php?workbook=08_02.xlsx&amp;sheet=A0&amp;row=501&amp;col=18&amp;number=&amp;sourceID=32","")</f>
        <v/>
      </c>
      <c r="S501" s="4" t="str">
        <f>HYPERLINK("http://141.218.60.56/~jnz1568/getInfo.php?workbook=08_02.xlsx&amp;sheet=A0&amp;row=501&amp;col=19&amp;number=&amp;sourceID=1","")</f>
        <v/>
      </c>
      <c r="T501" s="4" t="str">
        <f>HYPERLINK("http://141.218.60.56/~jnz1568/getInfo.php?workbook=08_02.xlsx&amp;sheet=A0&amp;row=501&amp;col=20&amp;number=&amp;sourceID=1","")</f>
        <v/>
      </c>
    </row>
    <row r="502" spans="1:20">
      <c r="A502" s="3">
        <v>8</v>
      </c>
      <c r="B502" s="3">
        <v>2</v>
      </c>
      <c r="C502" s="3">
        <v>35</v>
      </c>
      <c r="D502" s="3">
        <v>29</v>
      </c>
      <c r="E502" s="3">
        <f>((1/(INDEX(E0!J$4:J$52,C502,1)-INDEX(E0!J$4:J$52,D502,1))))*100000000</f>
        <v>0</v>
      </c>
      <c r="F502" s="4" t="str">
        <f>HYPERLINK("http://141.218.60.56/~jnz1568/getInfo.php?workbook=08_02.xlsx&amp;sheet=A0&amp;row=502&amp;col=6&amp;number=&amp;sourceID=27","")</f>
        <v/>
      </c>
      <c r="G502" s="4" t="str">
        <f>HYPERLINK("http://141.218.60.56/~jnz1568/getInfo.php?workbook=08_02.xlsx&amp;sheet=A0&amp;row=502&amp;col=7&amp;number=&amp;sourceID=34","")</f>
        <v/>
      </c>
      <c r="H502" s="4" t="str">
        <f>HYPERLINK("http://141.218.60.56/~jnz1568/getInfo.php?workbook=08_02.xlsx&amp;sheet=A0&amp;row=502&amp;col=8&amp;number=&amp;sourceID=34","")</f>
        <v/>
      </c>
      <c r="I502" s="4" t="str">
        <f>HYPERLINK("http://141.218.60.56/~jnz1568/getInfo.php?workbook=08_02.xlsx&amp;sheet=A0&amp;row=502&amp;col=9&amp;number=&amp;sourceID=34","")</f>
        <v/>
      </c>
      <c r="J502" s="4" t="str">
        <f>HYPERLINK("http://141.218.60.56/~jnz1568/getInfo.php?workbook=08_02.xlsx&amp;sheet=A0&amp;row=502&amp;col=10&amp;number=&amp;sourceID=34","")</f>
        <v/>
      </c>
      <c r="K502" s="4" t="str">
        <f>HYPERLINK("http://141.218.60.56/~jnz1568/getInfo.php?workbook=08_02.xlsx&amp;sheet=A0&amp;row=502&amp;col=11&amp;number=2232000&amp;sourceID=30","2232000")</f>
        <v>2232000</v>
      </c>
      <c r="L502" s="4" t="str">
        <f>HYPERLINK("http://141.218.60.56/~jnz1568/getInfo.php?workbook=08_02.xlsx&amp;sheet=A0&amp;row=502&amp;col=12&amp;number=&amp;sourceID=30","")</f>
        <v/>
      </c>
      <c r="M502" s="4" t="str">
        <f>HYPERLINK("http://141.218.60.56/~jnz1568/getInfo.php?workbook=08_02.xlsx&amp;sheet=A0&amp;row=502&amp;col=13&amp;number=&amp;sourceID=30","")</f>
        <v/>
      </c>
      <c r="N502" s="4" t="str">
        <f>HYPERLINK("http://141.218.60.56/~jnz1568/getInfo.php?workbook=08_02.xlsx&amp;sheet=A0&amp;row=502&amp;col=14&amp;number=0.03055&amp;sourceID=30","0.03055")</f>
        <v>0.03055</v>
      </c>
      <c r="O502" s="4" t="str">
        <f>HYPERLINK("http://141.218.60.56/~jnz1568/getInfo.php?workbook=08_02.xlsx&amp;sheet=A0&amp;row=502&amp;col=15&amp;number=2931000&amp;sourceID=32","2931000")</f>
        <v>2931000</v>
      </c>
      <c r="P502" s="4" t="str">
        <f>HYPERLINK("http://141.218.60.56/~jnz1568/getInfo.php?workbook=08_02.xlsx&amp;sheet=A0&amp;row=502&amp;col=16&amp;number=&amp;sourceID=32","")</f>
        <v/>
      </c>
      <c r="Q502" s="4" t="str">
        <f>HYPERLINK("http://141.218.60.56/~jnz1568/getInfo.php?workbook=08_02.xlsx&amp;sheet=A0&amp;row=502&amp;col=17&amp;number=&amp;sourceID=32","")</f>
        <v/>
      </c>
      <c r="R502" s="4" t="str">
        <f>HYPERLINK("http://141.218.60.56/~jnz1568/getInfo.php?workbook=08_02.xlsx&amp;sheet=A0&amp;row=502&amp;col=18&amp;number=0.03126&amp;sourceID=32","0.03126")</f>
        <v>0.03126</v>
      </c>
      <c r="S502" s="4" t="str">
        <f>HYPERLINK("http://141.218.60.56/~jnz1568/getInfo.php?workbook=08_02.xlsx&amp;sheet=A0&amp;row=502&amp;col=19&amp;number=&amp;sourceID=1","")</f>
        <v/>
      </c>
      <c r="T502" s="4" t="str">
        <f>HYPERLINK("http://141.218.60.56/~jnz1568/getInfo.php?workbook=08_02.xlsx&amp;sheet=A0&amp;row=502&amp;col=20&amp;number=&amp;sourceID=1","")</f>
        <v/>
      </c>
    </row>
    <row r="503" spans="1:20">
      <c r="A503" s="3">
        <v>8</v>
      </c>
      <c r="B503" s="3">
        <v>2</v>
      </c>
      <c r="C503" s="3">
        <v>35</v>
      </c>
      <c r="D503" s="3">
        <v>30</v>
      </c>
      <c r="E503" s="3">
        <f>((1/(INDEX(E0!J$4:J$52,C503,1)-INDEX(E0!J$4:J$52,D503,1))))*100000000</f>
        <v>0</v>
      </c>
      <c r="F503" s="4" t="str">
        <f>HYPERLINK("http://141.218.60.56/~jnz1568/getInfo.php?workbook=08_02.xlsx&amp;sheet=A0&amp;row=503&amp;col=6&amp;number=&amp;sourceID=27","")</f>
        <v/>
      </c>
      <c r="G503" s="4" t="str">
        <f>HYPERLINK("http://141.218.60.56/~jnz1568/getInfo.php?workbook=08_02.xlsx&amp;sheet=A0&amp;row=503&amp;col=7&amp;number=&amp;sourceID=34","")</f>
        <v/>
      </c>
      <c r="H503" s="4" t="str">
        <f>HYPERLINK("http://141.218.60.56/~jnz1568/getInfo.php?workbook=08_02.xlsx&amp;sheet=A0&amp;row=503&amp;col=8&amp;number=&amp;sourceID=34","")</f>
        <v/>
      </c>
      <c r="I503" s="4" t="str">
        <f>HYPERLINK("http://141.218.60.56/~jnz1568/getInfo.php?workbook=08_02.xlsx&amp;sheet=A0&amp;row=503&amp;col=9&amp;number=&amp;sourceID=34","")</f>
        <v/>
      </c>
      <c r="J503" s="4" t="str">
        <f>HYPERLINK("http://141.218.60.56/~jnz1568/getInfo.php?workbook=08_02.xlsx&amp;sheet=A0&amp;row=503&amp;col=10&amp;number=&amp;sourceID=34","")</f>
        <v/>
      </c>
      <c r="K503" s="4" t="str">
        <f>HYPERLINK("http://141.218.60.56/~jnz1568/getInfo.php?workbook=08_02.xlsx&amp;sheet=A0&amp;row=503&amp;col=11&amp;number=&amp;sourceID=30","")</f>
        <v/>
      </c>
      <c r="L503" s="4" t="str">
        <f>HYPERLINK("http://141.218.60.56/~jnz1568/getInfo.php?workbook=08_02.xlsx&amp;sheet=A0&amp;row=503&amp;col=12&amp;number=1460&amp;sourceID=30","1460")</f>
        <v>1460</v>
      </c>
      <c r="M503" s="4" t="str">
        <f>HYPERLINK("http://141.218.60.56/~jnz1568/getInfo.php?workbook=08_02.xlsx&amp;sheet=A0&amp;row=503&amp;col=13&amp;number=&amp;sourceID=30","")</f>
        <v/>
      </c>
      <c r="N503" s="4" t="str">
        <f>HYPERLINK("http://141.218.60.56/~jnz1568/getInfo.php?workbook=08_02.xlsx&amp;sheet=A0&amp;row=503&amp;col=14&amp;number=&amp;sourceID=30","")</f>
        <v/>
      </c>
      <c r="O503" s="4" t="str">
        <f>HYPERLINK("http://141.218.60.56/~jnz1568/getInfo.php?workbook=08_02.xlsx&amp;sheet=A0&amp;row=503&amp;col=15&amp;number=&amp;sourceID=32","")</f>
        <v/>
      </c>
      <c r="P503" s="4" t="str">
        <f>HYPERLINK("http://141.218.60.56/~jnz1568/getInfo.php?workbook=08_02.xlsx&amp;sheet=A0&amp;row=503&amp;col=16&amp;number=1501&amp;sourceID=32","1501")</f>
        <v>1501</v>
      </c>
      <c r="Q503" s="4" t="str">
        <f>HYPERLINK("http://141.218.60.56/~jnz1568/getInfo.php?workbook=08_02.xlsx&amp;sheet=A0&amp;row=503&amp;col=17&amp;number=&amp;sourceID=32","")</f>
        <v/>
      </c>
      <c r="R503" s="4" t="str">
        <f>HYPERLINK("http://141.218.60.56/~jnz1568/getInfo.php?workbook=08_02.xlsx&amp;sheet=A0&amp;row=503&amp;col=18&amp;number=&amp;sourceID=32","")</f>
        <v/>
      </c>
      <c r="S503" s="4" t="str">
        <f>HYPERLINK("http://141.218.60.56/~jnz1568/getInfo.php?workbook=08_02.xlsx&amp;sheet=A0&amp;row=503&amp;col=19&amp;number=&amp;sourceID=1","")</f>
        <v/>
      </c>
      <c r="T503" s="4" t="str">
        <f>HYPERLINK("http://141.218.60.56/~jnz1568/getInfo.php?workbook=08_02.xlsx&amp;sheet=A0&amp;row=503&amp;col=20&amp;number=&amp;sourceID=1","")</f>
        <v/>
      </c>
    </row>
    <row r="504" spans="1:20">
      <c r="A504" s="3">
        <v>8</v>
      </c>
      <c r="B504" s="3">
        <v>2</v>
      </c>
      <c r="C504" s="3">
        <v>35</v>
      </c>
      <c r="D504" s="3">
        <v>31</v>
      </c>
      <c r="E504" s="3">
        <f>((1/(INDEX(E0!J$4:J$52,C504,1)-INDEX(E0!J$4:J$52,D504,1))))*100000000</f>
        <v>0</v>
      </c>
      <c r="F504" s="4" t="str">
        <f>HYPERLINK("http://141.218.60.56/~jnz1568/getInfo.php?workbook=08_02.xlsx&amp;sheet=A0&amp;row=504&amp;col=6&amp;number=&amp;sourceID=27","")</f>
        <v/>
      </c>
      <c r="G504" s="4" t="str">
        <f>HYPERLINK("http://141.218.60.56/~jnz1568/getInfo.php?workbook=08_02.xlsx&amp;sheet=A0&amp;row=504&amp;col=7&amp;number=&amp;sourceID=34","")</f>
        <v/>
      </c>
      <c r="H504" s="4" t="str">
        <f>HYPERLINK("http://141.218.60.56/~jnz1568/getInfo.php?workbook=08_02.xlsx&amp;sheet=A0&amp;row=504&amp;col=8&amp;number=&amp;sourceID=34","")</f>
        <v/>
      </c>
      <c r="I504" s="4" t="str">
        <f>HYPERLINK("http://141.218.60.56/~jnz1568/getInfo.php?workbook=08_02.xlsx&amp;sheet=A0&amp;row=504&amp;col=9&amp;number=&amp;sourceID=34","")</f>
        <v/>
      </c>
      <c r="J504" s="4" t="str">
        <f>HYPERLINK("http://141.218.60.56/~jnz1568/getInfo.php?workbook=08_02.xlsx&amp;sheet=A0&amp;row=504&amp;col=10&amp;number=&amp;sourceID=34","")</f>
        <v/>
      </c>
      <c r="K504" s="4" t="str">
        <f>HYPERLINK("http://141.218.60.56/~jnz1568/getInfo.php?workbook=08_02.xlsx&amp;sheet=A0&amp;row=504&amp;col=11&amp;number=&amp;sourceID=30","")</f>
        <v/>
      </c>
      <c r="L504" s="4" t="str">
        <f>HYPERLINK("http://141.218.60.56/~jnz1568/getInfo.php?workbook=08_02.xlsx&amp;sheet=A0&amp;row=504&amp;col=12&amp;number=20.19&amp;sourceID=30","20.19")</f>
        <v>20.19</v>
      </c>
      <c r="M504" s="4" t="str">
        <f>HYPERLINK("http://141.218.60.56/~jnz1568/getInfo.php?workbook=08_02.xlsx&amp;sheet=A0&amp;row=504&amp;col=13&amp;number=0.005159&amp;sourceID=30","0.005159")</f>
        <v>0.005159</v>
      </c>
      <c r="N504" s="4" t="str">
        <f>HYPERLINK("http://141.218.60.56/~jnz1568/getInfo.php?workbook=08_02.xlsx&amp;sheet=A0&amp;row=504&amp;col=14&amp;number=&amp;sourceID=30","")</f>
        <v/>
      </c>
      <c r="O504" s="4" t="str">
        <f>HYPERLINK("http://141.218.60.56/~jnz1568/getInfo.php?workbook=08_02.xlsx&amp;sheet=A0&amp;row=504&amp;col=15&amp;number=&amp;sourceID=32","")</f>
        <v/>
      </c>
      <c r="P504" s="4" t="str">
        <f>HYPERLINK("http://141.218.60.56/~jnz1568/getInfo.php?workbook=08_02.xlsx&amp;sheet=A0&amp;row=504&amp;col=16&amp;number=21.71&amp;sourceID=32","21.71")</f>
        <v>21.71</v>
      </c>
      <c r="Q504" s="4" t="str">
        <f>HYPERLINK("http://141.218.60.56/~jnz1568/getInfo.php?workbook=08_02.xlsx&amp;sheet=A0&amp;row=504&amp;col=17&amp;number=0.005245&amp;sourceID=32","0.005245")</f>
        <v>0.005245</v>
      </c>
      <c r="R504" s="4" t="str">
        <f>HYPERLINK("http://141.218.60.56/~jnz1568/getInfo.php?workbook=08_02.xlsx&amp;sheet=A0&amp;row=504&amp;col=18&amp;number=&amp;sourceID=32","")</f>
        <v/>
      </c>
      <c r="S504" s="4" t="str">
        <f>HYPERLINK("http://141.218.60.56/~jnz1568/getInfo.php?workbook=08_02.xlsx&amp;sheet=A0&amp;row=504&amp;col=19&amp;number=&amp;sourceID=1","")</f>
        <v/>
      </c>
      <c r="T504" s="4" t="str">
        <f>HYPERLINK("http://141.218.60.56/~jnz1568/getInfo.php?workbook=08_02.xlsx&amp;sheet=A0&amp;row=504&amp;col=20&amp;number=&amp;sourceID=1","")</f>
        <v/>
      </c>
    </row>
    <row r="505" spans="1:20">
      <c r="A505" s="3">
        <v>8</v>
      </c>
      <c r="B505" s="3">
        <v>2</v>
      </c>
      <c r="C505" s="3">
        <v>35</v>
      </c>
      <c r="D505" s="3">
        <v>32</v>
      </c>
      <c r="E505" s="3">
        <f>((1/(INDEX(E0!J$4:J$52,C505,1)-INDEX(E0!J$4:J$52,D505,1))))*100000000</f>
        <v>0</v>
      </c>
      <c r="F505" s="4" t="str">
        <f>HYPERLINK("http://141.218.60.56/~jnz1568/getInfo.php?workbook=08_02.xlsx&amp;sheet=A0&amp;row=505&amp;col=6&amp;number=&amp;sourceID=27","")</f>
        <v/>
      </c>
      <c r="G505" s="4" t="str">
        <f>HYPERLINK("http://141.218.60.56/~jnz1568/getInfo.php?workbook=08_02.xlsx&amp;sheet=A0&amp;row=505&amp;col=7&amp;number=&amp;sourceID=34","")</f>
        <v/>
      </c>
      <c r="H505" s="4" t="str">
        <f>HYPERLINK("http://141.218.60.56/~jnz1568/getInfo.php?workbook=08_02.xlsx&amp;sheet=A0&amp;row=505&amp;col=8&amp;number=&amp;sourceID=34","")</f>
        <v/>
      </c>
      <c r="I505" s="4" t="str">
        <f>HYPERLINK("http://141.218.60.56/~jnz1568/getInfo.php?workbook=08_02.xlsx&amp;sheet=A0&amp;row=505&amp;col=9&amp;number=&amp;sourceID=34","")</f>
        <v/>
      </c>
      <c r="J505" s="4" t="str">
        <f>HYPERLINK("http://141.218.60.56/~jnz1568/getInfo.php?workbook=08_02.xlsx&amp;sheet=A0&amp;row=505&amp;col=10&amp;number=&amp;sourceID=34","")</f>
        <v/>
      </c>
      <c r="K505" s="4" t="str">
        <f>HYPERLINK("http://141.218.60.56/~jnz1568/getInfo.php?workbook=08_02.xlsx&amp;sheet=A0&amp;row=505&amp;col=11&amp;number=758400&amp;sourceID=30","758400")</f>
        <v>758400</v>
      </c>
      <c r="L505" s="4" t="str">
        <f>HYPERLINK("http://141.218.60.56/~jnz1568/getInfo.php?workbook=08_02.xlsx&amp;sheet=A0&amp;row=505&amp;col=12&amp;number=&amp;sourceID=30","")</f>
        <v/>
      </c>
      <c r="M505" s="4" t="str">
        <f>HYPERLINK("http://141.218.60.56/~jnz1568/getInfo.php?workbook=08_02.xlsx&amp;sheet=A0&amp;row=505&amp;col=13&amp;number=&amp;sourceID=30","")</f>
        <v/>
      </c>
      <c r="N505" s="4" t="str">
        <f>HYPERLINK("http://141.218.60.56/~jnz1568/getInfo.php?workbook=08_02.xlsx&amp;sheet=A0&amp;row=505&amp;col=14&amp;number=3.215e-08&amp;sourceID=30","3.215e-08")</f>
        <v>3.215e-08</v>
      </c>
      <c r="O505" s="4" t="str">
        <f>HYPERLINK("http://141.218.60.56/~jnz1568/getInfo.php?workbook=08_02.xlsx&amp;sheet=A0&amp;row=505&amp;col=15&amp;number=735000&amp;sourceID=32","735000")</f>
        <v>735000</v>
      </c>
      <c r="P505" s="4" t="str">
        <f>HYPERLINK("http://141.218.60.56/~jnz1568/getInfo.php?workbook=08_02.xlsx&amp;sheet=A0&amp;row=505&amp;col=16&amp;number=&amp;sourceID=32","")</f>
        <v/>
      </c>
      <c r="Q505" s="4" t="str">
        <f>HYPERLINK("http://141.218.60.56/~jnz1568/getInfo.php?workbook=08_02.xlsx&amp;sheet=A0&amp;row=505&amp;col=17&amp;number=&amp;sourceID=32","")</f>
        <v/>
      </c>
      <c r="R505" s="4" t="str">
        <f>HYPERLINK("http://141.218.60.56/~jnz1568/getInfo.php?workbook=08_02.xlsx&amp;sheet=A0&amp;row=505&amp;col=18&amp;number=3.07e-08&amp;sourceID=32","3.07e-08")</f>
        <v>3.07e-08</v>
      </c>
      <c r="S505" s="4" t="str">
        <f>HYPERLINK("http://141.218.60.56/~jnz1568/getInfo.php?workbook=08_02.xlsx&amp;sheet=A0&amp;row=505&amp;col=19&amp;number=&amp;sourceID=1","")</f>
        <v/>
      </c>
      <c r="T505" s="4" t="str">
        <f>HYPERLINK("http://141.218.60.56/~jnz1568/getInfo.php?workbook=08_02.xlsx&amp;sheet=A0&amp;row=505&amp;col=20&amp;number=&amp;sourceID=1","")</f>
        <v/>
      </c>
    </row>
    <row r="506" spans="1:20">
      <c r="A506" s="3">
        <v>8</v>
      </c>
      <c r="B506" s="3">
        <v>2</v>
      </c>
      <c r="C506" s="3">
        <v>35</v>
      </c>
      <c r="D506" s="3">
        <v>34</v>
      </c>
      <c r="E506" s="3">
        <f>((1/(INDEX(E0!J$4:J$52,C506,1)-INDEX(E0!J$4:J$52,D506,1))))*100000000</f>
        <v>0</v>
      </c>
      <c r="F506" s="4" t="str">
        <f>HYPERLINK("http://141.218.60.56/~jnz1568/getInfo.php?workbook=08_02.xlsx&amp;sheet=A0&amp;row=506&amp;col=6&amp;number=&amp;sourceID=27","")</f>
        <v/>
      </c>
      <c r="G506" s="4" t="str">
        <f>HYPERLINK("http://141.218.60.56/~jnz1568/getInfo.php?workbook=08_02.xlsx&amp;sheet=A0&amp;row=506&amp;col=7&amp;number=&amp;sourceID=34","")</f>
        <v/>
      </c>
      <c r="H506" s="4" t="str">
        <f>HYPERLINK("http://141.218.60.56/~jnz1568/getInfo.php?workbook=08_02.xlsx&amp;sheet=A0&amp;row=506&amp;col=8&amp;number=&amp;sourceID=34","")</f>
        <v/>
      </c>
      <c r="I506" s="4" t="str">
        <f>HYPERLINK("http://141.218.60.56/~jnz1568/getInfo.php?workbook=08_02.xlsx&amp;sheet=A0&amp;row=506&amp;col=9&amp;number=&amp;sourceID=34","")</f>
        <v/>
      </c>
      <c r="J506" s="4" t="str">
        <f>HYPERLINK("http://141.218.60.56/~jnz1568/getInfo.php?workbook=08_02.xlsx&amp;sheet=A0&amp;row=506&amp;col=10&amp;number=&amp;sourceID=34","")</f>
        <v/>
      </c>
      <c r="K506" s="4" t="str">
        <f>HYPERLINK("http://141.218.60.56/~jnz1568/getInfo.php?workbook=08_02.xlsx&amp;sheet=A0&amp;row=506&amp;col=11&amp;number=&amp;sourceID=30","")</f>
        <v/>
      </c>
      <c r="L506" s="4" t="str">
        <f>HYPERLINK("http://141.218.60.56/~jnz1568/getInfo.php?workbook=08_02.xlsx&amp;sheet=A0&amp;row=506&amp;col=12&amp;number=&amp;sourceID=30","")</f>
        <v/>
      </c>
      <c r="M506" s="4" t="str">
        <f>HYPERLINK("http://141.218.60.56/~jnz1568/getInfo.php?workbook=08_02.xlsx&amp;sheet=A0&amp;row=506&amp;col=13&amp;number=3.728e-09&amp;sourceID=30","3.728e-09")</f>
        <v>3.728e-09</v>
      </c>
      <c r="N506" s="4" t="str">
        <f>HYPERLINK("http://141.218.60.56/~jnz1568/getInfo.php?workbook=08_02.xlsx&amp;sheet=A0&amp;row=506&amp;col=14&amp;number=&amp;sourceID=30","")</f>
        <v/>
      </c>
      <c r="O506" s="4" t="str">
        <f>HYPERLINK("http://141.218.60.56/~jnz1568/getInfo.php?workbook=08_02.xlsx&amp;sheet=A0&amp;row=506&amp;col=15&amp;number=&amp;sourceID=32","")</f>
        <v/>
      </c>
      <c r="P506" s="4" t="str">
        <f>HYPERLINK("http://141.218.60.56/~jnz1568/getInfo.php?workbook=08_02.xlsx&amp;sheet=A0&amp;row=506&amp;col=16&amp;number=&amp;sourceID=32","")</f>
        <v/>
      </c>
      <c r="Q506" s="4" t="str">
        <f>HYPERLINK("http://141.218.60.56/~jnz1568/getInfo.php?workbook=08_02.xlsx&amp;sheet=A0&amp;row=506&amp;col=17&amp;number=&amp;sourceID=32","")</f>
        <v/>
      </c>
      <c r="R506" s="4" t="str">
        <f>HYPERLINK("http://141.218.60.56/~jnz1568/getInfo.php?workbook=08_02.xlsx&amp;sheet=A0&amp;row=506&amp;col=18&amp;number=&amp;sourceID=32","")</f>
        <v/>
      </c>
      <c r="S506" s="4" t="str">
        <f>HYPERLINK("http://141.218.60.56/~jnz1568/getInfo.php?workbook=08_02.xlsx&amp;sheet=A0&amp;row=506&amp;col=19&amp;number=&amp;sourceID=1","")</f>
        <v/>
      </c>
      <c r="T506" s="4" t="str">
        <f>HYPERLINK("http://141.218.60.56/~jnz1568/getInfo.php?workbook=08_02.xlsx&amp;sheet=A0&amp;row=506&amp;col=20&amp;number=&amp;sourceID=1","")</f>
        <v/>
      </c>
    </row>
    <row r="507" spans="1:20">
      <c r="A507" s="3">
        <v>8</v>
      </c>
      <c r="B507" s="3">
        <v>2</v>
      </c>
      <c r="C507" s="3">
        <v>36</v>
      </c>
      <c r="D507" s="3">
        <v>1</v>
      </c>
      <c r="E507" s="3">
        <f>((1/(INDEX(E0!J$4:J$52,C507,1)-INDEX(E0!J$4:J$52,D507,1))))*100000000</f>
        <v>0</v>
      </c>
      <c r="F507" s="4" t="str">
        <f>HYPERLINK("http://141.218.60.56/~jnz1568/getInfo.php?workbook=08_02.xlsx&amp;sheet=A0&amp;row=507&amp;col=6&amp;number=&amp;sourceID=27","")</f>
        <v/>
      </c>
      <c r="G507" s="4" t="str">
        <f>HYPERLINK("http://141.218.60.56/~jnz1568/getInfo.php?workbook=08_02.xlsx&amp;sheet=A0&amp;row=507&amp;col=7&amp;number=&amp;sourceID=34","")</f>
        <v/>
      </c>
      <c r="H507" s="4" t="str">
        <f>HYPERLINK("http://141.218.60.56/~jnz1568/getInfo.php?workbook=08_02.xlsx&amp;sheet=A0&amp;row=507&amp;col=8&amp;number=&amp;sourceID=34","")</f>
        <v/>
      </c>
      <c r="I507" s="4" t="str">
        <f>HYPERLINK("http://141.218.60.56/~jnz1568/getInfo.php?workbook=08_02.xlsx&amp;sheet=A0&amp;row=507&amp;col=9&amp;number=&amp;sourceID=34","")</f>
        <v/>
      </c>
      <c r="J507" s="4" t="str">
        <f>HYPERLINK("http://141.218.60.56/~jnz1568/getInfo.php?workbook=08_02.xlsx&amp;sheet=A0&amp;row=507&amp;col=10&amp;number=&amp;sourceID=34","")</f>
        <v/>
      </c>
      <c r="K507" s="4" t="str">
        <f>HYPERLINK("http://141.218.60.56/~jnz1568/getInfo.php?workbook=08_02.xlsx&amp;sheet=A0&amp;row=507&amp;col=11&amp;number=&amp;sourceID=30","")</f>
        <v/>
      </c>
      <c r="L507" s="4" t="str">
        <f>HYPERLINK("http://141.218.60.56/~jnz1568/getInfo.php?workbook=08_02.xlsx&amp;sheet=A0&amp;row=507&amp;col=12&amp;number=&amp;sourceID=30","")</f>
        <v/>
      </c>
      <c r="M507" s="4" t="str">
        <f>HYPERLINK("http://141.218.60.56/~jnz1568/getInfo.php?workbook=08_02.xlsx&amp;sheet=A0&amp;row=507&amp;col=13&amp;number=&amp;sourceID=30","")</f>
        <v/>
      </c>
      <c r="N507" s="4" t="str">
        <f>HYPERLINK("http://141.218.60.56/~jnz1568/getInfo.php?workbook=08_02.xlsx&amp;sheet=A0&amp;row=507&amp;col=14&amp;number=47360&amp;sourceID=30","47360")</f>
        <v>47360</v>
      </c>
      <c r="O507" s="4" t="str">
        <f>HYPERLINK("http://141.218.60.56/~jnz1568/getInfo.php?workbook=08_02.xlsx&amp;sheet=A0&amp;row=507&amp;col=15&amp;number=&amp;sourceID=32","")</f>
        <v/>
      </c>
      <c r="P507" s="4" t="str">
        <f>HYPERLINK("http://141.218.60.56/~jnz1568/getInfo.php?workbook=08_02.xlsx&amp;sheet=A0&amp;row=507&amp;col=16&amp;number=&amp;sourceID=32","")</f>
        <v/>
      </c>
      <c r="Q507" s="4" t="str">
        <f>HYPERLINK("http://141.218.60.56/~jnz1568/getInfo.php?workbook=08_02.xlsx&amp;sheet=A0&amp;row=507&amp;col=17&amp;number=&amp;sourceID=32","")</f>
        <v/>
      </c>
      <c r="R507" s="4" t="str">
        <f>HYPERLINK("http://141.218.60.56/~jnz1568/getInfo.php?workbook=08_02.xlsx&amp;sheet=A0&amp;row=507&amp;col=18&amp;number=28450&amp;sourceID=32","28450")</f>
        <v>28450</v>
      </c>
      <c r="S507" s="4" t="str">
        <f>HYPERLINK("http://141.218.60.56/~jnz1568/getInfo.php?workbook=08_02.xlsx&amp;sheet=A0&amp;row=507&amp;col=19&amp;number=&amp;sourceID=1","")</f>
        <v/>
      </c>
      <c r="T507" s="4" t="str">
        <f>HYPERLINK("http://141.218.60.56/~jnz1568/getInfo.php?workbook=08_02.xlsx&amp;sheet=A0&amp;row=507&amp;col=20&amp;number=&amp;sourceID=1","")</f>
        <v/>
      </c>
    </row>
    <row r="508" spans="1:20">
      <c r="A508" s="3">
        <v>8</v>
      </c>
      <c r="B508" s="3">
        <v>2</v>
      </c>
      <c r="C508" s="3">
        <v>36</v>
      </c>
      <c r="D508" s="3">
        <v>2</v>
      </c>
      <c r="E508" s="3">
        <f>((1/(INDEX(E0!J$4:J$52,C508,1)-INDEX(E0!J$4:J$52,D508,1))))*100000000</f>
        <v>0</v>
      </c>
      <c r="F508" s="4" t="str">
        <f>HYPERLINK("http://141.218.60.56/~jnz1568/getInfo.php?workbook=08_02.xlsx&amp;sheet=A0&amp;row=508&amp;col=6&amp;number=&amp;sourceID=27","")</f>
        <v/>
      </c>
      <c r="G508" s="4" t="str">
        <f>HYPERLINK("http://141.218.60.56/~jnz1568/getInfo.php?workbook=08_02.xlsx&amp;sheet=A0&amp;row=508&amp;col=7&amp;number=&amp;sourceID=34","")</f>
        <v/>
      </c>
      <c r="H508" s="4" t="str">
        <f>HYPERLINK("http://141.218.60.56/~jnz1568/getInfo.php?workbook=08_02.xlsx&amp;sheet=A0&amp;row=508&amp;col=8&amp;number=&amp;sourceID=34","")</f>
        <v/>
      </c>
      <c r="I508" s="4" t="str">
        <f>HYPERLINK("http://141.218.60.56/~jnz1568/getInfo.php?workbook=08_02.xlsx&amp;sheet=A0&amp;row=508&amp;col=9&amp;number=&amp;sourceID=34","")</f>
        <v/>
      </c>
      <c r="J508" s="4" t="str">
        <f>HYPERLINK("http://141.218.60.56/~jnz1568/getInfo.php?workbook=08_02.xlsx&amp;sheet=A0&amp;row=508&amp;col=10&amp;number=&amp;sourceID=34","")</f>
        <v/>
      </c>
      <c r="K508" s="4" t="str">
        <f>HYPERLINK("http://141.218.60.56/~jnz1568/getInfo.php?workbook=08_02.xlsx&amp;sheet=A0&amp;row=508&amp;col=11&amp;number=10480000000&amp;sourceID=30","10480000000")</f>
        <v>10480000000</v>
      </c>
      <c r="L508" s="4" t="str">
        <f>HYPERLINK("http://141.218.60.56/~jnz1568/getInfo.php?workbook=08_02.xlsx&amp;sheet=A0&amp;row=508&amp;col=12&amp;number=&amp;sourceID=30","")</f>
        <v/>
      </c>
      <c r="M508" s="4" t="str">
        <f>HYPERLINK("http://141.218.60.56/~jnz1568/getInfo.php?workbook=08_02.xlsx&amp;sheet=A0&amp;row=508&amp;col=13&amp;number=&amp;sourceID=30","")</f>
        <v/>
      </c>
      <c r="N508" s="4" t="str">
        <f>HYPERLINK("http://141.218.60.56/~jnz1568/getInfo.php?workbook=08_02.xlsx&amp;sheet=A0&amp;row=508&amp;col=14&amp;number=103.3&amp;sourceID=30","103.3")</f>
        <v>103.3</v>
      </c>
      <c r="O508" s="4" t="str">
        <f>HYPERLINK("http://141.218.60.56/~jnz1568/getInfo.php?workbook=08_02.xlsx&amp;sheet=A0&amp;row=508&amp;col=15&amp;number=12330000000&amp;sourceID=32","12330000000")</f>
        <v>12330000000</v>
      </c>
      <c r="P508" s="4" t="str">
        <f>HYPERLINK("http://141.218.60.56/~jnz1568/getInfo.php?workbook=08_02.xlsx&amp;sheet=A0&amp;row=508&amp;col=16&amp;number=&amp;sourceID=32","")</f>
        <v/>
      </c>
      <c r="Q508" s="4" t="str">
        <f>HYPERLINK("http://141.218.60.56/~jnz1568/getInfo.php?workbook=08_02.xlsx&amp;sheet=A0&amp;row=508&amp;col=17&amp;number=&amp;sourceID=32","")</f>
        <v/>
      </c>
      <c r="R508" s="4" t="str">
        <f>HYPERLINK("http://141.218.60.56/~jnz1568/getInfo.php?workbook=08_02.xlsx&amp;sheet=A0&amp;row=508&amp;col=18&amp;number=121.7&amp;sourceID=32","121.7")</f>
        <v>121.7</v>
      </c>
      <c r="S508" s="4" t="str">
        <f>HYPERLINK("http://141.218.60.56/~jnz1568/getInfo.php?workbook=08_02.xlsx&amp;sheet=A0&amp;row=508&amp;col=19&amp;number=&amp;sourceID=1","")</f>
        <v/>
      </c>
      <c r="T508" s="4" t="str">
        <f>HYPERLINK("http://141.218.60.56/~jnz1568/getInfo.php?workbook=08_02.xlsx&amp;sheet=A0&amp;row=508&amp;col=20&amp;number=&amp;sourceID=1","")</f>
        <v/>
      </c>
    </row>
    <row r="509" spans="1:20">
      <c r="A509" s="3">
        <v>8</v>
      </c>
      <c r="B509" s="3">
        <v>2</v>
      </c>
      <c r="C509" s="3">
        <v>36</v>
      </c>
      <c r="D509" s="3">
        <v>3</v>
      </c>
      <c r="E509" s="3">
        <f>((1/(INDEX(E0!J$4:J$52,C509,1)-INDEX(E0!J$4:J$52,D509,1))))*100000000</f>
        <v>0</v>
      </c>
      <c r="F509" s="4" t="str">
        <f>HYPERLINK("http://141.218.60.56/~jnz1568/getInfo.php?workbook=08_02.xlsx&amp;sheet=A0&amp;row=509&amp;col=6&amp;number=&amp;sourceID=27","")</f>
        <v/>
      </c>
      <c r="G509" s="4" t="str">
        <f>HYPERLINK("http://141.218.60.56/~jnz1568/getInfo.php?workbook=08_02.xlsx&amp;sheet=A0&amp;row=509&amp;col=7&amp;number=&amp;sourceID=34","")</f>
        <v/>
      </c>
      <c r="H509" s="4" t="str">
        <f>HYPERLINK("http://141.218.60.56/~jnz1568/getInfo.php?workbook=08_02.xlsx&amp;sheet=A0&amp;row=509&amp;col=8&amp;number=&amp;sourceID=34","")</f>
        <v/>
      </c>
      <c r="I509" s="4" t="str">
        <f>HYPERLINK("http://141.218.60.56/~jnz1568/getInfo.php?workbook=08_02.xlsx&amp;sheet=A0&amp;row=509&amp;col=9&amp;number=&amp;sourceID=34","")</f>
        <v/>
      </c>
      <c r="J509" s="4" t="str">
        <f>HYPERLINK("http://141.218.60.56/~jnz1568/getInfo.php?workbook=08_02.xlsx&amp;sheet=A0&amp;row=509&amp;col=10&amp;number=&amp;sourceID=34","")</f>
        <v/>
      </c>
      <c r="K509" s="4" t="str">
        <f>HYPERLINK("http://141.218.60.56/~jnz1568/getInfo.php?workbook=08_02.xlsx&amp;sheet=A0&amp;row=509&amp;col=11&amp;number=&amp;sourceID=30","")</f>
        <v/>
      </c>
      <c r="L509" s="4" t="str">
        <f>HYPERLINK("http://141.218.60.56/~jnz1568/getInfo.php?workbook=08_02.xlsx&amp;sheet=A0&amp;row=509&amp;col=12&amp;number=36910&amp;sourceID=30","36910")</f>
        <v>36910</v>
      </c>
      <c r="M509" s="4" t="str">
        <f>HYPERLINK("http://141.218.60.56/~jnz1568/getInfo.php?workbook=08_02.xlsx&amp;sheet=A0&amp;row=509&amp;col=13&amp;number=&amp;sourceID=30","")</f>
        <v/>
      </c>
      <c r="N509" s="4" t="str">
        <f>HYPERLINK("http://141.218.60.56/~jnz1568/getInfo.php?workbook=08_02.xlsx&amp;sheet=A0&amp;row=509&amp;col=14&amp;number=&amp;sourceID=30","")</f>
        <v/>
      </c>
      <c r="O509" s="4" t="str">
        <f>HYPERLINK("http://141.218.60.56/~jnz1568/getInfo.php?workbook=08_02.xlsx&amp;sheet=A0&amp;row=509&amp;col=15&amp;number=&amp;sourceID=32","")</f>
        <v/>
      </c>
      <c r="P509" s="4" t="str">
        <f>HYPERLINK("http://141.218.60.56/~jnz1568/getInfo.php?workbook=08_02.xlsx&amp;sheet=A0&amp;row=509&amp;col=16&amp;number=130600&amp;sourceID=32","130600")</f>
        <v>130600</v>
      </c>
      <c r="Q509" s="4" t="str">
        <f>HYPERLINK("http://141.218.60.56/~jnz1568/getInfo.php?workbook=08_02.xlsx&amp;sheet=A0&amp;row=509&amp;col=17&amp;number=&amp;sourceID=32","")</f>
        <v/>
      </c>
      <c r="R509" s="4" t="str">
        <f>HYPERLINK("http://141.218.60.56/~jnz1568/getInfo.php?workbook=08_02.xlsx&amp;sheet=A0&amp;row=509&amp;col=18&amp;number=&amp;sourceID=32","")</f>
        <v/>
      </c>
      <c r="S509" s="4" t="str">
        <f>HYPERLINK("http://141.218.60.56/~jnz1568/getInfo.php?workbook=08_02.xlsx&amp;sheet=A0&amp;row=509&amp;col=19&amp;number=&amp;sourceID=1","")</f>
        <v/>
      </c>
      <c r="T509" s="4" t="str">
        <f>HYPERLINK("http://141.218.60.56/~jnz1568/getInfo.php?workbook=08_02.xlsx&amp;sheet=A0&amp;row=509&amp;col=20&amp;number=&amp;sourceID=1","")</f>
        <v/>
      </c>
    </row>
    <row r="510" spans="1:20">
      <c r="A510" s="3">
        <v>8</v>
      </c>
      <c r="B510" s="3">
        <v>2</v>
      </c>
      <c r="C510" s="3">
        <v>36</v>
      </c>
      <c r="D510" s="3">
        <v>4</v>
      </c>
      <c r="E510" s="3">
        <f>((1/(INDEX(E0!J$4:J$52,C510,1)-INDEX(E0!J$4:J$52,D510,1))))*100000000</f>
        <v>0</v>
      </c>
      <c r="F510" s="4" t="str">
        <f>HYPERLINK("http://141.218.60.56/~jnz1568/getInfo.php?workbook=08_02.xlsx&amp;sheet=A0&amp;row=510&amp;col=6&amp;number=&amp;sourceID=27","")</f>
        <v/>
      </c>
      <c r="G510" s="4" t="str">
        <f>HYPERLINK("http://141.218.60.56/~jnz1568/getInfo.php?workbook=08_02.xlsx&amp;sheet=A0&amp;row=510&amp;col=7&amp;number=&amp;sourceID=34","")</f>
        <v/>
      </c>
      <c r="H510" s="4" t="str">
        <f>HYPERLINK("http://141.218.60.56/~jnz1568/getInfo.php?workbook=08_02.xlsx&amp;sheet=A0&amp;row=510&amp;col=8&amp;number=&amp;sourceID=34","")</f>
        <v/>
      </c>
      <c r="I510" s="4" t="str">
        <f>HYPERLINK("http://141.218.60.56/~jnz1568/getInfo.php?workbook=08_02.xlsx&amp;sheet=A0&amp;row=510&amp;col=9&amp;number=&amp;sourceID=34","")</f>
        <v/>
      </c>
      <c r="J510" s="4" t="str">
        <f>HYPERLINK("http://141.218.60.56/~jnz1568/getInfo.php?workbook=08_02.xlsx&amp;sheet=A0&amp;row=510&amp;col=10&amp;number=&amp;sourceID=34","")</f>
        <v/>
      </c>
      <c r="K510" s="4" t="str">
        <f>HYPERLINK("http://141.218.60.56/~jnz1568/getInfo.php?workbook=08_02.xlsx&amp;sheet=A0&amp;row=510&amp;col=11&amp;number=&amp;sourceID=30","")</f>
        <v/>
      </c>
      <c r="L510" s="4" t="str">
        <f>HYPERLINK("http://141.218.60.56/~jnz1568/getInfo.php?workbook=08_02.xlsx&amp;sheet=A0&amp;row=510&amp;col=12&amp;number=80010&amp;sourceID=30","80010")</f>
        <v>80010</v>
      </c>
      <c r="M510" s="4" t="str">
        <f>HYPERLINK("http://141.218.60.56/~jnz1568/getInfo.php?workbook=08_02.xlsx&amp;sheet=A0&amp;row=510&amp;col=13&amp;number=0.2626&amp;sourceID=30","0.2626")</f>
        <v>0.2626</v>
      </c>
      <c r="N510" s="4" t="str">
        <f>HYPERLINK("http://141.218.60.56/~jnz1568/getInfo.php?workbook=08_02.xlsx&amp;sheet=A0&amp;row=510&amp;col=14&amp;number=&amp;sourceID=30","")</f>
        <v/>
      </c>
      <c r="O510" s="4" t="str">
        <f>HYPERLINK("http://141.218.60.56/~jnz1568/getInfo.php?workbook=08_02.xlsx&amp;sheet=A0&amp;row=510&amp;col=15&amp;number=&amp;sourceID=32","")</f>
        <v/>
      </c>
      <c r="P510" s="4" t="str">
        <f>HYPERLINK("http://141.218.60.56/~jnz1568/getInfo.php?workbook=08_02.xlsx&amp;sheet=A0&amp;row=510&amp;col=16&amp;number=294100&amp;sourceID=32","294100")</f>
        <v>294100</v>
      </c>
      <c r="Q510" s="4" t="str">
        <f>HYPERLINK("http://141.218.60.56/~jnz1568/getInfo.php?workbook=08_02.xlsx&amp;sheet=A0&amp;row=510&amp;col=17&amp;number=0.2926&amp;sourceID=32","0.2926")</f>
        <v>0.2926</v>
      </c>
      <c r="R510" s="4" t="str">
        <f>HYPERLINK("http://141.218.60.56/~jnz1568/getInfo.php?workbook=08_02.xlsx&amp;sheet=A0&amp;row=510&amp;col=18&amp;number=&amp;sourceID=32","")</f>
        <v/>
      </c>
      <c r="S510" s="4" t="str">
        <f>HYPERLINK("http://141.218.60.56/~jnz1568/getInfo.php?workbook=08_02.xlsx&amp;sheet=A0&amp;row=510&amp;col=19&amp;number=&amp;sourceID=1","")</f>
        <v/>
      </c>
      <c r="T510" s="4" t="str">
        <f>HYPERLINK("http://141.218.60.56/~jnz1568/getInfo.php?workbook=08_02.xlsx&amp;sheet=A0&amp;row=510&amp;col=20&amp;number=&amp;sourceID=1","")</f>
        <v/>
      </c>
    </row>
    <row r="511" spans="1:20">
      <c r="A511" s="3">
        <v>8</v>
      </c>
      <c r="B511" s="3">
        <v>2</v>
      </c>
      <c r="C511" s="3">
        <v>36</v>
      </c>
      <c r="D511" s="3">
        <v>5</v>
      </c>
      <c r="E511" s="3">
        <f>((1/(INDEX(E0!J$4:J$52,C511,1)-INDEX(E0!J$4:J$52,D511,1))))*100000000</f>
        <v>0</v>
      </c>
      <c r="F511" s="4" t="str">
        <f>HYPERLINK("http://141.218.60.56/~jnz1568/getInfo.php?workbook=08_02.xlsx&amp;sheet=A0&amp;row=511&amp;col=6&amp;number=&amp;sourceID=27","")</f>
        <v/>
      </c>
      <c r="G511" s="4" t="str">
        <f>HYPERLINK("http://141.218.60.56/~jnz1568/getInfo.php?workbook=08_02.xlsx&amp;sheet=A0&amp;row=511&amp;col=7&amp;number=&amp;sourceID=34","")</f>
        <v/>
      </c>
      <c r="H511" s="4" t="str">
        <f>HYPERLINK("http://141.218.60.56/~jnz1568/getInfo.php?workbook=08_02.xlsx&amp;sheet=A0&amp;row=511&amp;col=8&amp;number=&amp;sourceID=34","")</f>
        <v/>
      </c>
      <c r="I511" s="4" t="str">
        <f>HYPERLINK("http://141.218.60.56/~jnz1568/getInfo.php?workbook=08_02.xlsx&amp;sheet=A0&amp;row=511&amp;col=9&amp;number=&amp;sourceID=34","")</f>
        <v/>
      </c>
      <c r="J511" s="4" t="str">
        <f>HYPERLINK("http://141.218.60.56/~jnz1568/getInfo.php?workbook=08_02.xlsx&amp;sheet=A0&amp;row=511&amp;col=10&amp;number=&amp;sourceID=34","")</f>
        <v/>
      </c>
      <c r="K511" s="4" t="str">
        <f>HYPERLINK("http://141.218.60.56/~jnz1568/getInfo.php?workbook=08_02.xlsx&amp;sheet=A0&amp;row=511&amp;col=11&amp;number=&amp;sourceID=30","")</f>
        <v/>
      </c>
      <c r="L511" s="4" t="str">
        <f>HYPERLINK("http://141.218.60.56/~jnz1568/getInfo.php?workbook=08_02.xlsx&amp;sheet=A0&amp;row=511&amp;col=12&amp;number=60980&amp;sourceID=30","60980")</f>
        <v>60980</v>
      </c>
      <c r="M511" s="4" t="str">
        <f>HYPERLINK("http://141.218.60.56/~jnz1568/getInfo.php?workbook=08_02.xlsx&amp;sheet=A0&amp;row=511&amp;col=13&amp;number=0.719&amp;sourceID=30","0.719")</f>
        <v>0.719</v>
      </c>
      <c r="N511" s="4" t="str">
        <f>HYPERLINK("http://141.218.60.56/~jnz1568/getInfo.php?workbook=08_02.xlsx&amp;sheet=A0&amp;row=511&amp;col=14&amp;number=&amp;sourceID=30","")</f>
        <v/>
      </c>
      <c r="O511" s="4" t="str">
        <f>HYPERLINK("http://141.218.60.56/~jnz1568/getInfo.php?workbook=08_02.xlsx&amp;sheet=A0&amp;row=511&amp;col=15&amp;number=&amp;sourceID=32","")</f>
        <v/>
      </c>
      <c r="P511" s="4" t="str">
        <f>HYPERLINK("http://141.218.60.56/~jnz1568/getInfo.php?workbook=08_02.xlsx&amp;sheet=A0&amp;row=511&amp;col=16&amp;number=228300&amp;sourceID=32","228300")</f>
        <v>228300</v>
      </c>
      <c r="Q511" s="4" t="str">
        <f>HYPERLINK("http://141.218.60.56/~jnz1568/getInfo.php?workbook=08_02.xlsx&amp;sheet=A0&amp;row=511&amp;col=17&amp;number=0.5072&amp;sourceID=32","0.5072")</f>
        <v>0.5072</v>
      </c>
      <c r="R511" s="4" t="str">
        <f>HYPERLINK("http://141.218.60.56/~jnz1568/getInfo.php?workbook=08_02.xlsx&amp;sheet=A0&amp;row=511&amp;col=18&amp;number=&amp;sourceID=32","")</f>
        <v/>
      </c>
      <c r="S511" s="4" t="str">
        <f>HYPERLINK("http://141.218.60.56/~jnz1568/getInfo.php?workbook=08_02.xlsx&amp;sheet=A0&amp;row=511&amp;col=19&amp;number=&amp;sourceID=1","")</f>
        <v/>
      </c>
      <c r="T511" s="4" t="str">
        <f>HYPERLINK("http://141.218.60.56/~jnz1568/getInfo.php?workbook=08_02.xlsx&amp;sheet=A0&amp;row=511&amp;col=20&amp;number=&amp;sourceID=1","")</f>
        <v/>
      </c>
    </row>
    <row r="512" spans="1:20">
      <c r="A512" s="3">
        <v>8</v>
      </c>
      <c r="B512" s="3">
        <v>2</v>
      </c>
      <c r="C512" s="3">
        <v>36</v>
      </c>
      <c r="D512" s="3">
        <v>6</v>
      </c>
      <c r="E512" s="3">
        <f>((1/(INDEX(E0!J$4:J$52,C512,1)-INDEX(E0!J$4:J$52,D512,1))))*100000000</f>
        <v>0</v>
      </c>
      <c r="F512" s="4" t="str">
        <f>HYPERLINK("http://141.218.60.56/~jnz1568/getInfo.php?workbook=08_02.xlsx&amp;sheet=A0&amp;row=512&amp;col=6&amp;number=&amp;sourceID=27","")</f>
        <v/>
      </c>
      <c r="G512" s="4" t="str">
        <f>HYPERLINK("http://141.218.60.56/~jnz1568/getInfo.php?workbook=08_02.xlsx&amp;sheet=A0&amp;row=512&amp;col=7&amp;number=&amp;sourceID=34","")</f>
        <v/>
      </c>
      <c r="H512" s="4" t="str">
        <f>HYPERLINK("http://141.218.60.56/~jnz1568/getInfo.php?workbook=08_02.xlsx&amp;sheet=A0&amp;row=512&amp;col=8&amp;number=&amp;sourceID=34","")</f>
        <v/>
      </c>
      <c r="I512" s="4" t="str">
        <f>HYPERLINK("http://141.218.60.56/~jnz1568/getInfo.php?workbook=08_02.xlsx&amp;sheet=A0&amp;row=512&amp;col=9&amp;number=&amp;sourceID=34","")</f>
        <v/>
      </c>
      <c r="J512" s="4" t="str">
        <f>HYPERLINK("http://141.218.60.56/~jnz1568/getInfo.php?workbook=08_02.xlsx&amp;sheet=A0&amp;row=512&amp;col=10&amp;number=&amp;sourceID=34","")</f>
        <v/>
      </c>
      <c r="K512" s="4" t="str">
        <f>HYPERLINK("http://141.218.60.56/~jnz1568/getInfo.php?workbook=08_02.xlsx&amp;sheet=A0&amp;row=512&amp;col=11&amp;number=&amp;sourceID=30","")</f>
        <v/>
      </c>
      <c r="L512" s="4" t="str">
        <f>HYPERLINK("http://141.218.60.56/~jnz1568/getInfo.php?workbook=08_02.xlsx&amp;sheet=A0&amp;row=512&amp;col=12&amp;number=&amp;sourceID=30","")</f>
        <v/>
      </c>
      <c r="M512" s="4" t="str">
        <f>HYPERLINK("http://141.218.60.56/~jnz1568/getInfo.php?workbook=08_02.xlsx&amp;sheet=A0&amp;row=512&amp;col=13&amp;number=&amp;sourceID=30","")</f>
        <v/>
      </c>
      <c r="N512" s="4" t="str">
        <f>HYPERLINK("http://141.218.60.56/~jnz1568/getInfo.php?workbook=08_02.xlsx&amp;sheet=A0&amp;row=512&amp;col=14&amp;number=98.6&amp;sourceID=30","98.6")</f>
        <v>98.6</v>
      </c>
      <c r="O512" s="4" t="str">
        <f>HYPERLINK("http://141.218.60.56/~jnz1568/getInfo.php?workbook=08_02.xlsx&amp;sheet=A0&amp;row=512&amp;col=15&amp;number=&amp;sourceID=32","")</f>
        <v/>
      </c>
      <c r="P512" s="4" t="str">
        <f>HYPERLINK("http://141.218.60.56/~jnz1568/getInfo.php?workbook=08_02.xlsx&amp;sheet=A0&amp;row=512&amp;col=16&amp;number=&amp;sourceID=32","")</f>
        <v/>
      </c>
      <c r="Q512" s="4" t="str">
        <f>HYPERLINK("http://141.218.60.56/~jnz1568/getInfo.php?workbook=08_02.xlsx&amp;sheet=A0&amp;row=512&amp;col=17&amp;number=&amp;sourceID=32","")</f>
        <v/>
      </c>
      <c r="R512" s="4" t="str">
        <f>HYPERLINK("http://141.218.60.56/~jnz1568/getInfo.php?workbook=08_02.xlsx&amp;sheet=A0&amp;row=512&amp;col=18&amp;number=73&amp;sourceID=32","73")</f>
        <v>73</v>
      </c>
      <c r="S512" s="4" t="str">
        <f>HYPERLINK("http://141.218.60.56/~jnz1568/getInfo.php?workbook=08_02.xlsx&amp;sheet=A0&amp;row=512&amp;col=19&amp;number=&amp;sourceID=1","")</f>
        <v/>
      </c>
      <c r="T512" s="4" t="str">
        <f>HYPERLINK("http://141.218.60.56/~jnz1568/getInfo.php?workbook=08_02.xlsx&amp;sheet=A0&amp;row=512&amp;col=20&amp;number=&amp;sourceID=1","")</f>
        <v/>
      </c>
    </row>
    <row r="513" spans="1:20">
      <c r="A513" s="3">
        <v>8</v>
      </c>
      <c r="B513" s="3">
        <v>2</v>
      </c>
      <c r="C513" s="3">
        <v>36</v>
      </c>
      <c r="D513" s="3">
        <v>7</v>
      </c>
      <c r="E513" s="3">
        <f>((1/(INDEX(E0!J$4:J$52,C513,1)-INDEX(E0!J$4:J$52,D513,1))))*100000000</f>
        <v>0</v>
      </c>
      <c r="F513" s="4" t="str">
        <f>HYPERLINK("http://141.218.60.56/~jnz1568/getInfo.php?workbook=08_02.xlsx&amp;sheet=A0&amp;row=513&amp;col=6&amp;number=&amp;sourceID=27","")</f>
        <v/>
      </c>
      <c r="G513" s="4" t="str">
        <f>HYPERLINK("http://141.218.60.56/~jnz1568/getInfo.php?workbook=08_02.xlsx&amp;sheet=A0&amp;row=513&amp;col=7&amp;number=&amp;sourceID=34","")</f>
        <v/>
      </c>
      <c r="H513" s="4" t="str">
        <f>HYPERLINK("http://141.218.60.56/~jnz1568/getInfo.php?workbook=08_02.xlsx&amp;sheet=A0&amp;row=513&amp;col=8&amp;number=&amp;sourceID=34","")</f>
        <v/>
      </c>
      <c r="I513" s="4" t="str">
        <f>HYPERLINK("http://141.218.60.56/~jnz1568/getInfo.php?workbook=08_02.xlsx&amp;sheet=A0&amp;row=513&amp;col=9&amp;number=&amp;sourceID=34","")</f>
        <v/>
      </c>
      <c r="J513" s="4" t="str">
        <f>HYPERLINK("http://141.218.60.56/~jnz1568/getInfo.php?workbook=08_02.xlsx&amp;sheet=A0&amp;row=513&amp;col=10&amp;number=&amp;sourceID=34","")</f>
        <v/>
      </c>
      <c r="K513" s="4" t="str">
        <f>HYPERLINK("http://141.218.60.56/~jnz1568/getInfo.php?workbook=08_02.xlsx&amp;sheet=A0&amp;row=513&amp;col=11&amp;number=&amp;sourceID=30","")</f>
        <v/>
      </c>
      <c r="L513" s="4" t="str">
        <f>HYPERLINK("http://141.218.60.56/~jnz1568/getInfo.php?workbook=08_02.xlsx&amp;sheet=A0&amp;row=513&amp;col=12&amp;number=20.99&amp;sourceID=30","20.99")</f>
        <v>20.99</v>
      </c>
      <c r="M513" s="4" t="str">
        <f>HYPERLINK("http://141.218.60.56/~jnz1568/getInfo.php?workbook=08_02.xlsx&amp;sheet=A0&amp;row=513&amp;col=13&amp;number=0.07229&amp;sourceID=30","0.07229")</f>
        <v>0.07229</v>
      </c>
      <c r="N513" s="4" t="str">
        <f>HYPERLINK("http://141.218.60.56/~jnz1568/getInfo.php?workbook=08_02.xlsx&amp;sheet=A0&amp;row=513&amp;col=14&amp;number=&amp;sourceID=30","")</f>
        <v/>
      </c>
      <c r="O513" s="4" t="str">
        <f>HYPERLINK("http://141.218.60.56/~jnz1568/getInfo.php?workbook=08_02.xlsx&amp;sheet=A0&amp;row=513&amp;col=15&amp;number=&amp;sourceID=32","")</f>
        <v/>
      </c>
      <c r="P513" s="4" t="str">
        <f>HYPERLINK("http://141.218.60.56/~jnz1568/getInfo.php?workbook=08_02.xlsx&amp;sheet=A0&amp;row=513&amp;col=16&amp;number=39.65&amp;sourceID=32","39.65")</f>
        <v>39.65</v>
      </c>
      <c r="Q513" s="4" t="str">
        <f>HYPERLINK("http://141.218.60.56/~jnz1568/getInfo.php?workbook=08_02.xlsx&amp;sheet=A0&amp;row=513&amp;col=17&amp;number=0.02315&amp;sourceID=32","0.02315")</f>
        <v>0.02315</v>
      </c>
      <c r="R513" s="4" t="str">
        <f>HYPERLINK("http://141.218.60.56/~jnz1568/getInfo.php?workbook=08_02.xlsx&amp;sheet=A0&amp;row=513&amp;col=18&amp;number=&amp;sourceID=32","")</f>
        <v/>
      </c>
      <c r="S513" s="4" t="str">
        <f>HYPERLINK("http://141.218.60.56/~jnz1568/getInfo.php?workbook=08_02.xlsx&amp;sheet=A0&amp;row=513&amp;col=19&amp;number=&amp;sourceID=1","")</f>
        <v/>
      </c>
      <c r="T513" s="4" t="str">
        <f>HYPERLINK("http://141.218.60.56/~jnz1568/getInfo.php?workbook=08_02.xlsx&amp;sheet=A0&amp;row=513&amp;col=20&amp;number=&amp;sourceID=1","")</f>
        <v/>
      </c>
    </row>
    <row r="514" spans="1:20">
      <c r="A514" s="3">
        <v>8</v>
      </c>
      <c r="B514" s="3">
        <v>2</v>
      </c>
      <c r="C514" s="3">
        <v>36</v>
      </c>
      <c r="D514" s="3">
        <v>8</v>
      </c>
      <c r="E514" s="3">
        <f>((1/(INDEX(E0!J$4:J$52,C514,1)-INDEX(E0!J$4:J$52,D514,1))))*100000000</f>
        <v>0</v>
      </c>
      <c r="F514" s="4" t="str">
        <f>HYPERLINK("http://141.218.60.56/~jnz1568/getInfo.php?workbook=08_02.xlsx&amp;sheet=A0&amp;row=514&amp;col=6&amp;number=&amp;sourceID=27","")</f>
        <v/>
      </c>
      <c r="G514" s="4" t="str">
        <f>HYPERLINK("http://141.218.60.56/~jnz1568/getInfo.php?workbook=08_02.xlsx&amp;sheet=A0&amp;row=514&amp;col=7&amp;number=&amp;sourceID=34","")</f>
        <v/>
      </c>
      <c r="H514" s="4" t="str">
        <f>HYPERLINK("http://141.218.60.56/~jnz1568/getInfo.php?workbook=08_02.xlsx&amp;sheet=A0&amp;row=514&amp;col=8&amp;number=&amp;sourceID=34","")</f>
        <v/>
      </c>
      <c r="I514" s="4" t="str">
        <f>HYPERLINK("http://141.218.60.56/~jnz1568/getInfo.php?workbook=08_02.xlsx&amp;sheet=A0&amp;row=514&amp;col=9&amp;number=&amp;sourceID=34","")</f>
        <v/>
      </c>
      <c r="J514" s="4" t="str">
        <f>HYPERLINK("http://141.218.60.56/~jnz1568/getInfo.php?workbook=08_02.xlsx&amp;sheet=A0&amp;row=514&amp;col=10&amp;number=&amp;sourceID=34","")</f>
        <v/>
      </c>
      <c r="K514" s="4" t="str">
        <f>HYPERLINK("http://141.218.60.56/~jnz1568/getInfo.php?workbook=08_02.xlsx&amp;sheet=A0&amp;row=514&amp;col=11&amp;number=3459000000&amp;sourceID=30","3459000000")</f>
        <v>3459000000</v>
      </c>
      <c r="L514" s="4" t="str">
        <f>HYPERLINK("http://141.218.60.56/~jnz1568/getInfo.php?workbook=08_02.xlsx&amp;sheet=A0&amp;row=514&amp;col=12&amp;number=&amp;sourceID=30","")</f>
        <v/>
      </c>
      <c r="M514" s="4" t="str">
        <f>HYPERLINK("http://141.218.60.56/~jnz1568/getInfo.php?workbook=08_02.xlsx&amp;sheet=A0&amp;row=514&amp;col=13&amp;number=&amp;sourceID=30","")</f>
        <v/>
      </c>
      <c r="N514" s="4" t="str">
        <f>HYPERLINK("http://141.218.60.56/~jnz1568/getInfo.php?workbook=08_02.xlsx&amp;sheet=A0&amp;row=514&amp;col=14&amp;number=3.782&amp;sourceID=30","3.782")</f>
        <v>3.782</v>
      </c>
      <c r="O514" s="4" t="str">
        <f>HYPERLINK("http://141.218.60.56/~jnz1568/getInfo.php?workbook=08_02.xlsx&amp;sheet=A0&amp;row=514&amp;col=15&amp;number=3745000000&amp;sourceID=32","3745000000")</f>
        <v>3745000000</v>
      </c>
      <c r="P514" s="4" t="str">
        <f>HYPERLINK("http://141.218.60.56/~jnz1568/getInfo.php?workbook=08_02.xlsx&amp;sheet=A0&amp;row=514&amp;col=16&amp;number=&amp;sourceID=32","")</f>
        <v/>
      </c>
      <c r="Q514" s="4" t="str">
        <f>HYPERLINK("http://141.218.60.56/~jnz1568/getInfo.php?workbook=08_02.xlsx&amp;sheet=A0&amp;row=514&amp;col=17&amp;number=&amp;sourceID=32","")</f>
        <v/>
      </c>
      <c r="R514" s="4" t="str">
        <f>HYPERLINK("http://141.218.60.56/~jnz1568/getInfo.php?workbook=08_02.xlsx&amp;sheet=A0&amp;row=514&amp;col=18&amp;number=4.096&amp;sourceID=32","4.096")</f>
        <v>4.096</v>
      </c>
      <c r="S514" s="4" t="str">
        <f>HYPERLINK("http://141.218.60.56/~jnz1568/getInfo.php?workbook=08_02.xlsx&amp;sheet=A0&amp;row=514&amp;col=19&amp;number=&amp;sourceID=1","")</f>
        <v/>
      </c>
      <c r="T514" s="4" t="str">
        <f>HYPERLINK("http://141.218.60.56/~jnz1568/getInfo.php?workbook=08_02.xlsx&amp;sheet=A0&amp;row=514&amp;col=20&amp;number=&amp;sourceID=1","")</f>
        <v/>
      </c>
    </row>
    <row r="515" spans="1:20">
      <c r="A515" s="3">
        <v>8</v>
      </c>
      <c r="B515" s="3">
        <v>2</v>
      </c>
      <c r="C515" s="3">
        <v>36</v>
      </c>
      <c r="D515" s="3">
        <v>9</v>
      </c>
      <c r="E515" s="3">
        <f>((1/(INDEX(E0!J$4:J$52,C515,1)-INDEX(E0!J$4:J$52,D515,1))))*100000000</f>
        <v>0</v>
      </c>
      <c r="F515" s="4" t="str">
        <f>HYPERLINK("http://141.218.60.56/~jnz1568/getInfo.php?workbook=08_02.xlsx&amp;sheet=A0&amp;row=515&amp;col=6&amp;number=&amp;sourceID=27","")</f>
        <v/>
      </c>
      <c r="G515" s="4" t="str">
        <f>HYPERLINK("http://141.218.60.56/~jnz1568/getInfo.php?workbook=08_02.xlsx&amp;sheet=A0&amp;row=515&amp;col=7&amp;number=&amp;sourceID=34","")</f>
        <v/>
      </c>
      <c r="H515" s="4" t="str">
        <f>HYPERLINK("http://141.218.60.56/~jnz1568/getInfo.php?workbook=08_02.xlsx&amp;sheet=A0&amp;row=515&amp;col=8&amp;number=&amp;sourceID=34","")</f>
        <v/>
      </c>
      <c r="I515" s="4" t="str">
        <f>HYPERLINK("http://141.218.60.56/~jnz1568/getInfo.php?workbook=08_02.xlsx&amp;sheet=A0&amp;row=515&amp;col=9&amp;number=&amp;sourceID=34","")</f>
        <v/>
      </c>
      <c r="J515" s="4" t="str">
        <f>HYPERLINK("http://141.218.60.56/~jnz1568/getInfo.php?workbook=08_02.xlsx&amp;sheet=A0&amp;row=515&amp;col=10&amp;number=&amp;sourceID=34","")</f>
        <v/>
      </c>
      <c r="K515" s="4" t="str">
        <f>HYPERLINK("http://141.218.60.56/~jnz1568/getInfo.php?workbook=08_02.xlsx&amp;sheet=A0&amp;row=515&amp;col=11&amp;number=&amp;sourceID=30","")</f>
        <v/>
      </c>
      <c r="L515" s="4" t="str">
        <f>HYPERLINK("http://141.218.60.56/~jnz1568/getInfo.php?workbook=08_02.xlsx&amp;sheet=A0&amp;row=515&amp;col=12&amp;number=29250&amp;sourceID=30","29250")</f>
        <v>29250</v>
      </c>
      <c r="M515" s="4" t="str">
        <f>HYPERLINK("http://141.218.60.56/~jnz1568/getInfo.php?workbook=08_02.xlsx&amp;sheet=A0&amp;row=515&amp;col=13&amp;number=&amp;sourceID=30","")</f>
        <v/>
      </c>
      <c r="N515" s="4" t="str">
        <f>HYPERLINK("http://141.218.60.56/~jnz1568/getInfo.php?workbook=08_02.xlsx&amp;sheet=A0&amp;row=515&amp;col=14&amp;number=&amp;sourceID=30","")</f>
        <v/>
      </c>
      <c r="O515" s="4" t="str">
        <f>HYPERLINK("http://141.218.60.56/~jnz1568/getInfo.php?workbook=08_02.xlsx&amp;sheet=A0&amp;row=515&amp;col=15&amp;number=&amp;sourceID=32","")</f>
        <v/>
      </c>
      <c r="P515" s="4" t="str">
        <f>HYPERLINK("http://141.218.60.56/~jnz1568/getInfo.php?workbook=08_02.xlsx&amp;sheet=A0&amp;row=515&amp;col=16&amp;number=35030&amp;sourceID=32","35030")</f>
        <v>35030</v>
      </c>
      <c r="Q515" s="4" t="str">
        <f>HYPERLINK("http://141.218.60.56/~jnz1568/getInfo.php?workbook=08_02.xlsx&amp;sheet=A0&amp;row=515&amp;col=17&amp;number=&amp;sourceID=32","")</f>
        <v/>
      </c>
      <c r="R515" s="4" t="str">
        <f>HYPERLINK("http://141.218.60.56/~jnz1568/getInfo.php?workbook=08_02.xlsx&amp;sheet=A0&amp;row=515&amp;col=18&amp;number=&amp;sourceID=32","")</f>
        <v/>
      </c>
      <c r="S515" s="4" t="str">
        <f>HYPERLINK("http://141.218.60.56/~jnz1568/getInfo.php?workbook=08_02.xlsx&amp;sheet=A0&amp;row=515&amp;col=19&amp;number=&amp;sourceID=1","")</f>
        <v/>
      </c>
      <c r="T515" s="4" t="str">
        <f>HYPERLINK("http://141.218.60.56/~jnz1568/getInfo.php?workbook=08_02.xlsx&amp;sheet=A0&amp;row=515&amp;col=20&amp;number=&amp;sourceID=1","")</f>
        <v/>
      </c>
    </row>
    <row r="516" spans="1:20">
      <c r="A516" s="3">
        <v>8</v>
      </c>
      <c r="B516" s="3">
        <v>2</v>
      </c>
      <c r="C516" s="3">
        <v>36</v>
      </c>
      <c r="D516" s="3">
        <v>10</v>
      </c>
      <c r="E516" s="3">
        <f>((1/(INDEX(E0!J$4:J$52,C516,1)-INDEX(E0!J$4:J$52,D516,1))))*100000000</f>
        <v>0</v>
      </c>
      <c r="F516" s="4" t="str">
        <f>HYPERLINK("http://141.218.60.56/~jnz1568/getInfo.php?workbook=08_02.xlsx&amp;sheet=A0&amp;row=516&amp;col=6&amp;number=&amp;sourceID=27","")</f>
        <v/>
      </c>
      <c r="G516" s="4" t="str">
        <f>HYPERLINK("http://141.218.60.56/~jnz1568/getInfo.php?workbook=08_02.xlsx&amp;sheet=A0&amp;row=516&amp;col=7&amp;number=&amp;sourceID=34","")</f>
        <v/>
      </c>
      <c r="H516" s="4" t="str">
        <f>HYPERLINK("http://141.218.60.56/~jnz1568/getInfo.php?workbook=08_02.xlsx&amp;sheet=A0&amp;row=516&amp;col=8&amp;number=&amp;sourceID=34","")</f>
        <v/>
      </c>
      <c r="I516" s="4" t="str">
        <f>HYPERLINK("http://141.218.60.56/~jnz1568/getInfo.php?workbook=08_02.xlsx&amp;sheet=A0&amp;row=516&amp;col=9&amp;number=&amp;sourceID=34","")</f>
        <v/>
      </c>
      <c r="J516" s="4" t="str">
        <f>HYPERLINK("http://141.218.60.56/~jnz1568/getInfo.php?workbook=08_02.xlsx&amp;sheet=A0&amp;row=516&amp;col=10&amp;number=&amp;sourceID=34","")</f>
        <v/>
      </c>
      <c r="K516" s="4" t="str">
        <f>HYPERLINK("http://141.218.60.56/~jnz1568/getInfo.php?workbook=08_02.xlsx&amp;sheet=A0&amp;row=516&amp;col=11&amp;number=&amp;sourceID=30","")</f>
        <v/>
      </c>
      <c r="L516" s="4" t="str">
        <f>HYPERLINK("http://141.218.60.56/~jnz1568/getInfo.php?workbook=08_02.xlsx&amp;sheet=A0&amp;row=516&amp;col=12&amp;number=65540&amp;sourceID=30","65540")</f>
        <v>65540</v>
      </c>
      <c r="M516" s="4" t="str">
        <f>HYPERLINK("http://141.218.60.56/~jnz1568/getInfo.php?workbook=08_02.xlsx&amp;sheet=A0&amp;row=516&amp;col=13&amp;number=0.02917&amp;sourceID=30","0.02917")</f>
        <v>0.02917</v>
      </c>
      <c r="N516" s="4" t="str">
        <f>HYPERLINK("http://141.218.60.56/~jnz1568/getInfo.php?workbook=08_02.xlsx&amp;sheet=A0&amp;row=516&amp;col=14&amp;number=&amp;sourceID=30","")</f>
        <v/>
      </c>
      <c r="O516" s="4" t="str">
        <f>HYPERLINK("http://141.218.60.56/~jnz1568/getInfo.php?workbook=08_02.xlsx&amp;sheet=A0&amp;row=516&amp;col=15&amp;number=&amp;sourceID=32","")</f>
        <v/>
      </c>
      <c r="P516" s="4" t="str">
        <f>HYPERLINK("http://141.218.60.56/~jnz1568/getInfo.php?workbook=08_02.xlsx&amp;sheet=A0&amp;row=516&amp;col=16&amp;number=78800&amp;sourceID=32","78800")</f>
        <v>78800</v>
      </c>
      <c r="Q516" s="4" t="str">
        <f>HYPERLINK("http://141.218.60.56/~jnz1568/getInfo.php?workbook=08_02.xlsx&amp;sheet=A0&amp;row=516&amp;col=17&amp;number=0.02997&amp;sourceID=32","0.02997")</f>
        <v>0.02997</v>
      </c>
      <c r="R516" s="4" t="str">
        <f>HYPERLINK("http://141.218.60.56/~jnz1568/getInfo.php?workbook=08_02.xlsx&amp;sheet=A0&amp;row=516&amp;col=18&amp;number=&amp;sourceID=32","")</f>
        <v/>
      </c>
      <c r="S516" s="4" t="str">
        <f>HYPERLINK("http://141.218.60.56/~jnz1568/getInfo.php?workbook=08_02.xlsx&amp;sheet=A0&amp;row=516&amp;col=19&amp;number=&amp;sourceID=1","")</f>
        <v/>
      </c>
      <c r="T516" s="4" t="str">
        <f>HYPERLINK("http://141.218.60.56/~jnz1568/getInfo.php?workbook=08_02.xlsx&amp;sheet=A0&amp;row=516&amp;col=20&amp;number=&amp;sourceID=1","")</f>
        <v/>
      </c>
    </row>
    <row r="517" spans="1:20">
      <c r="A517" s="3">
        <v>8</v>
      </c>
      <c r="B517" s="3">
        <v>2</v>
      </c>
      <c r="C517" s="3">
        <v>36</v>
      </c>
      <c r="D517" s="3">
        <v>11</v>
      </c>
      <c r="E517" s="3">
        <f>((1/(INDEX(E0!J$4:J$52,C517,1)-INDEX(E0!J$4:J$52,D517,1))))*100000000</f>
        <v>0</v>
      </c>
      <c r="F517" s="4" t="str">
        <f>HYPERLINK("http://141.218.60.56/~jnz1568/getInfo.php?workbook=08_02.xlsx&amp;sheet=A0&amp;row=517&amp;col=6&amp;number=&amp;sourceID=27","")</f>
        <v/>
      </c>
      <c r="G517" s="4" t="str">
        <f>HYPERLINK("http://141.218.60.56/~jnz1568/getInfo.php?workbook=08_02.xlsx&amp;sheet=A0&amp;row=517&amp;col=7&amp;number=&amp;sourceID=34","")</f>
        <v/>
      </c>
      <c r="H517" s="4" t="str">
        <f>HYPERLINK("http://141.218.60.56/~jnz1568/getInfo.php?workbook=08_02.xlsx&amp;sheet=A0&amp;row=517&amp;col=8&amp;number=&amp;sourceID=34","")</f>
        <v/>
      </c>
      <c r="I517" s="4" t="str">
        <f>HYPERLINK("http://141.218.60.56/~jnz1568/getInfo.php?workbook=08_02.xlsx&amp;sheet=A0&amp;row=517&amp;col=9&amp;number=&amp;sourceID=34","")</f>
        <v/>
      </c>
      <c r="J517" s="4" t="str">
        <f>HYPERLINK("http://141.218.60.56/~jnz1568/getInfo.php?workbook=08_02.xlsx&amp;sheet=A0&amp;row=517&amp;col=10&amp;number=&amp;sourceID=34","")</f>
        <v/>
      </c>
      <c r="K517" s="4" t="str">
        <f>HYPERLINK("http://141.218.60.56/~jnz1568/getInfo.php?workbook=08_02.xlsx&amp;sheet=A0&amp;row=517&amp;col=11&amp;number=&amp;sourceID=30","")</f>
        <v/>
      </c>
      <c r="L517" s="4" t="str">
        <f>HYPERLINK("http://141.218.60.56/~jnz1568/getInfo.php?workbook=08_02.xlsx&amp;sheet=A0&amp;row=517&amp;col=12&amp;number=50830&amp;sourceID=30","50830")</f>
        <v>50830</v>
      </c>
      <c r="M517" s="4" t="str">
        <f>HYPERLINK("http://141.218.60.56/~jnz1568/getInfo.php?workbook=08_02.xlsx&amp;sheet=A0&amp;row=517&amp;col=13&amp;number=0.01579&amp;sourceID=30","0.01579")</f>
        <v>0.01579</v>
      </c>
      <c r="N517" s="4" t="str">
        <f>HYPERLINK("http://141.218.60.56/~jnz1568/getInfo.php?workbook=08_02.xlsx&amp;sheet=A0&amp;row=517&amp;col=14&amp;number=&amp;sourceID=30","")</f>
        <v/>
      </c>
      <c r="O517" s="4" t="str">
        <f>HYPERLINK("http://141.218.60.56/~jnz1568/getInfo.php?workbook=08_02.xlsx&amp;sheet=A0&amp;row=517&amp;col=15&amp;number=&amp;sourceID=32","")</f>
        <v/>
      </c>
      <c r="P517" s="4" t="str">
        <f>HYPERLINK("http://141.218.60.56/~jnz1568/getInfo.php?workbook=08_02.xlsx&amp;sheet=A0&amp;row=517&amp;col=16&amp;number=61240&amp;sourceID=32","61240")</f>
        <v>61240</v>
      </c>
      <c r="Q517" s="4" t="str">
        <f>HYPERLINK("http://141.218.60.56/~jnz1568/getInfo.php?workbook=08_02.xlsx&amp;sheet=A0&amp;row=517&amp;col=17&amp;number=0.0148&amp;sourceID=32","0.0148")</f>
        <v>0.0148</v>
      </c>
      <c r="R517" s="4" t="str">
        <f>HYPERLINK("http://141.218.60.56/~jnz1568/getInfo.php?workbook=08_02.xlsx&amp;sheet=A0&amp;row=517&amp;col=18&amp;number=&amp;sourceID=32","")</f>
        <v/>
      </c>
      <c r="S517" s="4" t="str">
        <f>HYPERLINK("http://141.218.60.56/~jnz1568/getInfo.php?workbook=08_02.xlsx&amp;sheet=A0&amp;row=517&amp;col=19&amp;number=&amp;sourceID=1","")</f>
        <v/>
      </c>
      <c r="T517" s="4" t="str">
        <f>HYPERLINK("http://141.218.60.56/~jnz1568/getInfo.php?workbook=08_02.xlsx&amp;sheet=A0&amp;row=517&amp;col=20&amp;number=&amp;sourceID=1","")</f>
        <v/>
      </c>
    </row>
    <row r="518" spans="1:20">
      <c r="A518" s="3">
        <v>8</v>
      </c>
      <c r="B518" s="3">
        <v>2</v>
      </c>
      <c r="C518" s="3">
        <v>36</v>
      </c>
      <c r="D518" s="3">
        <v>12</v>
      </c>
      <c r="E518" s="3">
        <f>((1/(INDEX(E0!J$4:J$52,C518,1)-INDEX(E0!J$4:J$52,D518,1))))*100000000</f>
        <v>0</v>
      </c>
      <c r="F518" s="4" t="str">
        <f>HYPERLINK("http://141.218.60.56/~jnz1568/getInfo.php?workbook=08_02.xlsx&amp;sheet=A0&amp;row=518&amp;col=6&amp;number=&amp;sourceID=27","")</f>
        <v/>
      </c>
      <c r="G518" s="4" t="str">
        <f>HYPERLINK("http://141.218.60.56/~jnz1568/getInfo.php?workbook=08_02.xlsx&amp;sheet=A0&amp;row=518&amp;col=7&amp;number=&amp;sourceID=34","")</f>
        <v/>
      </c>
      <c r="H518" s="4" t="str">
        <f>HYPERLINK("http://141.218.60.56/~jnz1568/getInfo.php?workbook=08_02.xlsx&amp;sheet=A0&amp;row=518&amp;col=8&amp;number=&amp;sourceID=34","")</f>
        <v/>
      </c>
      <c r="I518" s="4" t="str">
        <f>HYPERLINK("http://141.218.60.56/~jnz1568/getInfo.php?workbook=08_02.xlsx&amp;sheet=A0&amp;row=518&amp;col=9&amp;number=&amp;sourceID=34","")</f>
        <v/>
      </c>
      <c r="J518" s="4" t="str">
        <f>HYPERLINK("http://141.218.60.56/~jnz1568/getInfo.php?workbook=08_02.xlsx&amp;sheet=A0&amp;row=518&amp;col=10&amp;number=&amp;sourceID=34","")</f>
        <v/>
      </c>
      <c r="K518" s="4" t="str">
        <f>HYPERLINK("http://141.218.60.56/~jnz1568/getInfo.php?workbook=08_02.xlsx&amp;sheet=A0&amp;row=518&amp;col=11&amp;number=&amp;sourceID=30","")</f>
        <v/>
      </c>
      <c r="L518" s="4" t="str">
        <f>HYPERLINK("http://141.218.60.56/~jnz1568/getInfo.php?workbook=08_02.xlsx&amp;sheet=A0&amp;row=518&amp;col=12&amp;number=&amp;sourceID=30","")</f>
        <v/>
      </c>
      <c r="M518" s="4" t="str">
        <f>HYPERLINK("http://141.218.60.56/~jnz1568/getInfo.php?workbook=08_02.xlsx&amp;sheet=A0&amp;row=518&amp;col=13&amp;number=&amp;sourceID=30","")</f>
        <v/>
      </c>
      <c r="N518" s="4" t="str">
        <f>HYPERLINK("http://141.218.60.56/~jnz1568/getInfo.php?workbook=08_02.xlsx&amp;sheet=A0&amp;row=518&amp;col=14&amp;number=3.109&amp;sourceID=30","3.109")</f>
        <v>3.109</v>
      </c>
      <c r="O518" s="4" t="str">
        <f>HYPERLINK("http://141.218.60.56/~jnz1568/getInfo.php?workbook=08_02.xlsx&amp;sheet=A0&amp;row=518&amp;col=15&amp;number=&amp;sourceID=32","")</f>
        <v/>
      </c>
      <c r="P518" s="4" t="str">
        <f>HYPERLINK("http://141.218.60.56/~jnz1568/getInfo.php?workbook=08_02.xlsx&amp;sheet=A0&amp;row=518&amp;col=16&amp;number=&amp;sourceID=32","")</f>
        <v/>
      </c>
      <c r="Q518" s="4" t="str">
        <f>HYPERLINK("http://141.218.60.56/~jnz1568/getInfo.php?workbook=08_02.xlsx&amp;sheet=A0&amp;row=518&amp;col=17&amp;number=&amp;sourceID=32","")</f>
        <v/>
      </c>
      <c r="R518" s="4" t="str">
        <f>HYPERLINK("http://141.218.60.56/~jnz1568/getInfo.php?workbook=08_02.xlsx&amp;sheet=A0&amp;row=518&amp;col=18&amp;number=2.722&amp;sourceID=32","2.722")</f>
        <v>2.722</v>
      </c>
      <c r="S518" s="4" t="str">
        <f>HYPERLINK("http://141.218.60.56/~jnz1568/getInfo.php?workbook=08_02.xlsx&amp;sheet=A0&amp;row=518&amp;col=19&amp;number=&amp;sourceID=1","")</f>
        <v/>
      </c>
      <c r="T518" s="4" t="str">
        <f>HYPERLINK("http://141.218.60.56/~jnz1568/getInfo.php?workbook=08_02.xlsx&amp;sheet=A0&amp;row=518&amp;col=20&amp;number=&amp;sourceID=1","")</f>
        <v/>
      </c>
    </row>
    <row r="519" spans="1:20">
      <c r="A519" s="3">
        <v>8</v>
      </c>
      <c r="B519" s="3">
        <v>2</v>
      </c>
      <c r="C519" s="3">
        <v>36</v>
      </c>
      <c r="D519" s="3">
        <v>13</v>
      </c>
      <c r="E519" s="3">
        <f>((1/(INDEX(E0!J$4:J$52,C519,1)-INDEX(E0!J$4:J$52,D519,1))))*100000000</f>
        <v>0</v>
      </c>
      <c r="F519" s="4" t="str">
        <f>HYPERLINK("http://141.218.60.56/~jnz1568/getInfo.php?workbook=08_02.xlsx&amp;sheet=A0&amp;row=519&amp;col=6&amp;number=&amp;sourceID=27","")</f>
        <v/>
      </c>
      <c r="G519" s="4" t="str">
        <f>HYPERLINK("http://141.218.60.56/~jnz1568/getInfo.php?workbook=08_02.xlsx&amp;sheet=A0&amp;row=519&amp;col=7&amp;number=4494000&amp;sourceID=34","4494000")</f>
        <v>4494000</v>
      </c>
      <c r="H519" s="4" t="str">
        <f>HYPERLINK("http://141.218.60.56/~jnz1568/getInfo.php?workbook=08_02.xlsx&amp;sheet=A0&amp;row=519&amp;col=8&amp;number=&amp;sourceID=34","")</f>
        <v/>
      </c>
      <c r="I519" s="4" t="str">
        <f>HYPERLINK("http://141.218.60.56/~jnz1568/getInfo.php?workbook=08_02.xlsx&amp;sheet=A0&amp;row=519&amp;col=9&amp;number=&amp;sourceID=34","")</f>
        <v/>
      </c>
      <c r="J519" s="4" t="str">
        <f>HYPERLINK("http://141.218.60.56/~jnz1568/getInfo.php?workbook=08_02.xlsx&amp;sheet=A0&amp;row=519&amp;col=10&amp;number=&amp;sourceID=34","")</f>
        <v/>
      </c>
      <c r="K519" s="4" t="str">
        <f>HYPERLINK("http://141.218.60.56/~jnz1568/getInfo.php?workbook=08_02.xlsx&amp;sheet=A0&amp;row=519&amp;col=11&amp;number=4289000&amp;sourceID=30","4289000")</f>
        <v>4289000</v>
      </c>
      <c r="L519" s="4" t="str">
        <f>HYPERLINK("http://141.218.60.56/~jnz1568/getInfo.php?workbook=08_02.xlsx&amp;sheet=A0&amp;row=519&amp;col=12&amp;number=&amp;sourceID=30","")</f>
        <v/>
      </c>
      <c r="M519" s="4" t="str">
        <f>HYPERLINK("http://141.218.60.56/~jnz1568/getInfo.php?workbook=08_02.xlsx&amp;sheet=A0&amp;row=519&amp;col=13&amp;number=&amp;sourceID=30","")</f>
        <v/>
      </c>
      <c r="N519" s="4" t="str">
        <f>HYPERLINK("http://141.218.60.56/~jnz1568/getInfo.php?workbook=08_02.xlsx&amp;sheet=A0&amp;row=519&amp;col=14&amp;number=6.335e-08&amp;sourceID=30","6.335e-08")</f>
        <v>6.335e-08</v>
      </c>
      <c r="O519" s="4" t="str">
        <f>HYPERLINK("http://141.218.60.56/~jnz1568/getInfo.php?workbook=08_02.xlsx&amp;sheet=A0&amp;row=519&amp;col=15&amp;number=4467000&amp;sourceID=32","4467000")</f>
        <v>4467000</v>
      </c>
      <c r="P519" s="4" t="str">
        <f>HYPERLINK("http://141.218.60.56/~jnz1568/getInfo.php?workbook=08_02.xlsx&amp;sheet=A0&amp;row=519&amp;col=16&amp;number=&amp;sourceID=32","")</f>
        <v/>
      </c>
      <c r="Q519" s="4" t="str">
        <f>HYPERLINK("http://141.218.60.56/~jnz1568/getInfo.php?workbook=08_02.xlsx&amp;sheet=A0&amp;row=519&amp;col=17&amp;number=&amp;sourceID=32","")</f>
        <v/>
      </c>
      <c r="R519" s="4" t="str">
        <f>HYPERLINK("http://141.218.60.56/~jnz1568/getInfo.php?workbook=08_02.xlsx&amp;sheet=A0&amp;row=519&amp;col=18&amp;number=1.168e-07&amp;sourceID=32","1.168e-07")</f>
        <v>1.168e-07</v>
      </c>
      <c r="S519" s="4" t="str">
        <f>HYPERLINK("http://141.218.60.56/~jnz1568/getInfo.php?workbook=08_02.xlsx&amp;sheet=A0&amp;row=519&amp;col=19&amp;number=&amp;sourceID=1","")</f>
        <v/>
      </c>
      <c r="T519" s="4" t="str">
        <f>HYPERLINK("http://141.218.60.56/~jnz1568/getInfo.php?workbook=08_02.xlsx&amp;sheet=A0&amp;row=519&amp;col=20&amp;number=&amp;sourceID=1","")</f>
        <v/>
      </c>
    </row>
    <row r="520" spans="1:20">
      <c r="A520" s="3">
        <v>8</v>
      </c>
      <c r="B520" s="3">
        <v>2</v>
      </c>
      <c r="C520" s="3">
        <v>36</v>
      </c>
      <c r="D520" s="3">
        <v>14</v>
      </c>
      <c r="E520" s="3">
        <f>((1/(INDEX(E0!J$4:J$52,C520,1)-INDEX(E0!J$4:J$52,D520,1))))*100000000</f>
        <v>0</v>
      </c>
      <c r="F520" s="4" t="str">
        <f>HYPERLINK("http://141.218.60.56/~jnz1568/getInfo.php?workbook=08_02.xlsx&amp;sheet=A0&amp;row=520&amp;col=6&amp;number=&amp;sourceID=27","")</f>
        <v/>
      </c>
      <c r="G520" s="4" t="str">
        <f>HYPERLINK("http://141.218.60.56/~jnz1568/getInfo.php?workbook=08_02.xlsx&amp;sheet=A0&amp;row=520&amp;col=7&amp;number=67380000&amp;sourceID=34","67380000")</f>
        <v>67380000</v>
      </c>
      <c r="H520" s="4" t="str">
        <f>HYPERLINK("http://141.218.60.56/~jnz1568/getInfo.php?workbook=08_02.xlsx&amp;sheet=A0&amp;row=520&amp;col=8&amp;number=&amp;sourceID=34","")</f>
        <v/>
      </c>
      <c r="I520" s="4" t="str">
        <f>HYPERLINK("http://141.218.60.56/~jnz1568/getInfo.php?workbook=08_02.xlsx&amp;sheet=A0&amp;row=520&amp;col=9&amp;number=&amp;sourceID=34","")</f>
        <v/>
      </c>
      <c r="J520" s="4" t="str">
        <f>HYPERLINK("http://141.218.60.56/~jnz1568/getInfo.php?workbook=08_02.xlsx&amp;sheet=A0&amp;row=520&amp;col=10&amp;number=&amp;sourceID=34","")</f>
        <v/>
      </c>
      <c r="K520" s="4" t="str">
        <f>HYPERLINK("http://141.218.60.56/~jnz1568/getInfo.php?workbook=08_02.xlsx&amp;sheet=A0&amp;row=520&amp;col=11&amp;number=63800000&amp;sourceID=30","63800000")</f>
        <v>63800000</v>
      </c>
      <c r="L520" s="4" t="str">
        <f>HYPERLINK("http://141.218.60.56/~jnz1568/getInfo.php?workbook=08_02.xlsx&amp;sheet=A0&amp;row=520&amp;col=12&amp;number=&amp;sourceID=30","")</f>
        <v/>
      </c>
      <c r="M520" s="4" t="str">
        <f>HYPERLINK("http://141.218.60.56/~jnz1568/getInfo.php?workbook=08_02.xlsx&amp;sheet=A0&amp;row=520&amp;col=13&amp;number=&amp;sourceID=30","")</f>
        <v/>
      </c>
      <c r="N520" s="4" t="str">
        <f>HYPERLINK("http://141.218.60.56/~jnz1568/getInfo.php?workbook=08_02.xlsx&amp;sheet=A0&amp;row=520&amp;col=14&amp;number=0.04679&amp;sourceID=30","0.04679")</f>
        <v>0.04679</v>
      </c>
      <c r="O520" s="4" t="str">
        <f>HYPERLINK("http://141.218.60.56/~jnz1568/getInfo.php?workbook=08_02.xlsx&amp;sheet=A0&amp;row=520&amp;col=15&amp;number=66270000&amp;sourceID=32","66270000")</f>
        <v>66270000</v>
      </c>
      <c r="P520" s="4" t="str">
        <f>HYPERLINK("http://141.218.60.56/~jnz1568/getInfo.php?workbook=08_02.xlsx&amp;sheet=A0&amp;row=520&amp;col=16&amp;number=&amp;sourceID=32","")</f>
        <v/>
      </c>
      <c r="Q520" s="4" t="str">
        <f>HYPERLINK("http://141.218.60.56/~jnz1568/getInfo.php?workbook=08_02.xlsx&amp;sheet=A0&amp;row=520&amp;col=17&amp;number=&amp;sourceID=32","")</f>
        <v/>
      </c>
      <c r="R520" s="4" t="str">
        <f>HYPERLINK("http://141.218.60.56/~jnz1568/getInfo.php?workbook=08_02.xlsx&amp;sheet=A0&amp;row=520&amp;col=18&amp;number=0.04701&amp;sourceID=32","0.04701")</f>
        <v>0.04701</v>
      </c>
      <c r="S520" s="4" t="str">
        <f>HYPERLINK("http://141.218.60.56/~jnz1568/getInfo.php?workbook=08_02.xlsx&amp;sheet=A0&amp;row=520&amp;col=19&amp;number=&amp;sourceID=1","")</f>
        <v/>
      </c>
      <c r="T520" s="4" t="str">
        <f>HYPERLINK("http://141.218.60.56/~jnz1568/getInfo.php?workbook=08_02.xlsx&amp;sheet=A0&amp;row=520&amp;col=20&amp;number=&amp;sourceID=1","")</f>
        <v/>
      </c>
    </row>
    <row r="521" spans="1:20">
      <c r="A521" s="3">
        <v>8</v>
      </c>
      <c r="B521" s="3">
        <v>2</v>
      </c>
      <c r="C521" s="3">
        <v>36</v>
      </c>
      <c r="D521" s="3">
        <v>15</v>
      </c>
      <c r="E521" s="3">
        <f>((1/(INDEX(E0!J$4:J$52,C521,1)-INDEX(E0!J$4:J$52,D521,1))))*100000000</f>
        <v>0</v>
      </c>
      <c r="F521" s="4" t="str">
        <f>HYPERLINK("http://141.218.60.56/~jnz1568/getInfo.php?workbook=08_02.xlsx&amp;sheet=A0&amp;row=521&amp;col=6&amp;number=&amp;sourceID=27","")</f>
        <v/>
      </c>
      <c r="G521" s="4" t="str">
        <f>HYPERLINK("http://141.218.60.56/~jnz1568/getInfo.php?workbook=08_02.xlsx&amp;sheet=A0&amp;row=521&amp;col=7&amp;number=377200000&amp;sourceID=34","377200000")</f>
        <v>377200000</v>
      </c>
      <c r="H521" s="4" t="str">
        <f>HYPERLINK("http://141.218.60.56/~jnz1568/getInfo.php?workbook=08_02.xlsx&amp;sheet=A0&amp;row=521&amp;col=8&amp;number=&amp;sourceID=34","")</f>
        <v/>
      </c>
      <c r="I521" s="4" t="str">
        <f>HYPERLINK("http://141.218.60.56/~jnz1568/getInfo.php?workbook=08_02.xlsx&amp;sheet=A0&amp;row=521&amp;col=9&amp;number=&amp;sourceID=34","")</f>
        <v/>
      </c>
      <c r="J521" s="4" t="str">
        <f>HYPERLINK("http://141.218.60.56/~jnz1568/getInfo.php?workbook=08_02.xlsx&amp;sheet=A0&amp;row=521&amp;col=10&amp;number=&amp;sourceID=34","")</f>
        <v/>
      </c>
      <c r="K521" s="4" t="str">
        <f>HYPERLINK("http://141.218.60.56/~jnz1568/getInfo.php?workbook=08_02.xlsx&amp;sheet=A0&amp;row=521&amp;col=11&amp;number=362200000&amp;sourceID=30","362200000")</f>
        <v>362200000</v>
      </c>
      <c r="L521" s="4" t="str">
        <f>HYPERLINK("http://141.218.60.56/~jnz1568/getInfo.php?workbook=08_02.xlsx&amp;sheet=A0&amp;row=521&amp;col=12&amp;number=&amp;sourceID=30","")</f>
        <v/>
      </c>
      <c r="M521" s="4" t="str">
        <f>HYPERLINK("http://141.218.60.56/~jnz1568/getInfo.php?workbook=08_02.xlsx&amp;sheet=A0&amp;row=521&amp;col=13&amp;number=&amp;sourceID=30","")</f>
        <v/>
      </c>
      <c r="N521" s="4" t="str">
        <f>HYPERLINK("http://141.218.60.56/~jnz1568/getInfo.php?workbook=08_02.xlsx&amp;sheet=A0&amp;row=521&amp;col=14&amp;number=0.6444&amp;sourceID=30","0.6444")</f>
        <v>0.6444</v>
      </c>
      <c r="O521" s="4" t="str">
        <f>HYPERLINK("http://141.218.60.56/~jnz1568/getInfo.php?workbook=08_02.xlsx&amp;sheet=A0&amp;row=521&amp;col=15&amp;number=377600000&amp;sourceID=32","377600000")</f>
        <v>377600000</v>
      </c>
      <c r="P521" s="4" t="str">
        <f>HYPERLINK("http://141.218.60.56/~jnz1568/getInfo.php?workbook=08_02.xlsx&amp;sheet=A0&amp;row=521&amp;col=16&amp;number=&amp;sourceID=32","")</f>
        <v/>
      </c>
      <c r="Q521" s="4" t="str">
        <f>HYPERLINK("http://141.218.60.56/~jnz1568/getInfo.php?workbook=08_02.xlsx&amp;sheet=A0&amp;row=521&amp;col=17&amp;number=&amp;sourceID=32","")</f>
        <v/>
      </c>
      <c r="R521" s="4" t="str">
        <f>HYPERLINK("http://141.218.60.56/~jnz1568/getInfo.php?workbook=08_02.xlsx&amp;sheet=A0&amp;row=521&amp;col=18&amp;number=0.6715&amp;sourceID=32","0.6715")</f>
        <v>0.6715</v>
      </c>
      <c r="S521" s="4" t="str">
        <f>HYPERLINK("http://141.218.60.56/~jnz1568/getInfo.php?workbook=08_02.xlsx&amp;sheet=A0&amp;row=521&amp;col=19&amp;number=&amp;sourceID=1","")</f>
        <v/>
      </c>
      <c r="T521" s="4" t="str">
        <f>HYPERLINK("http://141.218.60.56/~jnz1568/getInfo.php?workbook=08_02.xlsx&amp;sheet=A0&amp;row=521&amp;col=20&amp;number=&amp;sourceID=1","")</f>
        <v/>
      </c>
    </row>
    <row r="522" spans="1:20">
      <c r="A522" s="3">
        <v>8</v>
      </c>
      <c r="B522" s="3">
        <v>2</v>
      </c>
      <c r="C522" s="3">
        <v>36</v>
      </c>
      <c r="D522" s="3">
        <v>16</v>
      </c>
      <c r="E522" s="3">
        <f>((1/(INDEX(E0!J$4:J$52,C522,1)-INDEX(E0!J$4:J$52,D522,1))))*100000000</f>
        <v>0</v>
      </c>
      <c r="F522" s="4" t="str">
        <f>HYPERLINK("http://141.218.60.56/~jnz1568/getInfo.php?workbook=08_02.xlsx&amp;sheet=A0&amp;row=522&amp;col=6&amp;number=&amp;sourceID=27","")</f>
        <v/>
      </c>
      <c r="G522" s="4" t="str">
        <f>HYPERLINK("http://141.218.60.56/~jnz1568/getInfo.php?workbook=08_02.xlsx&amp;sheet=A0&amp;row=522&amp;col=7&amp;number=&amp;sourceID=34","")</f>
        <v/>
      </c>
      <c r="H522" s="4" t="str">
        <f>HYPERLINK("http://141.218.60.56/~jnz1568/getInfo.php?workbook=08_02.xlsx&amp;sheet=A0&amp;row=522&amp;col=8&amp;number=&amp;sourceID=34","")</f>
        <v/>
      </c>
      <c r="I522" s="4" t="str">
        <f>HYPERLINK("http://141.218.60.56/~jnz1568/getInfo.php?workbook=08_02.xlsx&amp;sheet=A0&amp;row=522&amp;col=9&amp;number=&amp;sourceID=34","")</f>
        <v/>
      </c>
      <c r="J522" s="4" t="str">
        <f>HYPERLINK("http://141.218.60.56/~jnz1568/getInfo.php?workbook=08_02.xlsx&amp;sheet=A0&amp;row=522&amp;col=10&amp;number=&amp;sourceID=34","")</f>
        <v/>
      </c>
      <c r="K522" s="4" t="str">
        <f>HYPERLINK("http://141.218.60.56/~jnz1568/getInfo.php?workbook=08_02.xlsx&amp;sheet=A0&amp;row=522&amp;col=11&amp;number=835500&amp;sourceID=30","835500")</f>
        <v>835500</v>
      </c>
      <c r="L522" s="4" t="str">
        <f>HYPERLINK("http://141.218.60.56/~jnz1568/getInfo.php?workbook=08_02.xlsx&amp;sheet=A0&amp;row=522&amp;col=12&amp;number=&amp;sourceID=30","")</f>
        <v/>
      </c>
      <c r="M522" s="4" t="str">
        <f>HYPERLINK("http://141.218.60.56/~jnz1568/getInfo.php?workbook=08_02.xlsx&amp;sheet=A0&amp;row=522&amp;col=13&amp;number=&amp;sourceID=30","")</f>
        <v/>
      </c>
      <c r="N522" s="4" t="str">
        <f>HYPERLINK("http://141.218.60.56/~jnz1568/getInfo.php?workbook=08_02.xlsx&amp;sheet=A0&amp;row=522&amp;col=14&amp;number=0.1208&amp;sourceID=30","0.1208")</f>
        <v>0.1208</v>
      </c>
      <c r="O522" s="4" t="str">
        <f>HYPERLINK("http://141.218.60.56/~jnz1568/getInfo.php?workbook=08_02.xlsx&amp;sheet=A0&amp;row=522&amp;col=15&amp;number=1077000&amp;sourceID=32","1077000")</f>
        <v>1077000</v>
      </c>
      <c r="P522" s="4" t="str">
        <f>HYPERLINK("http://141.218.60.56/~jnz1568/getInfo.php?workbook=08_02.xlsx&amp;sheet=A0&amp;row=522&amp;col=16&amp;number=&amp;sourceID=32","")</f>
        <v/>
      </c>
      <c r="Q522" s="4" t="str">
        <f>HYPERLINK("http://141.218.60.56/~jnz1568/getInfo.php?workbook=08_02.xlsx&amp;sheet=A0&amp;row=522&amp;col=17&amp;number=&amp;sourceID=32","")</f>
        <v/>
      </c>
      <c r="R522" s="4" t="str">
        <f>HYPERLINK("http://141.218.60.56/~jnz1568/getInfo.php?workbook=08_02.xlsx&amp;sheet=A0&amp;row=522&amp;col=18&amp;number=0.1216&amp;sourceID=32","0.1216")</f>
        <v>0.1216</v>
      </c>
      <c r="S522" s="4" t="str">
        <f>HYPERLINK("http://141.218.60.56/~jnz1568/getInfo.php?workbook=08_02.xlsx&amp;sheet=A0&amp;row=522&amp;col=19&amp;number=&amp;sourceID=1","")</f>
        <v/>
      </c>
      <c r="T522" s="4" t="str">
        <f>HYPERLINK("http://141.218.60.56/~jnz1568/getInfo.php?workbook=08_02.xlsx&amp;sheet=A0&amp;row=522&amp;col=20&amp;number=&amp;sourceID=1","")</f>
        <v/>
      </c>
    </row>
    <row r="523" spans="1:20">
      <c r="A523" s="3">
        <v>8</v>
      </c>
      <c r="B523" s="3">
        <v>2</v>
      </c>
      <c r="C523" s="3">
        <v>36</v>
      </c>
      <c r="D523" s="3">
        <v>17</v>
      </c>
      <c r="E523" s="3">
        <f>((1/(INDEX(E0!J$4:J$52,C523,1)-INDEX(E0!J$4:J$52,D523,1))))*100000000</f>
        <v>0</v>
      </c>
      <c r="F523" s="4" t="str">
        <f>HYPERLINK("http://141.218.60.56/~jnz1568/getInfo.php?workbook=08_02.xlsx&amp;sheet=A0&amp;row=523&amp;col=6&amp;number=&amp;sourceID=27","")</f>
        <v/>
      </c>
      <c r="G523" s="4" t="str">
        <f>HYPERLINK("http://141.218.60.56/~jnz1568/getInfo.php?workbook=08_02.xlsx&amp;sheet=A0&amp;row=523&amp;col=7&amp;number=&amp;sourceID=34","")</f>
        <v/>
      </c>
      <c r="H523" s="4" t="str">
        <f>HYPERLINK("http://141.218.60.56/~jnz1568/getInfo.php?workbook=08_02.xlsx&amp;sheet=A0&amp;row=523&amp;col=8&amp;number=&amp;sourceID=34","")</f>
        <v/>
      </c>
      <c r="I523" s="4" t="str">
        <f>HYPERLINK("http://141.218.60.56/~jnz1568/getInfo.php?workbook=08_02.xlsx&amp;sheet=A0&amp;row=523&amp;col=9&amp;number=&amp;sourceID=34","")</f>
        <v/>
      </c>
      <c r="J523" s="4" t="str">
        <f>HYPERLINK("http://141.218.60.56/~jnz1568/getInfo.php?workbook=08_02.xlsx&amp;sheet=A0&amp;row=523&amp;col=10&amp;number=&amp;sourceID=34","")</f>
        <v/>
      </c>
      <c r="K523" s="4" t="str">
        <f>HYPERLINK("http://141.218.60.56/~jnz1568/getInfo.php?workbook=08_02.xlsx&amp;sheet=A0&amp;row=523&amp;col=11&amp;number=&amp;sourceID=30","")</f>
        <v/>
      </c>
      <c r="L523" s="4" t="str">
        <f>HYPERLINK("http://141.218.60.56/~jnz1568/getInfo.php?workbook=08_02.xlsx&amp;sheet=A0&amp;row=523&amp;col=12&amp;number=10.4&amp;sourceID=30","10.4")</f>
        <v>10.4</v>
      </c>
      <c r="M523" s="4" t="str">
        <f>HYPERLINK("http://141.218.60.56/~jnz1568/getInfo.php?workbook=08_02.xlsx&amp;sheet=A0&amp;row=523&amp;col=13&amp;number=0.007846&amp;sourceID=30","0.007846")</f>
        <v>0.007846</v>
      </c>
      <c r="N523" s="4" t="str">
        <f>HYPERLINK("http://141.218.60.56/~jnz1568/getInfo.php?workbook=08_02.xlsx&amp;sheet=A0&amp;row=523&amp;col=14&amp;number=&amp;sourceID=30","")</f>
        <v/>
      </c>
      <c r="O523" s="4" t="str">
        <f>HYPERLINK("http://141.218.60.56/~jnz1568/getInfo.php?workbook=08_02.xlsx&amp;sheet=A0&amp;row=523&amp;col=15&amp;number=&amp;sourceID=32","")</f>
        <v/>
      </c>
      <c r="P523" s="4" t="str">
        <f>HYPERLINK("http://141.218.60.56/~jnz1568/getInfo.php?workbook=08_02.xlsx&amp;sheet=A0&amp;row=523&amp;col=16&amp;number=12.35&amp;sourceID=32","12.35")</f>
        <v>12.35</v>
      </c>
      <c r="Q523" s="4" t="str">
        <f>HYPERLINK("http://141.218.60.56/~jnz1568/getInfo.php?workbook=08_02.xlsx&amp;sheet=A0&amp;row=523&amp;col=17&amp;number=0.008889&amp;sourceID=32","0.008889")</f>
        <v>0.008889</v>
      </c>
      <c r="R523" s="4" t="str">
        <f>HYPERLINK("http://141.218.60.56/~jnz1568/getInfo.php?workbook=08_02.xlsx&amp;sheet=A0&amp;row=523&amp;col=18&amp;number=&amp;sourceID=32","")</f>
        <v/>
      </c>
      <c r="S523" s="4" t="str">
        <f>HYPERLINK("http://141.218.60.56/~jnz1568/getInfo.php?workbook=08_02.xlsx&amp;sheet=A0&amp;row=523&amp;col=19&amp;number=&amp;sourceID=1","")</f>
        <v/>
      </c>
      <c r="T523" s="4" t="str">
        <f>HYPERLINK("http://141.218.60.56/~jnz1568/getInfo.php?workbook=08_02.xlsx&amp;sheet=A0&amp;row=523&amp;col=20&amp;number=&amp;sourceID=1","")</f>
        <v/>
      </c>
    </row>
    <row r="524" spans="1:20">
      <c r="A524" s="3">
        <v>8</v>
      </c>
      <c r="B524" s="3">
        <v>2</v>
      </c>
      <c r="C524" s="3">
        <v>36</v>
      </c>
      <c r="D524" s="3">
        <v>18</v>
      </c>
      <c r="E524" s="3">
        <f>((1/(INDEX(E0!J$4:J$52,C524,1)-INDEX(E0!J$4:J$52,D524,1))))*100000000</f>
        <v>0</v>
      </c>
      <c r="F524" s="4" t="str">
        <f>HYPERLINK("http://141.218.60.56/~jnz1568/getInfo.php?workbook=08_02.xlsx&amp;sheet=A0&amp;row=524&amp;col=6&amp;number=&amp;sourceID=27","")</f>
        <v/>
      </c>
      <c r="G524" s="4" t="str">
        <f>HYPERLINK("http://141.218.60.56/~jnz1568/getInfo.php?workbook=08_02.xlsx&amp;sheet=A0&amp;row=524&amp;col=7&amp;number=&amp;sourceID=34","")</f>
        <v/>
      </c>
      <c r="H524" s="4" t="str">
        <f>HYPERLINK("http://141.218.60.56/~jnz1568/getInfo.php?workbook=08_02.xlsx&amp;sheet=A0&amp;row=524&amp;col=8&amp;number=&amp;sourceID=34","")</f>
        <v/>
      </c>
      <c r="I524" s="4" t="str">
        <f>HYPERLINK("http://141.218.60.56/~jnz1568/getInfo.php?workbook=08_02.xlsx&amp;sheet=A0&amp;row=524&amp;col=9&amp;number=&amp;sourceID=34","")</f>
        <v/>
      </c>
      <c r="J524" s="4" t="str">
        <f>HYPERLINK("http://141.218.60.56/~jnz1568/getInfo.php?workbook=08_02.xlsx&amp;sheet=A0&amp;row=524&amp;col=10&amp;number=&amp;sourceID=34","")</f>
        <v/>
      </c>
      <c r="K524" s="4" t="str">
        <f>HYPERLINK("http://141.218.60.56/~jnz1568/getInfo.php?workbook=08_02.xlsx&amp;sheet=A0&amp;row=524&amp;col=11&amp;number=1503000000&amp;sourceID=30","1503000000")</f>
        <v>1503000000</v>
      </c>
      <c r="L524" s="4" t="str">
        <f>HYPERLINK("http://141.218.60.56/~jnz1568/getInfo.php?workbook=08_02.xlsx&amp;sheet=A0&amp;row=524&amp;col=12&amp;number=&amp;sourceID=30","")</f>
        <v/>
      </c>
      <c r="M524" s="4" t="str">
        <f>HYPERLINK("http://141.218.60.56/~jnz1568/getInfo.php?workbook=08_02.xlsx&amp;sheet=A0&amp;row=524&amp;col=13&amp;number=&amp;sourceID=30","")</f>
        <v/>
      </c>
      <c r="N524" s="4" t="str">
        <f>HYPERLINK("http://141.218.60.56/~jnz1568/getInfo.php?workbook=08_02.xlsx&amp;sheet=A0&amp;row=524&amp;col=14&amp;number=0.1675&amp;sourceID=30","0.1675")</f>
        <v>0.1675</v>
      </c>
      <c r="O524" s="4" t="str">
        <f>HYPERLINK("http://141.218.60.56/~jnz1568/getInfo.php?workbook=08_02.xlsx&amp;sheet=A0&amp;row=524&amp;col=15&amp;number=1556000000&amp;sourceID=32","1556000000")</f>
        <v>1556000000</v>
      </c>
      <c r="P524" s="4" t="str">
        <f>HYPERLINK("http://141.218.60.56/~jnz1568/getInfo.php?workbook=08_02.xlsx&amp;sheet=A0&amp;row=524&amp;col=16&amp;number=&amp;sourceID=32","")</f>
        <v/>
      </c>
      <c r="Q524" s="4" t="str">
        <f>HYPERLINK("http://141.218.60.56/~jnz1568/getInfo.php?workbook=08_02.xlsx&amp;sheet=A0&amp;row=524&amp;col=17&amp;number=&amp;sourceID=32","")</f>
        <v/>
      </c>
      <c r="R524" s="4" t="str">
        <f>HYPERLINK("http://141.218.60.56/~jnz1568/getInfo.php?workbook=08_02.xlsx&amp;sheet=A0&amp;row=524&amp;col=18&amp;number=0.1735&amp;sourceID=32","0.1735")</f>
        <v>0.1735</v>
      </c>
      <c r="S524" s="4" t="str">
        <f>HYPERLINK("http://141.218.60.56/~jnz1568/getInfo.php?workbook=08_02.xlsx&amp;sheet=A0&amp;row=524&amp;col=19&amp;number=&amp;sourceID=1","")</f>
        <v/>
      </c>
      <c r="T524" s="4" t="str">
        <f>HYPERLINK("http://141.218.60.56/~jnz1568/getInfo.php?workbook=08_02.xlsx&amp;sheet=A0&amp;row=524&amp;col=20&amp;number=&amp;sourceID=1","")</f>
        <v/>
      </c>
    </row>
    <row r="525" spans="1:20">
      <c r="A525" s="3">
        <v>8</v>
      </c>
      <c r="B525" s="3">
        <v>2</v>
      </c>
      <c r="C525" s="3">
        <v>36</v>
      </c>
      <c r="D525" s="3">
        <v>19</v>
      </c>
      <c r="E525" s="3">
        <f>((1/(INDEX(E0!J$4:J$52,C525,1)-INDEX(E0!J$4:J$52,D525,1))))*100000000</f>
        <v>0</v>
      </c>
      <c r="F525" s="4" t="str">
        <f>HYPERLINK("http://141.218.60.56/~jnz1568/getInfo.php?workbook=08_02.xlsx&amp;sheet=A0&amp;row=525&amp;col=6&amp;number=&amp;sourceID=27","")</f>
        <v/>
      </c>
      <c r="G525" s="4" t="str">
        <f>HYPERLINK("http://141.218.60.56/~jnz1568/getInfo.php?workbook=08_02.xlsx&amp;sheet=A0&amp;row=525&amp;col=7&amp;number=&amp;sourceID=34","")</f>
        <v/>
      </c>
      <c r="H525" s="4" t="str">
        <f>HYPERLINK("http://141.218.60.56/~jnz1568/getInfo.php?workbook=08_02.xlsx&amp;sheet=A0&amp;row=525&amp;col=8&amp;number=&amp;sourceID=34","")</f>
        <v/>
      </c>
      <c r="I525" s="4" t="str">
        <f>HYPERLINK("http://141.218.60.56/~jnz1568/getInfo.php?workbook=08_02.xlsx&amp;sheet=A0&amp;row=525&amp;col=9&amp;number=&amp;sourceID=34","")</f>
        <v/>
      </c>
      <c r="J525" s="4" t="str">
        <f>HYPERLINK("http://141.218.60.56/~jnz1568/getInfo.php?workbook=08_02.xlsx&amp;sheet=A0&amp;row=525&amp;col=10&amp;number=&amp;sourceID=34","")</f>
        <v/>
      </c>
      <c r="K525" s="4" t="str">
        <f>HYPERLINK("http://141.218.60.56/~jnz1568/getInfo.php?workbook=08_02.xlsx&amp;sheet=A0&amp;row=525&amp;col=11&amp;number=&amp;sourceID=30","")</f>
        <v/>
      </c>
      <c r="L525" s="4" t="str">
        <f>HYPERLINK("http://141.218.60.56/~jnz1568/getInfo.php?workbook=08_02.xlsx&amp;sheet=A0&amp;row=525&amp;col=12&amp;number=10750&amp;sourceID=30","10750")</f>
        <v>10750</v>
      </c>
      <c r="M525" s="4" t="str">
        <f>HYPERLINK("http://141.218.60.56/~jnz1568/getInfo.php?workbook=08_02.xlsx&amp;sheet=A0&amp;row=525&amp;col=13&amp;number=&amp;sourceID=30","")</f>
        <v/>
      </c>
      <c r="N525" s="4" t="str">
        <f>HYPERLINK("http://141.218.60.56/~jnz1568/getInfo.php?workbook=08_02.xlsx&amp;sheet=A0&amp;row=525&amp;col=14&amp;number=&amp;sourceID=30","")</f>
        <v/>
      </c>
      <c r="O525" s="4" t="str">
        <f>HYPERLINK("http://141.218.60.56/~jnz1568/getInfo.php?workbook=08_02.xlsx&amp;sheet=A0&amp;row=525&amp;col=15&amp;number=&amp;sourceID=32","")</f>
        <v/>
      </c>
      <c r="P525" s="4" t="str">
        <f>HYPERLINK("http://141.218.60.56/~jnz1568/getInfo.php?workbook=08_02.xlsx&amp;sheet=A0&amp;row=525&amp;col=16&amp;number=11070&amp;sourceID=32","11070")</f>
        <v>11070</v>
      </c>
      <c r="Q525" s="4" t="str">
        <f>HYPERLINK("http://141.218.60.56/~jnz1568/getInfo.php?workbook=08_02.xlsx&amp;sheet=A0&amp;row=525&amp;col=17&amp;number=&amp;sourceID=32","")</f>
        <v/>
      </c>
      <c r="R525" s="4" t="str">
        <f>HYPERLINK("http://141.218.60.56/~jnz1568/getInfo.php?workbook=08_02.xlsx&amp;sheet=A0&amp;row=525&amp;col=18&amp;number=&amp;sourceID=32","")</f>
        <v/>
      </c>
      <c r="S525" s="4" t="str">
        <f>HYPERLINK("http://141.218.60.56/~jnz1568/getInfo.php?workbook=08_02.xlsx&amp;sheet=A0&amp;row=525&amp;col=19&amp;number=&amp;sourceID=1","")</f>
        <v/>
      </c>
      <c r="T525" s="4" t="str">
        <f>HYPERLINK("http://141.218.60.56/~jnz1568/getInfo.php?workbook=08_02.xlsx&amp;sheet=A0&amp;row=525&amp;col=20&amp;number=&amp;sourceID=1","")</f>
        <v/>
      </c>
    </row>
    <row r="526" spans="1:20">
      <c r="A526" s="3">
        <v>8</v>
      </c>
      <c r="B526" s="3">
        <v>2</v>
      </c>
      <c r="C526" s="3">
        <v>36</v>
      </c>
      <c r="D526" s="3">
        <v>20</v>
      </c>
      <c r="E526" s="3">
        <f>((1/(INDEX(E0!J$4:J$52,C526,1)-INDEX(E0!J$4:J$52,D526,1))))*100000000</f>
        <v>0</v>
      </c>
      <c r="F526" s="4" t="str">
        <f>HYPERLINK("http://141.218.60.56/~jnz1568/getInfo.php?workbook=08_02.xlsx&amp;sheet=A0&amp;row=526&amp;col=6&amp;number=&amp;sourceID=27","")</f>
        <v/>
      </c>
      <c r="G526" s="4" t="str">
        <f>HYPERLINK("http://141.218.60.56/~jnz1568/getInfo.php?workbook=08_02.xlsx&amp;sheet=A0&amp;row=526&amp;col=7&amp;number=&amp;sourceID=34","")</f>
        <v/>
      </c>
      <c r="H526" s="4" t="str">
        <f>HYPERLINK("http://141.218.60.56/~jnz1568/getInfo.php?workbook=08_02.xlsx&amp;sheet=A0&amp;row=526&amp;col=8&amp;number=&amp;sourceID=34","")</f>
        <v/>
      </c>
      <c r="I526" s="4" t="str">
        <f>HYPERLINK("http://141.218.60.56/~jnz1568/getInfo.php?workbook=08_02.xlsx&amp;sheet=A0&amp;row=526&amp;col=9&amp;number=&amp;sourceID=34","")</f>
        <v/>
      </c>
      <c r="J526" s="4" t="str">
        <f>HYPERLINK("http://141.218.60.56/~jnz1568/getInfo.php?workbook=08_02.xlsx&amp;sheet=A0&amp;row=526&amp;col=10&amp;number=&amp;sourceID=34","")</f>
        <v/>
      </c>
      <c r="K526" s="4" t="str">
        <f>HYPERLINK("http://141.218.60.56/~jnz1568/getInfo.php?workbook=08_02.xlsx&amp;sheet=A0&amp;row=526&amp;col=11&amp;number=&amp;sourceID=30","")</f>
        <v/>
      </c>
      <c r="L526" s="4" t="str">
        <f>HYPERLINK("http://141.218.60.56/~jnz1568/getInfo.php?workbook=08_02.xlsx&amp;sheet=A0&amp;row=526&amp;col=12&amp;number=24160&amp;sourceID=30","24160")</f>
        <v>24160</v>
      </c>
      <c r="M526" s="4" t="str">
        <f>HYPERLINK("http://141.218.60.56/~jnz1568/getInfo.php?workbook=08_02.xlsx&amp;sheet=A0&amp;row=526&amp;col=13&amp;number=0.003938&amp;sourceID=30","0.003938")</f>
        <v>0.003938</v>
      </c>
      <c r="N526" s="4" t="str">
        <f>HYPERLINK("http://141.218.60.56/~jnz1568/getInfo.php?workbook=08_02.xlsx&amp;sheet=A0&amp;row=526&amp;col=14&amp;number=&amp;sourceID=30","")</f>
        <v/>
      </c>
      <c r="O526" s="4" t="str">
        <f>HYPERLINK("http://141.218.60.56/~jnz1568/getInfo.php?workbook=08_02.xlsx&amp;sheet=A0&amp;row=526&amp;col=15&amp;number=&amp;sourceID=32","")</f>
        <v/>
      </c>
      <c r="P526" s="4" t="str">
        <f>HYPERLINK("http://141.218.60.56/~jnz1568/getInfo.php?workbook=08_02.xlsx&amp;sheet=A0&amp;row=526&amp;col=16&amp;number=24900&amp;sourceID=32","24900")</f>
        <v>24900</v>
      </c>
      <c r="Q526" s="4" t="str">
        <f>HYPERLINK("http://141.218.60.56/~jnz1568/getInfo.php?workbook=08_02.xlsx&amp;sheet=A0&amp;row=526&amp;col=17&amp;number=0.003944&amp;sourceID=32","0.003944")</f>
        <v>0.003944</v>
      </c>
      <c r="R526" s="4" t="str">
        <f>HYPERLINK("http://141.218.60.56/~jnz1568/getInfo.php?workbook=08_02.xlsx&amp;sheet=A0&amp;row=526&amp;col=18&amp;number=&amp;sourceID=32","")</f>
        <v/>
      </c>
      <c r="S526" s="4" t="str">
        <f>HYPERLINK("http://141.218.60.56/~jnz1568/getInfo.php?workbook=08_02.xlsx&amp;sheet=A0&amp;row=526&amp;col=19&amp;number=&amp;sourceID=1","")</f>
        <v/>
      </c>
      <c r="T526" s="4" t="str">
        <f>HYPERLINK("http://141.218.60.56/~jnz1568/getInfo.php?workbook=08_02.xlsx&amp;sheet=A0&amp;row=526&amp;col=20&amp;number=&amp;sourceID=1","")</f>
        <v/>
      </c>
    </row>
    <row r="527" spans="1:20">
      <c r="A527" s="3">
        <v>8</v>
      </c>
      <c r="B527" s="3">
        <v>2</v>
      </c>
      <c r="C527" s="3">
        <v>36</v>
      </c>
      <c r="D527" s="3">
        <v>21</v>
      </c>
      <c r="E527" s="3">
        <f>((1/(INDEX(E0!J$4:J$52,C527,1)-INDEX(E0!J$4:J$52,D527,1))))*100000000</f>
        <v>0</v>
      </c>
      <c r="F527" s="4" t="str">
        <f>HYPERLINK("http://141.218.60.56/~jnz1568/getInfo.php?workbook=08_02.xlsx&amp;sheet=A0&amp;row=527&amp;col=6&amp;number=&amp;sourceID=27","")</f>
        <v/>
      </c>
      <c r="G527" s="4" t="str">
        <f>HYPERLINK("http://141.218.60.56/~jnz1568/getInfo.php?workbook=08_02.xlsx&amp;sheet=A0&amp;row=527&amp;col=7&amp;number=&amp;sourceID=34","")</f>
        <v/>
      </c>
      <c r="H527" s="4" t="str">
        <f>HYPERLINK("http://141.218.60.56/~jnz1568/getInfo.php?workbook=08_02.xlsx&amp;sheet=A0&amp;row=527&amp;col=8&amp;number=&amp;sourceID=34","")</f>
        <v/>
      </c>
      <c r="I527" s="4" t="str">
        <f>HYPERLINK("http://141.218.60.56/~jnz1568/getInfo.php?workbook=08_02.xlsx&amp;sheet=A0&amp;row=527&amp;col=9&amp;number=&amp;sourceID=34","")</f>
        <v/>
      </c>
      <c r="J527" s="4" t="str">
        <f>HYPERLINK("http://141.218.60.56/~jnz1568/getInfo.php?workbook=08_02.xlsx&amp;sheet=A0&amp;row=527&amp;col=10&amp;number=&amp;sourceID=34","")</f>
        <v/>
      </c>
      <c r="K527" s="4" t="str">
        <f>HYPERLINK("http://141.218.60.56/~jnz1568/getInfo.php?workbook=08_02.xlsx&amp;sheet=A0&amp;row=527&amp;col=11&amp;number=&amp;sourceID=30","")</f>
        <v/>
      </c>
      <c r="L527" s="4" t="str">
        <f>HYPERLINK("http://141.218.60.56/~jnz1568/getInfo.php?workbook=08_02.xlsx&amp;sheet=A0&amp;row=527&amp;col=12&amp;number=18780&amp;sourceID=30","18780")</f>
        <v>18780</v>
      </c>
      <c r="M527" s="4" t="str">
        <f>HYPERLINK("http://141.218.60.56/~jnz1568/getInfo.php?workbook=08_02.xlsx&amp;sheet=A0&amp;row=527&amp;col=13&amp;number=0.0004622&amp;sourceID=30","0.0004622")</f>
        <v>0.0004622</v>
      </c>
      <c r="N527" s="4" t="str">
        <f>HYPERLINK("http://141.218.60.56/~jnz1568/getInfo.php?workbook=08_02.xlsx&amp;sheet=A0&amp;row=527&amp;col=14&amp;number=&amp;sourceID=30","")</f>
        <v/>
      </c>
      <c r="O527" s="4" t="str">
        <f>HYPERLINK("http://141.218.60.56/~jnz1568/getInfo.php?workbook=08_02.xlsx&amp;sheet=A0&amp;row=527&amp;col=15&amp;number=&amp;sourceID=32","")</f>
        <v/>
      </c>
      <c r="P527" s="4" t="str">
        <f>HYPERLINK("http://141.218.60.56/~jnz1568/getInfo.php?workbook=08_02.xlsx&amp;sheet=A0&amp;row=527&amp;col=16&amp;number=19370&amp;sourceID=32","19370")</f>
        <v>19370</v>
      </c>
      <c r="Q527" s="4" t="str">
        <f>HYPERLINK("http://141.218.60.56/~jnz1568/getInfo.php?workbook=08_02.xlsx&amp;sheet=A0&amp;row=527&amp;col=17&amp;number=0.0004649&amp;sourceID=32","0.0004649")</f>
        <v>0.0004649</v>
      </c>
      <c r="R527" s="4" t="str">
        <f>HYPERLINK("http://141.218.60.56/~jnz1568/getInfo.php?workbook=08_02.xlsx&amp;sheet=A0&amp;row=527&amp;col=18&amp;number=&amp;sourceID=32","")</f>
        <v/>
      </c>
      <c r="S527" s="4" t="str">
        <f>HYPERLINK("http://141.218.60.56/~jnz1568/getInfo.php?workbook=08_02.xlsx&amp;sheet=A0&amp;row=527&amp;col=19&amp;number=&amp;sourceID=1","")</f>
        <v/>
      </c>
      <c r="T527" s="4" t="str">
        <f>HYPERLINK("http://141.218.60.56/~jnz1568/getInfo.php?workbook=08_02.xlsx&amp;sheet=A0&amp;row=527&amp;col=20&amp;number=&amp;sourceID=1","")</f>
        <v/>
      </c>
    </row>
    <row r="528" spans="1:20">
      <c r="A528" s="3">
        <v>8</v>
      </c>
      <c r="B528" s="3">
        <v>2</v>
      </c>
      <c r="C528" s="3">
        <v>36</v>
      </c>
      <c r="D528" s="3">
        <v>22</v>
      </c>
      <c r="E528" s="3">
        <f>((1/(INDEX(E0!J$4:J$52,C528,1)-INDEX(E0!J$4:J$52,D528,1))))*100000000</f>
        <v>0</v>
      </c>
      <c r="F528" s="4" t="str">
        <f>HYPERLINK("http://141.218.60.56/~jnz1568/getInfo.php?workbook=08_02.xlsx&amp;sheet=A0&amp;row=528&amp;col=6&amp;number=&amp;sourceID=27","")</f>
        <v/>
      </c>
      <c r="G528" s="4" t="str">
        <f>HYPERLINK("http://141.218.60.56/~jnz1568/getInfo.php?workbook=08_02.xlsx&amp;sheet=A0&amp;row=528&amp;col=7&amp;number=&amp;sourceID=34","")</f>
        <v/>
      </c>
      <c r="H528" s="4" t="str">
        <f>HYPERLINK("http://141.218.60.56/~jnz1568/getInfo.php?workbook=08_02.xlsx&amp;sheet=A0&amp;row=528&amp;col=8&amp;number=&amp;sourceID=34","")</f>
        <v/>
      </c>
      <c r="I528" s="4" t="str">
        <f>HYPERLINK("http://141.218.60.56/~jnz1568/getInfo.php?workbook=08_02.xlsx&amp;sheet=A0&amp;row=528&amp;col=9&amp;number=&amp;sourceID=34","")</f>
        <v/>
      </c>
      <c r="J528" s="4" t="str">
        <f>HYPERLINK("http://141.218.60.56/~jnz1568/getInfo.php?workbook=08_02.xlsx&amp;sheet=A0&amp;row=528&amp;col=10&amp;number=&amp;sourceID=34","")</f>
        <v/>
      </c>
      <c r="K528" s="4" t="str">
        <f>HYPERLINK("http://141.218.60.56/~jnz1568/getInfo.php?workbook=08_02.xlsx&amp;sheet=A0&amp;row=528&amp;col=11&amp;number=&amp;sourceID=30","")</f>
        <v/>
      </c>
      <c r="L528" s="4" t="str">
        <f>HYPERLINK("http://141.218.60.56/~jnz1568/getInfo.php?workbook=08_02.xlsx&amp;sheet=A0&amp;row=528&amp;col=12&amp;number=&amp;sourceID=30","")</f>
        <v/>
      </c>
      <c r="M528" s="4" t="str">
        <f>HYPERLINK("http://141.218.60.56/~jnz1568/getInfo.php?workbook=08_02.xlsx&amp;sheet=A0&amp;row=528&amp;col=13&amp;number=&amp;sourceID=30","")</f>
        <v/>
      </c>
      <c r="N528" s="4" t="str">
        <f>HYPERLINK("http://141.218.60.56/~jnz1568/getInfo.php?workbook=08_02.xlsx&amp;sheet=A0&amp;row=528&amp;col=14&amp;number=0.1275&amp;sourceID=30","0.1275")</f>
        <v>0.1275</v>
      </c>
      <c r="O528" s="4" t="str">
        <f>HYPERLINK("http://141.218.60.56/~jnz1568/getInfo.php?workbook=08_02.xlsx&amp;sheet=A0&amp;row=528&amp;col=15&amp;number=&amp;sourceID=32","")</f>
        <v/>
      </c>
      <c r="P528" s="4" t="str">
        <f>HYPERLINK("http://141.218.60.56/~jnz1568/getInfo.php?workbook=08_02.xlsx&amp;sheet=A0&amp;row=528&amp;col=16&amp;number=&amp;sourceID=32","")</f>
        <v/>
      </c>
      <c r="Q528" s="4" t="str">
        <f>HYPERLINK("http://141.218.60.56/~jnz1568/getInfo.php?workbook=08_02.xlsx&amp;sheet=A0&amp;row=528&amp;col=17&amp;number=&amp;sourceID=32","")</f>
        <v/>
      </c>
      <c r="R528" s="4" t="str">
        <f>HYPERLINK("http://141.218.60.56/~jnz1568/getInfo.php?workbook=08_02.xlsx&amp;sheet=A0&amp;row=528&amp;col=18&amp;number=0.1214&amp;sourceID=32","0.1214")</f>
        <v>0.1214</v>
      </c>
      <c r="S528" s="4" t="str">
        <f>HYPERLINK("http://141.218.60.56/~jnz1568/getInfo.php?workbook=08_02.xlsx&amp;sheet=A0&amp;row=528&amp;col=19&amp;number=&amp;sourceID=1","")</f>
        <v/>
      </c>
      <c r="T528" s="4" t="str">
        <f>HYPERLINK("http://141.218.60.56/~jnz1568/getInfo.php?workbook=08_02.xlsx&amp;sheet=A0&amp;row=528&amp;col=20&amp;number=&amp;sourceID=1","")</f>
        <v/>
      </c>
    </row>
    <row r="529" spans="1:20">
      <c r="A529" s="3">
        <v>8</v>
      </c>
      <c r="B529" s="3">
        <v>2</v>
      </c>
      <c r="C529" s="3">
        <v>36</v>
      </c>
      <c r="D529" s="3">
        <v>23</v>
      </c>
      <c r="E529" s="3">
        <f>((1/(INDEX(E0!J$4:J$52,C529,1)-INDEX(E0!J$4:J$52,D529,1))))*100000000</f>
        <v>0</v>
      </c>
      <c r="F529" s="4" t="str">
        <f>HYPERLINK("http://141.218.60.56/~jnz1568/getInfo.php?workbook=08_02.xlsx&amp;sheet=A0&amp;row=529&amp;col=6&amp;number=&amp;sourceID=27","")</f>
        <v/>
      </c>
      <c r="G529" s="4" t="str">
        <f>HYPERLINK("http://141.218.60.56/~jnz1568/getInfo.php?workbook=08_02.xlsx&amp;sheet=A0&amp;row=529&amp;col=7&amp;number=5564000&amp;sourceID=34","5564000")</f>
        <v>5564000</v>
      </c>
      <c r="H529" s="4" t="str">
        <f>HYPERLINK("http://141.218.60.56/~jnz1568/getInfo.php?workbook=08_02.xlsx&amp;sheet=A0&amp;row=529&amp;col=8&amp;number=&amp;sourceID=34","")</f>
        <v/>
      </c>
      <c r="I529" s="4" t="str">
        <f>HYPERLINK("http://141.218.60.56/~jnz1568/getInfo.php?workbook=08_02.xlsx&amp;sheet=A0&amp;row=529&amp;col=9&amp;number=&amp;sourceID=34","")</f>
        <v/>
      </c>
      <c r="J529" s="4" t="str">
        <f>HYPERLINK("http://141.218.60.56/~jnz1568/getInfo.php?workbook=08_02.xlsx&amp;sheet=A0&amp;row=529&amp;col=10&amp;number=&amp;sourceID=34","")</f>
        <v/>
      </c>
      <c r="K529" s="4" t="str">
        <f>HYPERLINK("http://141.218.60.56/~jnz1568/getInfo.php?workbook=08_02.xlsx&amp;sheet=A0&amp;row=529&amp;col=11&amp;number=5411000&amp;sourceID=30","5411000")</f>
        <v>5411000</v>
      </c>
      <c r="L529" s="4" t="str">
        <f>HYPERLINK("http://141.218.60.56/~jnz1568/getInfo.php?workbook=08_02.xlsx&amp;sheet=A0&amp;row=529&amp;col=12&amp;number=&amp;sourceID=30","")</f>
        <v/>
      </c>
      <c r="M529" s="4" t="str">
        <f>HYPERLINK("http://141.218.60.56/~jnz1568/getInfo.php?workbook=08_02.xlsx&amp;sheet=A0&amp;row=529&amp;col=13&amp;number=&amp;sourceID=30","")</f>
        <v/>
      </c>
      <c r="N529" s="4" t="str">
        <f>HYPERLINK("http://141.218.60.56/~jnz1568/getInfo.php?workbook=08_02.xlsx&amp;sheet=A0&amp;row=529&amp;col=14&amp;number=3.495e-09&amp;sourceID=30","3.495e-09")</f>
        <v>3.495e-09</v>
      </c>
      <c r="O529" s="4" t="str">
        <f>HYPERLINK("http://141.218.60.56/~jnz1568/getInfo.php?workbook=08_02.xlsx&amp;sheet=A0&amp;row=529&amp;col=15&amp;number=5512000&amp;sourceID=32","5512000")</f>
        <v>5512000</v>
      </c>
      <c r="P529" s="4" t="str">
        <f>HYPERLINK("http://141.218.60.56/~jnz1568/getInfo.php?workbook=08_02.xlsx&amp;sheet=A0&amp;row=529&amp;col=16&amp;number=&amp;sourceID=32","")</f>
        <v/>
      </c>
      <c r="Q529" s="4" t="str">
        <f>HYPERLINK("http://141.218.60.56/~jnz1568/getInfo.php?workbook=08_02.xlsx&amp;sheet=A0&amp;row=529&amp;col=17&amp;number=&amp;sourceID=32","")</f>
        <v/>
      </c>
      <c r="R529" s="4" t="str">
        <f>HYPERLINK("http://141.218.60.56/~jnz1568/getInfo.php?workbook=08_02.xlsx&amp;sheet=A0&amp;row=529&amp;col=18&amp;number=3.886e-09&amp;sourceID=32","3.886e-09")</f>
        <v>3.886e-09</v>
      </c>
      <c r="S529" s="4" t="str">
        <f>HYPERLINK("http://141.218.60.56/~jnz1568/getInfo.php?workbook=08_02.xlsx&amp;sheet=A0&amp;row=529&amp;col=19&amp;number=&amp;sourceID=1","")</f>
        <v/>
      </c>
      <c r="T529" s="4" t="str">
        <f>HYPERLINK("http://141.218.60.56/~jnz1568/getInfo.php?workbook=08_02.xlsx&amp;sheet=A0&amp;row=529&amp;col=20&amp;number=&amp;sourceID=1","")</f>
        <v/>
      </c>
    </row>
    <row r="530" spans="1:20">
      <c r="A530" s="3">
        <v>8</v>
      </c>
      <c r="B530" s="3">
        <v>2</v>
      </c>
      <c r="C530" s="3">
        <v>36</v>
      </c>
      <c r="D530" s="3">
        <v>24</v>
      </c>
      <c r="E530" s="3">
        <f>((1/(INDEX(E0!J$4:J$52,C530,1)-INDEX(E0!J$4:J$52,D530,1))))*100000000</f>
        <v>0</v>
      </c>
      <c r="F530" s="4" t="str">
        <f>HYPERLINK("http://141.218.60.56/~jnz1568/getInfo.php?workbook=08_02.xlsx&amp;sheet=A0&amp;row=530&amp;col=6&amp;number=&amp;sourceID=27","")</f>
        <v/>
      </c>
      <c r="G530" s="4" t="str">
        <f>HYPERLINK("http://141.218.60.56/~jnz1568/getInfo.php?workbook=08_02.xlsx&amp;sheet=A0&amp;row=530&amp;col=7&amp;number=83360000&amp;sourceID=34","83360000")</f>
        <v>83360000</v>
      </c>
      <c r="H530" s="4" t="str">
        <f>HYPERLINK("http://141.218.60.56/~jnz1568/getInfo.php?workbook=08_02.xlsx&amp;sheet=A0&amp;row=530&amp;col=8&amp;number=&amp;sourceID=34","")</f>
        <v/>
      </c>
      <c r="I530" s="4" t="str">
        <f>HYPERLINK("http://141.218.60.56/~jnz1568/getInfo.php?workbook=08_02.xlsx&amp;sheet=A0&amp;row=530&amp;col=9&amp;number=&amp;sourceID=34","")</f>
        <v/>
      </c>
      <c r="J530" s="4" t="str">
        <f>HYPERLINK("http://141.218.60.56/~jnz1568/getInfo.php?workbook=08_02.xlsx&amp;sheet=A0&amp;row=530&amp;col=10&amp;number=&amp;sourceID=34","")</f>
        <v/>
      </c>
      <c r="K530" s="4" t="str">
        <f>HYPERLINK("http://141.218.60.56/~jnz1568/getInfo.php?workbook=08_02.xlsx&amp;sheet=A0&amp;row=530&amp;col=11&amp;number=80820000&amp;sourceID=30","80820000")</f>
        <v>80820000</v>
      </c>
      <c r="L530" s="4" t="str">
        <f>HYPERLINK("http://141.218.60.56/~jnz1568/getInfo.php?workbook=08_02.xlsx&amp;sheet=A0&amp;row=530&amp;col=12&amp;number=&amp;sourceID=30","")</f>
        <v/>
      </c>
      <c r="M530" s="4" t="str">
        <f>HYPERLINK("http://141.218.60.56/~jnz1568/getInfo.php?workbook=08_02.xlsx&amp;sheet=A0&amp;row=530&amp;col=13&amp;number=&amp;sourceID=30","")</f>
        <v/>
      </c>
      <c r="N530" s="4" t="str">
        <f>HYPERLINK("http://141.218.60.56/~jnz1568/getInfo.php?workbook=08_02.xlsx&amp;sheet=A0&amp;row=530&amp;col=14&amp;number=0.006276&amp;sourceID=30","0.006276")</f>
        <v>0.006276</v>
      </c>
      <c r="O530" s="4" t="str">
        <f>HYPERLINK("http://141.218.60.56/~jnz1568/getInfo.php?workbook=08_02.xlsx&amp;sheet=A0&amp;row=530&amp;col=15&amp;number=82180000&amp;sourceID=32","82180000")</f>
        <v>82180000</v>
      </c>
      <c r="P530" s="4" t="str">
        <f>HYPERLINK("http://141.218.60.56/~jnz1568/getInfo.php?workbook=08_02.xlsx&amp;sheet=A0&amp;row=530&amp;col=16&amp;number=&amp;sourceID=32","")</f>
        <v/>
      </c>
      <c r="Q530" s="4" t="str">
        <f>HYPERLINK("http://141.218.60.56/~jnz1568/getInfo.php?workbook=08_02.xlsx&amp;sheet=A0&amp;row=530&amp;col=17&amp;number=&amp;sourceID=32","")</f>
        <v/>
      </c>
      <c r="R530" s="4" t="str">
        <f>HYPERLINK("http://141.218.60.56/~jnz1568/getInfo.php?workbook=08_02.xlsx&amp;sheet=A0&amp;row=530&amp;col=18&amp;number=0.006194&amp;sourceID=32","0.006194")</f>
        <v>0.006194</v>
      </c>
      <c r="S530" s="4" t="str">
        <f>HYPERLINK("http://141.218.60.56/~jnz1568/getInfo.php?workbook=08_02.xlsx&amp;sheet=A0&amp;row=530&amp;col=19&amp;number=&amp;sourceID=1","")</f>
        <v/>
      </c>
      <c r="T530" s="4" t="str">
        <f>HYPERLINK("http://141.218.60.56/~jnz1568/getInfo.php?workbook=08_02.xlsx&amp;sheet=A0&amp;row=530&amp;col=20&amp;number=&amp;sourceID=1","")</f>
        <v/>
      </c>
    </row>
    <row r="531" spans="1:20">
      <c r="A531" s="3">
        <v>8</v>
      </c>
      <c r="B531" s="3">
        <v>2</v>
      </c>
      <c r="C531" s="3">
        <v>36</v>
      </c>
      <c r="D531" s="3">
        <v>25</v>
      </c>
      <c r="E531" s="3">
        <f>((1/(INDEX(E0!J$4:J$52,C531,1)-INDEX(E0!J$4:J$52,D531,1))))*100000000</f>
        <v>0</v>
      </c>
      <c r="F531" s="4" t="str">
        <f>HYPERLINK("http://141.218.60.56/~jnz1568/getInfo.php?workbook=08_02.xlsx&amp;sheet=A0&amp;row=531&amp;col=6&amp;number=&amp;sourceID=27","")</f>
        <v/>
      </c>
      <c r="G531" s="4" t="str">
        <f>HYPERLINK("http://141.218.60.56/~jnz1568/getInfo.php?workbook=08_02.xlsx&amp;sheet=A0&amp;row=531&amp;col=7&amp;number=&amp;sourceID=34","")</f>
        <v/>
      </c>
      <c r="H531" s="4" t="str">
        <f>HYPERLINK("http://141.218.60.56/~jnz1568/getInfo.php?workbook=08_02.xlsx&amp;sheet=A0&amp;row=531&amp;col=8&amp;number=&amp;sourceID=34","")</f>
        <v/>
      </c>
      <c r="I531" s="4" t="str">
        <f>HYPERLINK("http://141.218.60.56/~jnz1568/getInfo.php?workbook=08_02.xlsx&amp;sheet=A0&amp;row=531&amp;col=9&amp;number=&amp;sourceID=34","")</f>
        <v/>
      </c>
      <c r="J531" s="4" t="str">
        <f>HYPERLINK("http://141.218.60.56/~jnz1568/getInfo.php?workbook=08_02.xlsx&amp;sheet=A0&amp;row=531&amp;col=10&amp;number=&amp;sourceID=34","")</f>
        <v/>
      </c>
      <c r="K531" s="4" t="str">
        <f>HYPERLINK("http://141.218.60.56/~jnz1568/getInfo.php?workbook=08_02.xlsx&amp;sheet=A0&amp;row=531&amp;col=11&amp;number=&amp;sourceID=30","")</f>
        <v/>
      </c>
      <c r="L531" s="4" t="str">
        <f>HYPERLINK("http://141.218.60.56/~jnz1568/getInfo.php?workbook=08_02.xlsx&amp;sheet=A0&amp;row=531&amp;col=12&amp;number=4557&amp;sourceID=30","4557")</f>
        <v>4557</v>
      </c>
      <c r="M531" s="4" t="str">
        <f>HYPERLINK("http://141.218.60.56/~jnz1568/getInfo.php?workbook=08_02.xlsx&amp;sheet=A0&amp;row=531&amp;col=13&amp;number=&amp;sourceID=30","")</f>
        <v/>
      </c>
      <c r="N531" s="4" t="str">
        <f>HYPERLINK("http://141.218.60.56/~jnz1568/getInfo.php?workbook=08_02.xlsx&amp;sheet=A0&amp;row=531&amp;col=14&amp;number=&amp;sourceID=30","")</f>
        <v/>
      </c>
      <c r="O531" s="4" t="str">
        <f>HYPERLINK("http://141.218.60.56/~jnz1568/getInfo.php?workbook=08_02.xlsx&amp;sheet=A0&amp;row=531&amp;col=15&amp;number=&amp;sourceID=32","")</f>
        <v/>
      </c>
      <c r="P531" s="4" t="str">
        <f>HYPERLINK("http://141.218.60.56/~jnz1568/getInfo.php?workbook=08_02.xlsx&amp;sheet=A0&amp;row=531&amp;col=16&amp;number=&amp;sourceID=32","")</f>
        <v/>
      </c>
      <c r="Q531" s="4" t="str">
        <f>HYPERLINK("http://141.218.60.56/~jnz1568/getInfo.php?workbook=08_02.xlsx&amp;sheet=A0&amp;row=531&amp;col=17&amp;number=&amp;sourceID=32","")</f>
        <v/>
      </c>
      <c r="R531" s="4" t="str">
        <f>HYPERLINK("http://141.218.60.56/~jnz1568/getInfo.php?workbook=08_02.xlsx&amp;sheet=A0&amp;row=531&amp;col=18&amp;number=&amp;sourceID=32","")</f>
        <v/>
      </c>
      <c r="S531" s="4" t="str">
        <f>HYPERLINK("http://141.218.60.56/~jnz1568/getInfo.php?workbook=08_02.xlsx&amp;sheet=A0&amp;row=531&amp;col=19&amp;number=&amp;sourceID=1","")</f>
        <v/>
      </c>
      <c r="T531" s="4" t="str">
        <f>HYPERLINK("http://141.218.60.56/~jnz1568/getInfo.php?workbook=08_02.xlsx&amp;sheet=A0&amp;row=531&amp;col=20&amp;number=&amp;sourceID=1","")</f>
        <v/>
      </c>
    </row>
    <row r="532" spans="1:20">
      <c r="A532" s="3">
        <v>8</v>
      </c>
      <c r="B532" s="3">
        <v>2</v>
      </c>
      <c r="C532" s="3">
        <v>36</v>
      </c>
      <c r="D532" s="3">
        <v>26</v>
      </c>
      <c r="E532" s="3">
        <f>((1/(INDEX(E0!J$4:J$52,C532,1)-INDEX(E0!J$4:J$52,D532,1))))*100000000</f>
        <v>0</v>
      </c>
      <c r="F532" s="4" t="str">
        <f>HYPERLINK("http://141.218.60.56/~jnz1568/getInfo.php?workbook=08_02.xlsx&amp;sheet=A0&amp;row=532&amp;col=6&amp;number=&amp;sourceID=27","")</f>
        <v/>
      </c>
      <c r="G532" s="4" t="str">
        <f>HYPERLINK("http://141.218.60.56/~jnz1568/getInfo.php?workbook=08_02.xlsx&amp;sheet=A0&amp;row=532&amp;col=7&amp;number=461000000&amp;sourceID=34","461000000")</f>
        <v>461000000</v>
      </c>
      <c r="H532" s="4" t="str">
        <f>HYPERLINK("http://141.218.60.56/~jnz1568/getInfo.php?workbook=08_02.xlsx&amp;sheet=A0&amp;row=532&amp;col=8&amp;number=&amp;sourceID=34","")</f>
        <v/>
      </c>
      <c r="I532" s="4" t="str">
        <f>HYPERLINK("http://141.218.60.56/~jnz1568/getInfo.php?workbook=08_02.xlsx&amp;sheet=A0&amp;row=532&amp;col=9&amp;number=&amp;sourceID=34","")</f>
        <v/>
      </c>
      <c r="J532" s="4" t="str">
        <f>HYPERLINK("http://141.218.60.56/~jnz1568/getInfo.php?workbook=08_02.xlsx&amp;sheet=A0&amp;row=532&amp;col=10&amp;number=&amp;sourceID=34","")</f>
        <v/>
      </c>
      <c r="K532" s="4" t="str">
        <f>HYPERLINK("http://141.218.60.56/~jnz1568/getInfo.php?workbook=08_02.xlsx&amp;sheet=A0&amp;row=532&amp;col=11&amp;number=456700000&amp;sourceID=30","456700000")</f>
        <v>456700000</v>
      </c>
      <c r="L532" s="4" t="str">
        <f>HYPERLINK("http://141.218.60.56/~jnz1568/getInfo.php?workbook=08_02.xlsx&amp;sheet=A0&amp;row=532&amp;col=12&amp;number=&amp;sourceID=30","")</f>
        <v/>
      </c>
      <c r="M532" s="4" t="str">
        <f>HYPERLINK("http://141.218.60.56/~jnz1568/getInfo.php?workbook=08_02.xlsx&amp;sheet=A0&amp;row=532&amp;col=13&amp;number=&amp;sourceID=30","")</f>
        <v/>
      </c>
      <c r="N532" s="4" t="str">
        <f>HYPERLINK("http://141.218.60.56/~jnz1568/getInfo.php?workbook=08_02.xlsx&amp;sheet=A0&amp;row=532&amp;col=14&amp;number=0.07973&amp;sourceID=30","0.07973")</f>
        <v>0.07973</v>
      </c>
      <c r="O532" s="4" t="str">
        <f>HYPERLINK("http://141.218.60.56/~jnz1568/getInfo.php?workbook=08_02.xlsx&amp;sheet=A0&amp;row=532&amp;col=15&amp;number=465300000&amp;sourceID=32","465300000")</f>
        <v>465300000</v>
      </c>
      <c r="P532" s="4" t="str">
        <f>HYPERLINK("http://141.218.60.56/~jnz1568/getInfo.php?workbook=08_02.xlsx&amp;sheet=A0&amp;row=532&amp;col=16&amp;number=&amp;sourceID=32","")</f>
        <v/>
      </c>
      <c r="Q532" s="4" t="str">
        <f>HYPERLINK("http://141.218.60.56/~jnz1568/getInfo.php?workbook=08_02.xlsx&amp;sheet=A0&amp;row=532&amp;col=17&amp;number=&amp;sourceID=32","")</f>
        <v/>
      </c>
      <c r="R532" s="4" t="str">
        <f>HYPERLINK("http://141.218.60.56/~jnz1568/getInfo.php?workbook=08_02.xlsx&amp;sheet=A0&amp;row=532&amp;col=18&amp;number=0.08118&amp;sourceID=32","0.08118")</f>
        <v>0.08118</v>
      </c>
      <c r="S532" s="4" t="str">
        <f>HYPERLINK("http://141.218.60.56/~jnz1568/getInfo.php?workbook=08_02.xlsx&amp;sheet=A0&amp;row=532&amp;col=19&amp;number=&amp;sourceID=1","")</f>
        <v/>
      </c>
      <c r="T532" s="4" t="str">
        <f>HYPERLINK("http://141.218.60.56/~jnz1568/getInfo.php?workbook=08_02.xlsx&amp;sheet=A0&amp;row=532&amp;col=20&amp;number=&amp;sourceID=1","")</f>
        <v/>
      </c>
    </row>
    <row r="533" spans="1:20">
      <c r="A533" s="3">
        <v>8</v>
      </c>
      <c r="B533" s="3">
        <v>2</v>
      </c>
      <c r="C533" s="3">
        <v>36</v>
      </c>
      <c r="D533" s="3">
        <v>27</v>
      </c>
      <c r="E533" s="3">
        <f>((1/(INDEX(E0!J$4:J$52,C533,1)-INDEX(E0!J$4:J$52,D533,1))))*100000000</f>
        <v>0</v>
      </c>
      <c r="F533" s="4" t="str">
        <f>HYPERLINK("http://141.218.60.56/~jnz1568/getInfo.php?workbook=08_02.xlsx&amp;sheet=A0&amp;row=533&amp;col=6&amp;number=&amp;sourceID=27","")</f>
        <v/>
      </c>
      <c r="G533" s="4" t="str">
        <f>HYPERLINK("http://141.218.60.56/~jnz1568/getInfo.php?workbook=08_02.xlsx&amp;sheet=A0&amp;row=533&amp;col=7&amp;number=&amp;sourceID=34","")</f>
        <v/>
      </c>
      <c r="H533" s="4" t="str">
        <f>HYPERLINK("http://141.218.60.56/~jnz1568/getInfo.php?workbook=08_02.xlsx&amp;sheet=A0&amp;row=533&amp;col=8&amp;number=&amp;sourceID=34","")</f>
        <v/>
      </c>
      <c r="I533" s="4" t="str">
        <f>HYPERLINK("http://141.218.60.56/~jnz1568/getInfo.php?workbook=08_02.xlsx&amp;sheet=A0&amp;row=533&amp;col=9&amp;number=&amp;sourceID=34","")</f>
        <v/>
      </c>
      <c r="J533" s="4" t="str">
        <f>HYPERLINK("http://141.218.60.56/~jnz1568/getInfo.php?workbook=08_02.xlsx&amp;sheet=A0&amp;row=533&amp;col=10&amp;number=&amp;sourceID=34","")</f>
        <v/>
      </c>
      <c r="K533" s="4" t="str">
        <f>HYPERLINK("http://141.218.60.56/~jnz1568/getInfo.php?workbook=08_02.xlsx&amp;sheet=A0&amp;row=533&amp;col=11&amp;number=&amp;sourceID=30","")</f>
        <v/>
      </c>
      <c r="L533" s="4" t="str">
        <f>HYPERLINK("http://141.218.60.56/~jnz1568/getInfo.php?workbook=08_02.xlsx&amp;sheet=A0&amp;row=533&amp;col=12&amp;number=726&amp;sourceID=30","726")</f>
        <v>726</v>
      </c>
      <c r="M533" s="4" t="str">
        <f>HYPERLINK("http://141.218.60.56/~jnz1568/getInfo.php?workbook=08_02.xlsx&amp;sheet=A0&amp;row=533&amp;col=13&amp;number=4.222e-11&amp;sourceID=30","4.222e-11")</f>
        <v>4.222e-11</v>
      </c>
      <c r="N533" s="4" t="str">
        <f>HYPERLINK("http://141.218.60.56/~jnz1568/getInfo.php?workbook=08_02.xlsx&amp;sheet=A0&amp;row=533&amp;col=14&amp;number=&amp;sourceID=30","")</f>
        <v/>
      </c>
      <c r="O533" s="4" t="str">
        <f>HYPERLINK("http://141.218.60.56/~jnz1568/getInfo.php?workbook=08_02.xlsx&amp;sheet=A0&amp;row=533&amp;col=15&amp;number=&amp;sourceID=32","")</f>
        <v/>
      </c>
      <c r="P533" s="4" t="str">
        <f>HYPERLINK("http://141.218.60.56/~jnz1568/getInfo.php?workbook=08_02.xlsx&amp;sheet=A0&amp;row=533&amp;col=16&amp;number=722&amp;sourceID=32","722")</f>
        <v>722</v>
      </c>
      <c r="Q533" s="4" t="str">
        <f>HYPERLINK("http://141.218.60.56/~jnz1568/getInfo.php?workbook=08_02.xlsx&amp;sheet=A0&amp;row=533&amp;col=17&amp;number=9.445e-10&amp;sourceID=32","9.445e-10")</f>
        <v>9.445e-10</v>
      </c>
      <c r="R533" s="4" t="str">
        <f>HYPERLINK("http://141.218.60.56/~jnz1568/getInfo.php?workbook=08_02.xlsx&amp;sheet=A0&amp;row=533&amp;col=18&amp;number=&amp;sourceID=32","")</f>
        <v/>
      </c>
      <c r="S533" s="4" t="str">
        <f>HYPERLINK("http://141.218.60.56/~jnz1568/getInfo.php?workbook=08_02.xlsx&amp;sheet=A0&amp;row=533&amp;col=19&amp;number=&amp;sourceID=1","")</f>
        <v/>
      </c>
      <c r="T533" s="4" t="str">
        <f>HYPERLINK("http://141.218.60.56/~jnz1568/getInfo.php?workbook=08_02.xlsx&amp;sheet=A0&amp;row=533&amp;col=20&amp;number=&amp;sourceID=1","")</f>
        <v/>
      </c>
    </row>
    <row r="534" spans="1:20">
      <c r="A534" s="3">
        <v>8</v>
      </c>
      <c r="B534" s="3">
        <v>2</v>
      </c>
      <c r="C534" s="3">
        <v>36</v>
      </c>
      <c r="D534" s="3">
        <v>28</v>
      </c>
      <c r="E534" s="3">
        <f>((1/(INDEX(E0!J$4:J$52,C534,1)-INDEX(E0!J$4:J$52,D534,1))))*100000000</f>
        <v>0</v>
      </c>
      <c r="F534" s="4" t="str">
        <f>HYPERLINK("http://141.218.60.56/~jnz1568/getInfo.php?workbook=08_02.xlsx&amp;sheet=A0&amp;row=534&amp;col=6&amp;number=&amp;sourceID=27","")</f>
        <v/>
      </c>
      <c r="G534" s="4" t="str">
        <f>HYPERLINK("http://141.218.60.56/~jnz1568/getInfo.php?workbook=08_02.xlsx&amp;sheet=A0&amp;row=534&amp;col=7&amp;number=&amp;sourceID=34","")</f>
        <v/>
      </c>
      <c r="H534" s="4" t="str">
        <f>HYPERLINK("http://141.218.60.56/~jnz1568/getInfo.php?workbook=08_02.xlsx&amp;sheet=A0&amp;row=534&amp;col=8&amp;number=&amp;sourceID=34","")</f>
        <v/>
      </c>
      <c r="I534" s="4" t="str">
        <f>HYPERLINK("http://141.218.60.56/~jnz1568/getInfo.php?workbook=08_02.xlsx&amp;sheet=A0&amp;row=534&amp;col=9&amp;number=&amp;sourceID=34","")</f>
        <v/>
      </c>
      <c r="J534" s="4" t="str">
        <f>HYPERLINK("http://141.218.60.56/~jnz1568/getInfo.php?workbook=08_02.xlsx&amp;sheet=A0&amp;row=534&amp;col=10&amp;number=&amp;sourceID=34","")</f>
        <v/>
      </c>
      <c r="K534" s="4" t="str">
        <f>HYPERLINK("http://141.218.60.56/~jnz1568/getInfo.php?workbook=08_02.xlsx&amp;sheet=A0&amp;row=534&amp;col=11&amp;number=&amp;sourceID=30","")</f>
        <v/>
      </c>
      <c r="L534" s="4" t="str">
        <f>HYPERLINK("http://141.218.60.56/~jnz1568/getInfo.php?workbook=08_02.xlsx&amp;sheet=A0&amp;row=534&amp;col=12&amp;number=168.8&amp;sourceID=30","168.8")</f>
        <v>168.8</v>
      </c>
      <c r="M534" s="4" t="str">
        <f>HYPERLINK("http://141.218.60.56/~jnz1568/getInfo.php?workbook=08_02.xlsx&amp;sheet=A0&amp;row=534&amp;col=13&amp;number=9.618e-08&amp;sourceID=30","9.618e-08")</f>
        <v>9.618e-08</v>
      </c>
      <c r="N534" s="4" t="str">
        <f>HYPERLINK("http://141.218.60.56/~jnz1568/getInfo.php?workbook=08_02.xlsx&amp;sheet=A0&amp;row=534&amp;col=14&amp;number=&amp;sourceID=30","")</f>
        <v/>
      </c>
      <c r="O534" s="4" t="str">
        <f>HYPERLINK("http://141.218.60.56/~jnz1568/getInfo.php?workbook=08_02.xlsx&amp;sheet=A0&amp;row=534&amp;col=15&amp;number=&amp;sourceID=32","")</f>
        <v/>
      </c>
      <c r="P534" s="4" t="str">
        <f>HYPERLINK("http://141.218.60.56/~jnz1568/getInfo.php?workbook=08_02.xlsx&amp;sheet=A0&amp;row=534&amp;col=16&amp;number=170.2&amp;sourceID=32","170.2")</f>
        <v>170.2</v>
      </c>
      <c r="Q534" s="4" t="str">
        <f>HYPERLINK("http://141.218.60.56/~jnz1568/getInfo.php?workbook=08_02.xlsx&amp;sheet=A0&amp;row=534&amp;col=17&amp;number=1.133e-07&amp;sourceID=32","1.133e-07")</f>
        <v>1.133e-07</v>
      </c>
      <c r="R534" s="4" t="str">
        <f>HYPERLINK("http://141.218.60.56/~jnz1568/getInfo.php?workbook=08_02.xlsx&amp;sheet=A0&amp;row=534&amp;col=18&amp;number=&amp;sourceID=32","")</f>
        <v/>
      </c>
      <c r="S534" s="4" t="str">
        <f>HYPERLINK("http://141.218.60.56/~jnz1568/getInfo.php?workbook=08_02.xlsx&amp;sheet=A0&amp;row=534&amp;col=19&amp;number=&amp;sourceID=1","")</f>
        <v/>
      </c>
      <c r="T534" s="4" t="str">
        <f>HYPERLINK("http://141.218.60.56/~jnz1568/getInfo.php?workbook=08_02.xlsx&amp;sheet=A0&amp;row=534&amp;col=20&amp;number=&amp;sourceID=1","")</f>
        <v/>
      </c>
    </row>
    <row r="535" spans="1:20">
      <c r="A535" s="3">
        <v>8</v>
      </c>
      <c r="B535" s="3">
        <v>2</v>
      </c>
      <c r="C535" s="3">
        <v>36</v>
      </c>
      <c r="D535" s="3">
        <v>29</v>
      </c>
      <c r="E535" s="3">
        <f>((1/(INDEX(E0!J$4:J$52,C535,1)-INDEX(E0!J$4:J$52,D535,1))))*100000000</f>
        <v>0</v>
      </c>
      <c r="F535" s="4" t="str">
        <f>HYPERLINK("http://141.218.60.56/~jnz1568/getInfo.php?workbook=08_02.xlsx&amp;sheet=A0&amp;row=535&amp;col=6&amp;number=&amp;sourceID=27","")</f>
        <v/>
      </c>
      <c r="G535" s="4" t="str">
        <f>HYPERLINK("http://141.218.60.56/~jnz1568/getInfo.php?workbook=08_02.xlsx&amp;sheet=A0&amp;row=535&amp;col=7&amp;number=&amp;sourceID=34","")</f>
        <v/>
      </c>
      <c r="H535" s="4" t="str">
        <f>HYPERLINK("http://141.218.60.56/~jnz1568/getInfo.php?workbook=08_02.xlsx&amp;sheet=A0&amp;row=535&amp;col=8&amp;number=&amp;sourceID=34","")</f>
        <v/>
      </c>
      <c r="I535" s="4" t="str">
        <f>HYPERLINK("http://141.218.60.56/~jnz1568/getInfo.php?workbook=08_02.xlsx&amp;sheet=A0&amp;row=535&amp;col=9&amp;number=&amp;sourceID=34","")</f>
        <v/>
      </c>
      <c r="J535" s="4" t="str">
        <f>HYPERLINK("http://141.218.60.56/~jnz1568/getInfo.php?workbook=08_02.xlsx&amp;sheet=A0&amp;row=535&amp;col=10&amp;number=&amp;sourceID=34","")</f>
        <v/>
      </c>
      <c r="K535" s="4" t="str">
        <f>HYPERLINK("http://141.218.60.56/~jnz1568/getInfo.php?workbook=08_02.xlsx&amp;sheet=A0&amp;row=535&amp;col=11&amp;number=642900&amp;sourceID=30","642900")</f>
        <v>642900</v>
      </c>
      <c r="L535" s="4" t="str">
        <f>HYPERLINK("http://141.218.60.56/~jnz1568/getInfo.php?workbook=08_02.xlsx&amp;sheet=A0&amp;row=535&amp;col=12&amp;number=&amp;sourceID=30","")</f>
        <v/>
      </c>
      <c r="M535" s="4" t="str">
        <f>HYPERLINK("http://141.218.60.56/~jnz1568/getInfo.php?workbook=08_02.xlsx&amp;sheet=A0&amp;row=535&amp;col=13&amp;number=&amp;sourceID=30","")</f>
        <v/>
      </c>
      <c r="N535" s="4" t="str">
        <f>HYPERLINK("http://141.218.60.56/~jnz1568/getInfo.php?workbook=08_02.xlsx&amp;sheet=A0&amp;row=535&amp;col=14&amp;number=0.01393&amp;sourceID=30","0.01393")</f>
        <v>0.01393</v>
      </c>
      <c r="O535" s="4" t="str">
        <f>HYPERLINK("http://141.218.60.56/~jnz1568/getInfo.php?workbook=08_02.xlsx&amp;sheet=A0&amp;row=535&amp;col=15&amp;number=821000&amp;sourceID=32","821000")</f>
        <v>821000</v>
      </c>
      <c r="P535" s="4" t="str">
        <f>HYPERLINK("http://141.218.60.56/~jnz1568/getInfo.php?workbook=08_02.xlsx&amp;sheet=A0&amp;row=535&amp;col=16&amp;number=&amp;sourceID=32","")</f>
        <v/>
      </c>
      <c r="Q535" s="4" t="str">
        <f>HYPERLINK("http://141.218.60.56/~jnz1568/getInfo.php?workbook=08_02.xlsx&amp;sheet=A0&amp;row=535&amp;col=17&amp;number=&amp;sourceID=32","")</f>
        <v/>
      </c>
      <c r="R535" s="4" t="str">
        <f>HYPERLINK("http://141.218.60.56/~jnz1568/getInfo.php?workbook=08_02.xlsx&amp;sheet=A0&amp;row=535&amp;col=18&amp;number=0.01419&amp;sourceID=32","0.01419")</f>
        <v>0.01419</v>
      </c>
      <c r="S535" s="4" t="str">
        <f>HYPERLINK("http://141.218.60.56/~jnz1568/getInfo.php?workbook=08_02.xlsx&amp;sheet=A0&amp;row=535&amp;col=19&amp;number=&amp;sourceID=1","")</f>
        <v/>
      </c>
      <c r="T535" s="4" t="str">
        <f>HYPERLINK("http://141.218.60.56/~jnz1568/getInfo.php?workbook=08_02.xlsx&amp;sheet=A0&amp;row=535&amp;col=20&amp;number=&amp;sourceID=1","")</f>
        <v/>
      </c>
    </row>
    <row r="536" spans="1:20">
      <c r="A536" s="3">
        <v>8</v>
      </c>
      <c r="B536" s="3">
        <v>2</v>
      </c>
      <c r="C536" s="3">
        <v>36</v>
      </c>
      <c r="D536" s="3">
        <v>30</v>
      </c>
      <c r="E536" s="3">
        <f>((1/(INDEX(E0!J$4:J$52,C536,1)-INDEX(E0!J$4:J$52,D536,1))))*100000000</f>
        <v>0</v>
      </c>
      <c r="F536" s="4" t="str">
        <f>HYPERLINK("http://141.218.60.56/~jnz1568/getInfo.php?workbook=08_02.xlsx&amp;sheet=A0&amp;row=536&amp;col=6&amp;number=&amp;sourceID=27","")</f>
        <v/>
      </c>
      <c r="G536" s="4" t="str">
        <f>HYPERLINK("http://141.218.60.56/~jnz1568/getInfo.php?workbook=08_02.xlsx&amp;sheet=A0&amp;row=536&amp;col=7&amp;number=&amp;sourceID=34","")</f>
        <v/>
      </c>
      <c r="H536" s="4" t="str">
        <f>HYPERLINK("http://141.218.60.56/~jnz1568/getInfo.php?workbook=08_02.xlsx&amp;sheet=A0&amp;row=536&amp;col=8&amp;number=&amp;sourceID=34","")</f>
        <v/>
      </c>
      <c r="I536" s="4" t="str">
        <f>HYPERLINK("http://141.218.60.56/~jnz1568/getInfo.php?workbook=08_02.xlsx&amp;sheet=A0&amp;row=536&amp;col=9&amp;number=&amp;sourceID=34","")</f>
        <v/>
      </c>
      <c r="J536" s="4" t="str">
        <f>HYPERLINK("http://141.218.60.56/~jnz1568/getInfo.php?workbook=08_02.xlsx&amp;sheet=A0&amp;row=536&amp;col=10&amp;number=&amp;sourceID=34","")</f>
        <v/>
      </c>
      <c r="K536" s="4" t="str">
        <f>HYPERLINK("http://141.218.60.56/~jnz1568/getInfo.php?workbook=08_02.xlsx&amp;sheet=A0&amp;row=536&amp;col=11&amp;number=&amp;sourceID=30","")</f>
        <v/>
      </c>
      <c r="L536" s="4" t="str">
        <f>HYPERLINK("http://141.218.60.56/~jnz1568/getInfo.php?workbook=08_02.xlsx&amp;sheet=A0&amp;row=536&amp;col=12&amp;number=455.3&amp;sourceID=30","455.3")</f>
        <v>455.3</v>
      </c>
      <c r="M536" s="4" t="str">
        <f>HYPERLINK("http://141.218.60.56/~jnz1568/getInfo.php?workbook=08_02.xlsx&amp;sheet=A0&amp;row=536&amp;col=13&amp;number=1.081e-08&amp;sourceID=30","1.081e-08")</f>
        <v>1.081e-08</v>
      </c>
      <c r="N536" s="4" t="str">
        <f>HYPERLINK("http://141.218.60.56/~jnz1568/getInfo.php?workbook=08_02.xlsx&amp;sheet=A0&amp;row=536&amp;col=14&amp;number=&amp;sourceID=30","")</f>
        <v/>
      </c>
      <c r="O536" s="4" t="str">
        <f>HYPERLINK("http://141.218.60.56/~jnz1568/getInfo.php?workbook=08_02.xlsx&amp;sheet=A0&amp;row=536&amp;col=15&amp;number=&amp;sourceID=32","")</f>
        <v/>
      </c>
      <c r="P536" s="4" t="str">
        <f>HYPERLINK("http://141.218.60.56/~jnz1568/getInfo.php?workbook=08_02.xlsx&amp;sheet=A0&amp;row=536&amp;col=16&amp;number=469&amp;sourceID=32","469")</f>
        <v>469</v>
      </c>
      <c r="Q536" s="4" t="str">
        <f>HYPERLINK("http://141.218.60.56/~jnz1568/getInfo.php?workbook=08_02.xlsx&amp;sheet=A0&amp;row=536&amp;col=17&amp;number=1.191e-08&amp;sourceID=32","1.191e-08")</f>
        <v>1.191e-08</v>
      </c>
      <c r="R536" s="4" t="str">
        <f>HYPERLINK("http://141.218.60.56/~jnz1568/getInfo.php?workbook=08_02.xlsx&amp;sheet=A0&amp;row=536&amp;col=18&amp;number=&amp;sourceID=32","")</f>
        <v/>
      </c>
      <c r="S536" s="4" t="str">
        <f>HYPERLINK("http://141.218.60.56/~jnz1568/getInfo.php?workbook=08_02.xlsx&amp;sheet=A0&amp;row=536&amp;col=19&amp;number=&amp;sourceID=1","")</f>
        <v/>
      </c>
      <c r="T536" s="4" t="str">
        <f>HYPERLINK("http://141.218.60.56/~jnz1568/getInfo.php?workbook=08_02.xlsx&amp;sheet=A0&amp;row=536&amp;col=20&amp;number=&amp;sourceID=1","")</f>
        <v/>
      </c>
    </row>
    <row r="537" spans="1:20">
      <c r="A537" s="3">
        <v>8</v>
      </c>
      <c r="B537" s="3">
        <v>2</v>
      </c>
      <c r="C537" s="3">
        <v>36</v>
      </c>
      <c r="D537" s="3">
        <v>31</v>
      </c>
      <c r="E537" s="3">
        <f>((1/(INDEX(E0!J$4:J$52,C537,1)-INDEX(E0!J$4:J$52,D537,1))))*100000000</f>
        <v>0</v>
      </c>
      <c r="F537" s="4" t="str">
        <f>HYPERLINK("http://141.218.60.56/~jnz1568/getInfo.php?workbook=08_02.xlsx&amp;sheet=A0&amp;row=537&amp;col=6&amp;number=&amp;sourceID=27","")</f>
        <v/>
      </c>
      <c r="G537" s="4" t="str">
        <f>HYPERLINK("http://141.218.60.56/~jnz1568/getInfo.php?workbook=08_02.xlsx&amp;sheet=A0&amp;row=537&amp;col=7&amp;number=&amp;sourceID=34","")</f>
        <v/>
      </c>
      <c r="H537" s="4" t="str">
        <f>HYPERLINK("http://141.218.60.56/~jnz1568/getInfo.php?workbook=08_02.xlsx&amp;sheet=A0&amp;row=537&amp;col=8&amp;number=&amp;sourceID=34","")</f>
        <v/>
      </c>
      <c r="I537" s="4" t="str">
        <f>HYPERLINK("http://141.218.60.56/~jnz1568/getInfo.php?workbook=08_02.xlsx&amp;sheet=A0&amp;row=537&amp;col=9&amp;number=&amp;sourceID=34","")</f>
        <v/>
      </c>
      <c r="J537" s="4" t="str">
        <f>HYPERLINK("http://141.218.60.56/~jnz1568/getInfo.php?workbook=08_02.xlsx&amp;sheet=A0&amp;row=537&amp;col=10&amp;number=&amp;sourceID=34","")</f>
        <v/>
      </c>
      <c r="K537" s="4" t="str">
        <f>HYPERLINK("http://141.218.60.56/~jnz1568/getInfo.php?workbook=08_02.xlsx&amp;sheet=A0&amp;row=537&amp;col=11&amp;number=&amp;sourceID=30","")</f>
        <v/>
      </c>
      <c r="L537" s="4" t="str">
        <f>HYPERLINK("http://141.218.60.56/~jnz1568/getInfo.php?workbook=08_02.xlsx&amp;sheet=A0&amp;row=537&amp;col=12&amp;number=3.827&amp;sourceID=30","3.827")</f>
        <v>3.827</v>
      </c>
      <c r="M537" s="4" t="str">
        <f>HYPERLINK("http://141.218.60.56/~jnz1568/getInfo.php?workbook=08_02.xlsx&amp;sheet=A0&amp;row=537&amp;col=13&amp;number=0.00171&amp;sourceID=30","0.00171")</f>
        <v>0.00171</v>
      </c>
      <c r="N537" s="4" t="str">
        <f>HYPERLINK("http://141.218.60.56/~jnz1568/getInfo.php?workbook=08_02.xlsx&amp;sheet=A0&amp;row=537&amp;col=14&amp;number=&amp;sourceID=30","")</f>
        <v/>
      </c>
      <c r="O537" s="4" t="str">
        <f>HYPERLINK("http://141.218.60.56/~jnz1568/getInfo.php?workbook=08_02.xlsx&amp;sheet=A0&amp;row=537&amp;col=15&amp;number=&amp;sourceID=32","")</f>
        <v/>
      </c>
      <c r="P537" s="4" t="str">
        <f>HYPERLINK("http://141.218.60.56/~jnz1568/getInfo.php?workbook=08_02.xlsx&amp;sheet=A0&amp;row=537&amp;col=16&amp;number=4.282&amp;sourceID=32","4.282")</f>
        <v>4.282</v>
      </c>
      <c r="Q537" s="4" t="str">
        <f>HYPERLINK("http://141.218.60.56/~jnz1568/getInfo.php?workbook=08_02.xlsx&amp;sheet=A0&amp;row=537&amp;col=17&amp;number=0.00188&amp;sourceID=32","0.00188")</f>
        <v>0.00188</v>
      </c>
      <c r="R537" s="4" t="str">
        <f>HYPERLINK("http://141.218.60.56/~jnz1568/getInfo.php?workbook=08_02.xlsx&amp;sheet=A0&amp;row=537&amp;col=18&amp;number=&amp;sourceID=32","")</f>
        <v/>
      </c>
      <c r="S537" s="4" t="str">
        <f>HYPERLINK("http://141.218.60.56/~jnz1568/getInfo.php?workbook=08_02.xlsx&amp;sheet=A0&amp;row=537&amp;col=19&amp;number=&amp;sourceID=1","")</f>
        <v/>
      </c>
      <c r="T537" s="4" t="str">
        <f>HYPERLINK("http://141.218.60.56/~jnz1568/getInfo.php?workbook=08_02.xlsx&amp;sheet=A0&amp;row=537&amp;col=20&amp;number=&amp;sourceID=1","")</f>
        <v/>
      </c>
    </row>
    <row r="538" spans="1:20">
      <c r="A538" s="3">
        <v>8</v>
      </c>
      <c r="B538" s="3">
        <v>2</v>
      </c>
      <c r="C538" s="3">
        <v>36</v>
      </c>
      <c r="D538" s="3">
        <v>32</v>
      </c>
      <c r="E538" s="3">
        <f>((1/(INDEX(E0!J$4:J$52,C538,1)-INDEX(E0!J$4:J$52,D538,1))))*100000000</f>
        <v>0</v>
      </c>
      <c r="F538" s="4" t="str">
        <f>HYPERLINK("http://141.218.60.56/~jnz1568/getInfo.php?workbook=08_02.xlsx&amp;sheet=A0&amp;row=538&amp;col=6&amp;number=&amp;sourceID=27","")</f>
        <v/>
      </c>
      <c r="G538" s="4" t="str">
        <f>HYPERLINK("http://141.218.60.56/~jnz1568/getInfo.php?workbook=08_02.xlsx&amp;sheet=A0&amp;row=538&amp;col=7&amp;number=&amp;sourceID=34","")</f>
        <v/>
      </c>
      <c r="H538" s="4" t="str">
        <f>HYPERLINK("http://141.218.60.56/~jnz1568/getInfo.php?workbook=08_02.xlsx&amp;sheet=A0&amp;row=538&amp;col=8&amp;number=&amp;sourceID=34","")</f>
        <v/>
      </c>
      <c r="I538" s="4" t="str">
        <f>HYPERLINK("http://141.218.60.56/~jnz1568/getInfo.php?workbook=08_02.xlsx&amp;sheet=A0&amp;row=538&amp;col=9&amp;number=&amp;sourceID=34","")</f>
        <v/>
      </c>
      <c r="J538" s="4" t="str">
        <f>HYPERLINK("http://141.218.60.56/~jnz1568/getInfo.php?workbook=08_02.xlsx&amp;sheet=A0&amp;row=538&amp;col=10&amp;number=&amp;sourceID=34","")</f>
        <v/>
      </c>
      <c r="K538" s="4" t="str">
        <f>HYPERLINK("http://141.218.60.56/~jnz1568/getInfo.php?workbook=08_02.xlsx&amp;sheet=A0&amp;row=538&amp;col=11&amp;number=782200&amp;sourceID=30","782200")</f>
        <v>782200</v>
      </c>
      <c r="L538" s="4" t="str">
        <f>HYPERLINK("http://141.218.60.56/~jnz1568/getInfo.php?workbook=08_02.xlsx&amp;sheet=A0&amp;row=538&amp;col=12&amp;number=&amp;sourceID=30","")</f>
        <v/>
      </c>
      <c r="M538" s="4" t="str">
        <f>HYPERLINK("http://141.218.60.56/~jnz1568/getInfo.php?workbook=08_02.xlsx&amp;sheet=A0&amp;row=538&amp;col=13&amp;number=&amp;sourceID=30","")</f>
        <v/>
      </c>
      <c r="N538" s="4" t="str">
        <f>HYPERLINK("http://141.218.60.56/~jnz1568/getInfo.php?workbook=08_02.xlsx&amp;sheet=A0&amp;row=538&amp;col=14&amp;number=6.31e-08&amp;sourceID=30","6.31e-08")</f>
        <v>6.31e-08</v>
      </c>
      <c r="O538" s="4" t="str">
        <f>HYPERLINK("http://141.218.60.56/~jnz1568/getInfo.php?workbook=08_02.xlsx&amp;sheet=A0&amp;row=538&amp;col=15&amp;number=764000&amp;sourceID=32","764000")</f>
        <v>764000</v>
      </c>
      <c r="P538" s="4" t="str">
        <f>HYPERLINK("http://141.218.60.56/~jnz1568/getInfo.php?workbook=08_02.xlsx&amp;sheet=A0&amp;row=538&amp;col=16&amp;number=&amp;sourceID=32","")</f>
        <v/>
      </c>
      <c r="Q538" s="4" t="str">
        <f>HYPERLINK("http://141.218.60.56/~jnz1568/getInfo.php?workbook=08_02.xlsx&amp;sheet=A0&amp;row=538&amp;col=17&amp;number=&amp;sourceID=32","")</f>
        <v/>
      </c>
      <c r="R538" s="4" t="str">
        <f>HYPERLINK("http://141.218.60.56/~jnz1568/getInfo.php?workbook=08_02.xlsx&amp;sheet=A0&amp;row=538&amp;col=18&amp;number=6.12e-08&amp;sourceID=32","6.12e-08")</f>
        <v>6.12e-08</v>
      </c>
      <c r="S538" s="4" t="str">
        <f>HYPERLINK("http://141.218.60.56/~jnz1568/getInfo.php?workbook=08_02.xlsx&amp;sheet=A0&amp;row=538&amp;col=19&amp;number=&amp;sourceID=1","")</f>
        <v/>
      </c>
      <c r="T538" s="4" t="str">
        <f>HYPERLINK("http://141.218.60.56/~jnz1568/getInfo.php?workbook=08_02.xlsx&amp;sheet=A0&amp;row=538&amp;col=20&amp;number=&amp;sourceID=1","")</f>
        <v/>
      </c>
    </row>
    <row r="539" spans="1:20">
      <c r="A539" s="3">
        <v>8</v>
      </c>
      <c r="B539" s="3">
        <v>2</v>
      </c>
      <c r="C539" s="3">
        <v>36</v>
      </c>
      <c r="D539" s="3">
        <v>34</v>
      </c>
      <c r="E539" s="3">
        <f>((1/(INDEX(E0!J$4:J$52,C539,1)-INDEX(E0!J$4:J$52,D539,1))))*100000000</f>
        <v>0</v>
      </c>
      <c r="F539" s="4" t="str">
        <f>HYPERLINK("http://141.218.60.56/~jnz1568/getInfo.php?workbook=08_02.xlsx&amp;sheet=A0&amp;row=539&amp;col=6&amp;number=&amp;sourceID=27","")</f>
        <v/>
      </c>
      <c r="G539" s="4" t="str">
        <f>HYPERLINK("http://141.218.60.56/~jnz1568/getInfo.php?workbook=08_02.xlsx&amp;sheet=A0&amp;row=539&amp;col=7&amp;number=&amp;sourceID=34","")</f>
        <v/>
      </c>
      <c r="H539" s="4" t="str">
        <f>HYPERLINK("http://141.218.60.56/~jnz1568/getInfo.php?workbook=08_02.xlsx&amp;sheet=A0&amp;row=539&amp;col=8&amp;number=&amp;sourceID=34","")</f>
        <v/>
      </c>
      <c r="I539" s="4" t="str">
        <f>HYPERLINK("http://141.218.60.56/~jnz1568/getInfo.php?workbook=08_02.xlsx&amp;sheet=A0&amp;row=539&amp;col=9&amp;number=&amp;sourceID=34","")</f>
        <v/>
      </c>
      <c r="J539" s="4" t="str">
        <f>HYPERLINK("http://141.218.60.56/~jnz1568/getInfo.php?workbook=08_02.xlsx&amp;sheet=A0&amp;row=539&amp;col=10&amp;number=&amp;sourceID=34","")</f>
        <v/>
      </c>
      <c r="K539" s="4" t="str">
        <f>HYPERLINK("http://141.218.60.56/~jnz1568/getInfo.php?workbook=08_02.xlsx&amp;sheet=A0&amp;row=539&amp;col=11&amp;number=&amp;sourceID=30","")</f>
        <v/>
      </c>
      <c r="L539" s="4" t="str">
        <f>HYPERLINK("http://141.218.60.56/~jnz1568/getInfo.php?workbook=08_02.xlsx&amp;sheet=A0&amp;row=539&amp;col=12&amp;number=9.47e-13&amp;sourceID=30","9.47e-13")</f>
        <v>9.47e-13</v>
      </c>
      <c r="M539" s="4" t="str">
        <f>HYPERLINK("http://141.218.60.56/~jnz1568/getInfo.php?workbook=08_02.xlsx&amp;sheet=A0&amp;row=539&amp;col=13&amp;number=&amp;sourceID=30","")</f>
        <v/>
      </c>
      <c r="N539" s="4" t="str">
        <f>HYPERLINK("http://141.218.60.56/~jnz1568/getInfo.php?workbook=08_02.xlsx&amp;sheet=A0&amp;row=539&amp;col=14&amp;number=&amp;sourceID=30","")</f>
        <v/>
      </c>
      <c r="O539" s="4" t="str">
        <f>HYPERLINK("http://141.218.60.56/~jnz1568/getInfo.php?workbook=08_02.xlsx&amp;sheet=A0&amp;row=539&amp;col=15&amp;number=&amp;sourceID=32","")</f>
        <v/>
      </c>
      <c r="P539" s="4" t="str">
        <f>HYPERLINK("http://141.218.60.56/~jnz1568/getInfo.php?workbook=08_02.xlsx&amp;sheet=A0&amp;row=539&amp;col=16&amp;number=&amp;sourceID=32","")</f>
        <v/>
      </c>
      <c r="Q539" s="4" t="str">
        <f>HYPERLINK("http://141.218.60.56/~jnz1568/getInfo.php?workbook=08_02.xlsx&amp;sheet=A0&amp;row=539&amp;col=17&amp;number=&amp;sourceID=32","")</f>
        <v/>
      </c>
      <c r="R539" s="4" t="str">
        <f>HYPERLINK("http://141.218.60.56/~jnz1568/getInfo.php?workbook=08_02.xlsx&amp;sheet=A0&amp;row=539&amp;col=18&amp;number=&amp;sourceID=32","")</f>
        <v/>
      </c>
      <c r="S539" s="4" t="str">
        <f>HYPERLINK("http://141.218.60.56/~jnz1568/getInfo.php?workbook=08_02.xlsx&amp;sheet=A0&amp;row=539&amp;col=19&amp;number=&amp;sourceID=1","")</f>
        <v/>
      </c>
      <c r="T539" s="4" t="str">
        <f>HYPERLINK("http://141.218.60.56/~jnz1568/getInfo.php?workbook=08_02.xlsx&amp;sheet=A0&amp;row=539&amp;col=20&amp;number=&amp;sourceID=1","")</f>
        <v/>
      </c>
    </row>
    <row r="540" spans="1:20">
      <c r="A540" s="3">
        <v>8</v>
      </c>
      <c r="B540" s="3">
        <v>2</v>
      </c>
      <c r="C540" s="3">
        <v>36</v>
      </c>
      <c r="D540" s="3">
        <v>35</v>
      </c>
      <c r="E540" s="3">
        <f>((1/(INDEX(E0!J$4:J$52,C540,1)-INDEX(E0!J$4:J$52,D540,1))))*100000000</f>
        <v>0</v>
      </c>
      <c r="F540" s="4" t="str">
        <f>HYPERLINK("http://141.218.60.56/~jnz1568/getInfo.php?workbook=08_02.xlsx&amp;sheet=A0&amp;row=540&amp;col=6&amp;number=&amp;sourceID=27","")</f>
        <v/>
      </c>
      <c r="G540" s="4" t="str">
        <f>HYPERLINK("http://141.218.60.56/~jnz1568/getInfo.php?workbook=08_02.xlsx&amp;sheet=A0&amp;row=540&amp;col=7&amp;number=&amp;sourceID=34","")</f>
        <v/>
      </c>
      <c r="H540" s="4" t="str">
        <f>HYPERLINK("http://141.218.60.56/~jnz1568/getInfo.php?workbook=08_02.xlsx&amp;sheet=A0&amp;row=540&amp;col=8&amp;number=&amp;sourceID=34","")</f>
        <v/>
      </c>
      <c r="I540" s="4" t="str">
        <f>HYPERLINK("http://141.218.60.56/~jnz1568/getInfo.php?workbook=08_02.xlsx&amp;sheet=A0&amp;row=540&amp;col=9&amp;number=&amp;sourceID=34","")</f>
        <v/>
      </c>
      <c r="J540" s="4" t="str">
        <f>HYPERLINK("http://141.218.60.56/~jnz1568/getInfo.php?workbook=08_02.xlsx&amp;sheet=A0&amp;row=540&amp;col=10&amp;number=&amp;sourceID=34","")</f>
        <v/>
      </c>
      <c r="K540" s="4" t="str">
        <f>HYPERLINK("http://141.218.60.56/~jnz1568/getInfo.php?workbook=08_02.xlsx&amp;sheet=A0&amp;row=540&amp;col=11&amp;number=&amp;sourceID=30","")</f>
        <v/>
      </c>
      <c r="L540" s="4" t="str">
        <f>HYPERLINK("http://141.218.60.56/~jnz1568/getInfo.php?workbook=08_02.xlsx&amp;sheet=A0&amp;row=540&amp;col=12&amp;number=9.75e-13&amp;sourceID=30","9.75e-13")</f>
        <v>9.75e-13</v>
      </c>
      <c r="M540" s="4" t="str">
        <f>HYPERLINK("http://141.218.60.56/~jnz1568/getInfo.php?workbook=08_02.xlsx&amp;sheet=A0&amp;row=540&amp;col=13&amp;number=5.77e-07&amp;sourceID=30","5.77e-07")</f>
        <v>5.77e-07</v>
      </c>
      <c r="N540" s="4" t="str">
        <f>HYPERLINK("http://141.218.60.56/~jnz1568/getInfo.php?workbook=08_02.xlsx&amp;sheet=A0&amp;row=540&amp;col=14&amp;number=&amp;sourceID=30","")</f>
        <v/>
      </c>
      <c r="O540" s="4" t="str">
        <f>HYPERLINK("http://141.218.60.56/~jnz1568/getInfo.php?workbook=08_02.xlsx&amp;sheet=A0&amp;row=540&amp;col=15&amp;number=&amp;sourceID=32","")</f>
        <v/>
      </c>
      <c r="P540" s="4" t="str">
        <f>HYPERLINK("http://141.218.60.56/~jnz1568/getInfo.php?workbook=08_02.xlsx&amp;sheet=A0&amp;row=540&amp;col=16&amp;number=&amp;sourceID=32","")</f>
        <v/>
      </c>
      <c r="Q540" s="4" t="str">
        <f>HYPERLINK("http://141.218.60.56/~jnz1568/getInfo.php?workbook=08_02.xlsx&amp;sheet=A0&amp;row=540&amp;col=17&amp;number=&amp;sourceID=32","")</f>
        <v/>
      </c>
      <c r="R540" s="4" t="str">
        <f>HYPERLINK("http://141.218.60.56/~jnz1568/getInfo.php?workbook=08_02.xlsx&amp;sheet=A0&amp;row=540&amp;col=18&amp;number=&amp;sourceID=32","")</f>
        <v/>
      </c>
      <c r="S540" s="4" t="str">
        <f>HYPERLINK("http://141.218.60.56/~jnz1568/getInfo.php?workbook=08_02.xlsx&amp;sheet=A0&amp;row=540&amp;col=19&amp;number=&amp;sourceID=1","")</f>
        <v/>
      </c>
      <c r="T540" s="4" t="str">
        <f>HYPERLINK("http://141.218.60.56/~jnz1568/getInfo.php?workbook=08_02.xlsx&amp;sheet=A0&amp;row=540&amp;col=20&amp;number=&amp;sourceID=1","")</f>
        <v/>
      </c>
    </row>
    <row r="541" spans="1:20">
      <c r="A541" s="3">
        <v>8</v>
      </c>
      <c r="B541" s="3">
        <v>2</v>
      </c>
      <c r="C541" s="3">
        <v>37</v>
      </c>
      <c r="D541" s="3">
        <v>5</v>
      </c>
      <c r="E541" s="3">
        <f>((1/(INDEX(E0!J$4:J$52,C541,1)-INDEX(E0!J$4:J$52,D541,1))))*100000000</f>
        <v>0</v>
      </c>
      <c r="F541" s="4" t="str">
        <f>HYPERLINK("http://141.218.60.56/~jnz1568/getInfo.php?workbook=08_02.xlsx&amp;sheet=A0&amp;row=541&amp;col=6&amp;number=&amp;sourceID=27","")</f>
        <v/>
      </c>
      <c r="G541" s="4" t="str">
        <f>HYPERLINK("http://141.218.60.56/~jnz1568/getInfo.php?workbook=08_02.xlsx&amp;sheet=A0&amp;row=541&amp;col=7&amp;number=&amp;sourceID=34","")</f>
        <v/>
      </c>
      <c r="H541" s="4" t="str">
        <f>HYPERLINK("http://141.218.60.56/~jnz1568/getInfo.php?workbook=08_02.xlsx&amp;sheet=A0&amp;row=541&amp;col=8&amp;number=&amp;sourceID=34","")</f>
        <v/>
      </c>
      <c r="I541" s="4" t="str">
        <f>HYPERLINK("http://141.218.60.56/~jnz1568/getInfo.php?workbook=08_02.xlsx&amp;sheet=A0&amp;row=541&amp;col=9&amp;number=&amp;sourceID=34","")</f>
        <v/>
      </c>
      <c r="J541" s="4" t="str">
        <f>HYPERLINK("http://141.218.60.56/~jnz1568/getInfo.php?workbook=08_02.xlsx&amp;sheet=A0&amp;row=541&amp;col=10&amp;number=&amp;sourceID=34","")</f>
        <v/>
      </c>
      <c r="K541" s="4" t="str">
        <f>HYPERLINK("http://141.218.60.56/~jnz1568/getInfo.php?workbook=08_02.xlsx&amp;sheet=A0&amp;row=541&amp;col=11&amp;number=&amp;sourceID=30","")</f>
        <v/>
      </c>
      <c r="L541" s="4" t="str">
        <f>HYPERLINK("http://141.218.60.56/~jnz1568/getInfo.php?workbook=08_02.xlsx&amp;sheet=A0&amp;row=541&amp;col=12&amp;number=5480000&amp;sourceID=30","5480000")</f>
        <v>5480000</v>
      </c>
      <c r="M541" s="4" t="str">
        <f>HYPERLINK("http://141.218.60.56/~jnz1568/getInfo.php?workbook=08_02.xlsx&amp;sheet=A0&amp;row=541&amp;col=13&amp;number=&amp;sourceID=30","")</f>
        <v/>
      </c>
      <c r="N541" s="4" t="str">
        <f>HYPERLINK("http://141.218.60.56/~jnz1568/getInfo.php?workbook=08_02.xlsx&amp;sheet=A0&amp;row=541&amp;col=14&amp;number=&amp;sourceID=30","")</f>
        <v/>
      </c>
      <c r="O541" s="4" t="str">
        <f>HYPERLINK("http://141.218.60.56/~jnz1568/getInfo.php?workbook=08_02.xlsx&amp;sheet=A0&amp;row=541&amp;col=15&amp;number=&amp;sourceID=32","")</f>
        <v/>
      </c>
      <c r="P541" s="4" t="str">
        <f>HYPERLINK("http://141.218.60.56/~jnz1568/getInfo.php?workbook=08_02.xlsx&amp;sheet=A0&amp;row=541&amp;col=16&amp;number=&amp;sourceID=32","")</f>
        <v/>
      </c>
      <c r="Q541" s="4" t="str">
        <f>HYPERLINK("http://141.218.60.56/~jnz1568/getInfo.php?workbook=08_02.xlsx&amp;sheet=A0&amp;row=541&amp;col=17&amp;number=&amp;sourceID=32","")</f>
        <v/>
      </c>
      <c r="R541" s="4" t="str">
        <f>HYPERLINK("http://141.218.60.56/~jnz1568/getInfo.php?workbook=08_02.xlsx&amp;sheet=A0&amp;row=541&amp;col=18&amp;number=&amp;sourceID=32","")</f>
        <v/>
      </c>
      <c r="S541" s="4" t="str">
        <f>HYPERLINK("http://141.218.60.56/~jnz1568/getInfo.php?workbook=08_02.xlsx&amp;sheet=A0&amp;row=541&amp;col=19&amp;number=&amp;sourceID=1","")</f>
        <v/>
      </c>
      <c r="T541" s="4" t="str">
        <f>HYPERLINK("http://141.218.60.56/~jnz1568/getInfo.php?workbook=08_02.xlsx&amp;sheet=A0&amp;row=541&amp;col=20&amp;number=&amp;sourceID=1","")</f>
        <v/>
      </c>
    </row>
    <row r="542" spans="1:20">
      <c r="A542" s="3">
        <v>8</v>
      </c>
      <c r="B542" s="3">
        <v>2</v>
      </c>
      <c r="C542" s="3">
        <v>37</v>
      </c>
      <c r="D542" s="3">
        <v>11</v>
      </c>
      <c r="E542" s="3">
        <f>((1/(INDEX(E0!J$4:J$52,C542,1)-INDEX(E0!J$4:J$52,D542,1))))*100000000</f>
        <v>0</v>
      </c>
      <c r="F542" s="4" t="str">
        <f>HYPERLINK("http://141.218.60.56/~jnz1568/getInfo.php?workbook=08_02.xlsx&amp;sheet=A0&amp;row=542&amp;col=6&amp;number=&amp;sourceID=27","")</f>
        <v/>
      </c>
      <c r="G542" s="4" t="str">
        <f>HYPERLINK("http://141.218.60.56/~jnz1568/getInfo.php?workbook=08_02.xlsx&amp;sheet=A0&amp;row=542&amp;col=7&amp;number=&amp;sourceID=34","")</f>
        <v/>
      </c>
      <c r="H542" s="4" t="str">
        <f>HYPERLINK("http://141.218.60.56/~jnz1568/getInfo.php?workbook=08_02.xlsx&amp;sheet=A0&amp;row=542&amp;col=8&amp;number=&amp;sourceID=34","")</f>
        <v/>
      </c>
      <c r="I542" s="4" t="str">
        <f>HYPERLINK("http://141.218.60.56/~jnz1568/getInfo.php?workbook=08_02.xlsx&amp;sheet=A0&amp;row=542&amp;col=9&amp;number=&amp;sourceID=34","")</f>
        <v/>
      </c>
      <c r="J542" s="4" t="str">
        <f>HYPERLINK("http://141.218.60.56/~jnz1568/getInfo.php?workbook=08_02.xlsx&amp;sheet=A0&amp;row=542&amp;col=10&amp;number=&amp;sourceID=34","")</f>
        <v/>
      </c>
      <c r="K542" s="4" t="str">
        <f>HYPERLINK("http://141.218.60.56/~jnz1568/getInfo.php?workbook=08_02.xlsx&amp;sheet=A0&amp;row=542&amp;col=11&amp;number=&amp;sourceID=30","")</f>
        <v/>
      </c>
      <c r="L542" s="4" t="str">
        <f>HYPERLINK("http://141.218.60.56/~jnz1568/getInfo.php?workbook=08_02.xlsx&amp;sheet=A0&amp;row=542&amp;col=12&amp;number=7813&amp;sourceID=30","7813")</f>
        <v>7813</v>
      </c>
      <c r="M542" s="4" t="str">
        <f>HYPERLINK("http://141.218.60.56/~jnz1568/getInfo.php?workbook=08_02.xlsx&amp;sheet=A0&amp;row=542&amp;col=13&amp;number=&amp;sourceID=30","")</f>
        <v/>
      </c>
      <c r="N542" s="4" t="str">
        <f>HYPERLINK("http://141.218.60.56/~jnz1568/getInfo.php?workbook=08_02.xlsx&amp;sheet=A0&amp;row=542&amp;col=14&amp;number=&amp;sourceID=30","")</f>
        <v/>
      </c>
      <c r="O542" s="4" t="str">
        <f>HYPERLINK("http://141.218.60.56/~jnz1568/getInfo.php?workbook=08_02.xlsx&amp;sheet=A0&amp;row=542&amp;col=15&amp;number=&amp;sourceID=32","")</f>
        <v/>
      </c>
      <c r="P542" s="4" t="str">
        <f>HYPERLINK("http://141.218.60.56/~jnz1568/getInfo.php?workbook=08_02.xlsx&amp;sheet=A0&amp;row=542&amp;col=16&amp;number=&amp;sourceID=32","")</f>
        <v/>
      </c>
      <c r="Q542" s="4" t="str">
        <f>HYPERLINK("http://141.218.60.56/~jnz1568/getInfo.php?workbook=08_02.xlsx&amp;sheet=A0&amp;row=542&amp;col=17&amp;number=&amp;sourceID=32","")</f>
        <v/>
      </c>
      <c r="R542" s="4" t="str">
        <f>HYPERLINK("http://141.218.60.56/~jnz1568/getInfo.php?workbook=08_02.xlsx&amp;sheet=A0&amp;row=542&amp;col=18&amp;number=&amp;sourceID=32","")</f>
        <v/>
      </c>
      <c r="S542" s="4" t="str">
        <f>HYPERLINK("http://141.218.60.56/~jnz1568/getInfo.php?workbook=08_02.xlsx&amp;sheet=A0&amp;row=542&amp;col=19&amp;number=&amp;sourceID=1","")</f>
        <v/>
      </c>
      <c r="T542" s="4" t="str">
        <f>HYPERLINK("http://141.218.60.56/~jnz1568/getInfo.php?workbook=08_02.xlsx&amp;sheet=A0&amp;row=542&amp;col=20&amp;number=&amp;sourceID=1","")</f>
        <v/>
      </c>
    </row>
    <row r="543" spans="1:20">
      <c r="A543" s="3">
        <v>8</v>
      </c>
      <c r="B543" s="3">
        <v>2</v>
      </c>
      <c r="C543" s="3">
        <v>37</v>
      </c>
      <c r="D543" s="3">
        <v>14</v>
      </c>
      <c r="E543" s="3">
        <f>((1/(INDEX(E0!J$4:J$52,C543,1)-INDEX(E0!J$4:J$52,D543,1))))*100000000</f>
        <v>0</v>
      </c>
      <c r="F543" s="4" t="str">
        <f>HYPERLINK("http://141.218.60.56/~jnz1568/getInfo.php?workbook=08_02.xlsx&amp;sheet=A0&amp;row=543&amp;col=6&amp;number=&amp;sourceID=27","")</f>
        <v/>
      </c>
      <c r="G543" s="4" t="str">
        <f>HYPERLINK("http://141.218.60.56/~jnz1568/getInfo.php?workbook=08_02.xlsx&amp;sheet=A0&amp;row=543&amp;col=7&amp;number=&amp;sourceID=34","")</f>
        <v/>
      </c>
      <c r="H543" s="4" t="str">
        <f>HYPERLINK("http://141.218.60.56/~jnz1568/getInfo.php?workbook=08_02.xlsx&amp;sheet=A0&amp;row=543&amp;col=8&amp;number=&amp;sourceID=34","")</f>
        <v/>
      </c>
      <c r="I543" s="4" t="str">
        <f>HYPERLINK("http://141.218.60.56/~jnz1568/getInfo.php?workbook=08_02.xlsx&amp;sheet=A0&amp;row=543&amp;col=9&amp;number=&amp;sourceID=34","")</f>
        <v/>
      </c>
      <c r="J543" s="4" t="str">
        <f>HYPERLINK("http://141.218.60.56/~jnz1568/getInfo.php?workbook=08_02.xlsx&amp;sheet=A0&amp;row=543&amp;col=10&amp;number=&amp;sourceID=34","")</f>
        <v/>
      </c>
      <c r="K543" s="4" t="str">
        <f>HYPERLINK("http://141.218.60.56/~jnz1568/getInfo.php?workbook=08_02.xlsx&amp;sheet=A0&amp;row=543&amp;col=11&amp;number=&amp;sourceID=30","")</f>
        <v/>
      </c>
      <c r="L543" s="4" t="str">
        <f>HYPERLINK("http://141.218.60.56/~jnz1568/getInfo.php?workbook=08_02.xlsx&amp;sheet=A0&amp;row=543&amp;col=12&amp;number=&amp;sourceID=30","")</f>
        <v/>
      </c>
      <c r="M543" s="4" t="str">
        <f>HYPERLINK("http://141.218.60.56/~jnz1568/getInfo.php?workbook=08_02.xlsx&amp;sheet=A0&amp;row=543&amp;col=13&amp;number=&amp;sourceID=30","")</f>
        <v/>
      </c>
      <c r="N543" s="4" t="str">
        <f>HYPERLINK("http://141.218.60.56/~jnz1568/getInfo.php?workbook=08_02.xlsx&amp;sheet=A0&amp;row=543&amp;col=14&amp;number=1.039&amp;sourceID=30","1.039")</f>
        <v>1.039</v>
      </c>
      <c r="O543" s="4" t="str">
        <f>HYPERLINK("http://141.218.60.56/~jnz1568/getInfo.php?workbook=08_02.xlsx&amp;sheet=A0&amp;row=543&amp;col=15&amp;number=&amp;sourceID=32","")</f>
        <v/>
      </c>
      <c r="P543" s="4" t="str">
        <f>HYPERLINK("http://141.218.60.56/~jnz1568/getInfo.php?workbook=08_02.xlsx&amp;sheet=A0&amp;row=543&amp;col=16&amp;number=&amp;sourceID=32","")</f>
        <v/>
      </c>
      <c r="Q543" s="4" t="str">
        <f>HYPERLINK("http://141.218.60.56/~jnz1568/getInfo.php?workbook=08_02.xlsx&amp;sheet=A0&amp;row=543&amp;col=17&amp;number=&amp;sourceID=32","")</f>
        <v/>
      </c>
      <c r="R543" s="4" t="str">
        <f>HYPERLINK("http://141.218.60.56/~jnz1568/getInfo.php?workbook=08_02.xlsx&amp;sheet=A0&amp;row=543&amp;col=18&amp;number=&amp;sourceID=32","")</f>
        <v/>
      </c>
      <c r="S543" s="4" t="str">
        <f>HYPERLINK("http://141.218.60.56/~jnz1568/getInfo.php?workbook=08_02.xlsx&amp;sheet=A0&amp;row=543&amp;col=19&amp;number=&amp;sourceID=1","")</f>
        <v/>
      </c>
      <c r="T543" s="4" t="str">
        <f>HYPERLINK("http://141.218.60.56/~jnz1568/getInfo.php?workbook=08_02.xlsx&amp;sheet=A0&amp;row=543&amp;col=20&amp;number=&amp;sourceID=1","")</f>
        <v/>
      </c>
    </row>
    <row r="544" spans="1:20">
      <c r="A544" s="3">
        <v>8</v>
      </c>
      <c r="B544" s="3">
        <v>2</v>
      </c>
      <c r="C544" s="3">
        <v>37</v>
      </c>
      <c r="D544" s="3">
        <v>15</v>
      </c>
      <c r="E544" s="3">
        <f>((1/(INDEX(E0!J$4:J$52,C544,1)-INDEX(E0!J$4:J$52,D544,1))))*100000000</f>
        <v>0</v>
      </c>
      <c r="F544" s="4" t="str">
        <f>HYPERLINK("http://141.218.60.56/~jnz1568/getInfo.php?workbook=08_02.xlsx&amp;sheet=A0&amp;row=544&amp;col=6&amp;number=&amp;sourceID=27","")</f>
        <v/>
      </c>
      <c r="G544" s="4" t="str">
        <f>HYPERLINK("http://141.218.60.56/~jnz1568/getInfo.php?workbook=08_02.xlsx&amp;sheet=A0&amp;row=544&amp;col=7&amp;number=&amp;sourceID=34","")</f>
        <v/>
      </c>
      <c r="H544" s="4" t="str">
        <f>HYPERLINK("http://141.218.60.56/~jnz1568/getInfo.php?workbook=08_02.xlsx&amp;sheet=A0&amp;row=544&amp;col=8&amp;number=&amp;sourceID=34","")</f>
        <v/>
      </c>
      <c r="I544" s="4" t="str">
        <f>HYPERLINK("http://141.218.60.56/~jnz1568/getInfo.php?workbook=08_02.xlsx&amp;sheet=A0&amp;row=544&amp;col=9&amp;number=&amp;sourceID=34","")</f>
        <v/>
      </c>
      <c r="J544" s="4" t="str">
        <f>HYPERLINK("http://141.218.60.56/~jnz1568/getInfo.php?workbook=08_02.xlsx&amp;sheet=A0&amp;row=544&amp;col=10&amp;number=&amp;sourceID=34","")</f>
        <v/>
      </c>
      <c r="K544" s="4" t="str">
        <f>HYPERLINK("http://141.218.60.56/~jnz1568/getInfo.php?workbook=08_02.xlsx&amp;sheet=A0&amp;row=544&amp;col=11&amp;number=10940000000&amp;sourceID=30","10940000000")</f>
        <v>10940000000</v>
      </c>
      <c r="L544" s="4" t="str">
        <f>HYPERLINK("http://141.218.60.56/~jnz1568/getInfo.php?workbook=08_02.xlsx&amp;sheet=A0&amp;row=544&amp;col=12&amp;number=&amp;sourceID=30","")</f>
        <v/>
      </c>
      <c r="M544" s="4" t="str">
        <f>HYPERLINK("http://141.218.60.56/~jnz1568/getInfo.php?workbook=08_02.xlsx&amp;sheet=A0&amp;row=544&amp;col=13&amp;number=&amp;sourceID=30","")</f>
        <v/>
      </c>
      <c r="N544" s="4" t="str">
        <f>HYPERLINK("http://141.218.60.56/~jnz1568/getInfo.php?workbook=08_02.xlsx&amp;sheet=A0&amp;row=544&amp;col=14&amp;number=32.08&amp;sourceID=30","32.08")</f>
        <v>32.08</v>
      </c>
      <c r="O544" s="4" t="str">
        <f>HYPERLINK("http://141.218.60.56/~jnz1568/getInfo.php?workbook=08_02.xlsx&amp;sheet=A0&amp;row=544&amp;col=15&amp;number=&amp;sourceID=32","")</f>
        <v/>
      </c>
      <c r="P544" s="4" t="str">
        <f>HYPERLINK("http://141.218.60.56/~jnz1568/getInfo.php?workbook=08_02.xlsx&amp;sheet=A0&amp;row=544&amp;col=16&amp;number=&amp;sourceID=32","")</f>
        <v/>
      </c>
      <c r="Q544" s="4" t="str">
        <f>HYPERLINK("http://141.218.60.56/~jnz1568/getInfo.php?workbook=08_02.xlsx&amp;sheet=A0&amp;row=544&amp;col=17&amp;number=&amp;sourceID=32","")</f>
        <v/>
      </c>
      <c r="R544" s="4" t="str">
        <f>HYPERLINK("http://141.218.60.56/~jnz1568/getInfo.php?workbook=08_02.xlsx&amp;sheet=A0&amp;row=544&amp;col=18&amp;number=&amp;sourceID=32","")</f>
        <v/>
      </c>
      <c r="S544" s="4" t="str">
        <f>HYPERLINK("http://141.218.60.56/~jnz1568/getInfo.php?workbook=08_02.xlsx&amp;sheet=A0&amp;row=544&amp;col=19&amp;number=&amp;sourceID=1","")</f>
        <v/>
      </c>
      <c r="T544" s="4" t="str">
        <f>HYPERLINK("http://141.218.60.56/~jnz1568/getInfo.php?workbook=08_02.xlsx&amp;sheet=A0&amp;row=544&amp;col=20&amp;number=&amp;sourceID=1","")</f>
        <v/>
      </c>
    </row>
    <row r="545" spans="1:20">
      <c r="A545" s="3">
        <v>8</v>
      </c>
      <c r="B545" s="3">
        <v>2</v>
      </c>
      <c r="C545" s="3">
        <v>37</v>
      </c>
      <c r="D545" s="3">
        <v>16</v>
      </c>
      <c r="E545" s="3">
        <f>((1/(INDEX(E0!J$4:J$52,C545,1)-INDEX(E0!J$4:J$52,D545,1))))*100000000</f>
        <v>0</v>
      </c>
      <c r="F545" s="4" t="str">
        <f>HYPERLINK("http://141.218.60.56/~jnz1568/getInfo.php?workbook=08_02.xlsx&amp;sheet=A0&amp;row=545&amp;col=6&amp;number=&amp;sourceID=27","")</f>
        <v/>
      </c>
      <c r="G545" s="4" t="str">
        <f>HYPERLINK("http://141.218.60.56/~jnz1568/getInfo.php?workbook=08_02.xlsx&amp;sheet=A0&amp;row=545&amp;col=7&amp;number=&amp;sourceID=34","")</f>
        <v/>
      </c>
      <c r="H545" s="4" t="str">
        <f>HYPERLINK("http://141.218.60.56/~jnz1568/getInfo.php?workbook=08_02.xlsx&amp;sheet=A0&amp;row=545&amp;col=8&amp;number=&amp;sourceID=34","")</f>
        <v/>
      </c>
      <c r="I545" s="4" t="str">
        <f>HYPERLINK("http://141.218.60.56/~jnz1568/getInfo.php?workbook=08_02.xlsx&amp;sheet=A0&amp;row=545&amp;col=9&amp;number=&amp;sourceID=34","")</f>
        <v/>
      </c>
      <c r="J545" s="4" t="str">
        <f>HYPERLINK("http://141.218.60.56/~jnz1568/getInfo.php?workbook=08_02.xlsx&amp;sheet=A0&amp;row=545&amp;col=10&amp;number=&amp;sourceID=34","")</f>
        <v/>
      </c>
      <c r="K545" s="4" t="str">
        <f>HYPERLINK("http://141.218.60.56/~jnz1568/getInfo.php?workbook=08_02.xlsx&amp;sheet=A0&amp;row=545&amp;col=11&amp;number=&amp;sourceID=30","")</f>
        <v/>
      </c>
      <c r="L545" s="4" t="str">
        <f>HYPERLINK("http://141.218.60.56/~jnz1568/getInfo.php?workbook=08_02.xlsx&amp;sheet=A0&amp;row=545&amp;col=12&amp;number=&amp;sourceID=30","")</f>
        <v/>
      </c>
      <c r="M545" s="4" t="str">
        <f>HYPERLINK("http://141.218.60.56/~jnz1568/getInfo.php?workbook=08_02.xlsx&amp;sheet=A0&amp;row=545&amp;col=13&amp;number=&amp;sourceID=30","")</f>
        <v/>
      </c>
      <c r="N545" s="4" t="str">
        <f>HYPERLINK("http://141.218.60.56/~jnz1568/getInfo.php?workbook=08_02.xlsx&amp;sheet=A0&amp;row=545&amp;col=14&amp;number=6.528&amp;sourceID=30","6.528")</f>
        <v>6.528</v>
      </c>
      <c r="O545" s="4" t="str">
        <f>HYPERLINK("http://141.218.60.56/~jnz1568/getInfo.php?workbook=08_02.xlsx&amp;sheet=A0&amp;row=545&amp;col=15&amp;number=&amp;sourceID=32","")</f>
        <v/>
      </c>
      <c r="P545" s="4" t="str">
        <f>HYPERLINK("http://141.218.60.56/~jnz1568/getInfo.php?workbook=08_02.xlsx&amp;sheet=A0&amp;row=545&amp;col=16&amp;number=&amp;sourceID=32","")</f>
        <v/>
      </c>
      <c r="Q545" s="4" t="str">
        <f>HYPERLINK("http://141.218.60.56/~jnz1568/getInfo.php?workbook=08_02.xlsx&amp;sheet=A0&amp;row=545&amp;col=17&amp;number=&amp;sourceID=32","")</f>
        <v/>
      </c>
      <c r="R545" s="4" t="str">
        <f>HYPERLINK("http://141.218.60.56/~jnz1568/getInfo.php?workbook=08_02.xlsx&amp;sheet=A0&amp;row=545&amp;col=18&amp;number=&amp;sourceID=32","")</f>
        <v/>
      </c>
      <c r="S545" s="4" t="str">
        <f>HYPERLINK("http://141.218.60.56/~jnz1568/getInfo.php?workbook=08_02.xlsx&amp;sheet=A0&amp;row=545&amp;col=19&amp;number=&amp;sourceID=1","")</f>
        <v/>
      </c>
      <c r="T545" s="4" t="str">
        <f>HYPERLINK("http://141.218.60.56/~jnz1568/getInfo.php?workbook=08_02.xlsx&amp;sheet=A0&amp;row=545&amp;col=20&amp;number=&amp;sourceID=1","")</f>
        <v/>
      </c>
    </row>
    <row r="546" spans="1:20">
      <c r="A546" s="3">
        <v>8</v>
      </c>
      <c r="B546" s="3">
        <v>2</v>
      </c>
      <c r="C546" s="3">
        <v>37</v>
      </c>
      <c r="D546" s="3">
        <v>21</v>
      </c>
      <c r="E546" s="3">
        <f>((1/(INDEX(E0!J$4:J$52,C546,1)-INDEX(E0!J$4:J$52,D546,1))))*100000000</f>
        <v>0</v>
      </c>
      <c r="F546" s="4" t="str">
        <f>HYPERLINK("http://141.218.60.56/~jnz1568/getInfo.php?workbook=08_02.xlsx&amp;sheet=A0&amp;row=546&amp;col=6&amp;number=&amp;sourceID=27","")</f>
        <v/>
      </c>
      <c r="G546" s="4" t="str">
        <f>HYPERLINK("http://141.218.60.56/~jnz1568/getInfo.php?workbook=08_02.xlsx&amp;sheet=A0&amp;row=546&amp;col=7&amp;number=&amp;sourceID=34","")</f>
        <v/>
      </c>
      <c r="H546" s="4" t="str">
        <f>HYPERLINK("http://141.218.60.56/~jnz1568/getInfo.php?workbook=08_02.xlsx&amp;sheet=A0&amp;row=546&amp;col=8&amp;number=&amp;sourceID=34","")</f>
        <v/>
      </c>
      <c r="I546" s="4" t="str">
        <f>HYPERLINK("http://141.218.60.56/~jnz1568/getInfo.php?workbook=08_02.xlsx&amp;sheet=A0&amp;row=546&amp;col=9&amp;number=&amp;sourceID=34","")</f>
        <v/>
      </c>
      <c r="J546" s="4" t="str">
        <f>HYPERLINK("http://141.218.60.56/~jnz1568/getInfo.php?workbook=08_02.xlsx&amp;sheet=A0&amp;row=546&amp;col=10&amp;number=&amp;sourceID=34","")</f>
        <v/>
      </c>
      <c r="K546" s="4" t="str">
        <f>HYPERLINK("http://141.218.60.56/~jnz1568/getInfo.php?workbook=08_02.xlsx&amp;sheet=A0&amp;row=546&amp;col=11&amp;number=&amp;sourceID=30","")</f>
        <v/>
      </c>
      <c r="L546" s="4" t="str">
        <f>HYPERLINK("http://141.218.60.56/~jnz1568/getInfo.php?workbook=08_02.xlsx&amp;sheet=A0&amp;row=546&amp;col=12&amp;number=118900&amp;sourceID=30","118900")</f>
        <v>118900</v>
      </c>
      <c r="M546" s="4" t="str">
        <f>HYPERLINK("http://141.218.60.56/~jnz1568/getInfo.php?workbook=08_02.xlsx&amp;sheet=A0&amp;row=546&amp;col=13&amp;number=&amp;sourceID=30","")</f>
        <v/>
      </c>
      <c r="N546" s="4" t="str">
        <f>HYPERLINK("http://141.218.60.56/~jnz1568/getInfo.php?workbook=08_02.xlsx&amp;sheet=A0&amp;row=546&amp;col=14&amp;number=&amp;sourceID=30","")</f>
        <v/>
      </c>
      <c r="O546" s="4" t="str">
        <f>HYPERLINK("http://141.218.60.56/~jnz1568/getInfo.php?workbook=08_02.xlsx&amp;sheet=A0&amp;row=546&amp;col=15&amp;number=&amp;sourceID=32","")</f>
        <v/>
      </c>
      <c r="P546" s="4" t="str">
        <f>HYPERLINK("http://141.218.60.56/~jnz1568/getInfo.php?workbook=08_02.xlsx&amp;sheet=A0&amp;row=546&amp;col=16&amp;number=&amp;sourceID=32","")</f>
        <v/>
      </c>
      <c r="Q546" s="4" t="str">
        <f>HYPERLINK("http://141.218.60.56/~jnz1568/getInfo.php?workbook=08_02.xlsx&amp;sheet=A0&amp;row=546&amp;col=17&amp;number=&amp;sourceID=32","")</f>
        <v/>
      </c>
      <c r="R546" s="4" t="str">
        <f>HYPERLINK("http://141.218.60.56/~jnz1568/getInfo.php?workbook=08_02.xlsx&amp;sheet=A0&amp;row=546&amp;col=18&amp;number=&amp;sourceID=32","")</f>
        <v/>
      </c>
      <c r="S546" s="4" t="str">
        <f>HYPERLINK("http://141.218.60.56/~jnz1568/getInfo.php?workbook=08_02.xlsx&amp;sheet=A0&amp;row=546&amp;col=19&amp;number=&amp;sourceID=1","")</f>
        <v/>
      </c>
      <c r="T546" s="4" t="str">
        <f>HYPERLINK("http://141.218.60.56/~jnz1568/getInfo.php?workbook=08_02.xlsx&amp;sheet=A0&amp;row=546&amp;col=20&amp;number=&amp;sourceID=1","")</f>
        <v/>
      </c>
    </row>
    <row r="547" spans="1:20">
      <c r="A547" s="3">
        <v>8</v>
      </c>
      <c r="B547" s="3">
        <v>2</v>
      </c>
      <c r="C547" s="3">
        <v>37</v>
      </c>
      <c r="D547" s="3">
        <v>24</v>
      </c>
      <c r="E547" s="3">
        <f>((1/(INDEX(E0!J$4:J$52,C547,1)-INDEX(E0!J$4:J$52,D547,1))))*100000000</f>
        <v>0</v>
      </c>
      <c r="F547" s="4" t="str">
        <f>HYPERLINK("http://141.218.60.56/~jnz1568/getInfo.php?workbook=08_02.xlsx&amp;sheet=A0&amp;row=547&amp;col=6&amp;number=&amp;sourceID=27","")</f>
        <v/>
      </c>
      <c r="G547" s="4" t="str">
        <f>HYPERLINK("http://141.218.60.56/~jnz1568/getInfo.php?workbook=08_02.xlsx&amp;sheet=A0&amp;row=547&amp;col=7&amp;number=&amp;sourceID=34","")</f>
        <v/>
      </c>
      <c r="H547" s="4" t="str">
        <f>HYPERLINK("http://141.218.60.56/~jnz1568/getInfo.php?workbook=08_02.xlsx&amp;sheet=A0&amp;row=547&amp;col=8&amp;number=&amp;sourceID=34","")</f>
        <v/>
      </c>
      <c r="I547" s="4" t="str">
        <f>HYPERLINK("http://141.218.60.56/~jnz1568/getInfo.php?workbook=08_02.xlsx&amp;sheet=A0&amp;row=547&amp;col=9&amp;number=&amp;sourceID=34","")</f>
        <v/>
      </c>
      <c r="J547" s="4" t="str">
        <f>HYPERLINK("http://141.218.60.56/~jnz1568/getInfo.php?workbook=08_02.xlsx&amp;sheet=A0&amp;row=547&amp;col=10&amp;number=&amp;sourceID=34","")</f>
        <v/>
      </c>
      <c r="K547" s="4" t="str">
        <f>HYPERLINK("http://141.218.60.56/~jnz1568/getInfo.php?workbook=08_02.xlsx&amp;sheet=A0&amp;row=547&amp;col=11&amp;number=&amp;sourceID=30","")</f>
        <v/>
      </c>
      <c r="L547" s="4" t="str">
        <f>HYPERLINK("http://141.218.60.56/~jnz1568/getInfo.php?workbook=08_02.xlsx&amp;sheet=A0&amp;row=547&amp;col=12&amp;number=&amp;sourceID=30","")</f>
        <v/>
      </c>
      <c r="M547" s="4" t="str">
        <f>HYPERLINK("http://141.218.60.56/~jnz1568/getInfo.php?workbook=08_02.xlsx&amp;sheet=A0&amp;row=547&amp;col=13&amp;number=&amp;sourceID=30","")</f>
        <v/>
      </c>
      <c r="N547" s="4" t="str">
        <f>HYPERLINK("http://141.218.60.56/~jnz1568/getInfo.php?workbook=08_02.xlsx&amp;sheet=A0&amp;row=547&amp;col=14&amp;number=0.05197&amp;sourceID=30","0.05197")</f>
        <v>0.05197</v>
      </c>
      <c r="O547" s="4" t="str">
        <f>HYPERLINK("http://141.218.60.56/~jnz1568/getInfo.php?workbook=08_02.xlsx&amp;sheet=A0&amp;row=547&amp;col=15&amp;number=&amp;sourceID=32","")</f>
        <v/>
      </c>
      <c r="P547" s="4" t="str">
        <f>HYPERLINK("http://141.218.60.56/~jnz1568/getInfo.php?workbook=08_02.xlsx&amp;sheet=A0&amp;row=547&amp;col=16&amp;number=&amp;sourceID=32","")</f>
        <v/>
      </c>
      <c r="Q547" s="4" t="str">
        <f>HYPERLINK("http://141.218.60.56/~jnz1568/getInfo.php?workbook=08_02.xlsx&amp;sheet=A0&amp;row=547&amp;col=17&amp;number=&amp;sourceID=32","")</f>
        <v/>
      </c>
      <c r="R547" s="4" t="str">
        <f>HYPERLINK("http://141.218.60.56/~jnz1568/getInfo.php?workbook=08_02.xlsx&amp;sheet=A0&amp;row=547&amp;col=18&amp;number=&amp;sourceID=32","")</f>
        <v/>
      </c>
      <c r="S547" s="4" t="str">
        <f>HYPERLINK("http://141.218.60.56/~jnz1568/getInfo.php?workbook=08_02.xlsx&amp;sheet=A0&amp;row=547&amp;col=19&amp;number=&amp;sourceID=1","")</f>
        <v/>
      </c>
      <c r="T547" s="4" t="str">
        <f>HYPERLINK("http://141.218.60.56/~jnz1568/getInfo.php?workbook=08_02.xlsx&amp;sheet=A0&amp;row=547&amp;col=20&amp;number=&amp;sourceID=1","")</f>
        <v/>
      </c>
    </row>
    <row r="548" spans="1:20">
      <c r="A548" s="3">
        <v>8</v>
      </c>
      <c r="B548" s="3">
        <v>2</v>
      </c>
      <c r="C548" s="3">
        <v>37</v>
      </c>
      <c r="D548" s="3">
        <v>25</v>
      </c>
      <c r="E548" s="3">
        <f>((1/(INDEX(E0!J$4:J$52,C548,1)-INDEX(E0!J$4:J$52,D548,1))))*100000000</f>
        <v>0</v>
      </c>
      <c r="F548" s="4" t="str">
        <f>HYPERLINK("http://141.218.60.56/~jnz1568/getInfo.php?workbook=08_02.xlsx&amp;sheet=A0&amp;row=548&amp;col=6&amp;number=&amp;sourceID=27","")</f>
        <v/>
      </c>
      <c r="G548" s="4" t="str">
        <f>HYPERLINK("http://141.218.60.56/~jnz1568/getInfo.php?workbook=08_02.xlsx&amp;sheet=A0&amp;row=548&amp;col=7&amp;number=&amp;sourceID=34","")</f>
        <v/>
      </c>
      <c r="H548" s="4" t="str">
        <f>HYPERLINK("http://141.218.60.56/~jnz1568/getInfo.php?workbook=08_02.xlsx&amp;sheet=A0&amp;row=548&amp;col=8&amp;number=&amp;sourceID=34","")</f>
        <v/>
      </c>
      <c r="I548" s="4" t="str">
        <f>HYPERLINK("http://141.218.60.56/~jnz1568/getInfo.php?workbook=08_02.xlsx&amp;sheet=A0&amp;row=548&amp;col=9&amp;number=&amp;sourceID=34","")</f>
        <v/>
      </c>
      <c r="J548" s="4" t="str">
        <f>HYPERLINK("http://141.218.60.56/~jnz1568/getInfo.php?workbook=08_02.xlsx&amp;sheet=A0&amp;row=548&amp;col=10&amp;number=&amp;sourceID=34","")</f>
        <v/>
      </c>
      <c r="K548" s="4" t="str">
        <f>HYPERLINK("http://141.218.60.56/~jnz1568/getInfo.php?workbook=08_02.xlsx&amp;sheet=A0&amp;row=548&amp;col=11&amp;number=&amp;sourceID=30","")</f>
        <v/>
      </c>
      <c r="L548" s="4" t="str">
        <f>HYPERLINK("http://141.218.60.56/~jnz1568/getInfo.php?workbook=08_02.xlsx&amp;sheet=A0&amp;row=548&amp;col=12&amp;number=14730&amp;sourceID=30","14730")</f>
        <v>14730</v>
      </c>
      <c r="M548" s="4" t="str">
        <f>HYPERLINK("http://141.218.60.56/~jnz1568/getInfo.php?workbook=08_02.xlsx&amp;sheet=A0&amp;row=548&amp;col=13&amp;number=0.0008303&amp;sourceID=30","0.0008303")</f>
        <v>0.0008303</v>
      </c>
      <c r="N548" s="4" t="str">
        <f>HYPERLINK("http://141.218.60.56/~jnz1568/getInfo.php?workbook=08_02.xlsx&amp;sheet=A0&amp;row=548&amp;col=14&amp;number=&amp;sourceID=30","")</f>
        <v/>
      </c>
      <c r="O548" s="4" t="str">
        <f>HYPERLINK("http://141.218.60.56/~jnz1568/getInfo.php?workbook=08_02.xlsx&amp;sheet=A0&amp;row=548&amp;col=15&amp;number=&amp;sourceID=32","")</f>
        <v/>
      </c>
      <c r="P548" s="4" t="str">
        <f>HYPERLINK("http://141.218.60.56/~jnz1568/getInfo.php?workbook=08_02.xlsx&amp;sheet=A0&amp;row=548&amp;col=16&amp;number=&amp;sourceID=32","")</f>
        <v/>
      </c>
      <c r="Q548" s="4" t="str">
        <f>HYPERLINK("http://141.218.60.56/~jnz1568/getInfo.php?workbook=08_02.xlsx&amp;sheet=A0&amp;row=548&amp;col=17&amp;number=&amp;sourceID=32","")</f>
        <v/>
      </c>
      <c r="R548" s="4" t="str">
        <f>HYPERLINK("http://141.218.60.56/~jnz1568/getInfo.php?workbook=08_02.xlsx&amp;sheet=A0&amp;row=548&amp;col=18&amp;number=&amp;sourceID=32","")</f>
        <v/>
      </c>
      <c r="S548" s="4" t="str">
        <f>HYPERLINK("http://141.218.60.56/~jnz1568/getInfo.php?workbook=08_02.xlsx&amp;sheet=A0&amp;row=548&amp;col=19&amp;number=&amp;sourceID=1","")</f>
        <v/>
      </c>
      <c r="T548" s="4" t="str">
        <f>HYPERLINK("http://141.218.60.56/~jnz1568/getInfo.php?workbook=08_02.xlsx&amp;sheet=A0&amp;row=548&amp;col=20&amp;number=&amp;sourceID=1","")</f>
        <v/>
      </c>
    </row>
    <row r="549" spans="1:20">
      <c r="A549" s="3">
        <v>8</v>
      </c>
      <c r="B549" s="3">
        <v>2</v>
      </c>
      <c r="C549" s="3">
        <v>37</v>
      </c>
      <c r="D549" s="3">
        <v>26</v>
      </c>
      <c r="E549" s="3">
        <f>((1/(INDEX(E0!J$4:J$52,C549,1)-INDEX(E0!J$4:J$52,D549,1))))*100000000</f>
        <v>0</v>
      </c>
      <c r="F549" s="4" t="str">
        <f>HYPERLINK("http://141.218.60.56/~jnz1568/getInfo.php?workbook=08_02.xlsx&amp;sheet=A0&amp;row=549&amp;col=6&amp;number=&amp;sourceID=27","")</f>
        <v/>
      </c>
      <c r="G549" s="4" t="str">
        <f>HYPERLINK("http://141.218.60.56/~jnz1568/getInfo.php?workbook=08_02.xlsx&amp;sheet=A0&amp;row=549&amp;col=7&amp;number=&amp;sourceID=34","")</f>
        <v/>
      </c>
      <c r="H549" s="4" t="str">
        <f>HYPERLINK("http://141.218.60.56/~jnz1568/getInfo.php?workbook=08_02.xlsx&amp;sheet=A0&amp;row=549&amp;col=8&amp;number=&amp;sourceID=34","")</f>
        <v/>
      </c>
      <c r="I549" s="4" t="str">
        <f>HYPERLINK("http://141.218.60.56/~jnz1568/getInfo.php?workbook=08_02.xlsx&amp;sheet=A0&amp;row=549&amp;col=9&amp;number=&amp;sourceID=34","")</f>
        <v/>
      </c>
      <c r="J549" s="4" t="str">
        <f>HYPERLINK("http://141.218.60.56/~jnz1568/getInfo.php?workbook=08_02.xlsx&amp;sheet=A0&amp;row=549&amp;col=10&amp;number=&amp;sourceID=34","")</f>
        <v/>
      </c>
      <c r="K549" s="4" t="str">
        <f>HYPERLINK("http://141.218.60.56/~jnz1568/getInfo.php?workbook=08_02.xlsx&amp;sheet=A0&amp;row=549&amp;col=11&amp;number=6206000000&amp;sourceID=30","6206000000")</f>
        <v>6206000000</v>
      </c>
      <c r="L549" s="4" t="str">
        <f>HYPERLINK("http://141.218.60.56/~jnz1568/getInfo.php?workbook=08_02.xlsx&amp;sheet=A0&amp;row=549&amp;col=12&amp;number=&amp;sourceID=30","")</f>
        <v/>
      </c>
      <c r="M549" s="4" t="str">
        <f>HYPERLINK("http://141.218.60.56/~jnz1568/getInfo.php?workbook=08_02.xlsx&amp;sheet=A0&amp;row=549&amp;col=13&amp;number=&amp;sourceID=30","")</f>
        <v/>
      </c>
      <c r="N549" s="4" t="str">
        <f>HYPERLINK("http://141.218.60.56/~jnz1568/getInfo.php?workbook=08_02.xlsx&amp;sheet=A0&amp;row=549&amp;col=14&amp;number=1.825&amp;sourceID=30","1.825")</f>
        <v>1.825</v>
      </c>
      <c r="O549" s="4" t="str">
        <f>HYPERLINK("http://141.218.60.56/~jnz1568/getInfo.php?workbook=08_02.xlsx&amp;sheet=A0&amp;row=549&amp;col=15&amp;number=&amp;sourceID=32","")</f>
        <v/>
      </c>
      <c r="P549" s="4" t="str">
        <f>HYPERLINK("http://141.218.60.56/~jnz1568/getInfo.php?workbook=08_02.xlsx&amp;sheet=A0&amp;row=549&amp;col=16&amp;number=&amp;sourceID=32","")</f>
        <v/>
      </c>
      <c r="Q549" s="4" t="str">
        <f>HYPERLINK("http://141.218.60.56/~jnz1568/getInfo.php?workbook=08_02.xlsx&amp;sheet=A0&amp;row=549&amp;col=17&amp;number=&amp;sourceID=32","")</f>
        <v/>
      </c>
      <c r="R549" s="4" t="str">
        <f>HYPERLINK("http://141.218.60.56/~jnz1568/getInfo.php?workbook=08_02.xlsx&amp;sheet=A0&amp;row=549&amp;col=18&amp;number=&amp;sourceID=32","")</f>
        <v/>
      </c>
      <c r="S549" s="4" t="str">
        <f>HYPERLINK("http://141.218.60.56/~jnz1568/getInfo.php?workbook=08_02.xlsx&amp;sheet=A0&amp;row=549&amp;col=19&amp;number=&amp;sourceID=1","")</f>
        <v/>
      </c>
      <c r="T549" s="4" t="str">
        <f>HYPERLINK("http://141.218.60.56/~jnz1568/getInfo.php?workbook=08_02.xlsx&amp;sheet=A0&amp;row=549&amp;col=20&amp;number=&amp;sourceID=1","")</f>
        <v/>
      </c>
    </row>
    <row r="550" spans="1:20">
      <c r="A550" s="3">
        <v>8</v>
      </c>
      <c r="B550" s="3">
        <v>2</v>
      </c>
      <c r="C550" s="3">
        <v>37</v>
      </c>
      <c r="D550" s="3">
        <v>27</v>
      </c>
      <c r="E550" s="3">
        <f>((1/(INDEX(E0!J$4:J$52,C550,1)-INDEX(E0!J$4:J$52,D550,1))))*100000000</f>
        <v>0</v>
      </c>
      <c r="F550" s="4" t="str">
        <f>HYPERLINK("http://141.218.60.56/~jnz1568/getInfo.php?workbook=08_02.xlsx&amp;sheet=A0&amp;row=550&amp;col=6&amp;number=&amp;sourceID=27","")</f>
        <v/>
      </c>
      <c r="G550" s="4" t="str">
        <f>HYPERLINK("http://141.218.60.56/~jnz1568/getInfo.php?workbook=08_02.xlsx&amp;sheet=A0&amp;row=550&amp;col=7&amp;number=&amp;sourceID=34","")</f>
        <v/>
      </c>
      <c r="H550" s="4" t="str">
        <f>HYPERLINK("http://141.218.60.56/~jnz1568/getInfo.php?workbook=08_02.xlsx&amp;sheet=A0&amp;row=550&amp;col=8&amp;number=&amp;sourceID=34","")</f>
        <v/>
      </c>
      <c r="I550" s="4" t="str">
        <f>HYPERLINK("http://141.218.60.56/~jnz1568/getInfo.php?workbook=08_02.xlsx&amp;sheet=A0&amp;row=550&amp;col=9&amp;number=&amp;sourceID=34","")</f>
        <v/>
      </c>
      <c r="J550" s="4" t="str">
        <f>HYPERLINK("http://141.218.60.56/~jnz1568/getInfo.php?workbook=08_02.xlsx&amp;sheet=A0&amp;row=550&amp;col=10&amp;number=&amp;sourceID=34","")</f>
        <v/>
      </c>
      <c r="K550" s="4" t="str">
        <f>HYPERLINK("http://141.218.60.56/~jnz1568/getInfo.php?workbook=08_02.xlsx&amp;sheet=A0&amp;row=550&amp;col=11&amp;number=&amp;sourceID=30","")</f>
        <v/>
      </c>
      <c r="L550" s="4" t="str">
        <f>HYPERLINK("http://141.218.60.56/~jnz1568/getInfo.php?workbook=08_02.xlsx&amp;sheet=A0&amp;row=550&amp;col=12&amp;number=1921&amp;sourceID=30","1921")</f>
        <v>1921</v>
      </c>
      <c r="M550" s="4" t="str">
        <f>HYPERLINK("http://141.218.60.56/~jnz1568/getInfo.php?workbook=08_02.xlsx&amp;sheet=A0&amp;row=550&amp;col=13&amp;number=8.935e-05&amp;sourceID=30","8.935e-05")</f>
        <v>8.935e-05</v>
      </c>
      <c r="N550" s="4" t="str">
        <f>HYPERLINK("http://141.218.60.56/~jnz1568/getInfo.php?workbook=08_02.xlsx&amp;sheet=A0&amp;row=550&amp;col=14&amp;number=&amp;sourceID=30","")</f>
        <v/>
      </c>
      <c r="O550" s="4" t="str">
        <f>HYPERLINK("http://141.218.60.56/~jnz1568/getInfo.php?workbook=08_02.xlsx&amp;sheet=A0&amp;row=550&amp;col=15&amp;number=&amp;sourceID=32","")</f>
        <v/>
      </c>
      <c r="P550" s="4" t="str">
        <f>HYPERLINK("http://141.218.60.56/~jnz1568/getInfo.php?workbook=08_02.xlsx&amp;sheet=A0&amp;row=550&amp;col=16&amp;number=&amp;sourceID=32","")</f>
        <v/>
      </c>
      <c r="Q550" s="4" t="str">
        <f>HYPERLINK("http://141.218.60.56/~jnz1568/getInfo.php?workbook=08_02.xlsx&amp;sheet=A0&amp;row=550&amp;col=17&amp;number=&amp;sourceID=32","")</f>
        <v/>
      </c>
      <c r="R550" s="4" t="str">
        <f>HYPERLINK("http://141.218.60.56/~jnz1568/getInfo.php?workbook=08_02.xlsx&amp;sheet=A0&amp;row=550&amp;col=18&amp;number=&amp;sourceID=32","")</f>
        <v/>
      </c>
      <c r="S550" s="4" t="str">
        <f>HYPERLINK("http://141.218.60.56/~jnz1568/getInfo.php?workbook=08_02.xlsx&amp;sheet=A0&amp;row=550&amp;col=19&amp;number=&amp;sourceID=1","")</f>
        <v/>
      </c>
      <c r="T550" s="4" t="str">
        <f>HYPERLINK("http://141.218.60.56/~jnz1568/getInfo.php?workbook=08_02.xlsx&amp;sheet=A0&amp;row=550&amp;col=20&amp;number=&amp;sourceID=1","")</f>
        <v/>
      </c>
    </row>
    <row r="551" spans="1:20">
      <c r="A551" s="3">
        <v>8</v>
      </c>
      <c r="B551" s="3">
        <v>2</v>
      </c>
      <c r="C551" s="3">
        <v>37</v>
      </c>
      <c r="D551" s="3">
        <v>28</v>
      </c>
      <c r="E551" s="3">
        <f>((1/(INDEX(E0!J$4:J$52,C551,1)-INDEX(E0!J$4:J$52,D551,1))))*100000000</f>
        <v>0</v>
      </c>
      <c r="F551" s="4" t="str">
        <f>HYPERLINK("http://141.218.60.56/~jnz1568/getInfo.php?workbook=08_02.xlsx&amp;sheet=A0&amp;row=551&amp;col=6&amp;number=&amp;sourceID=27","")</f>
        <v/>
      </c>
      <c r="G551" s="4" t="str">
        <f>HYPERLINK("http://141.218.60.56/~jnz1568/getInfo.php?workbook=08_02.xlsx&amp;sheet=A0&amp;row=551&amp;col=7&amp;number=&amp;sourceID=34","")</f>
        <v/>
      </c>
      <c r="H551" s="4" t="str">
        <f>HYPERLINK("http://141.218.60.56/~jnz1568/getInfo.php?workbook=08_02.xlsx&amp;sheet=A0&amp;row=551&amp;col=8&amp;number=&amp;sourceID=34","")</f>
        <v/>
      </c>
      <c r="I551" s="4" t="str">
        <f>HYPERLINK("http://141.218.60.56/~jnz1568/getInfo.php?workbook=08_02.xlsx&amp;sheet=A0&amp;row=551&amp;col=9&amp;number=&amp;sourceID=34","")</f>
        <v/>
      </c>
      <c r="J551" s="4" t="str">
        <f>HYPERLINK("http://141.218.60.56/~jnz1568/getInfo.php?workbook=08_02.xlsx&amp;sheet=A0&amp;row=551&amp;col=10&amp;number=&amp;sourceID=34","")</f>
        <v/>
      </c>
      <c r="K551" s="4" t="str">
        <f>HYPERLINK("http://141.218.60.56/~jnz1568/getInfo.php?workbook=08_02.xlsx&amp;sheet=A0&amp;row=551&amp;col=11&amp;number=&amp;sourceID=30","")</f>
        <v/>
      </c>
      <c r="L551" s="4" t="str">
        <f>HYPERLINK("http://141.218.60.56/~jnz1568/getInfo.php?workbook=08_02.xlsx&amp;sheet=A0&amp;row=551&amp;col=12&amp;number=142.6&amp;sourceID=30","142.6")</f>
        <v>142.6</v>
      </c>
      <c r="M551" s="4" t="str">
        <f>HYPERLINK("http://141.218.60.56/~jnz1568/getInfo.php?workbook=08_02.xlsx&amp;sheet=A0&amp;row=551&amp;col=13&amp;number=&amp;sourceID=30","")</f>
        <v/>
      </c>
      <c r="N551" s="4" t="str">
        <f>HYPERLINK("http://141.218.60.56/~jnz1568/getInfo.php?workbook=08_02.xlsx&amp;sheet=A0&amp;row=551&amp;col=14&amp;number=&amp;sourceID=30","")</f>
        <v/>
      </c>
      <c r="O551" s="4" t="str">
        <f>HYPERLINK("http://141.218.60.56/~jnz1568/getInfo.php?workbook=08_02.xlsx&amp;sheet=A0&amp;row=551&amp;col=15&amp;number=&amp;sourceID=32","")</f>
        <v/>
      </c>
      <c r="P551" s="4" t="str">
        <f>HYPERLINK("http://141.218.60.56/~jnz1568/getInfo.php?workbook=08_02.xlsx&amp;sheet=A0&amp;row=551&amp;col=16&amp;number=&amp;sourceID=32","")</f>
        <v/>
      </c>
      <c r="Q551" s="4" t="str">
        <f>HYPERLINK("http://141.218.60.56/~jnz1568/getInfo.php?workbook=08_02.xlsx&amp;sheet=A0&amp;row=551&amp;col=17&amp;number=&amp;sourceID=32","")</f>
        <v/>
      </c>
      <c r="R551" s="4" t="str">
        <f>HYPERLINK("http://141.218.60.56/~jnz1568/getInfo.php?workbook=08_02.xlsx&amp;sheet=A0&amp;row=551&amp;col=18&amp;number=&amp;sourceID=32","")</f>
        <v/>
      </c>
      <c r="S551" s="4" t="str">
        <f>HYPERLINK("http://141.218.60.56/~jnz1568/getInfo.php?workbook=08_02.xlsx&amp;sheet=A0&amp;row=551&amp;col=19&amp;number=&amp;sourceID=1","")</f>
        <v/>
      </c>
      <c r="T551" s="4" t="str">
        <f>HYPERLINK("http://141.218.60.56/~jnz1568/getInfo.php?workbook=08_02.xlsx&amp;sheet=A0&amp;row=551&amp;col=20&amp;number=&amp;sourceID=1","")</f>
        <v/>
      </c>
    </row>
    <row r="552" spans="1:20">
      <c r="A552" s="3">
        <v>8</v>
      </c>
      <c r="B552" s="3">
        <v>2</v>
      </c>
      <c r="C552" s="3">
        <v>37</v>
      </c>
      <c r="D552" s="3">
        <v>29</v>
      </c>
      <c r="E552" s="3">
        <f>((1/(INDEX(E0!J$4:J$52,C552,1)-INDEX(E0!J$4:J$52,D552,1))))*100000000</f>
        <v>0</v>
      </c>
      <c r="F552" s="4" t="str">
        <f>HYPERLINK("http://141.218.60.56/~jnz1568/getInfo.php?workbook=08_02.xlsx&amp;sheet=A0&amp;row=552&amp;col=6&amp;number=&amp;sourceID=27","")</f>
        <v/>
      </c>
      <c r="G552" s="4" t="str">
        <f>HYPERLINK("http://141.218.60.56/~jnz1568/getInfo.php?workbook=08_02.xlsx&amp;sheet=A0&amp;row=552&amp;col=7&amp;number=&amp;sourceID=34","")</f>
        <v/>
      </c>
      <c r="H552" s="4" t="str">
        <f>HYPERLINK("http://141.218.60.56/~jnz1568/getInfo.php?workbook=08_02.xlsx&amp;sheet=A0&amp;row=552&amp;col=8&amp;number=&amp;sourceID=34","")</f>
        <v/>
      </c>
      <c r="I552" s="4" t="str">
        <f>HYPERLINK("http://141.218.60.56/~jnz1568/getInfo.php?workbook=08_02.xlsx&amp;sheet=A0&amp;row=552&amp;col=9&amp;number=&amp;sourceID=34","")</f>
        <v/>
      </c>
      <c r="J552" s="4" t="str">
        <f>HYPERLINK("http://141.218.60.56/~jnz1568/getInfo.php?workbook=08_02.xlsx&amp;sheet=A0&amp;row=552&amp;col=10&amp;number=&amp;sourceID=34","")</f>
        <v/>
      </c>
      <c r="K552" s="4" t="str">
        <f>HYPERLINK("http://141.218.60.56/~jnz1568/getInfo.php?workbook=08_02.xlsx&amp;sheet=A0&amp;row=552&amp;col=11&amp;number=&amp;sourceID=30","")</f>
        <v/>
      </c>
      <c r="L552" s="4" t="str">
        <f>HYPERLINK("http://141.218.60.56/~jnz1568/getInfo.php?workbook=08_02.xlsx&amp;sheet=A0&amp;row=552&amp;col=12&amp;number=&amp;sourceID=30","")</f>
        <v/>
      </c>
      <c r="M552" s="4" t="str">
        <f>HYPERLINK("http://141.218.60.56/~jnz1568/getInfo.php?workbook=08_02.xlsx&amp;sheet=A0&amp;row=552&amp;col=13&amp;number=&amp;sourceID=30","")</f>
        <v/>
      </c>
      <c r="N552" s="4" t="str">
        <f>HYPERLINK("http://141.218.60.56/~jnz1568/getInfo.php?workbook=08_02.xlsx&amp;sheet=A0&amp;row=552&amp;col=14&amp;number=0.3791&amp;sourceID=30","0.3791")</f>
        <v>0.3791</v>
      </c>
      <c r="O552" s="4" t="str">
        <f>HYPERLINK("http://141.218.60.56/~jnz1568/getInfo.php?workbook=08_02.xlsx&amp;sheet=A0&amp;row=552&amp;col=15&amp;number=&amp;sourceID=32","")</f>
        <v/>
      </c>
      <c r="P552" s="4" t="str">
        <f>HYPERLINK("http://141.218.60.56/~jnz1568/getInfo.php?workbook=08_02.xlsx&amp;sheet=A0&amp;row=552&amp;col=16&amp;number=&amp;sourceID=32","")</f>
        <v/>
      </c>
      <c r="Q552" s="4" t="str">
        <f>HYPERLINK("http://141.218.60.56/~jnz1568/getInfo.php?workbook=08_02.xlsx&amp;sheet=A0&amp;row=552&amp;col=17&amp;number=&amp;sourceID=32","")</f>
        <v/>
      </c>
      <c r="R552" s="4" t="str">
        <f>HYPERLINK("http://141.218.60.56/~jnz1568/getInfo.php?workbook=08_02.xlsx&amp;sheet=A0&amp;row=552&amp;col=18&amp;number=&amp;sourceID=32","")</f>
        <v/>
      </c>
      <c r="S552" s="4" t="str">
        <f>HYPERLINK("http://141.218.60.56/~jnz1568/getInfo.php?workbook=08_02.xlsx&amp;sheet=A0&amp;row=552&amp;col=19&amp;number=&amp;sourceID=1","")</f>
        <v/>
      </c>
      <c r="T552" s="4" t="str">
        <f>HYPERLINK("http://141.218.60.56/~jnz1568/getInfo.php?workbook=08_02.xlsx&amp;sheet=A0&amp;row=552&amp;col=20&amp;number=&amp;sourceID=1","")</f>
        <v/>
      </c>
    </row>
    <row r="553" spans="1:20">
      <c r="A553" s="3">
        <v>8</v>
      </c>
      <c r="B553" s="3">
        <v>2</v>
      </c>
      <c r="C553" s="3">
        <v>37</v>
      </c>
      <c r="D553" s="3">
        <v>30</v>
      </c>
      <c r="E553" s="3">
        <f>((1/(INDEX(E0!J$4:J$52,C553,1)-INDEX(E0!J$4:J$52,D553,1))))*100000000</f>
        <v>0</v>
      </c>
      <c r="F553" s="4" t="str">
        <f>HYPERLINK("http://141.218.60.56/~jnz1568/getInfo.php?workbook=08_02.xlsx&amp;sheet=A0&amp;row=553&amp;col=6&amp;number=&amp;sourceID=27","")</f>
        <v/>
      </c>
      <c r="G553" s="4" t="str">
        <f>HYPERLINK("http://141.218.60.56/~jnz1568/getInfo.php?workbook=08_02.xlsx&amp;sheet=A0&amp;row=553&amp;col=7&amp;number=&amp;sourceID=34","")</f>
        <v/>
      </c>
      <c r="H553" s="4" t="str">
        <f>HYPERLINK("http://141.218.60.56/~jnz1568/getInfo.php?workbook=08_02.xlsx&amp;sheet=A0&amp;row=553&amp;col=8&amp;number=&amp;sourceID=34","")</f>
        <v/>
      </c>
      <c r="I553" s="4" t="str">
        <f>HYPERLINK("http://141.218.60.56/~jnz1568/getInfo.php?workbook=08_02.xlsx&amp;sheet=A0&amp;row=553&amp;col=9&amp;number=&amp;sourceID=34","")</f>
        <v/>
      </c>
      <c r="J553" s="4" t="str">
        <f>HYPERLINK("http://141.218.60.56/~jnz1568/getInfo.php?workbook=08_02.xlsx&amp;sheet=A0&amp;row=553&amp;col=10&amp;number=&amp;sourceID=34","")</f>
        <v/>
      </c>
      <c r="K553" s="4" t="str">
        <f>HYPERLINK("http://141.218.60.56/~jnz1568/getInfo.php?workbook=08_02.xlsx&amp;sheet=A0&amp;row=553&amp;col=11&amp;number=&amp;sourceID=30","")</f>
        <v/>
      </c>
      <c r="L553" s="4" t="str">
        <f>HYPERLINK("http://141.218.60.56/~jnz1568/getInfo.php?workbook=08_02.xlsx&amp;sheet=A0&amp;row=553&amp;col=12&amp;number=1204&amp;sourceID=30","1204")</f>
        <v>1204</v>
      </c>
      <c r="M553" s="4" t="str">
        <f>HYPERLINK("http://141.218.60.56/~jnz1568/getInfo.php?workbook=08_02.xlsx&amp;sheet=A0&amp;row=553&amp;col=13&amp;number=2.268e-06&amp;sourceID=30","2.268e-06")</f>
        <v>2.268e-06</v>
      </c>
      <c r="N553" s="4" t="str">
        <f>HYPERLINK("http://141.218.60.56/~jnz1568/getInfo.php?workbook=08_02.xlsx&amp;sheet=A0&amp;row=553&amp;col=14&amp;number=&amp;sourceID=30","")</f>
        <v/>
      </c>
      <c r="O553" s="4" t="str">
        <f>HYPERLINK("http://141.218.60.56/~jnz1568/getInfo.php?workbook=08_02.xlsx&amp;sheet=A0&amp;row=553&amp;col=15&amp;number=&amp;sourceID=32","")</f>
        <v/>
      </c>
      <c r="P553" s="4" t="str">
        <f>HYPERLINK("http://141.218.60.56/~jnz1568/getInfo.php?workbook=08_02.xlsx&amp;sheet=A0&amp;row=553&amp;col=16&amp;number=&amp;sourceID=32","")</f>
        <v/>
      </c>
      <c r="Q553" s="4" t="str">
        <f>HYPERLINK("http://141.218.60.56/~jnz1568/getInfo.php?workbook=08_02.xlsx&amp;sheet=A0&amp;row=553&amp;col=17&amp;number=&amp;sourceID=32","")</f>
        <v/>
      </c>
      <c r="R553" s="4" t="str">
        <f>HYPERLINK("http://141.218.60.56/~jnz1568/getInfo.php?workbook=08_02.xlsx&amp;sheet=A0&amp;row=553&amp;col=18&amp;number=&amp;sourceID=32","")</f>
        <v/>
      </c>
      <c r="S553" s="4" t="str">
        <f>HYPERLINK("http://141.218.60.56/~jnz1568/getInfo.php?workbook=08_02.xlsx&amp;sheet=A0&amp;row=553&amp;col=19&amp;number=&amp;sourceID=1","")</f>
        <v/>
      </c>
      <c r="T553" s="4" t="str">
        <f>HYPERLINK("http://141.218.60.56/~jnz1568/getInfo.php?workbook=08_02.xlsx&amp;sheet=A0&amp;row=553&amp;col=20&amp;number=&amp;sourceID=1","")</f>
        <v/>
      </c>
    </row>
    <row r="554" spans="1:20">
      <c r="A554" s="3">
        <v>8</v>
      </c>
      <c r="B554" s="3">
        <v>2</v>
      </c>
      <c r="C554" s="3">
        <v>37</v>
      </c>
      <c r="D554" s="3">
        <v>36</v>
      </c>
      <c r="E554" s="3">
        <f>((1/(INDEX(E0!J$4:J$52,C554,1)-INDEX(E0!J$4:J$52,D554,1))))*100000000</f>
        <v>0</v>
      </c>
      <c r="F554" s="4" t="str">
        <f>HYPERLINK("http://141.218.60.56/~jnz1568/getInfo.php?workbook=08_02.xlsx&amp;sheet=A0&amp;row=554&amp;col=6&amp;number=&amp;sourceID=27","")</f>
        <v/>
      </c>
      <c r="G554" s="4" t="str">
        <f>HYPERLINK("http://141.218.60.56/~jnz1568/getInfo.php?workbook=08_02.xlsx&amp;sheet=A0&amp;row=554&amp;col=7&amp;number=&amp;sourceID=34","")</f>
        <v/>
      </c>
      <c r="H554" s="4" t="str">
        <f>HYPERLINK("http://141.218.60.56/~jnz1568/getInfo.php?workbook=08_02.xlsx&amp;sheet=A0&amp;row=554&amp;col=8&amp;number=&amp;sourceID=34","")</f>
        <v/>
      </c>
      <c r="I554" s="4" t="str">
        <f>HYPERLINK("http://141.218.60.56/~jnz1568/getInfo.php?workbook=08_02.xlsx&amp;sheet=A0&amp;row=554&amp;col=9&amp;number=&amp;sourceID=34","")</f>
        <v/>
      </c>
      <c r="J554" s="4" t="str">
        <f>HYPERLINK("http://141.218.60.56/~jnz1568/getInfo.php?workbook=08_02.xlsx&amp;sheet=A0&amp;row=554&amp;col=10&amp;number=&amp;sourceID=34","")</f>
        <v/>
      </c>
      <c r="K554" s="4" t="str">
        <f>HYPERLINK("http://141.218.60.56/~jnz1568/getInfo.php?workbook=08_02.xlsx&amp;sheet=A0&amp;row=554&amp;col=11&amp;number=&amp;sourceID=30","")</f>
        <v/>
      </c>
      <c r="L554" s="4" t="str">
        <f>HYPERLINK("http://141.218.60.56/~jnz1568/getInfo.php?workbook=08_02.xlsx&amp;sheet=A0&amp;row=554&amp;col=12&amp;number=0.0003613&amp;sourceID=30","0.0003613")</f>
        <v>0.0003613</v>
      </c>
      <c r="M554" s="4" t="str">
        <f>HYPERLINK("http://141.218.60.56/~jnz1568/getInfo.php?workbook=08_02.xlsx&amp;sheet=A0&amp;row=554&amp;col=13&amp;number=&amp;sourceID=30","")</f>
        <v/>
      </c>
      <c r="N554" s="4" t="str">
        <f>HYPERLINK("http://141.218.60.56/~jnz1568/getInfo.php?workbook=08_02.xlsx&amp;sheet=A0&amp;row=554&amp;col=14&amp;number=&amp;sourceID=30","")</f>
        <v/>
      </c>
      <c r="O554" s="4" t="str">
        <f>HYPERLINK("http://141.218.60.56/~jnz1568/getInfo.php?workbook=08_02.xlsx&amp;sheet=A0&amp;row=554&amp;col=15&amp;number=&amp;sourceID=32","")</f>
        <v/>
      </c>
      <c r="P554" s="4" t="str">
        <f>HYPERLINK("http://141.218.60.56/~jnz1568/getInfo.php?workbook=08_02.xlsx&amp;sheet=A0&amp;row=554&amp;col=16&amp;number=&amp;sourceID=32","")</f>
        <v/>
      </c>
      <c r="Q554" s="4" t="str">
        <f>HYPERLINK("http://141.218.60.56/~jnz1568/getInfo.php?workbook=08_02.xlsx&amp;sheet=A0&amp;row=554&amp;col=17&amp;number=&amp;sourceID=32","")</f>
        <v/>
      </c>
      <c r="R554" s="4" t="str">
        <f>HYPERLINK("http://141.218.60.56/~jnz1568/getInfo.php?workbook=08_02.xlsx&amp;sheet=A0&amp;row=554&amp;col=18&amp;number=&amp;sourceID=32","")</f>
        <v/>
      </c>
      <c r="S554" s="4" t="str">
        <f>HYPERLINK("http://141.218.60.56/~jnz1568/getInfo.php?workbook=08_02.xlsx&amp;sheet=A0&amp;row=554&amp;col=19&amp;number=&amp;sourceID=1","")</f>
        <v/>
      </c>
      <c r="T554" s="4" t="str">
        <f>HYPERLINK("http://141.218.60.56/~jnz1568/getInfo.php?workbook=08_02.xlsx&amp;sheet=A0&amp;row=554&amp;col=20&amp;number=&amp;sourceID=1","")</f>
        <v/>
      </c>
    </row>
    <row r="555" spans="1:20">
      <c r="A555" s="3">
        <v>8</v>
      </c>
      <c r="B555" s="3">
        <v>2</v>
      </c>
      <c r="C555" s="3">
        <v>37</v>
      </c>
      <c r="D555" s="3">
        <v>39</v>
      </c>
      <c r="E555" s="3">
        <f>((1/(INDEX(E0!J$4:J$52,C555,1)-INDEX(E0!J$4:J$52,D555,1))))*100000000</f>
        <v>0</v>
      </c>
      <c r="F555" s="4" t="str">
        <f>HYPERLINK("http://141.218.60.56/~jnz1568/getInfo.php?workbook=08_02.xlsx&amp;sheet=A0&amp;row=555&amp;col=6&amp;number=&amp;sourceID=27","")</f>
        <v/>
      </c>
      <c r="G555" s="4" t="str">
        <f>HYPERLINK("http://141.218.60.56/~jnz1568/getInfo.php?workbook=08_02.xlsx&amp;sheet=A0&amp;row=555&amp;col=7&amp;number=&amp;sourceID=34","")</f>
        <v/>
      </c>
      <c r="H555" s="4" t="str">
        <f>HYPERLINK("http://141.218.60.56/~jnz1568/getInfo.php?workbook=08_02.xlsx&amp;sheet=A0&amp;row=555&amp;col=8&amp;number=&amp;sourceID=34","")</f>
        <v/>
      </c>
      <c r="I555" s="4" t="str">
        <f>HYPERLINK("http://141.218.60.56/~jnz1568/getInfo.php?workbook=08_02.xlsx&amp;sheet=A0&amp;row=555&amp;col=9&amp;number=&amp;sourceID=34","")</f>
        <v/>
      </c>
      <c r="J555" s="4" t="str">
        <f>HYPERLINK("http://141.218.60.56/~jnz1568/getInfo.php?workbook=08_02.xlsx&amp;sheet=A0&amp;row=555&amp;col=10&amp;number=&amp;sourceID=34","")</f>
        <v/>
      </c>
      <c r="K555" s="4" t="str">
        <f>HYPERLINK("http://141.218.60.56/~jnz1568/getInfo.php?workbook=08_02.xlsx&amp;sheet=A0&amp;row=555&amp;col=11&amp;number=&amp;sourceID=30","")</f>
        <v/>
      </c>
      <c r="L555" s="4" t="str">
        <f>HYPERLINK("http://141.218.60.56/~jnz1568/getInfo.php?workbook=08_02.xlsx&amp;sheet=A0&amp;row=555&amp;col=12&amp;number=&amp;sourceID=30","")</f>
        <v/>
      </c>
      <c r="M555" s="4" t="str">
        <f>HYPERLINK("http://141.218.60.56/~jnz1568/getInfo.php?workbook=08_02.xlsx&amp;sheet=A0&amp;row=555&amp;col=13&amp;number=&amp;sourceID=30","")</f>
        <v/>
      </c>
      <c r="N555" s="4" t="str">
        <f>HYPERLINK("http://141.218.60.56/~jnz1568/getInfo.php?workbook=08_02.xlsx&amp;sheet=A0&amp;row=555&amp;col=14&amp;number=0&amp;sourceID=30","0")</f>
        <v>0</v>
      </c>
      <c r="O555" s="4" t="str">
        <f>HYPERLINK("http://141.218.60.56/~jnz1568/getInfo.php?workbook=08_02.xlsx&amp;sheet=A0&amp;row=555&amp;col=15&amp;number=&amp;sourceID=32","")</f>
        <v/>
      </c>
      <c r="P555" s="4" t="str">
        <f>HYPERLINK("http://141.218.60.56/~jnz1568/getInfo.php?workbook=08_02.xlsx&amp;sheet=A0&amp;row=555&amp;col=16&amp;number=&amp;sourceID=32","")</f>
        <v/>
      </c>
      <c r="Q555" s="4" t="str">
        <f>HYPERLINK("http://141.218.60.56/~jnz1568/getInfo.php?workbook=08_02.xlsx&amp;sheet=A0&amp;row=555&amp;col=17&amp;number=&amp;sourceID=32","")</f>
        <v/>
      </c>
      <c r="R555" s="4" t="str">
        <f>HYPERLINK("http://141.218.60.56/~jnz1568/getInfo.php?workbook=08_02.xlsx&amp;sheet=A0&amp;row=555&amp;col=18&amp;number=&amp;sourceID=32","")</f>
        <v/>
      </c>
      <c r="S555" s="4" t="str">
        <f>HYPERLINK("http://141.218.60.56/~jnz1568/getInfo.php?workbook=08_02.xlsx&amp;sheet=A0&amp;row=555&amp;col=19&amp;number=&amp;sourceID=1","")</f>
        <v/>
      </c>
      <c r="T555" s="4" t="str">
        <f>HYPERLINK("http://141.218.60.56/~jnz1568/getInfo.php?workbook=08_02.xlsx&amp;sheet=A0&amp;row=555&amp;col=20&amp;number=&amp;sourceID=1","")</f>
        <v/>
      </c>
    </row>
    <row r="556" spans="1:20">
      <c r="A556" s="3">
        <v>8</v>
      </c>
      <c r="B556" s="3">
        <v>2</v>
      </c>
      <c r="C556" s="3">
        <v>37</v>
      </c>
      <c r="D556" s="3">
        <v>40</v>
      </c>
      <c r="E556" s="3">
        <f>((1/(INDEX(E0!J$4:J$52,C556,1)-INDEX(E0!J$4:J$52,D556,1))))*100000000</f>
        <v>0</v>
      </c>
      <c r="F556" s="4" t="str">
        <f>HYPERLINK("http://141.218.60.56/~jnz1568/getInfo.php?workbook=08_02.xlsx&amp;sheet=A0&amp;row=556&amp;col=6&amp;number=&amp;sourceID=27","")</f>
        <v/>
      </c>
      <c r="G556" s="4" t="str">
        <f>HYPERLINK("http://141.218.60.56/~jnz1568/getInfo.php?workbook=08_02.xlsx&amp;sheet=A0&amp;row=556&amp;col=7&amp;number=&amp;sourceID=34","")</f>
        <v/>
      </c>
      <c r="H556" s="4" t="str">
        <f>HYPERLINK("http://141.218.60.56/~jnz1568/getInfo.php?workbook=08_02.xlsx&amp;sheet=A0&amp;row=556&amp;col=8&amp;number=&amp;sourceID=34","")</f>
        <v/>
      </c>
      <c r="I556" s="4" t="str">
        <f>HYPERLINK("http://141.218.60.56/~jnz1568/getInfo.php?workbook=08_02.xlsx&amp;sheet=A0&amp;row=556&amp;col=9&amp;number=&amp;sourceID=34","")</f>
        <v/>
      </c>
      <c r="J556" s="4" t="str">
        <f>HYPERLINK("http://141.218.60.56/~jnz1568/getInfo.php?workbook=08_02.xlsx&amp;sheet=A0&amp;row=556&amp;col=10&amp;number=&amp;sourceID=34","")</f>
        <v/>
      </c>
      <c r="K556" s="4" t="str">
        <f>HYPERLINK("http://141.218.60.56/~jnz1568/getInfo.php?workbook=08_02.xlsx&amp;sheet=A0&amp;row=556&amp;col=11&amp;number=17.9&amp;sourceID=30","17.9")</f>
        <v>17.9</v>
      </c>
      <c r="L556" s="4" t="str">
        <f>HYPERLINK("http://141.218.60.56/~jnz1568/getInfo.php?workbook=08_02.xlsx&amp;sheet=A0&amp;row=556&amp;col=12&amp;number=&amp;sourceID=30","")</f>
        <v/>
      </c>
      <c r="M556" s="4" t="str">
        <f>HYPERLINK("http://141.218.60.56/~jnz1568/getInfo.php?workbook=08_02.xlsx&amp;sheet=A0&amp;row=556&amp;col=13&amp;number=&amp;sourceID=30","")</f>
        <v/>
      </c>
      <c r="N556" s="4" t="str">
        <f>HYPERLINK("http://141.218.60.56/~jnz1568/getInfo.php?workbook=08_02.xlsx&amp;sheet=A0&amp;row=556&amp;col=14&amp;number=4e-15&amp;sourceID=30","4e-15")</f>
        <v>4e-15</v>
      </c>
      <c r="O556" s="4" t="str">
        <f>HYPERLINK("http://141.218.60.56/~jnz1568/getInfo.php?workbook=08_02.xlsx&amp;sheet=A0&amp;row=556&amp;col=15&amp;number=&amp;sourceID=32","")</f>
        <v/>
      </c>
      <c r="P556" s="4" t="str">
        <f>HYPERLINK("http://141.218.60.56/~jnz1568/getInfo.php?workbook=08_02.xlsx&amp;sheet=A0&amp;row=556&amp;col=16&amp;number=&amp;sourceID=32","")</f>
        <v/>
      </c>
      <c r="Q556" s="4" t="str">
        <f>HYPERLINK("http://141.218.60.56/~jnz1568/getInfo.php?workbook=08_02.xlsx&amp;sheet=A0&amp;row=556&amp;col=17&amp;number=&amp;sourceID=32","")</f>
        <v/>
      </c>
      <c r="R556" s="4" t="str">
        <f>HYPERLINK("http://141.218.60.56/~jnz1568/getInfo.php?workbook=08_02.xlsx&amp;sheet=A0&amp;row=556&amp;col=18&amp;number=&amp;sourceID=32","")</f>
        <v/>
      </c>
      <c r="S556" s="4" t="str">
        <f>HYPERLINK("http://141.218.60.56/~jnz1568/getInfo.php?workbook=08_02.xlsx&amp;sheet=A0&amp;row=556&amp;col=19&amp;number=&amp;sourceID=1","")</f>
        <v/>
      </c>
      <c r="T556" s="4" t="str">
        <f>HYPERLINK("http://141.218.60.56/~jnz1568/getInfo.php?workbook=08_02.xlsx&amp;sheet=A0&amp;row=556&amp;col=20&amp;number=&amp;sourceID=1","")</f>
        <v/>
      </c>
    </row>
    <row r="557" spans="1:20">
      <c r="A557" s="3">
        <v>8</v>
      </c>
      <c r="B557" s="3">
        <v>2</v>
      </c>
      <c r="C557" s="3">
        <v>37</v>
      </c>
      <c r="D557" s="3">
        <v>41</v>
      </c>
      <c r="E557" s="3">
        <f>((1/(INDEX(E0!J$4:J$52,C557,1)-INDEX(E0!J$4:J$52,D557,1))))*100000000</f>
        <v>0</v>
      </c>
      <c r="F557" s="4" t="str">
        <f>HYPERLINK("http://141.218.60.56/~jnz1568/getInfo.php?workbook=08_02.xlsx&amp;sheet=A0&amp;row=557&amp;col=6&amp;number=&amp;sourceID=27","")</f>
        <v/>
      </c>
      <c r="G557" s="4" t="str">
        <f>HYPERLINK("http://141.218.60.56/~jnz1568/getInfo.php?workbook=08_02.xlsx&amp;sheet=A0&amp;row=557&amp;col=7&amp;number=&amp;sourceID=34","")</f>
        <v/>
      </c>
      <c r="H557" s="4" t="str">
        <f>HYPERLINK("http://141.218.60.56/~jnz1568/getInfo.php?workbook=08_02.xlsx&amp;sheet=A0&amp;row=557&amp;col=8&amp;number=&amp;sourceID=34","")</f>
        <v/>
      </c>
      <c r="I557" s="4" t="str">
        <f>HYPERLINK("http://141.218.60.56/~jnz1568/getInfo.php?workbook=08_02.xlsx&amp;sheet=A0&amp;row=557&amp;col=9&amp;number=&amp;sourceID=34","")</f>
        <v/>
      </c>
      <c r="J557" s="4" t="str">
        <f>HYPERLINK("http://141.218.60.56/~jnz1568/getInfo.php?workbook=08_02.xlsx&amp;sheet=A0&amp;row=557&amp;col=10&amp;number=&amp;sourceID=34","")</f>
        <v/>
      </c>
      <c r="K557" s="4" t="str">
        <f>HYPERLINK("http://141.218.60.56/~jnz1568/getInfo.php?workbook=08_02.xlsx&amp;sheet=A0&amp;row=557&amp;col=11&amp;number=&amp;sourceID=30","")</f>
        <v/>
      </c>
      <c r="L557" s="4" t="str">
        <f>HYPERLINK("http://141.218.60.56/~jnz1568/getInfo.php?workbook=08_02.xlsx&amp;sheet=A0&amp;row=557&amp;col=12&amp;number=0&amp;sourceID=30","0")</f>
        <v>0</v>
      </c>
      <c r="M557" s="4" t="str">
        <f>HYPERLINK("http://141.218.60.56/~jnz1568/getInfo.php?workbook=08_02.xlsx&amp;sheet=A0&amp;row=557&amp;col=13&amp;number=8.672e-09&amp;sourceID=30","8.672e-09")</f>
        <v>8.672e-09</v>
      </c>
      <c r="N557" s="4" t="str">
        <f>HYPERLINK("http://141.218.60.56/~jnz1568/getInfo.php?workbook=08_02.xlsx&amp;sheet=A0&amp;row=557&amp;col=14&amp;number=&amp;sourceID=30","")</f>
        <v/>
      </c>
      <c r="O557" s="4" t="str">
        <f>HYPERLINK("http://141.218.60.56/~jnz1568/getInfo.php?workbook=08_02.xlsx&amp;sheet=A0&amp;row=557&amp;col=15&amp;number=&amp;sourceID=32","")</f>
        <v/>
      </c>
      <c r="P557" s="4" t="str">
        <f>HYPERLINK("http://141.218.60.56/~jnz1568/getInfo.php?workbook=08_02.xlsx&amp;sheet=A0&amp;row=557&amp;col=16&amp;number=&amp;sourceID=32","")</f>
        <v/>
      </c>
      <c r="Q557" s="4" t="str">
        <f>HYPERLINK("http://141.218.60.56/~jnz1568/getInfo.php?workbook=08_02.xlsx&amp;sheet=A0&amp;row=557&amp;col=17&amp;number=&amp;sourceID=32","")</f>
        <v/>
      </c>
      <c r="R557" s="4" t="str">
        <f>HYPERLINK("http://141.218.60.56/~jnz1568/getInfo.php?workbook=08_02.xlsx&amp;sheet=A0&amp;row=557&amp;col=18&amp;number=&amp;sourceID=32","")</f>
        <v/>
      </c>
      <c r="S557" s="4" t="str">
        <f>HYPERLINK("http://141.218.60.56/~jnz1568/getInfo.php?workbook=08_02.xlsx&amp;sheet=A0&amp;row=557&amp;col=19&amp;number=&amp;sourceID=1","")</f>
        <v/>
      </c>
      <c r="T557" s="4" t="str">
        <f>HYPERLINK("http://141.218.60.56/~jnz1568/getInfo.php?workbook=08_02.xlsx&amp;sheet=A0&amp;row=557&amp;col=20&amp;number=&amp;sourceID=1","")</f>
        <v/>
      </c>
    </row>
    <row r="558" spans="1:20">
      <c r="A558" s="3">
        <v>8</v>
      </c>
      <c r="B558" s="3">
        <v>2</v>
      </c>
      <c r="C558" s="3">
        <v>37</v>
      </c>
      <c r="D558" s="3">
        <v>42</v>
      </c>
      <c r="E558" s="3">
        <f>((1/(INDEX(E0!J$4:J$52,C558,1)-INDEX(E0!J$4:J$52,D558,1))))*100000000</f>
        <v>0</v>
      </c>
      <c r="F558" s="4" t="str">
        <f>HYPERLINK("http://141.218.60.56/~jnz1568/getInfo.php?workbook=08_02.xlsx&amp;sheet=A0&amp;row=558&amp;col=6&amp;number=&amp;sourceID=27","")</f>
        <v/>
      </c>
      <c r="G558" s="4" t="str">
        <f>HYPERLINK("http://141.218.60.56/~jnz1568/getInfo.php?workbook=08_02.xlsx&amp;sheet=A0&amp;row=558&amp;col=7&amp;number=&amp;sourceID=34","")</f>
        <v/>
      </c>
      <c r="H558" s="4" t="str">
        <f>HYPERLINK("http://141.218.60.56/~jnz1568/getInfo.php?workbook=08_02.xlsx&amp;sheet=A0&amp;row=558&amp;col=8&amp;number=&amp;sourceID=34","")</f>
        <v/>
      </c>
      <c r="I558" s="4" t="str">
        <f>HYPERLINK("http://141.218.60.56/~jnz1568/getInfo.php?workbook=08_02.xlsx&amp;sheet=A0&amp;row=558&amp;col=9&amp;number=&amp;sourceID=34","")</f>
        <v/>
      </c>
      <c r="J558" s="4" t="str">
        <f>HYPERLINK("http://141.218.60.56/~jnz1568/getInfo.php?workbook=08_02.xlsx&amp;sheet=A0&amp;row=558&amp;col=10&amp;number=&amp;sourceID=34","")</f>
        <v/>
      </c>
      <c r="K558" s="4" t="str">
        <f>HYPERLINK("http://141.218.60.56/~jnz1568/getInfo.php?workbook=08_02.xlsx&amp;sheet=A0&amp;row=558&amp;col=11&amp;number=&amp;sourceID=30","")</f>
        <v/>
      </c>
      <c r="L558" s="4" t="str">
        <f>HYPERLINK("http://141.218.60.56/~jnz1568/getInfo.php?workbook=08_02.xlsx&amp;sheet=A0&amp;row=558&amp;col=12&amp;number=0&amp;sourceID=30","0")</f>
        <v>0</v>
      </c>
      <c r="M558" s="4" t="str">
        <f>HYPERLINK("http://141.218.60.56/~jnz1568/getInfo.php?workbook=08_02.xlsx&amp;sheet=A0&amp;row=558&amp;col=13&amp;number=&amp;sourceID=30","")</f>
        <v/>
      </c>
      <c r="N558" s="4" t="str">
        <f>HYPERLINK("http://141.218.60.56/~jnz1568/getInfo.php?workbook=08_02.xlsx&amp;sheet=A0&amp;row=558&amp;col=14&amp;number=&amp;sourceID=30","")</f>
        <v/>
      </c>
      <c r="O558" s="4" t="str">
        <f>HYPERLINK("http://141.218.60.56/~jnz1568/getInfo.php?workbook=08_02.xlsx&amp;sheet=A0&amp;row=558&amp;col=15&amp;number=&amp;sourceID=32","")</f>
        <v/>
      </c>
      <c r="P558" s="4" t="str">
        <f>HYPERLINK("http://141.218.60.56/~jnz1568/getInfo.php?workbook=08_02.xlsx&amp;sheet=A0&amp;row=558&amp;col=16&amp;number=&amp;sourceID=32","")</f>
        <v/>
      </c>
      <c r="Q558" s="4" t="str">
        <f>HYPERLINK("http://141.218.60.56/~jnz1568/getInfo.php?workbook=08_02.xlsx&amp;sheet=A0&amp;row=558&amp;col=17&amp;number=&amp;sourceID=32","")</f>
        <v/>
      </c>
      <c r="R558" s="4" t="str">
        <f>HYPERLINK("http://141.218.60.56/~jnz1568/getInfo.php?workbook=08_02.xlsx&amp;sheet=A0&amp;row=558&amp;col=18&amp;number=&amp;sourceID=32","")</f>
        <v/>
      </c>
      <c r="S558" s="4" t="str">
        <f>HYPERLINK("http://141.218.60.56/~jnz1568/getInfo.php?workbook=08_02.xlsx&amp;sheet=A0&amp;row=558&amp;col=19&amp;number=&amp;sourceID=1","")</f>
        <v/>
      </c>
      <c r="T558" s="4" t="str">
        <f>HYPERLINK("http://141.218.60.56/~jnz1568/getInfo.php?workbook=08_02.xlsx&amp;sheet=A0&amp;row=558&amp;col=20&amp;number=&amp;sourceID=1","")</f>
        <v/>
      </c>
    </row>
    <row r="559" spans="1:20">
      <c r="A559" s="3">
        <v>8</v>
      </c>
      <c r="B559" s="3">
        <v>2</v>
      </c>
      <c r="C559" s="3">
        <v>38</v>
      </c>
      <c r="D559" s="3">
        <v>1</v>
      </c>
      <c r="E559" s="3">
        <f>((1/(INDEX(E0!J$4:J$52,C559,1)-INDEX(E0!J$4:J$52,D559,1))))*100000000</f>
        <v>0</v>
      </c>
      <c r="F559" s="4" t="str">
        <f>HYPERLINK("http://141.218.60.56/~jnz1568/getInfo.php?workbook=08_02.xlsx&amp;sheet=A0&amp;row=559&amp;col=6&amp;number=&amp;sourceID=27","")</f>
        <v/>
      </c>
      <c r="G559" s="4" t="str">
        <f>HYPERLINK("http://141.218.60.56/~jnz1568/getInfo.php?workbook=08_02.xlsx&amp;sheet=A0&amp;row=559&amp;col=7&amp;number=&amp;sourceID=34","")</f>
        <v/>
      </c>
      <c r="H559" s="4" t="str">
        <f>HYPERLINK("http://141.218.60.56/~jnz1568/getInfo.php?workbook=08_02.xlsx&amp;sheet=A0&amp;row=559&amp;col=8&amp;number=&amp;sourceID=34","")</f>
        <v/>
      </c>
      <c r="I559" s="4" t="str">
        <f>HYPERLINK("http://141.218.60.56/~jnz1568/getInfo.php?workbook=08_02.xlsx&amp;sheet=A0&amp;row=559&amp;col=9&amp;number=&amp;sourceID=34","")</f>
        <v/>
      </c>
      <c r="J559" s="4" t="str">
        <f>HYPERLINK("http://141.218.60.56/~jnz1568/getInfo.php?workbook=08_02.xlsx&amp;sheet=A0&amp;row=559&amp;col=10&amp;number=&amp;sourceID=34","")</f>
        <v/>
      </c>
      <c r="K559" s="4" t="str">
        <f>HYPERLINK("http://141.218.60.56/~jnz1568/getInfo.php?workbook=08_02.xlsx&amp;sheet=A0&amp;row=559&amp;col=11&amp;number=&amp;sourceID=30","")</f>
        <v/>
      </c>
      <c r="L559" s="4" t="str">
        <f>HYPERLINK("http://141.218.60.56/~jnz1568/getInfo.php?workbook=08_02.xlsx&amp;sheet=A0&amp;row=559&amp;col=12&amp;number=&amp;sourceID=30","")</f>
        <v/>
      </c>
      <c r="M559" s="4" t="str">
        <f>HYPERLINK("http://141.218.60.56/~jnz1568/getInfo.php?workbook=08_02.xlsx&amp;sheet=A0&amp;row=559&amp;col=13&amp;number=125&amp;sourceID=30","125")</f>
        <v>125</v>
      </c>
      <c r="N559" s="4" t="str">
        <f>HYPERLINK("http://141.218.60.56/~jnz1568/getInfo.php?workbook=08_02.xlsx&amp;sheet=A0&amp;row=559&amp;col=14&amp;number=&amp;sourceID=30","")</f>
        <v/>
      </c>
      <c r="O559" s="4" t="str">
        <f>HYPERLINK("http://141.218.60.56/~jnz1568/getInfo.php?workbook=08_02.xlsx&amp;sheet=A0&amp;row=559&amp;col=15&amp;number=&amp;sourceID=32","")</f>
        <v/>
      </c>
      <c r="P559" s="4" t="str">
        <f>HYPERLINK("http://141.218.60.56/~jnz1568/getInfo.php?workbook=08_02.xlsx&amp;sheet=A0&amp;row=559&amp;col=16&amp;number=&amp;sourceID=32","")</f>
        <v/>
      </c>
      <c r="Q559" s="4" t="str">
        <f>HYPERLINK("http://141.218.60.56/~jnz1568/getInfo.php?workbook=08_02.xlsx&amp;sheet=A0&amp;row=559&amp;col=17&amp;number=1.58&amp;sourceID=32","1.58")</f>
        <v>1.58</v>
      </c>
      <c r="R559" s="4" t="str">
        <f>HYPERLINK("http://141.218.60.56/~jnz1568/getInfo.php?workbook=08_02.xlsx&amp;sheet=A0&amp;row=559&amp;col=18&amp;number=&amp;sourceID=32","")</f>
        <v/>
      </c>
      <c r="S559" s="4" t="str">
        <f>HYPERLINK("http://141.218.60.56/~jnz1568/getInfo.php?workbook=08_02.xlsx&amp;sheet=A0&amp;row=559&amp;col=19&amp;number=&amp;sourceID=1","")</f>
        <v/>
      </c>
      <c r="T559" s="4" t="str">
        <f>HYPERLINK("http://141.218.60.56/~jnz1568/getInfo.php?workbook=08_02.xlsx&amp;sheet=A0&amp;row=559&amp;col=20&amp;number=&amp;sourceID=1","")</f>
        <v/>
      </c>
    </row>
    <row r="560" spans="1:20">
      <c r="A560" s="3">
        <v>8</v>
      </c>
      <c r="B560" s="3">
        <v>2</v>
      </c>
      <c r="C560" s="3">
        <v>38</v>
      </c>
      <c r="D560" s="3">
        <v>2</v>
      </c>
      <c r="E560" s="3">
        <f>((1/(INDEX(E0!J$4:J$52,C560,1)-INDEX(E0!J$4:J$52,D560,1))))*100000000</f>
        <v>0</v>
      </c>
      <c r="F560" s="4" t="str">
        <f>HYPERLINK("http://141.218.60.56/~jnz1568/getInfo.php?workbook=08_02.xlsx&amp;sheet=A0&amp;row=560&amp;col=6&amp;number=&amp;sourceID=27","")</f>
        <v/>
      </c>
      <c r="G560" s="4" t="str">
        <f>HYPERLINK("http://141.218.60.56/~jnz1568/getInfo.php?workbook=08_02.xlsx&amp;sheet=A0&amp;row=560&amp;col=7&amp;number=&amp;sourceID=34","")</f>
        <v/>
      </c>
      <c r="H560" s="4" t="str">
        <f>HYPERLINK("http://141.218.60.56/~jnz1568/getInfo.php?workbook=08_02.xlsx&amp;sheet=A0&amp;row=560&amp;col=8&amp;number=&amp;sourceID=34","")</f>
        <v/>
      </c>
      <c r="I560" s="4" t="str">
        <f>HYPERLINK("http://141.218.60.56/~jnz1568/getInfo.php?workbook=08_02.xlsx&amp;sheet=A0&amp;row=560&amp;col=9&amp;number=&amp;sourceID=34","")</f>
        <v/>
      </c>
      <c r="J560" s="4" t="str">
        <f>HYPERLINK("http://141.218.60.56/~jnz1568/getInfo.php?workbook=08_02.xlsx&amp;sheet=A0&amp;row=560&amp;col=10&amp;number=&amp;sourceID=34","")</f>
        <v/>
      </c>
      <c r="K560" s="4" t="str">
        <f>HYPERLINK("http://141.218.60.56/~jnz1568/getInfo.php?workbook=08_02.xlsx&amp;sheet=A0&amp;row=560&amp;col=11&amp;number=&amp;sourceID=30","")</f>
        <v/>
      </c>
      <c r="L560" s="4" t="str">
        <f>HYPERLINK("http://141.218.60.56/~jnz1568/getInfo.php?workbook=08_02.xlsx&amp;sheet=A0&amp;row=560&amp;col=12&amp;number=112300&amp;sourceID=30","112300")</f>
        <v>112300</v>
      </c>
      <c r="M560" s="4" t="str">
        <f>HYPERLINK("http://141.218.60.56/~jnz1568/getInfo.php?workbook=08_02.xlsx&amp;sheet=A0&amp;row=560&amp;col=13&amp;number=0.02667&amp;sourceID=30","0.02667")</f>
        <v>0.02667</v>
      </c>
      <c r="N560" s="4" t="str">
        <f>HYPERLINK("http://141.218.60.56/~jnz1568/getInfo.php?workbook=08_02.xlsx&amp;sheet=A0&amp;row=560&amp;col=14&amp;number=&amp;sourceID=30","")</f>
        <v/>
      </c>
      <c r="O560" s="4" t="str">
        <f>HYPERLINK("http://141.218.60.56/~jnz1568/getInfo.php?workbook=08_02.xlsx&amp;sheet=A0&amp;row=560&amp;col=15&amp;number=&amp;sourceID=32","")</f>
        <v/>
      </c>
      <c r="P560" s="4" t="str">
        <f>HYPERLINK("http://141.218.60.56/~jnz1568/getInfo.php?workbook=08_02.xlsx&amp;sheet=A0&amp;row=560&amp;col=16&amp;number=367100&amp;sourceID=32","367100")</f>
        <v>367100</v>
      </c>
      <c r="Q560" s="4" t="str">
        <f>HYPERLINK("http://141.218.60.56/~jnz1568/getInfo.php?workbook=08_02.xlsx&amp;sheet=A0&amp;row=560&amp;col=17&amp;number=0.02801&amp;sourceID=32","0.02801")</f>
        <v>0.02801</v>
      </c>
      <c r="R560" s="4" t="str">
        <f>HYPERLINK("http://141.218.60.56/~jnz1568/getInfo.php?workbook=08_02.xlsx&amp;sheet=A0&amp;row=560&amp;col=18&amp;number=&amp;sourceID=32","")</f>
        <v/>
      </c>
      <c r="S560" s="4" t="str">
        <f>HYPERLINK("http://141.218.60.56/~jnz1568/getInfo.php?workbook=08_02.xlsx&amp;sheet=A0&amp;row=560&amp;col=19&amp;number=&amp;sourceID=1","")</f>
        <v/>
      </c>
      <c r="T560" s="4" t="str">
        <f>HYPERLINK("http://141.218.60.56/~jnz1568/getInfo.php?workbook=08_02.xlsx&amp;sheet=A0&amp;row=560&amp;col=20&amp;number=&amp;sourceID=1","")</f>
        <v/>
      </c>
    </row>
    <row r="561" spans="1:20">
      <c r="A561" s="3">
        <v>8</v>
      </c>
      <c r="B561" s="3">
        <v>2</v>
      </c>
      <c r="C561" s="3">
        <v>38</v>
      </c>
      <c r="D561" s="3">
        <v>3</v>
      </c>
      <c r="E561" s="3">
        <f>((1/(INDEX(E0!J$4:J$52,C561,1)-INDEX(E0!J$4:J$52,D561,1))))*100000000</f>
        <v>0</v>
      </c>
      <c r="F561" s="4" t="str">
        <f>HYPERLINK("http://141.218.60.56/~jnz1568/getInfo.php?workbook=08_02.xlsx&amp;sheet=A0&amp;row=561&amp;col=6&amp;number=&amp;sourceID=27","")</f>
        <v/>
      </c>
      <c r="G561" s="4" t="str">
        <f>HYPERLINK("http://141.218.60.56/~jnz1568/getInfo.php?workbook=08_02.xlsx&amp;sheet=A0&amp;row=561&amp;col=7&amp;number=13690000000&amp;sourceID=34","13690000000")</f>
        <v>13690000000</v>
      </c>
      <c r="H561" s="4" t="str">
        <f>HYPERLINK("http://141.218.60.56/~jnz1568/getInfo.php?workbook=08_02.xlsx&amp;sheet=A0&amp;row=561&amp;col=8&amp;number=&amp;sourceID=34","")</f>
        <v/>
      </c>
      <c r="I561" s="4" t="str">
        <f>HYPERLINK("http://141.218.60.56/~jnz1568/getInfo.php?workbook=08_02.xlsx&amp;sheet=A0&amp;row=561&amp;col=9&amp;number=&amp;sourceID=34","")</f>
        <v/>
      </c>
      <c r="J561" s="4" t="str">
        <f>HYPERLINK("http://141.218.60.56/~jnz1568/getInfo.php?workbook=08_02.xlsx&amp;sheet=A0&amp;row=561&amp;col=10&amp;number=&amp;sourceID=34","")</f>
        <v/>
      </c>
      <c r="K561" s="4" t="str">
        <f>HYPERLINK("http://141.218.60.56/~jnz1568/getInfo.php?workbook=08_02.xlsx&amp;sheet=A0&amp;row=561&amp;col=11&amp;number=13140000000&amp;sourceID=30","13140000000")</f>
        <v>13140000000</v>
      </c>
      <c r="L561" s="4" t="str">
        <f>HYPERLINK("http://141.218.60.56/~jnz1568/getInfo.php?workbook=08_02.xlsx&amp;sheet=A0&amp;row=561&amp;col=12&amp;number=&amp;sourceID=30","")</f>
        <v/>
      </c>
      <c r="M561" s="4" t="str">
        <f>HYPERLINK("http://141.218.60.56/~jnz1568/getInfo.php?workbook=08_02.xlsx&amp;sheet=A0&amp;row=561&amp;col=13&amp;number=&amp;sourceID=30","")</f>
        <v/>
      </c>
      <c r="N561" s="4" t="str">
        <f>HYPERLINK("http://141.218.60.56/~jnz1568/getInfo.php?workbook=08_02.xlsx&amp;sheet=A0&amp;row=561&amp;col=14&amp;number=&amp;sourceID=30","")</f>
        <v/>
      </c>
      <c r="O561" s="4" t="str">
        <f>HYPERLINK("http://141.218.60.56/~jnz1568/getInfo.php?workbook=08_02.xlsx&amp;sheet=A0&amp;row=561&amp;col=15&amp;number=13670000000&amp;sourceID=32","13670000000")</f>
        <v>13670000000</v>
      </c>
      <c r="P561" s="4" t="str">
        <f>HYPERLINK("http://141.218.60.56/~jnz1568/getInfo.php?workbook=08_02.xlsx&amp;sheet=A0&amp;row=561&amp;col=16&amp;number=&amp;sourceID=32","")</f>
        <v/>
      </c>
      <c r="Q561" s="4" t="str">
        <f>HYPERLINK("http://141.218.60.56/~jnz1568/getInfo.php?workbook=08_02.xlsx&amp;sheet=A0&amp;row=561&amp;col=17&amp;number=&amp;sourceID=32","")</f>
        <v/>
      </c>
      <c r="R561" s="4" t="str">
        <f>HYPERLINK("http://141.218.60.56/~jnz1568/getInfo.php?workbook=08_02.xlsx&amp;sheet=A0&amp;row=561&amp;col=18&amp;number=&amp;sourceID=32","")</f>
        <v/>
      </c>
      <c r="S561" s="4" t="str">
        <f>HYPERLINK("http://141.218.60.56/~jnz1568/getInfo.php?workbook=08_02.xlsx&amp;sheet=A0&amp;row=561&amp;col=19&amp;number=&amp;sourceID=1","")</f>
        <v/>
      </c>
      <c r="T561" s="4" t="str">
        <f>HYPERLINK("http://141.218.60.56/~jnz1568/getInfo.php?workbook=08_02.xlsx&amp;sheet=A0&amp;row=561&amp;col=20&amp;number=&amp;sourceID=1","")</f>
        <v/>
      </c>
    </row>
    <row r="562" spans="1:20">
      <c r="A562" s="3">
        <v>8</v>
      </c>
      <c r="B562" s="3">
        <v>2</v>
      </c>
      <c r="C562" s="3">
        <v>38</v>
      </c>
      <c r="D562" s="3">
        <v>4</v>
      </c>
      <c r="E562" s="3">
        <f>((1/(INDEX(E0!J$4:J$52,C562,1)-INDEX(E0!J$4:J$52,D562,1))))*100000000</f>
        <v>0</v>
      </c>
      <c r="F562" s="4" t="str">
        <f>HYPERLINK("http://141.218.60.56/~jnz1568/getInfo.php?workbook=08_02.xlsx&amp;sheet=A0&amp;row=562&amp;col=6&amp;number=&amp;sourceID=27","")</f>
        <v/>
      </c>
      <c r="G562" s="4" t="str">
        <f>HYPERLINK("http://141.218.60.56/~jnz1568/getInfo.php?workbook=08_02.xlsx&amp;sheet=A0&amp;row=562&amp;col=7&amp;number=10260000000&amp;sourceID=34","10260000000")</f>
        <v>10260000000</v>
      </c>
      <c r="H562" s="4" t="str">
        <f>HYPERLINK("http://141.218.60.56/~jnz1568/getInfo.php?workbook=08_02.xlsx&amp;sheet=A0&amp;row=562&amp;col=8&amp;number=&amp;sourceID=34","")</f>
        <v/>
      </c>
      <c r="I562" s="4" t="str">
        <f>HYPERLINK("http://141.218.60.56/~jnz1568/getInfo.php?workbook=08_02.xlsx&amp;sheet=A0&amp;row=562&amp;col=9&amp;number=&amp;sourceID=34","")</f>
        <v/>
      </c>
      <c r="J562" s="4" t="str">
        <f>HYPERLINK("http://141.218.60.56/~jnz1568/getInfo.php?workbook=08_02.xlsx&amp;sheet=A0&amp;row=562&amp;col=10&amp;number=&amp;sourceID=34","")</f>
        <v/>
      </c>
      <c r="K562" s="4" t="str">
        <f>HYPERLINK("http://141.218.60.56/~jnz1568/getInfo.php?workbook=08_02.xlsx&amp;sheet=A0&amp;row=562&amp;col=11&amp;number=9848000000&amp;sourceID=30","9848000000")</f>
        <v>9848000000</v>
      </c>
      <c r="L562" s="4" t="str">
        <f>HYPERLINK("http://141.218.60.56/~jnz1568/getInfo.php?workbook=08_02.xlsx&amp;sheet=A0&amp;row=562&amp;col=12&amp;number=&amp;sourceID=30","")</f>
        <v/>
      </c>
      <c r="M562" s="4" t="str">
        <f>HYPERLINK("http://141.218.60.56/~jnz1568/getInfo.php?workbook=08_02.xlsx&amp;sheet=A0&amp;row=562&amp;col=13&amp;number=&amp;sourceID=30","")</f>
        <v/>
      </c>
      <c r="N562" s="4" t="str">
        <f>HYPERLINK("http://141.218.60.56/~jnz1568/getInfo.php?workbook=08_02.xlsx&amp;sheet=A0&amp;row=562&amp;col=14&amp;number=7.933&amp;sourceID=30","7.933")</f>
        <v>7.933</v>
      </c>
      <c r="O562" s="4" t="str">
        <f>HYPERLINK("http://141.218.60.56/~jnz1568/getInfo.php?workbook=08_02.xlsx&amp;sheet=A0&amp;row=562&amp;col=15&amp;number=10250000000&amp;sourceID=32","10250000000")</f>
        <v>10250000000</v>
      </c>
      <c r="P562" s="4" t="str">
        <f>HYPERLINK("http://141.218.60.56/~jnz1568/getInfo.php?workbook=08_02.xlsx&amp;sheet=A0&amp;row=562&amp;col=16&amp;number=&amp;sourceID=32","")</f>
        <v/>
      </c>
      <c r="Q562" s="4" t="str">
        <f>HYPERLINK("http://141.218.60.56/~jnz1568/getInfo.php?workbook=08_02.xlsx&amp;sheet=A0&amp;row=562&amp;col=17&amp;number=&amp;sourceID=32","")</f>
        <v/>
      </c>
      <c r="R562" s="4" t="str">
        <f>HYPERLINK("http://141.218.60.56/~jnz1568/getInfo.php?workbook=08_02.xlsx&amp;sheet=A0&amp;row=562&amp;col=18&amp;number=8.389&amp;sourceID=32","8.389")</f>
        <v>8.389</v>
      </c>
      <c r="S562" s="4" t="str">
        <f>HYPERLINK("http://141.218.60.56/~jnz1568/getInfo.php?workbook=08_02.xlsx&amp;sheet=A0&amp;row=562&amp;col=19&amp;number=&amp;sourceID=1","")</f>
        <v/>
      </c>
      <c r="T562" s="4" t="str">
        <f>HYPERLINK("http://141.218.60.56/~jnz1568/getInfo.php?workbook=08_02.xlsx&amp;sheet=A0&amp;row=562&amp;col=20&amp;number=&amp;sourceID=1","")</f>
        <v/>
      </c>
    </row>
    <row r="563" spans="1:20">
      <c r="A563" s="3">
        <v>8</v>
      </c>
      <c r="B563" s="3">
        <v>2</v>
      </c>
      <c r="C563" s="3">
        <v>38</v>
      </c>
      <c r="D563" s="3">
        <v>5</v>
      </c>
      <c r="E563" s="3">
        <f>((1/(INDEX(E0!J$4:J$52,C563,1)-INDEX(E0!J$4:J$52,D563,1))))*100000000</f>
        <v>0</v>
      </c>
      <c r="F563" s="4" t="str">
        <f>HYPERLINK("http://141.218.60.56/~jnz1568/getInfo.php?workbook=08_02.xlsx&amp;sheet=A0&amp;row=563&amp;col=6&amp;number=&amp;sourceID=27","")</f>
        <v/>
      </c>
      <c r="G563" s="4" t="str">
        <f>HYPERLINK("http://141.218.60.56/~jnz1568/getInfo.php?workbook=08_02.xlsx&amp;sheet=A0&amp;row=563&amp;col=7&amp;number=683333333.333&amp;sourceID=34","683333333.333")</f>
        <v>683333333.333</v>
      </c>
      <c r="H563" s="4" t="str">
        <f>HYPERLINK("http://141.218.60.56/~jnz1568/getInfo.php?workbook=08_02.xlsx&amp;sheet=A0&amp;row=563&amp;col=8&amp;number=&amp;sourceID=34","")</f>
        <v/>
      </c>
      <c r="I563" s="4" t="str">
        <f>HYPERLINK("http://141.218.60.56/~jnz1568/getInfo.php?workbook=08_02.xlsx&amp;sheet=A0&amp;row=563&amp;col=9&amp;number=&amp;sourceID=34","")</f>
        <v/>
      </c>
      <c r="J563" s="4" t="str">
        <f>HYPERLINK("http://141.218.60.56/~jnz1568/getInfo.php?workbook=08_02.xlsx&amp;sheet=A0&amp;row=563&amp;col=10&amp;number=&amp;sourceID=34","")</f>
        <v/>
      </c>
      <c r="K563" s="4" t="str">
        <f>HYPERLINK("http://141.218.60.56/~jnz1568/getInfo.php?workbook=08_02.xlsx&amp;sheet=A0&amp;row=563&amp;col=11&amp;number=655600000&amp;sourceID=30","655600000")</f>
        <v>655600000</v>
      </c>
      <c r="L563" s="4" t="str">
        <f>HYPERLINK("http://141.218.60.56/~jnz1568/getInfo.php?workbook=08_02.xlsx&amp;sheet=A0&amp;row=563&amp;col=12&amp;number=&amp;sourceID=30","")</f>
        <v/>
      </c>
      <c r="M563" s="4" t="str">
        <f>HYPERLINK("http://141.218.60.56/~jnz1568/getInfo.php?workbook=08_02.xlsx&amp;sheet=A0&amp;row=563&amp;col=13&amp;number=&amp;sourceID=30","")</f>
        <v/>
      </c>
      <c r="N563" s="4" t="str">
        <f>HYPERLINK("http://141.218.60.56/~jnz1568/getInfo.php?workbook=08_02.xlsx&amp;sheet=A0&amp;row=563&amp;col=14&amp;number=4.02e-09&amp;sourceID=30","4.02e-09")</f>
        <v>4.02e-09</v>
      </c>
      <c r="O563" s="4" t="str">
        <f>HYPERLINK("http://141.218.60.56/~jnz1568/getInfo.php?workbook=08_02.xlsx&amp;sheet=A0&amp;row=563&amp;col=15&amp;number=682300000&amp;sourceID=32","682300000")</f>
        <v>682300000</v>
      </c>
      <c r="P563" s="4" t="str">
        <f>HYPERLINK("http://141.218.60.56/~jnz1568/getInfo.php?workbook=08_02.xlsx&amp;sheet=A0&amp;row=563&amp;col=16&amp;number=&amp;sourceID=32","")</f>
        <v/>
      </c>
      <c r="Q563" s="4" t="str">
        <f>HYPERLINK("http://141.218.60.56/~jnz1568/getInfo.php?workbook=08_02.xlsx&amp;sheet=A0&amp;row=563&amp;col=17&amp;number=&amp;sourceID=32","")</f>
        <v/>
      </c>
      <c r="R563" s="4" t="str">
        <f>HYPERLINK("http://141.218.60.56/~jnz1568/getInfo.php?workbook=08_02.xlsx&amp;sheet=A0&amp;row=563&amp;col=18&amp;number=0.0001076&amp;sourceID=32","0.0001076")</f>
        <v>0.0001076</v>
      </c>
      <c r="S563" s="4" t="str">
        <f>HYPERLINK("http://141.218.60.56/~jnz1568/getInfo.php?workbook=08_02.xlsx&amp;sheet=A0&amp;row=563&amp;col=19&amp;number=&amp;sourceID=1","")</f>
        <v/>
      </c>
      <c r="T563" s="4" t="str">
        <f>HYPERLINK("http://141.218.60.56/~jnz1568/getInfo.php?workbook=08_02.xlsx&amp;sheet=A0&amp;row=563&amp;col=20&amp;number=&amp;sourceID=1","")</f>
        <v/>
      </c>
    </row>
    <row r="564" spans="1:20">
      <c r="A564" s="3">
        <v>8</v>
      </c>
      <c r="B564" s="3">
        <v>2</v>
      </c>
      <c r="C564" s="3">
        <v>38</v>
      </c>
      <c r="D564" s="3">
        <v>6</v>
      </c>
      <c r="E564" s="3">
        <f>((1/(INDEX(E0!J$4:J$52,C564,1)-INDEX(E0!J$4:J$52,D564,1))))*100000000</f>
        <v>0</v>
      </c>
      <c r="F564" s="4" t="str">
        <f>HYPERLINK("http://141.218.60.56/~jnz1568/getInfo.php?workbook=08_02.xlsx&amp;sheet=A0&amp;row=564&amp;col=6&amp;number=&amp;sourceID=27","")</f>
        <v/>
      </c>
      <c r="G564" s="4" t="str">
        <f>HYPERLINK("http://141.218.60.56/~jnz1568/getInfo.php?workbook=08_02.xlsx&amp;sheet=A0&amp;row=564&amp;col=7&amp;number=&amp;sourceID=34","")</f>
        <v/>
      </c>
      <c r="H564" s="4" t="str">
        <f>HYPERLINK("http://141.218.60.56/~jnz1568/getInfo.php?workbook=08_02.xlsx&amp;sheet=A0&amp;row=564&amp;col=8&amp;number=&amp;sourceID=34","")</f>
        <v/>
      </c>
      <c r="I564" s="4" t="str">
        <f>HYPERLINK("http://141.218.60.56/~jnz1568/getInfo.php?workbook=08_02.xlsx&amp;sheet=A0&amp;row=564&amp;col=9&amp;number=&amp;sourceID=34","")</f>
        <v/>
      </c>
      <c r="J564" s="4" t="str">
        <f>HYPERLINK("http://141.218.60.56/~jnz1568/getInfo.php?workbook=08_02.xlsx&amp;sheet=A0&amp;row=564&amp;col=10&amp;number=&amp;sourceID=34","")</f>
        <v/>
      </c>
      <c r="K564" s="4" t="str">
        <f>HYPERLINK("http://141.218.60.56/~jnz1568/getInfo.php?workbook=08_02.xlsx&amp;sheet=A0&amp;row=564&amp;col=11&amp;number=&amp;sourceID=30","")</f>
        <v/>
      </c>
      <c r="L564" s="4" t="str">
        <f>HYPERLINK("http://141.218.60.56/~jnz1568/getInfo.php?workbook=08_02.xlsx&amp;sheet=A0&amp;row=564&amp;col=12&amp;number=&amp;sourceID=30","")</f>
        <v/>
      </c>
      <c r="M564" s="4" t="str">
        <f>HYPERLINK("http://141.218.60.56/~jnz1568/getInfo.php?workbook=08_02.xlsx&amp;sheet=A0&amp;row=564&amp;col=13&amp;number=0.0008326&amp;sourceID=30","0.0008326")</f>
        <v>0.0008326</v>
      </c>
      <c r="N564" s="4" t="str">
        <f>HYPERLINK("http://141.218.60.56/~jnz1568/getInfo.php?workbook=08_02.xlsx&amp;sheet=A0&amp;row=564&amp;col=14&amp;number=&amp;sourceID=30","")</f>
        <v/>
      </c>
      <c r="O564" s="4" t="str">
        <f>HYPERLINK("http://141.218.60.56/~jnz1568/getInfo.php?workbook=08_02.xlsx&amp;sheet=A0&amp;row=564&amp;col=15&amp;number=&amp;sourceID=32","")</f>
        <v/>
      </c>
      <c r="P564" s="4" t="str">
        <f>HYPERLINK("http://141.218.60.56/~jnz1568/getInfo.php?workbook=08_02.xlsx&amp;sheet=A0&amp;row=564&amp;col=16&amp;number=&amp;sourceID=32","")</f>
        <v/>
      </c>
      <c r="Q564" s="4" t="str">
        <f>HYPERLINK("http://141.218.60.56/~jnz1568/getInfo.php?workbook=08_02.xlsx&amp;sheet=A0&amp;row=564&amp;col=17&amp;number=0.01166&amp;sourceID=32","0.01166")</f>
        <v>0.01166</v>
      </c>
      <c r="R564" s="4" t="str">
        <f>HYPERLINK("http://141.218.60.56/~jnz1568/getInfo.php?workbook=08_02.xlsx&amp;sheet=A0&amp;row=564&amp;col=18&amp;number=&amp;sourceID=32","")</f>
        <v/>
      </c>
      <c r="S564" s="4" t="str">
        <f>HYPERLINK("http://141.218.60.56/~jnz1568/getInfo.php?workbook=08_02.xlsx&amp;sheet=A0&amp;row=564&amp;col=19&amp;number=&amp;sourceID=1","")</f>
        <v/>
      </c>
      <c r="T564" s="4" t="str">
        <f>HYPERLINK("http://141.218.60.56/~jnz1568/getInfo.php?workbook=08_02.xlsx&amp;sheet=A0&amp;row=564&amp;col=20&amp;number=&amp;sourceID=1","")</f>
        <v/>
      </c>
    </row>
    <row r="565" spans="1:20">
      <c r="A565" s="3">
        <v>8</v>
      </c>
      <c r="B565" s="3">
        <v>2</v>
      </c>
      <c r="C565" s="3">
        <v>38</v>
      </c>
      <c r="D565" s="3">
        <v>7</v>
      </c>
      <c r="E565" s="3">
        <f>((1/(INDEX(E0!J$4:J$52,C565,1)-INDEX(E0!J$4:J$52,D565,1))))*100000000</f>
        <v>0</v>
      </c>
      <c r="F565" s="4" t="str">
        <f>HYPERLINK("http://141.218.60.56/~jnz1568/getInfo.php?workbook=08_02.xlsx&amp;sheet=A0&amp;row=565&amp;col=6&amp;number=&amp;sourceID=27","")</f>
        <v/>
      </c>
      <c r="G565" s="4" t="str">
        <f>HYPERLINK("http://141.218.60.56/~jnz1568/getInfo.php?workbook=08_02.xlsx&amp;sheet=A0&amp;row=565&amp;col=7&amp;number=&amp;sourceID=34","")</f>
        <v/>
      </c>
      <c r="H565" s="4" t="str">
        <f>HYPERLINK("http://141.218.60.56/~jnz1568/getInfo.php?workbook=08_02.xlsx&amp;sheet=A0&amp;row=565&amp;col=8&amp;number=&amp;sourceID=34","")</f>
        <v/>
      </c>
      <c r="I565" s="4" t="str">
        <f>HYPERLINK("http://141.218.60.56/~jnz1568/getInfo.php?workbook=08_02.xlsx&amp;sheet=A0&amp;row=565&amp;col=9&amp;number=&amp;sourceID=34","")</f>
        <v/>
      </c>
      <c r="J565" s="4" t="str">
        <f>HYPERLINK("http://141.218.60.56/~jnz1568/getInfo.php?workbook=08_02.xlsx&amp;sheet=A0&amp;row=565&amp;col=10&amp;number=&amp;sourceID=34","")</f>
        <v/>
      </c>
      <c r="K565" s="4" t="str">
        <f>HYPERLINK("http://141.218.60.56/~jnz1568/getInfo.php?workbook=08_02.xlsx&amp;sheet=A0&amp;row=565&amp;col=11&amp;number=1284000&amp;sourceID=30","1284000")</f>
        <v>1284000</v>
      </c>
      <c r="L565" s="4" t="str">
        <f>HYPERLINK("http://141.218.60.56/~jnz1568/getInfo.php?workbook=08_02.xlsx&amp;sheet=A0&amp;row=565&amp;col=12&amp;number=&amp;sourceID=30","")</f>
        <v/>
      </c>
      <c r="M565" s="4" t="str">
        <f>HYPERLINK("http://141.218.60.56/~jnz1568/getInfo.php?workbook=08_02.xlsx&amp;sheet=A0&amp;row=565&amp;col=13&amp;number=&amp;sourceID=30","")</f>
        <v/>
      </c>
      <c r="N565" s="4" t="str">
        <f>HYPERLINK("http://141.218.60.56/~jnz1568/getInfo.php?workbook=08_02.xlsx&amp;sheet=A0&amp;row=565&amp;col=14&amp;number=3.595&amp;sourceID=30","3.595")</f>
        <v>3.595</v>
      </c>
      <c r="O565" s="4" t="str">
        <f>HYPERLINK("http://141.218.60.56/~jnz1568/getInfo.php?workbook=08_02.xlsx&amp;sheet=A0&amp;row=565&amp;col=15&amp;number=1389000&amp;sourceID=32","1389000")</f>
        <v>1389000</v>
      </c>
      <c r="P565" s="4" t="str">
        <f>HYPERLINK("http://141.218.60.56/~jnz1568/getInfo.php?workbook=08_02.xlsx&amp;sheet=A0&amp;row=565&amp;col=16&amp;number=&amp;sourceID=32","")</f>
        <v/>
      </c>
      <c r="Q565" s="4" t="str">
        <f>HYPERLINK("http://141.218.60.56/~jnz1568/getInfo.php?workbook=08_02.xlsx&amp;sheet=A0&amp;row=565&amp;col=17&amp;number=&amp;sourceID=32","")</f>
        <v/>
      </c>
      <c r="R565" s="4" t="str">
        <f>HYPERLINK("http://141.218.60.56/~jnz1568/getInfo.php?workbook=08_02.xlsx&amp;sheet=A0&amp;row=565&amp;col=18&amp;number=3.24&amp;sourceID=32","3.24")</f>
        <v>3.24</v>
      </c>
      <c r="S565" s="4" t="str">
        <f>HYPERLINK("http://141.218.60.56/~jnz1568/getInfo.php?workbook=08_02.xlsx&amp;sheet=A0&amp;row=565&amp;col=19&amp;number=&amp;sourceID=1","")</f>
        <v/>
      </c>
      <c r="T565" s="4" t="str">
        <f>HYPERLINK("http://141.218.60.56/~jnz1568/getInfo.php?workbook=08_02.xlsx&amp;sheet=A0&amp;row=565&amp;col=20&amp;number=&amp;sourceID=1","")</f>
        <v/>
      </c>
    </row>
    <row r="566" spans="1:20">
      <c r="A566" s="3">
        <v>8</v>
      </c>
      <c r="B566" s="3">
        <v>2</v>
      </c>
      <c r="C566" s="3">
        <v>38</v>
      </c>
      <c r="D566" s="3">
        <v>8</v>
      </c>
      <c r="E566" s="3">
        <f>((1/(INDEX(E0!J$4:J$52,C566,1)-INDEX(E0!J$4:J$52,D566,1))))*100000000</f>
        <v>0</v>
      </c>
      <c r="F566" s="4" t="str">
        <f>HYPERLINK("http://141.218.60.56/~jnz1568/getInfo.php?workbook=08_02.xlsx&amp;sheet=A0&amp;row=566&amp;col=6&amp;number=&amp;sourceID=27","")</f>
        <v/>
      </c>
      <c r="G566" s="4" t="str">
        <f>HYPERLINK("http://141.218.60.56/~jnz1568/getInfo.php?workbook=08_02.xlsx&amp;sheet=A0&amp;row=566&amp;col=7&amp;number=&amp;sourceID=34","")</f>
        <v/>
      </c>
      <c r="H566" s="4" t="str">
        <f>HYPERLINK("http://141.218.60.56/~jnz1568/getInfo.php?workbook=08_02.xlsx&amp;sheet=A0&amp;row=566&amp;col=8&amp;number=&amp;sourceID=34","")</f>
        <v/>
      </c>
      <c r="I566" s="4" t="str">
        <f>HYPERLINK("http://141.218.60.56/~jnz1568/getInfo.php?workbook=08_02.xlsx&amp;sheet=A0&amp;row=566&amp;col=9&amp;number=&amp;sourceID=34","")</f>
        <v/>
      </c>
      <c r="J566" s="4" t="str">
        <f>HYPERLINK("http://141.218.60.56/~jnz1568/getInfo.php?workbook=08_02.xlsx&amp;sheet=A0&amp;row=566&amp;col=10&amp;number=&amp;sourceID=34","")</f>
        <v/>
      </c>
      <c r="K566" s="4" t="str">
        <f>HYPERLINK("http://141.218.60.56/~jnz1568/getInfo.php?workbook=08_02.xlsx&amp;sheet=A0&amp;row=566&amp;col=11&amp;number=&amp;sourceID=30","")</f>
        <v/>
      </c>
      <c r="L566" s="4" t="str">
        <f>HYPERLINK("http://141.218.60.56/~jnz1568/getInfo.php?workbook=08_02.xlsx&amp;sheet=A0&amp;row=566&amp;col=12&amp;number=174500&amp;sourceID=30","174500")</f>
        <v>174500</v>
      </c>
      <c r="M566" s="4" t="str">
        <f>HYPERLINK("http://141.218.60.56/~jnz1568/getInfo.php?workbook=08_02.xlsx&amp;sheet=A0&amp;row=566&amp;col=13&amp;number=0.000811&amp;sourceID=30","0.000811")</f>
        <v>0.000811</v>
      </c>
      <c r="N566" s="4" t="str">
        <f>HYPERLINK("http://141.218.60.56/~jnz1568/getInfo.php?workbook=08_02.xlsx&amp;sheet=A0&amp;row=566&amp;col=14&amp;number=&amp;sourceID=30","")</f>
        <v/>
      </c>
      <c r="O566" s="4" t="str">
        <f>HYPERLINK("http://141.218.60.56/~jnz1568/getInfo.php?workbook=08_02.xlsx&amp;sheet=A0&amp;row=566&amp;col=15&amp;number=&amp;sourceID=32","")</f>
        <v/>
      </c>
      <c r="P566" s="4" t="str">
        <f>HYPERLINK("http://141.218.60.56/~jnz1568/getInfo.php?workbook=08_02.xlsx&amp;sheet=A0&amp;row=566&amp;col=16&amp;number=194900&amp;sourceID=32","194900")</f>
        <v>194900</v>
      </c>
      <c r="Q566" s="4" t="str">
        <f>HYPERLINK("http://141.218.60.56/~jnz1568/getInfo.php?workbook=08_02.xlsx&amp;sheet=A0&amp;row=566&amp;col=17&amp;number=0.000912&amp;sourceID=32","0.000912")</f>
        <v>0.000912</v>
      </c>
      <c r="R566" s="4" t="str">
        <f>HYPERLINK("http://141.218.60.56/~jnz1568/getInfo.php?workbook=08_02.xlsx&amp;sheet=A0&amp;row=566&amp;col=18&amp;number=&amp;sourceID=32","")</f>
        <v/>
      </c>
      <c r="S566" s="4" t="str">
        <f>HYPERLINK("http://141.218.60.56/~jnz1568/getInfo.php?workbook=08_02.xlsx&amp;sheet=A0&amp;row=566&amp;col=19&amp;number=&amp;sourceID=1","")</f>
        <v/>
      </c>
      <c r="T566" s="4" t="str">
        <f>HYPERLINK("http://141.218.60.56/~jnz1568/getInfo.php?workbook=08_02.xlsx&amp;sheet=A0&amp;row=566&amp;col=20&amp;number=&amp;sourceID=1","")</f>
        <v/>
      </c>
    </row>
    <row r="567" spans="1:20">
      <c r="A567" s="3">
        <v>8</v>
      </c>
      <c r="B567" s="3">
        <v>2</v>
      </c>
      <c r="C567" s="3">
        <v>38</v>
      </c>
      <c r="D567" s="3">
        <v>9</v>
      </c>
      <c r="E567" s="3">
        <f>((1/(INDEX(E0!J$4:J$52,C567,1)-INDEX(E0!J$4:J$52,D567,1))))*100000000</f>
        <v>0</v>
      </c>
      <c r="F567" s="4" t="str">
        <f>HYPERLINK("http://141.218.60.56/~jnz1568/getInfo.php?workbook=08_02.xlsx&amp;sheet=A0&amp;row=567&amp;col=6&amp;number=&amp;sourceID=27","")</f>
        <v/>
      </c>
      <c r="G567" s="4" t="str">
        <f>HYPERLINK("http://141.218.60.56/~jnz1568/getInfo.php?workbook=08_02.xlsx&amp;sheet=A0&amp;row=567&amp;col=7&amp;number=4610000000&amp;sourceID=34","4610000000")</f>
        <v>4610000000</v>
      </c>
      <c r="H567" s="4" t="str">
        <f>HYPERLINK("http://141.218.60.56/~jnz1568/getInfo.php?workbook=08_02.xlsx&amp;sheet=A0&amp;row=567&amp;col=8&amp;number=&amp;sourceID=34","")</f>
        <v/>
      </c>
      <c r="I567" s="4" t="str">
        <f>HYPERLINK("http://141.218.60.56/~jnz1568/getInfo.php?workbook=08_02.xlsx&amp;sheet=A0&amp;row=567&amp;col=9&amp;number=&amp;sourceID=34","")</f>
        <v/>
      </c>
      <c r="J567" s="4" t="str">
        <f>HYPERLINK("http://141.218.60.56/~jnz1568/getInfo.php?workbook=08_02.xlsx&amp;sheet=A0&amp;row=567&amp;col=10&amp;number=&amp;sourceID=34","")</f>
        <v/>
      </c>
      <c r="K567" s="4" t="str">
        <f>HYPERLINK("http://141.218.60.56/~jnz1568/getInfo.php?workbook=08_02.xlsx&amp;sheet=A0&amp;row=567&amp;col=11&amp;number=4516000000&amp;sourceID=30","4516000000")</f>
        <v>4516000000</v>
      </c>
      <c r="L567" s="4" t="str">
        <f>HYPERLINK("http://141.218.60.56/~jnz1568/getInfo.php?workbook=08_02.xlsx&amp;sheet=A0&amp;row=567&amp;col=12&amp;number=&amp;sourceID=30","")</f>
        <v/>
      </c>
      <c r="M567" s="4" t="str">
        <f>HYPERLINK("http://141.218.60.56/~jnz1568/getInfo.php?workbook=08_02.xlsx&amp;sheet=A0&amp;row=567&amp;col=13&amp;number=&amp;sourceID=30","")</f>
        <v/>
      </c>
      <c r="N567" s="4" t="str">
        <f>HYPERLINK("http://141.218.60.56/~jnz1568/getInfo.php?workbook=08_02.xlsx&amp;sheet=A0&amp;row=567&amp;col=14&amp;number=&amp;sourceID=30","")</f>
        <v/>
      </c>
      <c r="O567" s="4" t="str">
        <f>HYPERLINK("http://141.218.60.56/~jnz1568/getInfo.php?workbook=08_02.xlsx&amp;sheet=A0&amp;row=567&amp;col=15&amp;number=4602000000&amp;sourceID=32","4602000000")</f>
        <v>4602000000</v>
      </c>
      <c r="P567" s="4" t="str">
        <f>HYPERLINK("http://141.218.60.56/~jnz1568/getInfo.php?workbook=08_02.xlsx&amp;sheet=A0&amp;row=567&amp;col=16&amp;number=&amp;sourceID=32","")</f>
        <v/>
      </c>
      <c r="Q567" s="4" t="str">
        <f>HYPERLINK("http://141.218.60.56/~jnz1568/getInfo.php?workbook=08_02.xlsx&amp;sheet=A0&amp;row=567&amp;col=17&amp;number=&amp;sourceID=32","")</f>
        <v/>
      </c>
      <c r="R567" s="4" t="str">
        <f>HYPERLINK("http://141.218.60.56/~jnz1568/getInfo.php?workbook=08_02.xlsx&amp;sheet=A0&amp;row=567&amp;col=18&amp;number=&amp;sourceID=32","")</f>
        <v/>
      </c>
      <c r="S567" s="4" t="str">
        <f>HYPERLINK("http://141.218.60.56/~jnz1568/getInfo.php?workbook=08_02.xlsx&amp;sheet=A0&amp;row=567&amp;col=19&amp;number=&amp;sourceID=1","")</f>
        <v/>
      </c>
      <c r="T567" s="4" t="str">
        <f>HYPERLINK("http://141.218.60.56/~jnz1568/getInfo.php?workbook=08_02.xlsx&amp;sheet=A0&amp;row=567&amp;col=20&amp;number=&amp;sourceID=1","")</f>
        <v/>
      </c>
    </row>
    <row r="568" spans="1:20">
      <c r="A568" s="3">
        <v>8</v>
      </c>
      <c r="B568" s="3">
        <v>2</v>
      </c>
      <c r="C568" s="3">
        <v>38</v>
      </c>
      <c r="D568" s="3">
        <v>10</v>
      </c>
      <c r="E568" s="3">
        <f>((1/(INDEX(E0!J$4:J$52,C568,1)-INDEX(E0!J$4:J$52,D568,1))))*100000000</f>
        <v>0</v>
      </c>
      <c r="F568" s="4" t="str">
        <f>HYPERLINK("http://141.218.60.56/~jnz1568/getInfo.php?workbook=08_02.xlsx&amp;sheet=A0&amp;row=568&amp;col=6&amp;number=&amp;sourceID=27","")</f>
        <v/>
      </c>
      <c r="G568" s="4" t="str">
        <f>HYPERLINK("http://141.218.60.56/~jnz1568/getInfo.php?workbook=08_02.xlsx&amp;sheet=A0&amp;row=568&amp;col=7&amp;number=3456666666.67&amp;sourceID=34","3456666666.67")</f>
        <v>3456666666.67</v>
      </c>
      <c r="H568" s="4" t="str">
        <f>HYPERLINK("http://141.218.60.56/~jnz1568/getInfo.php?workbook=08_02.xlsx&amp;sheet=A0&amp;row=568&amp;col=8&amp;number=&amp;sourceID=34","")</f>
        <v/>
      </c>
      <c r="I568" s="4" t="str">
        <f>HYPERLINK("http://141.218.60.56/~jnz1568/getInfo.php?workbook=08_02.xlsx&amp;sheet=A0&amp;row=568&amp;col=9&amp;number=&amp;sourceID=34","")</f>
        <v/>
      </c>
      <c r="J568" s="4" t="str">
        <f>HYPERLINK("http://141.218.60.56/~jnz1568/getInfo.php?workbook=08_02.xlsx&amp;sheet=A0&amp;row=568&amp;col=10&amp;number=&amp;sourceID=34","")</f>
        <v/>
      </c>
      <c r="K568" s="4" t="str">
        <f>HYPERLINK("http://141.218.60.56/~jnz1568/getInfo.php?workbook=08_02.xlsx&amp;sheet=A0&amp;row=568&amp;col=11&amp;number=3386000000&amp;sourceID=30","3386000000")</f>
        <v>3386000000</v>
      </c>
      <c r="L568" s="4" t="str">
        <f>HYPERLINK("http://141.218.60.56/~jnz1568/getInfo.php?workbook=08_02.xlsx&amp;sheet=A0&amp;row=568&amp;col=12&amp;number=&amp;sourceID=30","")</f>
        <v/>
      </c>
      <c r="M568" s="4" t="str">
        <f>HYPERLINK("http://141.218.60.56/~jnz1568/getInfo.php?workbook=08_02.xlsx&amp;sheet=A0&amp;row=568&amp;col=13&amp;number=&amp;sourceID=30","")</f>
        <v/>
      </c>
      <c r="N568" s="4" t="str">
        <f>HYPERLINK("http://141.218.60.56/~jnz1568/getInfo.php?workbook=08_02.xlsx&amp;sheet=A0&amp;row=568&amp;col=14&amp;number=0.3108&amp;sourceID=30","0.3108")</f>
        <v>0.3108</v>
      </c>
      <c r="O568" s="4" t="str">
        <f>HYPERLINK("http://141.218.60.56/~jnz1568/getInfo.php?workbook=08_02.xlsx&amp;sheet=A0&amp;row=568&amp;col=15&amp;number=3452000000&amp;sourceID=32","3452000000")</f>
        <v>3452000000</v>
      </c>
      <c r="P568" s="4" t="str">
        <f>HYPERLINK("http://141.218.60.56/~jnz1568/getInfo.php?workbook=08_02.xlsx&amp;sheet=A0&amp;row=568&amp;col=16&amp;number=&amp;sourceID=32","")</f>
        <v/>
      </c>
      <c r="Q568" s="4" t="str">
        <f>HYPERLINK("http://141.218.60.56/~jnz1568/getInfo.php?workbook=08_02.xlsx&amp;sheet=A0&amp;row=568&amp;col=17&amp;number=&amp;sourceID=32","")</f>
        <v/>
      </c>
      <c r="R568" s="4" t="str">
        <f>HYPERLINK("http://141.218.60.56/~jnz1568/getInfo.php?workbook=08_02.xlsx&amp;sheet=A0&amp;row=568&amp;col=18&amp;number=0.3176&amp;sourceID=32","0.3176")</f>
        <v>0.3176</v>
      </c>
      <c r="S568" s="4" t="str">
        <f>HYPERLINK("http://141.218.60.56/~jnz1568/getInfo.php?workbook=08_02.xlsx&amp;sheet=A0&amp;row=568&amp;col=19&amp;number=&amp;sourceID=1","")</f>
        <v/>
      </c>
      <c r="T568" s="4" t="str">
        <f>HYPERLINK("http://141.218.60.56/~jnz1568/getInfo.php?workbook=08_02.xlsx&amp;sheet=A0&amp;row=568&amp;col=20&amp;number=&amp;sourceID=1","")</f>
        <v/>
      </c>
    </row>
    <row r="569" spans="1:20">
      <c r="A569" s="3">
        <v>8</v>
      </c>
      <c r="B569" s="3">
        <v>2</v>
      </c>
      <c r="C569" s="3">
        <v>38</v>
      </c>
      <c r="D569" s="3">
        <v>11</v>
      </c>
      <c r="E569" s="3">
        <f>((1/(INDEX(E0!J$4:J$52,C569,1)-INDEX(E0!J$4:J$52,D569,1))))*100000000</f>
        <v>0</v>
      </c>
      <c r="F569" s="4" t="str">
        <f>HYPERLINK("http://141.218.60.56/~jnz1568/getInfo.php?workbook=08_02.xlsx&amp;sheet=A0&amp;row=569&amp;col=6&amp;number=&amp;sourceID=27","")</f>
        <v/>
      </c>
      <c r="G569" s="4" t="str">
        <f>HYPERLINK("http://141.218.60.56/~jnz1568/getInfo.php?workbook=08_02.xlsx&amp;sheet=A0&amp;row=569&amp;col=7&amp;number=230400000&amp;sourceID=34","230400000")</f>
        <v>230400000</v>
      </c>
      <c r="H569" s="4" t="str">
        <f>HYPERLINK("http://141.218.60.56/~jnz1568/getInfo.php?workbook=08_02.xlsx&amp;sheet=A0&amp;row=569&amp;col=8&amp;number=&amp;sourceID=34","")</f>
        <v/>
      </c>
      <c r="I569" s="4" t="str">
        <f>HYPERLINK("http://141.218.60.56/~jnz1568/getInfo.php?workbook=08_02.xlsx&amp;sheet=A0&amp;row=569&amp;col=9&amp;number=&amp;sourceID=34","")</f>
        <v/>
      </c>
      <c r="J569" s="4" t="str">
        <f>HYPERLINK("http://141.218.60.56/~jnz1568/getInfo.php?workbook=08_02.xlsx&amp;sheet=A0&amp;row=569&amp;col=10&amp;number=&amp;sourceID=34","")</f>
        <v/>
      </c>
      <c r="K569" s="4" t="str">
        <f>HYPERLINK("http://141.218.60.56/~jnz1568/getInfo.php?workbook=08_02.xlsx&amp;sheet=A0&amp;row=569&amp;col=11&amp;number=225500000&amp;sourceID=30","225500000")</f>
        <v>225500000</v>
      </c>
      <c r="L569" s="4" t="str">
        <f>HYPERLINK("http://141.218.60.56/~jnz1568/getInfo.php?workbook=08_02.xlsx&amp;sheet=A0&amp;row=569&amp;col=12&amp;number=&amp;sourceID=30","")</f>
        <v/>
      </c>
      <c r="M569" s="4" t="str">
        <f>HYPERLINK("http://141.218.60.56/~jnz1568/getInfo.php?workbook=08_02.xlsx&amp;sheet=A0&amp;row=569&amp;col=13&amp;number=&amp;sourceID=30","")</f>
        <v/>
      </c>
      <c r="N569" s="4" t="str">
        <f>HYPERLINK("http://141.218.60.56/~jnz1568/getInfo.php?workbook=08_02.xlsx&amp;sheet=A0&amp;row=569&amp;col=14&amp;number=3.727e-08&amp;sourceID=30","3.727e-08")</f>
        <v>3.727e-08</v>
      </c>
      <c r="O569" s="4" t="str">
        <f>HYPERLINK("http://141.218.60.56/~jnz1568/getInfo.php?workbook=08_02.xlsx&amp;sheet=A0&amp;row=569&amp;col=15&amp;number=229900000&amp;sourceID=32","229900000")</f>
        <v>229900000</v>
      </c>
      <c r="P569" s="4" t="str">
        <f>HYPERLINK("http://141.218.60.56/~jnz1568/getInfo.php?workbook=08_02.xlsx&amp;sheet=A0&amp;row=569&amp;col=16&amp;number=&amp;sourceID=32","")</f>
        <v/>
      </c>
      <c r="Q569" s="4" t="str">
        <f>HYPERLINK("http://141.218.60.56/~jnz1568/getInfo.php?workbook=08_02.xlsx&amp;sheet=A0&amp;row=569&amp;col=17&amp;number=&amp;sourceID=32","")</f>
        <v/>
      </c>
      <c r="R569" s="4" t="str">
        <f>HYPERLINK("http://141.218.60.56/~jnz1568/getInfo.php?workbook=08_02.xlsx&amp;sheet=A0&amp;row=569&amp;col=18&amp;number=1.595e-09&amp;sourceID=32","1.595e-09")</f>
        <v>1.595e-09</v>
      </c>
      <c r="S569" s="4" t="str">
        <f>HYPERLINK("http://141.218.60.56/~jnz1568/getInfo.php?workbook=08_02.xlsx&amp;sheet=A0&amp;row=569&amp;col=19&amp;number=&amp;sourceID=1","")</f>
        <v/>
      </c>
      <c r="T569" s="4" t="str">
        <f>HYPERLINK("http://141.218.60.56/~jnz1568/getInfo.php?workbook=08_02.xlsx&amp;sheet=A0&amp;row=569&amp;col=20&amp;number=&amp;sourceID=1","")</f>
        <v/>
      </c>
    </row>
    <row r="570" spans="1:20">
      <c r="A570" s="3">
        <v>8</v>
      </c>
      <c r="B570" s="3">
        <v>2</v>
      </c>
      <c r="C570" s="3">
        <v>38</v>
      </c>
      <c r="D570" s="3">
        <v>12</v>
      </c>
      <c r="E570" s="3">
        <f>((1/(INDEX(E0!J$4:J$52,C570,1)-INDEX(E0!J$4:J$52,D570,1))))*100000000</f>
        <v>0</v>
      </c>
      <c r="F570" s="4" t="str">
        <f>HYPERLINK("http://141.218.60.56/~jnz1568/getInfo.php?workbook=08_02.xlsx&amp;sheet=A0&amp;row=570&amp;col=6&amp;number=&amp;sourceID=27","")</f>
        <v/>
      </c>
      <c r="G570" s="4" t="str">
        <f>HYPERLINK("http://141.218.60.56/~jnz1568/getInfo.php?workbook=08_02.xlsx&amp;sheet=A0&amp;row=570&amp;col=7&amp;number=&amp;sourceID=34","")</f>
        <v/>
      </c>
      <c r="H570" s="4" t="str">
        <f>HYPERLINK("http://141.218.60.56/~jnz1568/getInfo.php?workbook=08_02.xlsx&amp;sheet=A0&amp;row=570&amp;col=8&amp;number=&amp;sourceID=34","")</f>
        <v/>
      </c>
      <c r="I570" s="4" t="str">
        <f>HYPERLINK("http://141.218.60.56/~jnz1568/getInfo.php?workbook=08_02.xlsx&amp;sheet=A0&amp;row=570&amp;col=9&amp;number=&amp;sourceID=34","")</f>
        <v/>
      </c>
      <c r="J570" s="4" t="str">
        <f>HYPERLINK("http://141.218.60.56/~jnz1568/getInfo.php?workbook=08_02.xlsx&amp;sheet=A0&amp;row=570&amp;col=10&amp;number=&amp;sourceID=34","")</f>
        <v/>
      </c>
      <c r="K570" s="4" t="str">
        <f>HYPERLINK("http://141.218.60.56/~jnz1568/getInfo.php?workbook=08_02.xlsx&amp;sheet=A0&amp;row=570&amp;col=11&amp;number=&amp;sourceID=30","")</f>
        <v/>
      </c>
      <c r="L570" s="4" t="str">
        <f>HYPERLINK("http://141.218.60.56/~jnz1568/getInfo.php?workbook=08_02.xlsx&amp;sheet=A0&amp;row=570&amp;col=12&amp;number=&amp;sourceID=30","")</f>
        <v/>
      </c>
      <c r="M570" s="4" t="str">
        <f>HYPERLINK("http://141.218.60.56/~jnz1568/getInfo.php?workbook=08_02.xlsx&amp;sheet=A0&amp;row=570&amp;col=13&amp;number=0.0001025&amp;sourceID=30","0.0001025")</f>
        <v>0.0001025</v>
      </c>
      <c r="N570" s="4" t="str">
        <f>HYPERLINK("http://141.218.60.56/~jnz1568/getInfo.php?workbook=08_02.xlsx&amp;sheet=A0&amp;row=570&amp;col=14&amp;number=&amp;sourceID=30","")</f>
        <v/>
      </c>
      <c r="O570" s="4" t="str">
        <f>HYPERLINK("http://141.218.60.56/~jnz1568/getInfo.php?workbook=08_02.xlsx&amp;sheet=A0&amp;row=570&amp;col=15&amp;number=&amp;sourceID=32","")</f>
        <v/>
      </c>
      <c r="P570" s="4" t="str">
        <f>HYPERLINK("http://141.218.60.56/~jnz1568/getInfo.php?workbook=08_02.xlsx&amp;sheet=A0&amp;row=570&amp;col=16&amp;number=&amp;sourceID=32","")</f>
        <v/>
      </c>
      <c r="Q570" s="4" t="str">
        <f>HYPERLINK("http://141.218.60.56/~jnz1568/getInfo.php?workbook=08_02.xlsx&amp;sheet=A0&amp;row=570&amp;col=17&amp;number=0.0002117&amp;sourceID=32","0.0002117")</f>
        <v>0.0002117</v>
      </c>
      <c r="R570" s="4" t="str">
        <f>HYPERLINK("http://141.218.60.56/~jnz1568/getInfo.php?workbook=08_02.xlsx&amp;sheet=A0&amp;row=570&amp;col=18&amp;number=&amp;sourceID=32","")</f>
        <v/>
      </c>
      <c r="S570" s="4" t="str">
        <f>HYPERLINK("http://141.218.60.56/~jnz1568/getInfo.php?workbook=08_02.xlsx&amp;sheet=A0&amp;row=570&amp;col=19&amp;number=&amp;sourceID=1","")</f>
        <v/>
      </c>
      <c r="T570" s="4" t="str">
        <f>HYPERLINK("http://141.218.60.56/~jnz1568/getInfo.php?workbook=08_02.xlsx&amp;sheet=A0&amp;row=570&amp;col=20&amp;number=&amp;sourceID=1","")</f>
        <v/>
      </c>
    </row>
    <row r="571" spans="1:20">
      <c r="A571" s="3">
        <v>8</v>
      </c>
      <c r="B571" s="3">
        <v>2</v>
      </c>
      <c r="C571" s="3">
        <v>38</v>
      </c>
      <c r="D571" s="3">
        <v>13</v>
      </c>
      <c r="E571" s="3">
        <f>((1/(INDEX(E0!J$4:J$52,C571,1)-INDEX(E0!J$4:J$52,D571,1))))*100000000</f>
        <v>0</v>
      </c>
      <c r="F571" s="4" t="str">
        <f>HYPERLINK("http://141.218.60.56/~jnz1568/getInfo.php?workbook=08_02.xlsx&amp;sheet=A0&amp;row=571&amp;col=6&amp;number=&amp;sourceID=27","")</f>
        <v/>
      </c>
      <c r="G571" s="4" t="str">
        <f>HYPERLINK("http://141.218.60.56/~jnz1568/getInfo.php?workbook=08_02.xlsx&amp;sheet=A0&amp;row=571&amp;col=7&amp;number=&amp;sourceID=34","")</f>
        <v/>
      </c>
      <c r="H571" s="4" t="str">
        <f>HYPERLINK("http://141.218.60.56/~jnz1568/getInfo.php?workbook=08_02.xlsx&amp;sheet=A0&amp;row=571&amp;col=8&amp;number=&amp;sourceID=34","")</f>
        <v/>
      </c>
      <c r="I571" s="4" t="str">
        <f>HYPERLINK("http://141.218.60.56/~jnz1568/getInfo.php?workbook=08_02.xlsx&amp;sheet=A0&amp;row=571&amp;col=9&amp;number=&amp;sourceID=34","")</f>
        <v/>
      </c>
      <c r="J571" s="4" t="str">
        <f>HYPERLINK("http://141.218.60.56/~jnz1568/getInfo.php?workbook=08_02.xlsx&amp;sheet=A0&amp;row=571&amp;col=10&amp;number=&amp;sourceID=34","")</f>
        <v/>
      </c>
      <c r="K571" s="4" t="str">
        <f>HYPERLINK("http://141.218.60.56/~jnz1568/getInfo.php?workbook=08_02.xlsx&amp;sheet=A0&amp;row=571&amp;col=11&amp;number=&amp;sourceID=30","")</f>
        <v/>
      </c>
      <c r="L571" s="4" t="str">
        <f>HYPERLINK("http://141.218.60.56/~jnz1568/getInfo.php?workbook=08_02.xlsx&amp;sheet=A0&amp;row=571&amp;col=12&amp;number=23380&amp;sourceID=30","23380")</f>
        <v>23380</v>
      </c>
      <c r="M571" s="4" t="str">
        <f>HYPERLINK("http://141.218.60.56/~jnz1568/getInfo.php?workbook=08_02.xlsx&amp;sheet=A0&amp;row=571&amp;col=13&amp;number=0.004457&amp;sourceID=30","0.004457")</f>
        <v>0.004457</v>
      </c>
      <c r="N571" s="4" t="str">
        <f>HYPERLINK("http://141.218.60.56/~jnz1568/getInfo.php?workbook=08_02.xlsx&amp;sheet=A0&amp;row=571&amp;col=14&amp;number=&amp;sourceID=30","")</f>
        <v/>
      </c>
      <c r="O571" s="4" t="str">
        <f>HYPERLINK("http://141.218.60.56/~jnz1568/getInfo.php?workbook=08_02.xlsx&amp;sheet=A0&amp;row=571&amp;col=15&amp;number=&amp;sourceID=32","")</f>
        <v/>
      </c>
      <c r="P571" s="4" t="str">
        <f>HYPERLINK("http://141.218.60.56/~jnz1568/getInfo.php?workbook=08_02.xlsx&amp;sheet=A0&amp;row=571&amp;col=16&amp;number=23600&amp;sourceID=32","23600")</f>
        <v>23600</v>
      </c>
      <c r="Q571" s="4" t="str">
        <f>HYPERLINK("http://141.218.60.56/~jnz1568/getInfo.php?workbook=08_02.xlsx&amp;sheet=A0&amp;row=571&amp;col=17&amp;number=0.004955&amp;sourceID=32","0.004955")</f>
        <v>0.004955</v>
      </c>
      <c r="R571" s="4" t="str">
        <f>HYPERLINK("http://141.218.60.56/~jnz1568/getInfo.php?workbook=08_02.xlsx&amp;sheet=A0&amp;row=571&amp;col=18&amp;number=&amp;sourceID=32","")</f>
        <v/>
      </c>
      <c r="S571" s="4" t="str">
        <f>HYPERLINK("http://141.218.60.56/~jnz1568/getInfo.php?workbook=08_02.xlsx&amp;sheet=A0&amp;row=571&amp;col=19&amp;number=&amp;sourceID=1","")</f>
        <v/>
      </c>
      <c r="T571" s="4" t="str">
        <f>HYPERLINK("http://141.218.60.56/~jnz1568/getInfo.php?workbook=08_02.xlsx&amp;sheet=A0&amp;row=571&amp;col=20&amp;number=&amp;sourceID=1","")</f>
        <v/>
      </c>
    </row>
    <row r="572" spans="1:20">
      <c r="A572" s="3">
        <v>8</v>
      </c>
      <c r="B572" s="3">
        <v>2</v>
      </c>
      <c r="C572" s="3">
        <v>38</v>
      </c>
      <c r="D572" s="3">
        <v>14</v>
      </c>
      <c r="E572" s="3">
        <f>((1/(INDEX(E0!J$4:J$52,C572,1)-INDEX(E0!J$4:J$52,D572,1))))*100000000</f>
        <v>0</v>
      </c>
      <c r="F572" s="4" t="str">
        <f>HYPERLINK("http://141.218.60.56/~jnz1568/getInfo.php?workbook=08_02.xlsx&amp;sheet=A0&amp;row=572&amp;col=6&amp;number=&amp;sourceID=27","")</f>
        <v/>
      </c>
      <c r="G572" s="4" t="str">
        <f>HYPERLINK("http://141.218.60.56/~jnz1568/getInfo.php?workbook=08_02.xlsx&amp;sheet=A0&amp;row=572&amp;col=7&amp;number=&amp;sourceID=34","")</f>
        <v/>
      </c>
      <c r="H572" s="4" t="str">
        <f>HYPERLINK("http://141.218.60.56/~jnz1568/getInfo.php?workbook=08_02.xlsx&amp;sheet=A0&amp;row=572&amp;col=8&amp;number=&amp;sourceID=34","")</f>
        <v/>
      </c>
      <c r="I572" s="4" t="str">
        <f>HYPERLINK("http://141.218.60.56/~jnz1568/getInfo.php?workbook=08_02.xlsx&amp;sheet=A0&amp;row=572&amp;col=9&amp;number=&amp;sourceID=34","")</f>
        <v/>
      </c>
      <c r="J572" s="4" t="str">
        <f>HYPERLINK("http://141.218.60.56/~jnz1568/getInfo.php?workbook=08_02.xlsx&amp;sheet=A0&amp;row=572&amp;col=10&amp;number=&amp;sourceID=34","")</f>
        <v/>
      </c>
      <c r="K572" s="4" t="str">
        <f>HYPERLINK("http://141.218.60.56/~jnz1568/getInfo.php?workbook=08_02.xlsx&amp;sheet=A0&amp;row=572&amp;col=11&amp;number=&amp;sourceID=30","")</f>
        <v/>
      </c>
      <c r="L572" s="4" t="str">
        <f>HYPERLINK("http://141.218.60.56/~jnz1568/getInfo.php?workbook=08_02.xlsx&amp;sheet=A0&amp;row=572&amp;col=12&amp;number=38470&amp;sourceID=30","38470")</f>
        <v>38470</v>
      </c>
      <c r="M572" s="4" t="str">
        <f>HYPERLINK("http://141.218.60.56/~jnz1568/getInfo.php?workbook=08_02.xlsx&amp;sheet=A0&amp;row=572&amp;col=13&amp;number=8.847e-07&amp;sourceID=30","8.847e-07")</f>
        <v>8.847e-07</v>
      </c>
      <c r="N572" s="4" t="str">
        <f>HYPERLINK("http://141.218.60.56/~jnz1568/getInfo.php?workbook=08_02.xlsx&amp;sheet=A0&amp;row=572&amp;col=14&amp;number=&amp;sourceID=30","")</f>
        <v/>
      </c>
      <c r="O572" s="4" t="str">
        <f>HYPERLINK("http://141.218.60.56/~jnz1568/getInfo.php?workbook=08_02.xlsx&amp;sheet=A0&amp;row=572&amp;col=15&amp;number=&amp;sourceID=32","")</f>
        <v/>
      </c>
      <c r="P572" s="4" t="str">
        <f>HYPERLINK("http://141.218.60.56/~jnz1568/getInfo.php?workbook=08_02.xlsx&amp;sheet=A0&amp;row=572&amp;col=16&amp;number=38760&amp;sourceID=32","38760")</f>
        <v>38760</v>
      </c>
      <c r="Q572" s="4" t="str">
        <f>HYPERLINK("http://141.218.60.56/~jnz1568/getInfo.php?workbook=08_02.xlsx&amp;sheet=A0&amp;row=572&amp;col=17&amp;number=1.571e-05&amp;sourceID=32","1.571e-05")</f>
        <v>1.571e-05</v>
      </c>
      <c r="R572" s="4" t="str">
        <f>HYPERLINK("http://141.218.60.56/~jnz1568/getInfo.php?workbook=08_02.xlsx&amp;sheet=A0&amp;row=572&amp;col=18&amp;number=&amp;sourceID=32","")</f>
        <v/>
      </c>
      <c r="S572" s="4" t="str">
        <f>HYPERLINK("http://141.218.60.56/~jnz1568/getInfo.php?workbook=08_02.xlsx&amp;sheet=A0&amp;row=572&amp;col=19&amp;number=&amp;sourceID=1","")</f>
        <v/>
      </c>
      <c r="T572" s="4" t="str">
        <f>HYPERLINK("http://141.218.60.56/~jnz1568/getInfo.php?workbook=08_02.xlsx&amp;sheet=A0&amp;row=572&amp;col=20&amp;number=&amp;sourceID=1","")</f>
        <v/>
      </c>
    </row>
    <row r="573" spans="1:20">
      <c r="A573" s="3">
        <v>8</v>
      </c>
      <c r="B573" s="3">
        <v>2</v>
      </c>
      <c r="C573" s="3">
        <v>38</v>
      </c>
      <c r="D573" s="3">
        <v>15</v>
      </c>
      <c r="E573" s="3">
        <f>((1/(INDEX(E0!J$4:J$52,C573,1)-INDEX(E0!J$4:J$52,D573,1))))*100000000</f>
        <v>0</v>
      </c>
      <c r="F573" s="4" t="str">
        <f>HYPERLINK("http://141.218.60.56/~jnz1568/getInfo.php?workbook=08_02.xlsx&amp;sheet=A0&amp;row=573&amp;col=6&amp;number=&amp;sourceID=27","")</f>
        <v/>
      </c>
      <c r="G573" s="4" t="str">
        <f>HYPERLINK("http://141.218.60.56/~jnz1568/getInfo.php?workbook=08_02.xlsx&amp;sheet=A0&amp;row=573&amp;col=7&amp;number=&amp;sourceID=34","")</f>
        <v/>
      </c>
      <c r="H573" s="4" t="str">
        <f>HYPERLINK("http://141.218.60.56/~jnz1568/getInfo.php?workbook=08_02.xlsx&amp;sheet=A0&amp;row=573&amp;col=8&amp;number=&amp;sourceID=34","")</f>
        <v/>
      </c>
      <c r="I573" s="4" t="str">
        <f>HYPERLINK("http://141.218.60.56/~jnz1568/getInfo.php?workbook=08_02.xlsx&amp;sheet=A0&amp;row=573&amp;col=9&amp;number=&amp;sourceID=34","")</f>
        <v/>
      </c>
      <c r="J573" s="4" t="str">
        <f>HYPERLINK("http://141.218.60.56/~jnz1568/getInfo.php?workbook=08_02.xlsx&amp;sheet=A0&amp;row=573&amp;col=10&amp;number=&amp;sourceID=34","")</f>
        <v/>
      </c>
      <c r="K573" s="4" t="str">
        <f>HYPERLINK("http://141.218.60.56/~jnz1568/getInfo.php?workbook=08_02.xlsx&amp;sheet=A0&amp;row=573&amp;col=11&amp;number=&amp;sourceID=30","")</f>
        <v/>
      </c>
      <c r="L573" s="4" t="str">
        <f>HYPERLINK("http://141.218.60.56/~jnz1568/getInfo.php?workbook=08_02.xlsx&amp;sheet=A0&amp;row=573&amp;col=12&amp;number=4445&amp;sourceID=30","4445")</f>
        <v>4445</v>
      </c>
      <c r="M573" s="4" t="str">
        <f>HYPERLINK("http://141.218.60.56/~jnz1568/getInfo.php?workbook=08_02.xlsx&amp;sheet=A0&amp;row=573&amp;col=13&amp;number=&amp;sourceID=30","")</f>
        <v/>
      </c>
      <c r="N573" s="4" t="str">
        <f>HYPERLINK("http://141.218.60.56/~jnz1568/getInfo.php?workbook=08_02.xlsx&amp;sheet=A0&amp;row=573&amp;col=14&amp;number=&amp;sourceID=30","")</f>
        <v/>
      </c>
      <c r="O573" s="4" t="str">
        <f>HYPERLINK("http://141.218.60.56/~jnz1568/getInfo.php?workbook=08_02.xlsx&amp;sheet=A0&amp;row=573&amp;col=15&amp;number=&amp;sourceID=32","")</f>
        <v/>
      </c>
      <c r="P573" s="4" t="str">
        <f>HYPERLINK("http://141.218.60.56/~jnz1568/getInfo.php?workbook=08_02.xlsx&amp;sheet=A0&amp;row=573&amp;col=16&amp;number=4493&amp;sourceID=32","4493")</f>
        <v>4493</v>
      </c>
      <c r="Q573" s="4" t="str">
        <f>HYPERLINK("http://141.218.60.56/~jnz1568/getInfo.php?workbook=08_02.xlsx&amp;sheet=A0&amp;row=573&amp;col=17&amp;number=&amp;sourceID=32","")</f>
        <v/>
      </c>
      <c r="R573" s="4" t="str">
        <f>HYPERLINK("http://141.218.60.56/~jnz1568/getInfo.php?workbook=08_02.xlsx&amp;sheet=A0&amp;row=573&amp;col=18&amp;number=&amp;sourceID=32","")</f>
        <v/>
      </c>
      <c r="S573" s="4" t="str">
        <f>HYPERLINK("http://141.218.60.56/~jnz1568/getInfo.php?workbook=08_02.xlsx&amp;sheet=A0&amp;row=573&amp;col=19&amp;number=&amp;sourceID=1","")</f>
        <v/>
      </c>
      <c r="T573" s="4" t="str">
        <f>HYPERLINK("http://141.218.60.56/~jnz1568/getInfo.php?workbook=08_02.xlsx&amp;sheet=A0&amp;row=573&amp;col=20&amp;number=&amp;sourceID=1","")</f>
        <v/>
      </c>
    </row>
    <row r="574" spans="1:20">
      <c r="A574" s="3">
        <v>8</v>
      </c>
      <c r="B574" s="3">
        <v>2</v>
      </c>
      <c r="C574" s="3">
        <v>38</v>
      </c>
      <c r="D574" s="3">
        <v>16</v>
      </c>
      <c r="E574" s="3">
        <f>((1/(INDEX(E0!J$4:J$52,C574,1)-INDEX(E0!J$4:J$52,D574,1))))*100000000</f>
        <v>0</v>
      </c>
      <c r="F574" s="4" t="str">
        <f>HYPERLINK("http://141.218.60.56/~jnz1568/getInfo.php?workbook=08_02.xlsx&amp;sheet=A0&amp;row=574&amp;col=6&amp;number=&amp;sourceID=27","")</f>
        <v/>
      </c>
      <c r="G574" s="4" t="str">
        <f>HYPERLINK("http://141.218.60.56/~jnz1568/getInfo.php?workbook=08_02.xlsx&amp;sheet=A0&amp;row=574&amp;col=7&amp;number=&amp;sourceID=34","")</f>
        <v/>
      </c>
      <c r="H574" s="4" t="str">
        <f>HYPERLINK("http://141.218.60.56/~jnz1568/getInfo.php?workbook=08_02.xlsx&amp;sheet=A0&amp;row=574&amp;col=8&amp;number=&amp;sourceID=34","")</f>
        <v/>
      </c>
      <c r="I574" s="4" t="str">
        <f>HYPERLINK("http://141.218.60.56/~jnz1568/getInfo.php?workbook=08_02.xlsx&amp;sheet=A0&amp;row=574&amp;col=9&amp;number=&amp;sourceID=34","")</f>
        <v/>
      </c>
      <c r="J574" s="4" t="str">
        <f>HYPERLINK("http://141.218.60.56/~jnz1568/getInfo.php?workbook=08_02.xlsx&amp;sheet=A0&amp;row=574&amp;col=10&amp;number=&amp;sourceID=34","")</f>
        <v/>
      </c>
      <c r="K574" s="4" t="str">
        <f>HYPERLINK("http://141.218.60.56/~jnz1568/getInfo.php?workbook=08_02.xlsx&amp;sheet=A0&amp;row=574&amp;col=11&amp;number=&amp;sourceID=30","")</f>
        <v/>
      </c>
      <c r="L574" s="4" t="str">
        <f>HYPERLINK("http://141.218.60.56/~jnz1568/getInfo.php?workbook=08_02.xlsx&amp;sheet=A0&amp;row=574&amp;col=12&amp;number=495.5&amp;sourceID=30","495.5")</f>
        <v>495.5</v>
      </c>
      <c r="M574" s="4" t="str">
        <f>HYPERLINK("http://141.218.60.56/~jnz1568/getInfo.php?workbook=08_02.xlsx&amp;sheet=A0&amp;row=574&amp;col=13&amp;number=0.01474&amp;sourceID=30","0.01474")</f>
        <v>0.01474</v>
      </c>
      <c r="N574" s="4" t="str">
        <f>HYPERLINK("http://141.218.60.56/~jnz1568/getInfo.php?workbook=08_02.xlsx&amp;sheet=A0&amp;row=574&amp;col=14&amp;number=&amp;sourceID=30","")</f>
        <v/>
      </c>
      <c r="O574" s="4" t="str">
        <f>HYPERLINK("http://141.218.60.56/~jnz1568/getInfo.php?workbook=08_02.xlsx&amp;sheet=A0&amp;row=574&amp;col=15&amp;number=&amp;sourceID=32","")</f>
        <v/>
      </c>
      <c r="P574" s="4" t="str">
        <f>HYPERLINK("http://141.218.60.56/~jnz1568/getInfo.php?workbook=08_02.xlsx&amp;sheet=A0&amp;row=574&amp;col=16&amp;number=621.7&amp;sourceID=32","621.7")</f>
        <v>621.7</v>
      </c>
      <c r="Q574" s="4" t="str">
        <f>HYPERLINK("http://141.218.60.56/~jnz1568/getInfo.php?workbook=08_02.xlsx&amp;sheet=A0&amp;row=574&amp;col=17&amp;number=0.01432&amp;sourceID=32","0.01432")</f>
        <v>0.01432</v>
      </c>
      <c r="R574" s="4" t="str">
        <f>HYPERLINK("http://141.218.60.56/~jnz1568/getInfo.php?workbook=08_02.xlsx&amp;sheet=A0&amp;row=574&amp;col=18&amp;number=&amp;sourceID=32","")</f>
        <v/>
      </c>
      <c r="S574" s="4" t="str">
        <f>HYPERLINK("http://141.218.60.56/~jnz1568/getInfo.php?workbook=08_02.xlsx&amp;sheet=A0&amp;row=574&amp;col=19&amp;number=&amp;sourceID=1","")</f>
        <v/>
      </c>
      <c r="T574" s="4" t="str">
        <f>HYPERLINK("http://141.218.60.56/~jnz1568/getInfo.php?workbook=08_02.xlsx&amp;sheet=A0&amp;row=574&amp;col=20&amp;number=&amp;sourceID=1","")</f>
        <v/>
      </c>
    </row>
    <row r="575" spans="1:20">
      <c r="A575" s="3">
        <v>8</v>
      </c>
      <c r="B575" s="3">
        <v>2</v>
      </c>
      <c r="C575" s="3">
        <v>38</v>
      </c>
      <c r="D575" s="3">
        <v>17</v>
      </c>
      <c r="E575" s="3">
        <f>((1/(INDEX(E0!J$4:J$52,C575,1)-INDEX(E0!J$4:J$52,D575,1))))*100000000</f>
        <v>0</v>
      </c>
      <c r="F575" s="4" t="str">
        <f>HYPERLINK("http://141.218.60.56/~jnz1568/getInfo.php?workbook=08_02.xlsx&amp;sheet=A0&amp;row=575&amp;col=6&amp;number=&amp;sourceID=27","")</f>
        <v/>
      </c>
      <c r="G575" s="4" t="str">
        <f>HYPERLINK("http://141.218.60.56/~jnz1568/getInfo.php?workbook=08_02.xlsx&amp;sheet=A0&amp;row=575&amp;col=7&amp;number=&amp;sourceID=34","")</f>
        <v/>
      </c>
      <c r="H575" s="4" t="str">
        <f>HYPERLINK("http://141.218.60.56/~jnz1568/getInfo.php?workbook=08_02.xlsx&amp;sheet=A0&amp;row=575&amp;col=8&amp;number=&amp;sourceID=34","")</f>
        <v/>
      </c>
      <c r="I575" s="4" t="str">
        <f>HYPERLINK("http://141.218.60.56/~jnz1568/getInfo.php?workbook=08_02.xlsx&amp;sheet=A0&amp;row=575&amp;col=9&amp;number=&amp;sourceID=34","")</f>
        <v/>
      </c>
      <c r="J575" s="4" t="str">
        <f>HYPERLINK("http://141.218.60.56/~jnz1568/getInfo.php?workbook=08_02.xlsx&amp;sheet=A0&amp;row=575&amp;col=10&amp;number=&amp;sourceID=34","")</f>
        <v/>
      </c>
      <c r="K575" s="4" t="str">
        <f>HYPERLINK("http://141.218.60.56/~jnz1568/getInfo.php?workbook=08_02.xlsx&amp;sheet=A0&amp;row=575&amp;col=11&amp;number=529800&amp;sourceID=30","529800")</f>
        <v>529800</v>
      </c>
      <c r="L575" s="4" t="str">
        <f>HYPERLINK("http://141.218.60.56/~jnz1568/getInfo.php?workbook=08_02.xlsx&amp;sheet=A0&amp;row=575&amp;col=12&amp;number=&amp;sourceID=30","")</f>
        <v/>
      </c>
      <c r="M575" s="4" t="str">
        <f>HYPERLINK("http://141.218.60.56/~jnz1568/getInfo.php?workbook=08_02.xlsx&amp;sheet=A0&amp;row=575&amp;col=13&amp;number=&amp;sourceID=30","")</f>
        <v/>
      </c>
      <c r="N575" s="4" t="str">
        <f>HYPERLINK("http://141.218.60.56/~jnz1568/getInfo.php?workbook=08_02.xlsx&amp;sheet=A0&amp;row=575&amp;col=14&amp;number=0.1444&amp;sourceID=30","0.1444")</f>
        <v>0.1444</v>
      </c>
      <c r="O575" s="4" t="str">
        <f>HYPERLINK("http://141.218.60.56/~jnz1568/getInfo.php?workbook=08_02.xlsx&amp;sheet=A0&amp;row=575&amp;col=15&amp;number=575500&amp;sourceID=32","575500")</f>
        <v>575500</v>
      </c>
      <c r="P575" s="4" t="str">
        <f>HYPERLINK("http://141.218.60.56/~jnz1568/getInfo.php?workbook=08_02.xlsx&amp;sheet=A0&amp;row=575&amp;col=16&amp;number=&amp;sourceID=32","")</f>
        <v/>
      </c>
      <c r="Q575" s="4" t="str">
        <f>HYPERLINK("http://141.218.60.56/~jnz1568/getInfo.php?workbook=08_02.xlsx&amp;sheet=A0&amp;row=575&amp;col=17&amp;number=&amp;sourceID=32","")</f>
        <v/>
      </c>
      <c r="R575" s="4" t="str">
        <f>HYPERLINK("http://141.218.60.56/~jnz1568/getInfo.php?workbook=08_02.xlsx&amp;sheet=A0&amp;row=575&amp;col=18&amp;number=0.1379&amp;sourceID=32","0.1379")</f>
        <v>0.1379</v>
      </c>
      <c r="S575" s="4" t="str">
        <f>HYPERLINK("http://141.218.60.56/~jnz1568/getInfo.php?workbook=08_02.xlsx&amp;sheet=A0&amp;row=575&amp;col=19&amp;number=&amp;sourceID=1","")</f>
        <v/>
      </c>
      <c r="T575" s="4" t="str">
        <f>HYPERLINK("http://141.218.60.56/~jnz1568/getInfo.php?workbook=08_02.xlsx&amp;sheet=A0&amp;row=575&amp;col=20&amp;number=&amp;sourceID=1","")</f>
        <v/>
      </c>
    </row>
    <row r="576" spans="1:20">
      <c r="A576" s="3">
        <v>8</v>
      </c>
      <c r="B576" s="3">
        <v>2</v>
      </c>
      <c r="C576" s="3">
        <v>38</v>
      </c>
      <c r="D576" s="3">
        <v>18</v>
      </c>
      <c r="E576" s="3">
        <f>((1/(INDEX(E0!J$4:J$52,C576,1)-INDEX(E0!J$4:J$52,D576,1))))*100000000</f>
        <v>0</v>
      </c>
      <c r="F576" s="4" t="str">
        <f>HYPERLINK("http://141.218.60.56/~jnz1568/getInfo.php?workbook=08_02.xlsx&amp;sheet=A0&amp;row=576&amp;col=6&amp;number=&amp;sourceID=27","")</f>
        <v/>
      </c>
      <c r="G576" s="4" t="str">
        <f>HYPERLINK("http://141.218.60.56/~jnz1568/getInfo.php?workbook=08_02.xlsx&amp;sheet=A0&amp;row=576&amp;col=7&amp;number=&amp;sourceID=34","")</f>
        <v/>
      </c>
      <c r="H576" s="4" t="str">
        <f>HYPERLINK("http://141.218.60.56/~jnz1568/getInfo.php?workbook=08_02.xlsx&amp;sheet=A0&amp;row=576&amp;col=8&amp;number=&amp;sourceID=34","")</f>
        <v/>
      </c>
      <c r="I576" s="4" t="str">
        <f>HYPERLINK("http://141.218.60.56/~jnz1568/getInfo.php?workbook=08_02.xlsx&amp;sheet=A0&amp;row=576&amp;col=9&amp;number=&amp;sourceID=34","")</f>
        <v/>
      </c>
      <c r="J576" s="4" t="str">
        <f>HYPERLINK("http://141.218.60.56/~jnz1568/getInfo.php?workbook=08_02.xlsx&amp;sheet=A0&amp;row=576&amp;col=10&amp;number=&amp;sourceID=34","")</f>
        <v/>
      </c>
      <c r="K576" s="4" t="str">
        <f>HYPERLINK("http://141.218.60.56/~jnz1568/getInfo.php?workbook=08_02.xlsx&amp;sheet=A0&amp;row=576&amp;col=11&amp;number=&amp;sourceID=30","")</f>
        <v/>
      </c>
      <c r="L576" s="4" t="str">
        <f>HYPERLINK("http://141.218.60.56/~jnz1568/getInfo.php?workbook=08_02.xlsx&amp;sheet=A0&amp;row=576&amp;col=12&amp;number=72010&amp;sourceID=30","72010")</f>
        <v>72010</v>
      </c>
      <c r="M576" s="4" t="str">
        <f>HYPERLINK("http://141.218.60.56/~jnz1568/getInfo.php?workbook=08_02.xlsx&amp;sheet=A0&amp;row=576&amp;col=13&amp;number=4.713e-05&amp;sourceID=30","4.713e-05")</f>
        <v>4.713e-05</v>
      </c>
      <c r="N576" s="4" t="str">
        <f>HYPERLINK("http://141.218.60.56/~jnz1568/getInfo.php?workbook=08_02.xlsx&amp;sheet=A0&amp;row=576&amp;col=14&amp;number=&amp;sourceID=30","")</f>
        <v/>
      </c>
      <c r="O576" s="4" t="str">
        <f>HYPERLINK("http://141.218.60.56/~jnz1568/getInfo.php?workbook=08_02.xlsx&amp;sheet=A0&amp;row=576&amp;col=15&amp;number=&amp;sourceID=32","")</f>
        <v/>
      </c>
      <c r="P576" s="4" t="str">
        <f>HYPERLINK("http://141.218.60.56/~jnz1568/getInfo.php?workbook=08_02.xlsx&amp;sheet=A0&amp;row=576&amp;col=16&amp;number=73170&amp;sourceID=32","73170")</f>
        <v>73170</v>
      </c>
      <c r="Q576" s="4" t="str">
        <f>HYPERLINK("http://141.218.60.56/~jnz1568/getInfo.php?workbook=08_02.xlsx&amp;sheet=A0&amp;row=576&amp;col=17&amp;number=5.115e-05&amp;sourceID=32","5.115e-05")</f>
        <v>5.115e-05</v>
      </c>
      <c r="R576" s="4" t="str">
        <f>HYPERLINK("http://141.218.60.56/~jnz1568/getInfo.php?workbook=08_02.xlsx&amp;sheet=A0&amp;row=576&amp;col=18&amp;number=&amp;sourceID=32","")</f>
        <v/>
      </c>
      <c r="S576" s="4" t="str">
        <f>HYPERLINK("http://141.218.60.56/~jnz1568/getInfo.php?workbook=08_02.xlsx&amp;sheet=A0&amp;row=576&amp;col=19&amp;number=&amp;sourceID=1","")</f>
        <v/>
      </c>
      <c r="T576" s="4" t="str">
        <f>HYPERLINK("http://141.218.60.56/~jnz1568/getInfo.php?workbook=08_02.xlsx&amp;sheet=A0&amp;row=576&amp;col=20&amp;number=&amp;sourceID=1","")</f>
        <v/>
      </c>
    </row>
    <row r="577" spans="1:20">
      <c r="A577" s="3">
        <v>8</v>
      </c>
      <c r="B577" s="3">
        <v>2</v>
      </c>
      <c r="C577" s="3">
        <v>38</v>
      </c>
      <c r="D577" s="3">
        <v>19</v>
      </c>
      <c r="E577" s="3">
        <f>((1/(INDEX(E0!J$4:J$52,C577,1)-INDEX(E0!J$4:J$52,D577,1))))*100000000</f>
        <v>0</v>
      </c>
      <c r="F577" s="4" t="str">
        <f>HYPERLINK("http://141.218.60.56/~jnz1568/getInfo.php?workbook=08_02.xlsx&amp;sheet=A0&amp;row=577&amp;col=6&amp;number=&amp;sourceID=27","")</f>
        <v/>
      </c>
      <c r="G577" s="4" t="str">
        <f>HYPERLINK("http://141.218.60.56/~jnz1568/getInfo.php?workbook=08_02.xlsx&amp;sheet=A0&amp;row=577&amp;col=7&amp;number=1909000000&amp;sourceID=34","1909000000")</f>
        <v>1909000000</v>
      </c>
      <c r="H577" s="4" t="str">
        <f>HYPERLINK("http://141.218.60.56/~jnz1568/getInfo.php?workbook=08_02.xlsx&amp;sheet=A0&amp;row=577&amp;col=8&amp;number=&amp;sourceID=34","")</f>
        <v/>
      </c>
      <c r="I577" s="4" t="str">
        <f>HYPERLINK("http://141.218.60.56/~jnz1568/getInfo.php?workbook=08_02.xlsx&amp;sheet=A0&amp;row=577&amp;col=9&amp;number=&amp;sourceID=34","")</f>
        <v/>
      </c>
      <c r="J577" s="4" t="str">
        <f>HYPERLINK("http://141.218.60.56/~jnz1568/getInfo.php?workbook=08_02.xlsx&amp;sheet=A0&amp;row=577&amp;col=10&amp;number=&amp;sourceID=34","")</f>
        <v/>
      </c>
      <c r="K577" s="4" t="str">
        <f>HYPERLINK("http://141.218.60.56/~jnz1568/getInfo.php?workbook=08_02.xlsx&amp;sheet=A0&amp;row=577&amp;col=11&amp;number=1892000000&amp;sourceID=30","1892000000")</f>
        <v>1892000000</v>
      </c>
      <c r="L577" s="4" t="str">
        <f>HYPERLINK("http://141.218.60.56/~jnz1568/getInfo.php?workbook=08_02.xlsx&amp;sheet=A0&amp;row=577&amp;col=12&amp;number=&amp;sourceID=30","")</f>
        <v/>
      </c>
      <c r="M577" s="4" t="str">
        <f>HYPERLINK("http://141.218.60.56/~jnz1568/getInfo.php?workbook=08_02.xlsx&amp;sheet=A0&amp;row=577&amp;col=13&amp;number=&amp;sourceID=30","")</f>
        <v/>
      </c>
      <c r="N577" s="4" t="str">
        <f>HYPERLINK("http://141.218.60.56/~jnz1568/getInfo.php?workbook=08_02.xlsx&amp;sheet=A0&amp;row=577&amp;col=14&amp;number=&amp;sourceID=30","")</f>
        <v/>
      </c>
      <c r="O577" s="4" t="str">
        <f>HYPERLINK("http://141.218.60.56/~jnz1568/getInfo.php?workbook=08_02.xlsx&amp;sheet=A0&amp;row=577&amp;col=15&amp;number=1905000000&amp;sourceID=32","1905000000")</f>
        <v>1905000000</v>
      </c>
      <c r="P577" s="4" t="str">
        <f>HYPERLINK("http://141.218.60.56/~jnz1568/getInfo.php?workbook=08_02.xlsx&amp;sheet=A0&amp;row=577&amp;col=16&amp;number=&amp;sourceID=32","")</f>
        <v/>
      </c>
      <c r="Q577" s="4" t="str">
        <f>HYPERLINK("http://141.218.60.56/~jnz1568/getInfo.php?workbook=08_02.xlsx&amp;sheet=A0&amp;row=577&amp;col=17&amp;number=&amp;sourceID=32","")</f>
        <v/>
      </c>
      <c r="R577" s="4" t="str">
        <f>HYPERLINK("http://141.218.60.56/~jnz1568/getInfo.php?workbook=08_02.xlsx&amp;sheet=A0&amp;row=577&amp;col=18&amp;number=&amp;sourceID=32","")</f>
        <v/>
      </c>
      <c r="S577" s="4" t="str">
        <f>HYPERLINK("http://141.218.60.56/~jnz1568/getInfo.php?workbook=08_02.xlsx&amp;sheet=A0&amp;row=577&amp;col=19&amp;number=&amp;sourceID=1","")</f>
        <v/>
      </c>
      <c r="T577" s="4" t="str">
        <f>HYPERLINK("http://141.218.60.56/~jnz1568/getInfo.php?workbook=08_02.xlsx&amp;sheet=A0&amp;row=577&amp;col=20&amp;number=&amp;sourceID=1","")</f>
        <v/>
      </c>
    </row>
    <row r="578" spans="1:20">
      <c r="A578" s="3">
        <v>8</v>
      </c>
      <c r="B578" s="3">
        <v>2</v>
      </c>
      <c r="C578" s="3">
        <v>38</v>
      </c>
      <c r="D578" s="3">
        <v>20</v>
      </c>
      <c r="E578" s="3">
        <f>((1/(INDEX(E0!J$4:J$52,C578,1)-INDEX(E0!J$4:J$52,D578,1))))*100000000</f>
        <v>0</v>
      </c>
      <c r="F578" s="4" t="str">
        <f>HYPERLINK("http://141.218.60.56/~jnz1568/getInfo.php?workbook=08_02.xlsx&amp;sheet=A0&amp;row=578&amp;col=6&amp;number=&amp;sourceID=27","")</f>
        <v/>
      </c>
      <c r="G578" s="4" t="str">
        <f>HYPERLINK("http://141.218.60.56/~jnz1568/getInfo.php?workbook=08_02.xlsx&amp;sheet=A0&amp;row=578&amp;col=7&amp;number=1432000000&amp;sourceID=34","1432000000")</f>
        <v>1432000000</v>
      </c>
      <c r="H578" s="4" t="str">
        <f>HYPERLINK("http://141.218.60.56/~jnz1568/getInfo.php?workbook=08_02.xlsx&amp;sheet=A0&amp;row=578&amp;col=8&amp;number=&amp;sourceID=34","")</f>
        <v/>
      </c>
      <c r="I578" s="4" t="str">
        <f>HYPERLINK("http://141.218.60.56/~jnz1568/getInfo.php?workbook=08_02.xlsx&amp;sheet=A0&amp;row=578&amp;col=9&amp;number=&amp;sourceID=34","")</f>
        <v/>
      </c>
      <c r="J578" s="4" t="str">
        <f>HYPERLINK("http://141.218.60.56/~jnz1568/getInfo.php?workbook=08_02.xlsx&amp;sheet=A0&amp;row=578&amp;col=10&amp;number=&amp;sourceID=34","")</f>
        <v/>
      </c>
      <c r="K578" s="4" t="str">
        <f>HYPERLINK("http://141.218.60.56/~jnz1568/getInfo.php?workbook=08_02.xlsx&amp;sheet=A0&amp;row=578&amp;col=11&amp;number=1420000000&amp;sourceID=30","1420000000")</f>
        <v>1420000000</v>
      </c>
      <c r="L578" s="4" t="str">
        <f>HYPERLINK("http://141.218.60.56/~jnz1568/getInfo.php?workbook=08_02.xlsx&amp;sheet=A0&amp;row=578&amp;col=12&amp;number=&amp;sourceID=30","")</f>
        <v/>
      </c>
      <c r="M578" s="4" t="str">
        <f>HYPERLINK("http://141.218.60.56/~jnz1568/getInfo.php?workbook=08_02.xlsx&amp;sheet=A0&amp;row=578&amp;col=13&amp;number=&amp;sourceID=30","")</f>
        <v/>
      </c>
      <c r="N578" s="4" t="str">
        <f>HYPERLINK("http://141.218.60.56/~jnz1568/getInfo.php?workbook=08_02.xlsx&amp;sheet=A0&amp;row=578&amp;col=14&amp;number=0.01322&amp;sourceID=30","0.01322")</f>
        <v>0.01322</v>
      </c>
      <c r="O578" s="4" t="str">
        <f>HYPERLINK("http://141.218.60.56/~jnz1568/getInfo.php?workbook=08_02.xlsx&amp;sheet=A0&amp;row=578&amp;col=15&amp;number=1429000000&amp;sourceID=32","1429000000")</f>
        <v>1429000000</v>
      </c>
      <c r="P578" s="4" t="str">
        <f>HYPERLINK("http://141.218.60.56/~jnz1568/getInfo.php?workbook=08_02.xlsx&amp;sheet=A0&amp;row=578&amp;col=16&amp;number=&amp;sourceID=32","")</f>
        <v/>
      </c>
      <c r="Q578" s="4" t="str">
        <f>HYPERLINK("http://141.218.60.56/~jnz1568/getInfo.php?workbook=08_02.xlsx&amp;sheet=A0&amp;row=578&amp;col=17&amp;number=&amp;sourceID=32","")</f>
        <v/>
      </c>
      <c r="R578" s="4" t="str">
        <f>HYPERLINK("http://141.218.60.56/~jnz1568/getInfo.php?workbook=08_02.xlsx&amp;sheet=A0&amp;row=578&amp;col=18&amp;number=0.01334&amp;sourceID=32","0.01334")</f>
        <v>0.01334</v>
      </c>
      <c r="S578" s="4" t="str">
        <f>HYPERLINK("http://141.218.60.56/~jnz1568/getInfo.php?workbook=08_02.xlsx&amp;sheet=A0&amp;row=578&amp;col=19&amp;number=&amp;sourceID=1","")</f>
        <v/>
      </c>
      <c r="T578" s="4" t="str">
        <f>HYPERLINK("http://141.218.60.56/~jnz1568/getInfo.php?workbook=08_02.xlsx&amp;sheet=A0&amp;row=578&amp;col=20&amp;number=&amp;sourceID=1","")</f>
        <v/>
      </c>
    </row>
    <row r="579" spans="1:20">
      <c r="A579" s="3">
        <v>8</v>
      </c>
      <c r="B579" s="3">
        <v>2</v>
      </c>
      <c r="C579" s="3">
        <v>38</v>
      </c>
      <c r="D579" s="3">
        <v>21</v>
      </c>
      <c r="E579" s="3">
        <f>((1/(INDEX(E0!J$4:J$52,C579,1)-INDEX(E0!J$4:J$52,D579,1))))*100000000</f>
        <v>0</v>
      </c>
      <c r="F579" s="4" t="str">
        <f>HYPERLINK("http://141.218.60.56/~jnz1568/getInfo.php?workbook=08_02.xlsx&amp;sheet=A0&amp;row=579&amp;col=6&amp;number=&amp;sourceID=27","")</f>
        <v/>
      </c>
      <c r="G579" s="4" t="str">
        <f>HYPERLINK("http://141.218.60.56/~jnz1568/getInfo.php?workbook=08_02.xlsx&amp;sheet=A0&amp;row=579&amp;col=7&amp;number=95466666.6667&amp;sourceID=34","95466666.6667")</f>
        <v>95466666.6667</v>
      </c>
      <c r="H579" s="4" t="str">
        <f>HYPERLINK("http://141.218.60.56/~jnz1568/getInfo.php?workbook=08_02.xlsx&amp;sheet=A0&amp;row=579&amp;col=8&amp;number=&amp;sourceID=34","")</f>
        <v/>
      </c>
      <c r="I579" s="4" t="str">
        <f>HYPERLINK("http://141.218.60.56/~jnz1568/getInfo.php?workbook=08_02.xlsx&amp;sheet=A0&amp;row=579&amp;col=9&amp;number=&amp;sourceID=34","")</f>
        <v/>
      </c>
      <c r="J579" s="4" t="str">
        <f>HYPERLINK("http://141.218.60.56/~jnz1568/getInfo.php?workbook=08_02.xlsx&amp;sheet=A0&amp;row=579&amp;col=10&amp;number=&amp;sourceID=34","")</f>
        <v/>
      </c>
      <c r="K579" s="4" t="str">
        <f>HYPERLINK("http://141.218.60.56/~jnz1568/getInfo.php?workbook=08_02.xlsx&amp;sheet=A0&amp;row=579&amp;col=11&amp;number=94610000&amp;sourceID=30","94610000")</f>
        <v>94610000</v>
      </c>
      <c r="L579" s="4" t="str">
        <f>HYPERLINK("http://141.218.60.56/~jnz1568/getInfo.php?workbook=08_02.xlsx&amp;sheet=A0&amp;row=579&amp;col=12&amp;number=&amp;sourceID=30","")</f>
        <v/>
      </c>
      <c r="M579" s="4" t="str">
        <f>HYPERLINK("http://141.218.60.56/~jnz1568/getInfo.php?workbook=08_02.xlsx&amp;sheet=A0&amp;row=579&amp;col=13&amp;number=&amp;sourceID=30","")</f>
        <v/>
      </c>
      <c r="N579" s="4" t="str">
        <f>HYPERLINK("http://141.218.60.56/~jnz1568/getInfo.php?workbook=08_02.xlsx&amp;sheet=A0&amp;row=579&amp;col=14&amp;number=2.486e-09&amp;sourceID=30","2.486e-09")</f>
        <v>2.486e-09</v>
      </c>
      <c r="O579" s="4" t="str">
        <f>HYPERLINK("http://141.218.60.56/~jnz1568/getInfo.php?workbook=08_02.xlsx&amp;sheet=A0&amp;row=579&amp;col=15&amp;number=95240000&amp;sourceID=32","95240000")</f>
        <v>95240000</v>
      </c>
      <c r="P579" s="4" t="str">
        <f>HYPERLINK("http://141.218.60.56/~jnz1568/getInfo.php?workbook=08_02.xlsx&amp;sheet=A0&amp;row=579&amp;col=16&amp;number=&amp;sourceID=32","")</f>
        <v/>
      </c>
      <c r="Q579" s="4" t="str">
        <f>HYPERLINK("http://141.218.60.56/~jnz1568/getInfo.php?workbook=08_02.xlsx&amp;sheet=A0&amp;row=579&amp;col=17&amp;number=&amp;sourceID=32","")</f>
        <v/>
      </c>
      <c r="R579" s="4" t="str">
        <f>HYPERLINK("http://141.218.60.56/~jnz1568/getInfo.php?workbook=08_02.xlsx&amp;sheet=A0&amp;row=579&amp;col=18&amp;number=2.501e-09&amp;sourceID=32","2.501e-09")</f>
        <v>2.501e-09</v>
      </c>
      <c r="S579" s="4" t="str">
        <f>HYPERLINK("http://141.218.60.56/~jnz1568/getInfo.php?workbook=08_02.xlsx&amp;sheet=A0&amp;row=579&amp;col=19&amp;number=&amp;sourceID=1","")</f>
        <v/>
      </c>
      <c r="T579" s="4" t="str">
        <f>HYPERLINK("http://141.218.60.56/~jnz1568/getInfo.php?workbook=08_02.xlsx&amp;sheet=A0&amp;row=579&amp;col=20&amp;number=&amp;sourceID=1","")</f>
        <v/>
      </c>
    </row>
    <row r="580" spans="1:20">
      <c r="A580" s="3">
        <v>8</v>
      </c>
      <c r="B580" s="3">
        <v>2</v>
      </c>
      <c r="C580" s="3">
        <v>38</v>
      </c>
      <c r="D580" s="3">
        <v>22</v>
      </c>
      <c r="E580" s="3">
        <f>((1/(INDEX(E0!J$4:J$52,C580,1)-INDEX(E0!J$4:J$52,D580,1))))*100000000</f>
        <v>0</v>
      </c>
      <c r="F580" s="4" t="str">
        <f>HYPERLINK("http://141.218.60.56/~jnz1568/getInfo.php?workbook=08_02.xlsx&amp;sheet=A0&amp;row=580&amp;col=6&amp;number=&amp;sourceID=27","")</f>
        <v/>
      </c>
      <c r="G580" s="4" t="str">
        <f>HYPERLINK("http://141.218.60.56/~jnz1568/getInfo.php?workbook=08_02.xlsx&amp;sheet=A0&amp;row=580&amp;col=7&amp;number=&amp;sourceID=34","")</f>
        <v/>
      </c>
      <c r="H580" s="4" t="str">
        <f>HYPERLINK("http://141.218.60.56/~jnz1568/getInfo.php?workbook=08_02.xlsx&amp;sheet=A0&amp;row=580&amp;col=8&amp;number=&amp;sourceID=34","")</f>
        <v/>
      </c>
      <c r="I580" s="4" t="str">
        <f>HYPERLINK("http://141.218.60.56/~jnz1568/getInfo.php?workbook=08_02.xlsx&amp;sheet=A0&amp;row=580&amp;col=9&amp;number=&amp;sourceID=34","")</f>
        <v/>
      </c>
      <c r="J580" s="4" t="str">
        <f>HYPERLINK("http://141.218.60.56/~jnz1568/getInfo.php?workbook=08_02.xlsx&amp;sheet=A0&amp;row=580&amp;col=10&amp;number=&amp;sourceID=34","")</f>
        <v/>
      </c>
      <c r="K580" s="4" t="str">
        <f>HYPERLINK("http://141.218.60.56/~jnz1568/getInfo.php?workbook=08_02.xlsx&amp;sheet=A0&amp;row=580&amp;col=11&amp;number=&amp;sourceID=30","")</f>
        <v/>
      </c>
      <c r="L580" s="4" t="str">
        <f>HYPERLINK("http://141.218.60.56/~jnz1568/getInfo.php?workbook=08_02.xlsx&amp;sheet=A0&amp;row=580&amp;col=12&amp;number=&amp;sourceID=30","")</f>
        <v/>
      </c>
      <c r="M580" s="4" t="str">
        <f>HYPERLINK("http://141.218.60.56/~jnz1568/getInfo.php?workbook=08_02.xlsx&amp;sheet=A0&amp;row=580&amp;col=13&amp;number=1.66e-06&amp;sourceID=30","1.66e-06")</f>
        <v>1.66e-06</v>
      </c>
      <c r="N580" s="4" t="str">
        <f>HYPERLINK("http://141.218.60.56/~jnz1568/getInfo.php?workbook=08_02.xlsx&amp;sheet=A0&amp;row=580&amp;col=14&amp;number=&amp;sourceID=30","")</f>
        <v/>
      </c>
      <c r="O580" s="4" t="str">
        <f>HYPERLINK("http://141.218.60.56/~jnz1568/getInfo.php?workbook=08_02.xlsx&amp;sheet=A0&amp;row=580&amp;col=15&amp;number=&amp;sourceID=32","")</f>
        <v/>
      </c>
      <c r="P580" s="4" t="str">
        <f>HYPERLINK("http://141.218.60.56/~jnz1568/getInfo.php?workbook=08_02.xlsx&amp;sheet=A0&amp;row=580&amp;col=16&amp;number=&amp;sourceID=32","")</f>
        <v/>
      </c>
      <c r="Q580" s="4" t="str">
        <f>HYPERLINK("http://141.218.60.56/~jnz1568/getInfo.php?workbook=08_02.xlsx&amp;sheet=A0&amp;row=580&amp;col=17&amp;number=2.602e-06&amp;sourceID=32","2.602e-06")</f>
        <v>2.602e-06</v>
      </c>
      <c r="R580" s="4" t="str">
        <f>HYPERLINK("http://141.218.60.56/~jnz1568/getInfo.php?workbook=08_02.xlsx&amp;sheet=A0&amp;row=580&amp;col=18&amp;number=&amp;sourceID=32","")</f>
        <v/>
      </c>
      <c r="S580" s="4" t="str">
        <f>HYPERLINK("http://141.218.60.56/~jnz1568/getInfo.php?workbook=08_02.xlsx&amp;sheet=A0&amp;row=580&amp;col=19&amp;number=&amp;sourceID=1","")</f>
        <v/>
      </c>
      <c r="T580" s="4" t="str">
        <f>HYPERLINK("http://141.218.60.56/~jnz1568/getInfo.php?workbook=08_02.xlsx&amp;sheet=A0&amp;row=580&amp;col=20&amp;number=&amp;sourceID=1","")</f>
        <v/>
      </c>
    </row>
    <row r="581" spans="1:20">
      <c r="A581" s="3">
        <v>8</v>
      </c>
      <c r="B581" s="3">
        <v>2</v>
      </c>
      <c r="C581" s="3">
        <v>38</v>
      </c>
      <c r="D581" s="3">
        <v>23</v>
      </c>
      <c r="E581" s="3">
        <f>((1/(INDEX(E0!J$4:J$52,C581,1)-INDEX(E0!J$4:J$52,D581,1))))*100000000</f>
        <v>0</v>
      </c>
      <c r="F581" s="4" t="str">
        <f>HYPERLINK("http://141.218.60.56/~jnz1568/getInfo.php?workbook=08_02.xlsx&amp;sheet=A0&amp;row=581&amp;col=6&amp;number=&amp;sourceID=27","")</f>
        <v/>
      </c>
      <c r="G581" s="4" t="str">
        <f>HYPERLINK("http://141.218.60.56/~jnz1568/getInfo.php?workbook=08_02.xlsx&amp;sheet=A0&amp;row=581&amp;col=7&amp;number=&amp;sourceID=34","")</f>
        <v/>
      </c>
      <c r="H581" s="4" t="str">
        <f>HYPERLINK("http://141.218.60.56/~jnz1568/getInfo.php?workbook=08_02.xlsx&amp;sheet=A0&amp;row=581&amp;col=8&amp;number=&amp;sourceID=34","")</f>
        <v/>
      </c>
      <c r="I581" s="4" t="str">
        <f>HYPERLINK("http://141.218.60.56/~jnz1568/getInfo.php?workbook=08_02.xlsx&amp;sheet=A0&amp;row=581&amp;col=9&amp;number=&amp;sourceID=34","")</f>
        <v/>
      </c>
      <c r="J581" s="4" t="str">
        <f>HYPERLINK("http://141.218.60.56/~jnz1568/getInfo.php?workbook=08_02.xlsx&amp;sheet=A0&amp;row=581&amp;col=10&amp;number=&amp;sourceID=34","")</f>
        <v/>
      </c>
      <c r="K581" s="4" t="str">
        <f>HYPERLINK("http://141.218.60.56/~jnz1568/getInfo.php?workbook=08_02.xlsx&amp;sheet=A0&amp;row=581&amp;col=11&amp;number=&amp;sourceID=30","")</f>
        <v/>
      </c>
      <c r="L581" s="4" t="str">
        <f>HYPERLINK("http://141.218.60.56/~jnz1568/getInfo.php?workbook=08_02.xlsx&amp;sheet=A0&amp;row=581&amp;col=12&amp;number=10930&amp;sourceID=30","10930")</f>
        <v>10930</v>
      </c>
      <c r="M581" s="4" t="str">
        <f>HYPERLINK("http://141.218.60.56/~jnz1568/getInfo.php?workbook=08_02.xlsx&amp;sheet=A0&amp;row=581&amp;col=13&amp;number=0.0002064&amp;sourceID=30","0.0002064")</f>
        <v>0.0002064</v>
      </c>
      <c r="N581" s="4" t="str">
        <f>HYPERLINK("http://141.218.60.56/~jnz1568/getInfo.php?workbook=08_02.xlsx&amp;sheet=A0&amp;row=581&amp;col=14&amp;number=&amp;sourceID=30","")</f>
        <v/>
      </c>
      <c r="O581" s="4" t="str">
        <f>HYPERLINK("http://141.218.60.56/~jnz1568/getInfo.php?workbook=08_02.xlsx&amp;sheet=A0&amp;row=581&amp;col=15&amp;number=&amp;sourceID=32","")</f>
        <v/>
      </c>
      <c r="P581" s="4" t="str">
        <f>HYPERLINK("http://141.218.60.56/~jnz1568/getInfo.php?workbook=08_02.xlsx&amp;sheet=A0&amp;row=581&amp;col=16&amp;number=10950&amp;sourceID=32","10950")</f>
        <v>10950</v>
      </c>
      <c r="Q581" s="4" t="str">
        <f>HYPERLINK("http://141.218.60.56/~jnz1568/getInfo.php?workbook=08_02.xlsx&amp;sheet=A0&amp;row=581&amp;col=17&amp;number=0.0002292&amp;sourceID=32","0.0002292")</f>
        <v>0.0002292</v>
      </c>
      <c r="R581" s="4" t="str">
        <f>HYPERLINK("http://141.218.60.56/~jnz1568/getInfo.php?workbook=08_02.xlsx&amp;sheet=A0&amp;row=581&amp;col=18&amp;number=&amp;sourceID=32","")</f>
        <v/>
      </c>
      <c r="S581" s="4" t="str">
        <f>HYPERLINK("http://141.218.60.56/~jnz1568/getInfo.php?workbook=08_02.xlsx&amp;sheet=A0&amp;row=581&amp;col=19&amp;number=&amp;sourceID=1","")</f>
        <v/>
      </c>
      <c r="T581" s="4" t="str">
        <f>HYPERLINK("http://141.218.60.56/~jnz1568/getInfo.php?workbook=08_02.xlsx&amp;sheet=A0&amp;row=581&amp;col=20&amp;number=&amp;sourceID=1","")</f>
        <v/>
      </c>
    </row>
    <row r="582" spans="1:20">
      <c r="A582" s="3">
        <v>8</v>
      </c>
      <c r="B582" s="3">
        <v>2</v>
      </c>
      <c r="C582" s="3">
        <v>38</v>
      </c>
      <c r="D582" s="3">
        <v>24</v>
      </c>
      <c r="E582" s="3">
        <f>((1/(INDEX(E0!J$4:J$52,C582,1)-INDEX(E0!J$4:J$52,D582,1))))*100000000</f>
        <v>0</v>
      </c>
      <c r="F582" s="4" t="str">
        <f>HYPERLINK("http://141.218.60.56/~jnz1568/getInfo.php?workbook=08_02.xlsx&amp;sheet=A0&amp;row=582&amp;col=6&amp;number=&amp;sourceID=27","")</f>
        <v/>
      </c>
      <c r="G582" s="4" t="str">
        <f>HYPERLINK("http://141.218.60.56/~jnz1568/getInfo.php?workbook=08_02.xlsx&amp;sheet=A0&amp;row=582&amp;col=7&amp;number=&amp;sourceID=34","")</f>
        <v/>
      </c>
      <c r="H582" s="4" t="str">
        <f>HYPERLINK("http://141.218.60.56/~jnz1568/getInfo.php?workbook=08_02.xlsx&amp;sheet=A0&amp;row=582&amp;col=8&amp;number=&amp;sourceID=34","")</f>
        <v/>
      </c>
      <c r="I582" s="4" t="str">
        <f>HYPERLINK("http://141.218.60.56/~jnz1568/getInfo.php?workbook=08_02.xlsx&amp;sheet=A0&amp;row=582&amp;col=9&amp;number=&amp;sourceID=34","")</f>
        <v/>
      </c>
      <c r="J582" s="4" t="str">
        <f>HYPERLINK("http://141.218.60.56/~jnz1568/getInfo.php?workbook=08_02.xlsx&amp;sheet=A0&amp;row=582&amp;col=10&amp;number=&amp;sourceID=34","")</f>
        <v/>
      </c>
      <c r="K582" s="4" t="str">
        <f>HYPERLINK("http://141.218.60.56/~jnz1568/getInfo.php?workbook=08_02.xlsx&amp;sheet=A0&amp;row=582&amp;col=11&amp;number=&amp;sourceID=30","")</f>
        <v/>
      </c>
      <c r="L582" s="4" t="str">
        <f>HYPERLINK("http://141.218.60.56/~jnz1568/getInfo.php?workbook=08_02.xlsx&amp;sheet=A0&amp;row=582&amp;col=12&amp;number=18100&amp;sourceID=30","18100")</f>
        <v>18100</v>
      </c>
      <c r="M582" s="4" t="str">
        <f>HYPERLINK("http://141.218.60.56/~jnz1568/getInfo.php?workbook=08_02.xlsx&amp;sheet=A0&amp;row=582&amp;col=13&amp;number=1.551e-05&amp;sourceID=30","1.551e-05")</f>
        <v>1.551e-05</v>
      </c>
      <c r="N582" s="4" t="str">
        <f>HYPERLINK("http://141.218.60.56/~jnz1568/getInfo.php?workbook=08_02.xlsx&amp;sheet=A0&amp;row=582&amp;col=14&amp;number=&amp;sourceID=30","")</f>
        <v/>
      </c>
      <c r="O582" s="4" t="str">
        <f>HYPERLINK("http://141.218.60.56/~jnz1568/getInfo.php?workbook=08_02.xlsx&amp;sheet=A0&amp;row=582&amp;col=15&amp;number=&amp;sourceID=32","")</f>
        <v/>
      </c>
      <c r="P582" s="4" t="str">
        <f>HYPERLINK("http://141.218.60.56/~jnz1568/getInfo.php?workbook=08_02.xlsx&amp;sheet=A0&amp;row=582&amp;col=16&amp;number=18100&amp;sourceID=32","18100")</f>
        <v>18100</v>
      </c>
      <c r="Q582" s="4" t="str">
        <f>HYPERLINK("http://141.218.60.56/~jnz1568/getInfo.php?workbook=08_02.xlsx&amp;sheet=A0&amp;row=582&amp;col=17&amp;number=7.47e-06&amp;sourceID=32","7.47e-06")</f>
        <v>7.47e-06</v>
      </c>
      <c r="R582" s="4" t="str">
        <f>HYPERLINK("http://141.218.60.56/~jnz1568/getInfo.php?workbook=08_02.xlsx&amp;sheet=A0&amp;row=582&amp;col=18&amp;number=&amp;sourceID=32","")</f>
        <v/>
      </c>
      <c r="S582" s="4" t="str">
        <f>HYPERLINK("http://141.218.60.56/~jnz1568/getInfo.php?workbook=08_02.xlsx&amp;sheet=A0&amp;row=582&amp;col=19&amp;number=&amp;sourceID=1","")</f>
        <v/>
      </c>
      <c r="T582" s="4" t="str">
        <f>HYPERLINK("http://141.218.60.56/~jnz1568/getInfo.php?workbook=08_02.xlsx&amp;sheet=A0&amp;row=582&amp;col=20&amp;number=&amp;sourceID=1","")</f>
        <v/>
      </c>
    </row>
    <row r="583" spans="1:20">
      <c r="A583" s="3">
        <v>8</v>
      </c>
      <c r="B583" s="3">
        <v>2</v>
      </c>
      <c r="C583" s="3">
        <v>38</v>
      </c>
      <c r="D583" s="3">
        <v>26</v>
      </c>
      <c r="E583" s="3">
        <f>((1/(INDEX(E0!J$4:J$52,C583,1)-INDEX(E0!J$4:J$52,D583,1))))*100000000</f>
        <v>0</v>
      </c>
      <c r="F583" s="4" t="str">
        <f>HYPERLINK("http://141.218.60.56/~jnz1568/getInfo.php?workbook=08_02.xlsx&amp;sheet=A0&amp;row=583&amp;col=6&amp;number=&amp;sourceID=27","")</f>
        <v/>
      </c>
      <c r="G583" s="4" t="str">
        <f>HYPERLINK("http://141.218.60.56/~jnz1568/getInfo.php?workbook=08_02.xlsx&amp;sheet=A0&amp;row=583&amp;col=7&amp;number=&amp;sourceID=34","")</f>
        <v/>
      </c>
      <c r="H583" s="4" t="str">
        <f>HYPERLINK("http://141.218.60.56/~jnz1568/getInfo.php?workbook=08_02.xlsx&amp;sheet=A0&amp;row=583&amp;col=8&amp;number=&amp;sourceID=34","")</f>
        <v/>
      </c>
      <c r="I583" s="4" t="str">
        <f>HYPERLINK("http://141.218.60.56/~jnz1568/getInfo.php?workbook=08_02.xlsx&amp;sheet=A0&amp;row=583&amp;col=9&amp;number=&amp;sourceID=34","")</f>
        <v/>
      </c>
      <c r="J583" s="4" t="str">
        <f>HYPERLINK("http://141.218.60.56/~jnz1568/getInfo.php?workbook=08_02.xlsx&amp;sheet=A0&amp;row=583&amp;col=10&amp;number=&amp;sourceID=34","")</f>
        <v/>
      </c>
      <c r="K583" s="4" t="str">
        <f>HYPERLINK("http://141.218.60.56/~jnz1568/getInfo.php?workbook=08_02.xlsx&amp;sheet=A0&amp;row=583&amp;col=11&amp;number=&amp;sourceID=30","")</f>
        <v/>
      </c>
      <c r="L583" s="4" t="str">
        <f>HYPERLINK("http://141.218.60.56/~jnz1568/getInfo.php?workbook=08_02.xlsx&amp;sheet=A0&amp;row=583&amp;col=12&amp;number=2082&amp;sourceID=30","2082")</f>
        <v>2082</v>
      </c>
      <c r="M583" s="4" t="str">
        <f>HYPERLINK("http://141.218.60.56/~jnz1568/getInfo.php?workbook=08_02.xlsx&amp;sheet=A0&amp;row=583&amp;col=13&amp;number=&amp;sourceID=30","")</f>
        <v/>
      </c>
      <c r="N583" s="4" t="str">
        <f>HYPERLINK("http://141.218.60.56/~jnz1568/getInfo.php?workbook=08_02.xlsx&amp;sheet=A0&amp;row=583&amp;col=14&amp;number=&amp;sourceID=30","")</f>
        <v/>
      </c>
      <c r="O583" s="4" t="str">
        <f>HYPERLINK("http://141.218.60.56/~jnz1568/getInfo.php?workbook=08_02.xlsx&amp;sheet=A0&amp;row=583&amp;col=15&amp;number=&amp;sourceID=32","")</f>
        <v/>
      </c>
      <c r="P583" s="4" t="str">
        <f>HYPERLINK("http://141.218.60.56/~jnz1568/getInfo.php?workbook=08_02.xlsx&amp;sheet=A0&amp;row=583&amp;col=16&amp;number=2086&amp;sourceID=32","2086")</f>
        <v>2086</v>
      </c>
      <c r="Q583" s="4" t="str">
        <f>HYPERLINK("http://141.218.60.56/~jnz1568/getInfo.php?workbook=08_02.xlsx&amp;sheet=A0&amp;row=583&amp;col=17&amp;number=&amp;sourceID=32","")</f>
        <v/>
      </c>
      <c r="R583" s="4" t="str">
        <f>HYPERLINK("http://141.218.60.56/~jnz1568/getInfo.php?workbook=08_02.xlsx&amp;sheet=A0&amp;row=583&amp;col=18&amp;number=&amp;sourceID=32","")</f>
        <v/>
      </c>
      <c r="S583" s="4" t="str">
        <f>HYPERLINK("http://141.218.60.56/~jnz1568/getInfo.php?workbook=08_02.xlsx&amp;sheet=A0&amp;row=583&amp;col=19&amp;number=&amp;sourceID=1","")</f>
        <v/>
      </c>
      <c r="T583" s="4" t="str">
        <f>HYPERLINK("http://141.218.60.56/~jnz1568/getInfo.php?workbook=08_02.xlsx&amp;sheet=A0&amp;row=583&amp;col=20&amp;number=&amp;sourceID=1","")</f>
        <v/>
      </c>
    </row>
    <row r="584" spans="1:20">
      <c r="A584" s="3">
        <v>8</v>
      </c>
      <c r="B584" s="3">
        <v>2</v>
      </c>
      <c r="C584" s="3">
        <v>38</v>
      </c>
      <c r="D584" s="3">
        <v>27</v>
      </c>
      <c r="E584" s="3">
        <f>((1/(INDEX(E0!J$4:J$52,C584,1)-INDEX(E0!J$4:J$52,D584,1))))*100000000</f>
        <v>0</v>
      </c>
      <c r="F584" s="4" t="str">
        <f>HYPERLINK("http://141.218.60.56/~jnz1568/getInfo.php?workbook=08_02.xlsx&amp;sheet=A0&amp;row=584&amp;col=6&amp;number=&amp;sourceID=27","")</f>
        <v/>
      </c>
      <c r="G584" s="4" t="str">
        <f>HYPERLINK("http://141.218.60.56/~jnz1568/getInfo.php?workbook=08_02.xlsx&amp;sheet=A0&amp;row=584&amp;col=7&amp;number=&amp;sourceID=34","")</f>
        <v/>
      </c>
      <c r="H584" s="4" t="str">
        <f>HYPERLINK("http://141.218.60.56/~jnz1568/getInfo.php?workbook=08_02.xlsx&amp;sheet=A0&amp;row=584&amp;col=8&amp;number=&amp;sourceID=34","")</f>
        <v/>
      </c>
      <c r="I584" s="4" t="str">
        <f>HYPERLINK("http://141.218.60.56/~jnz1568/getInfo.php?workbook=08_02.xlsx&amp;sheet=A0&amp;row=584&amp;col=9&amp;number=&amp;sourceID=34","")</f>
        <v/>
      </c>
      <c r="J584" s="4" t="str">
        <f>HYPERLINK("http://141.218.60.56/~jnz1568/getInfo.php?workbook=08_02.xlsx&amp;sheet=A0&amp;row=584&amp;col=10&amp;number=&amp;sourceID=34","")</f>
        <v/>
      </c>
      <c r="K584" s="4" t="str">
        <f>HYPERLINK("http://141.218.60.56/~jnz1568/getInfo.php?workbook=08_02.xlsx&amp;sheet=A0&amp;row=584&amp;col=11&amp;number=&amp;sourceID=30","")</f>
        <v/>
      </c>
      <c r="L584" s="4" t="str">
        <f>HYPERLINK("http://141.218.60.56/~jnz1568/getInfo.php?workbook=08_02.xlsx&amp;sheet=A0&amp;row=584&amp;col=12&amp;number=&amp;sourceID=30","")</f>
        <v/>
      </c>
      <c r="M584" s="4" t="str">
        <f>HYPERLINK("http://141.218.60.56/~jnz1568/getInfo.php?workbook=08_02.xlsx&amp;sheet=A0&amp;row=584&amp;col=13&amp;number=&amp;sourceID=30","")</f>
        <v/>
      </c>
      <c r="N584" s="4" t="str">
        <f>HYPERLINK("http://141.218.60.56/~jnz1568/getInfo.php?workbook=08_02.xlsx&amp;sheet=A0&amp;row=584&amp;col=14&amp;number=0.0008085&amp;sourceID=30","0.0008085")</f>
        <v>0.0008085</v>
      </c>
      <c r="O584" s="4" t="str">
        <f>HYPERLINK("http://141.218.60.56/~jnz1568/getInfo.php?workbook=08_02.xlsx&amp;sheet=A0&amp;row=584&amp;col=15&amp;number=&amp;sourceID=32","")</f>
        <v/>
      </c>
      <c r="P584" s="4" t="str">
        <f>HYPERLINK("http://141.218.60.56/~jnz1568/getInfo.php?workbook=08_02.xlsx&amp;sheet=A0&amp;row=584&amp;col=16&amp;number=&amp;sourceID=32","")</f>
        <v/>
      </c>
      <c r="Q584" s="4" t="str">
        <f>HYPERLINK("http://141.218.60.56/~jnz1568/getInfo.php?workbook=08_02.xlsx&amp;sheet=A0&amp;row=584&amp;col=17&amp;number=&amp;sourceID=32","")</f>
        <v/>
      </c>
      <c r="R584" s="4" t="str">
        <f>HYPERLINK("http://141.218.60.56/~jnz1568/getInfo.php?workbook=08_02.xlsx&amp;sheet=A0&amp;row=584&amp;col=18&amp;number=0.0008561&amp;sourceID=32","0.0008561")</f>
        <v>0.0008561</v>
      </c>
      <c r="S584" s="4" t="str">
        <f>HYPERLINK("http://141.218.60.56/~jnz1568/getInfo.php?workbook=08_02.xlsx&amp;sheet=A0&amp;row=584&amp;col=19&amp;number=&amp;sourceID=1","")</f>
        <v/>
      </c>
      <c r="T584" s="4" t="str">
        <f>HYPERLINK("http://141.218.60.56/~jnz1568/getInfo.php?workbook=08_02.xlsx&amp;sheet=A0&amp;row=584&amp;col=20&amp;number=&amp;sourceID=1","")</f>
        <v/>
      </c>
    </row>
    <row r="585" spans="1:20">
      <c r="A585" s="3">
        <v>8</v>
      </c>
      <c r="B585" s="3">
        <v>2</v>
      </c>
      <c r="C585" s="3">
        <v>38</v>
      </c>
      <c r="D585" s="3">
        <v>28</v>
      </c>
      <c r="E585" s="3">
        <f>((1/(INDEX(E0!J$4:J$52,C585,1)-INDEX(E0!J$4:J$52,D585,1))))*100000000</f>
        <v>0</v>
      </c>
      <c r="F585" s="4" t="str">
        <f>HYPERLINK("http://141.218.60.56/~jnz1568/getInfo.php?workbook=08_02.xlsx&amp;sheet=A0&amp;row=585&amp;col=6&amp;number=&amp;sourceID=27","")</f>
        <v/>
      </c>
      <c r="G585" s="4" t="str">
        <f>HYPERLINK("http://141.218.60.56/~jnz1568/getInfo.php?workbook=08_02.xlsx&amp;sheet=A0&amp;row=585&amp;col=7&amp;number=&amp;sourceID=34","")</f>
        <v/>
      </c>
      <c r="H585" s="4" t="str">
        <f>HYPERLINK("http://141.218.60.56/~jnz1568/getInfo.php?workbook=08_02.xlsx&amp;sheet=A0&amp;row=585&amp;col=8&amp;number=&amp;sourceID=34","")</f>
        <v/>
      </c>
      <c r="I585" s="4" t="str">
        <f>HYPERLINK("http://141.218.60.56/~jnz1568/getInfo.php?workbook=08_02.xlsx&amp;sheet=A0&amp;row=585&amp;col=9&amp;number=&amp;sourceID=34","")</f>
        <v/>
      </c>
      <c r="J585" s="4" t="str">
        <f>HYPERLINK("http://141.218.60.56/~jnz1568/getInfo.php?workbook=08_02.xlsx&amp;sheet=A0&amp;row=585&amp;col=10&amp;number=&amp;sourceID=34","")</f>
        <v/>
      </c>
      <c r="K585" s="4" t="str">
        <f>HYPERLINK("http://141.218.60.56/~jnz1568/getInfo.php?workbook=08_02.xlsx&amp;sheet=A0&amp;row=585&amp;col=11&amp;number=123200000&amp;sourceID=30","123200000")</f>
        <v>123200000</v>
      </c>
      <c r="L585" s="4" t="str">
        <f>HYPERLINK("http://141.218.60.56/~jnz1568/getInfo.php?workbook=08_02.xlsx&amp;sheet=A0&amp;row=585&amp;col=12&amp;number=&amp;sourceID=30","")</f>
        <v/>
      </c>
      <c r="M585" s="4" t="str">
        <f>HYPERLINK("http://141.218.60.56/~jnz1568/getInfo.php?workbook=08_02.xlsx&amp;sheet=A0&amp;row=585&amp;col=13&amp;number=&amp;sourceID=30","")</f>
        <v/>
      </c>
      <c r="N585" s="4" t="str">
        <f>HYPERLINK("http://141.218.60.56/~jnz1568/getInfo.php?workbook=08_02.xlsx&amp;sheet=A0&amp;row=585&amp;col=14&amp;number=0.00368&amp;sourceID=30","0.00368")</f>
        <v>0.00368</v>
      </c>
      <c r="O585" s="4" t="str">
        <f>HYPERLINK("http://141.218.60.56/~jnz1568/getInfo.php?workbook=08_02.xlsx&amp;sheet=A0&amp;row=585&amp;col=15&amp;number=123500000&amp;sourceID=32","123500000")</f>
        <v>123500000</v>
      </c>
      <c r="P585" s="4" t="str">
        <f>HYPERLINK("http://141.218.60.56/~jnz1568/getInfo.php?workbook=08_02.xlsx&amp;sheet=A0&amp;row=585&amp;col=16&amp;number=&amp;sourceID=32","")</f>
        <v/>
      </c>
      <c r="Q585" s="4" t="str">
        <f>HYPERLINK("http://141.218.60.56/~jnz1568/getInfo.php?workbook=08_02.xlsx&amp;sheet=A0&amp;row=585&amp;col=17&amp;number=&amp;sourceID=32","")</f>
        <v/>
      </c>
      <c r="R585" s="4" t="str">
        <f>HYPERLINK("http://141.218.60.56/~jnz1568/getInfo.php?workbook=08_02.xlsx&amp;sheet=A0&amp;row=585&amp;col=18&amp;number=0.003688&amp;sourceID=32","0.003688")</f>
        <v>0.003688</v>
      </c>
      <c r="S585" s="4" t="str">
        <f>HYPERLINK("http://141.218.60.56/~jnz1568/getInfo.php?workbook=08_02.xlsx&amp;sheet=A0&amp;row=585&amp;col=19&amp;number=&amp;sourceID=1","")</f>
        <v/>
      </c>
      <c r="T585" s="4" t="str">
        <f>HYPERLINK("http://141.218.60.56/~jnz1568/getInfo.php?workbook=08_02.xlsx&amp;sheet=A0&amp;row=585&amp;col=20&amp;number=&amp;sourceID=1","")</f>
        <v/>
      </c>
    </row>
    <row r="586" spans="1:20">
      <c r="A586" s="3">
        <v>8</v>
      </c>
      <c r="B586" s="3">
        <v>2</v>
      </c>
      <c r="C586" s="3">
        <v>38</v>
      </c>
      <c r="D586" s="3">
        <v>29</v>
      </c>
      <c r="E586" s="3">
        <f>((1/(INDEX(E0!J$4:J$52,C586,1)-INDEX(E0!J$4:J$52,D586,1))))*100000000</f>
        <v>0</v>
      </c>
      <c r="F586" s="4" t="str">
        <f>HYPERLINK("http://141.218.60.56/~jnz1568/getInfo.php?workbook=08_02.xlsx&amp;sheet=A0&amp;row=586&amp;col=6&amp;number=&amp;sourceID=27","")</f>
        <v/>
      </c>
      <c r="G586" s="4" t="str">
        <f>HYPERLINK("http://141.218.60.56/~jnz1568/getInfo.php?workbook=08_02.xlsx&amp;sheet=A0&amp;row=586&amp;col=7&amp;number=&amp;sourceID=34","")</f>
        <v/>
      </c>
      <c r="H586" s="4" t="str">
        <f>HYPERLINK("http://141.218.60.56/~jnz1568/getInfo.php?workbook=08_02.xlsx&amp;sheet=A0&amp;row=586&amp;col=8&amp;number=&amp;sourceID=34","")</f>
        <v/>
      </c>
      <c r="I586" s="4" t="str">
        <f>HYPERLINK("http://141.218.60.56/~jnz1568/getInfo.php?workbook=08_02.xlsx&amp;sheet=A0&amp;row=586&amp;col=9&amp;number=&amp;sourceID=34","")</f>
        <v/>
      </c>
      <c r="J586" s="4" t="str">
        <f>HYPERLINK("http://141.218.60.56/~jnz1568/getInfo.php?workbook=08_02.xlsx&amp;sheet=A0&amp;row=586&amp;col=10&amp;number=&amp;sourceID=34","")</f>
        <v/>
      </c>
      <c r="K586" s="4" t="str">
        <f>HYPERLINK("http://141.218.60.56/~jnz1568/getInfo.php?workbook=08_02.xlsx&amp;sheet=A0&amp;row=586&amp;col=11&amp;number=&amp;sourceID=30","")</f>
        <v/>
      </c>
      <c r="L586" s="4" t="str">
        <f>HYPERLINK("http://141.218.60.56/~jnz1568/getInfo.php?workbook=08_02.xlsx&amp;sheet=A0&amp;row=586&amp;col=12&amp;number=141.7&amp;sourceID=30","141.7")</f>
        <v>141.7</v>
      </c>
      <c r="M586" s="4" t="str">
        <f>HYPERLINK("http://141.218.60.56/~jnz1568/getInfo.php?workbook=08_02.xlsx&amp;sheet=A0&amp;row=586&amp;col=13&amp;number=0.001884&amp;sourceID=30","0.001884")</f>
        <v>0.001884</v>
      </c>
      <c r="N586" s="4" t="str">
        <f>HYPERLINK("http://141.218.60.56/~jnz1568/getInfo.php?workbook=08_02.xlsx&amp;sheet=A0&amp;row=586&amp;col=14&amp;number=&amp;sourceID=30","")</f>
        <v/>
      </c>
      <c r="O586" s="4" t="str">
        <f>HYPERLINK("http://141.218.60.56/~jnz1568/getInfo.php?workbook=08_02.xlsx&amp;sheet=A0&amp;row=586&amp;col=15&amp;number=&amp;sourceID=32","")</f>
        <v/>
      </c>
      <c r="P586" s="4" t="str">
        <f>HYPERLINK("http://141.218.60.56/~jnz1568/getInfo.php?workbook=08_02.xlsx&amp;sheet=A0&amp;row=586&amp;col=16&amp;number=178.5&amp;sourceID=32","178.5")</f>
        <v>178.5</v>
      </c>
      <c r="Q586" s="4" t="str">
        <f>HYPERLINK("http://141.218.60.56/~jnz1568/getInfo.php?workbook=08_02.xlsx&amp;sheet=A0&amp;row=586&amp;col=17&amp;number=0.001837&amp;sourceID=32","0.001837")</f>
        <v>0.001837</v>
      </c>
      <c r="R586" s="4" t="str">
        <f>HYPERLINK("http://141.218.60.56/~jnz1568/getInfo.php?workbook=08_02.xlsx&amp;sheet=A0&amp;row=586&amp;col=18&amp;number=&amp;sourceID=32","")</f>
        <v/>
      </c>
      <c r="S586" s="4" t="str">
        <f>HYPERLINK("http://141.218.60.56/~jnz1568/getInfo.php?workbook=08_02.xlsx&amp;sheet=A0&amp;row=586&amp;col=19&amp;number=&amp;sourceID=1","")</f>
        <v/>
      </c>
      <c r="T586" s="4" t="str">
        <f>HYPERLINK("http://141.218.60.56/~jnz1568/getInfo.php?workbook=08_02.xlsx&amp;sheet=A0&amp;row=586&amp;col=20&amp;number=&amp;sourceID=1","")</f>
        <v/>
      </c>
    </row>
    <row r="587" spans="1:20">
      <c r="A587" s="3">
        <v>8</v>
      </c>
      <c r="B587" s="3">
        <v>2</v>
      </c>
      <c r="C587" s="3">
        <v>38</v>
      </c>
      <c r="D587" s="3">
        <v>30</v>
      </c>
      <c r="E587" s="3">
        <f>((1/(INDEX(E0!J$4:J$52,C587,1)-INDEX(E0!J$4:J$52,D587,1))))*100000000</f>
        <v>0</v>
      </c>
      <c r="F587" s="4" t="str">
        <f>HYPERLINK("http://141.218.60.56/~jnz1568/getInfo.php?workbook=08_02.xlsx&amp;sheet=A0&amp;row=587&amp;col=6&amp;number=&amp;sourceID=27","")</f>
        <v/>
      </c>
      <c r="G587" s="4" t="str">
        <f>HYPERLINK("http://141.218.60.56/~jnz1568/getInfo.php?workbook=08_02.xlsx&amp;sheet=A0&amp;row=587&amp;col=7&amp;number=&amp;sourceID=34","")</f>
        <v/>
      </c>
      <c r="H587" s="4" t="str">
        <f>HYPERLINK("http://141.218.60.56/~jnz1568/getInfo.php?workbook=08_02.xlsx&amp;sheet=A0&amp;row=587&amp;col=8&amp;number=&amp;sourceID=34","")</f>
        <v/>
      </c>
      <c r="I587" s="4" t="str">
        <f>HYPERLINK("http://141.218.60.56/~jnz1568/getInfo.php?workbook=08_02.xlsx&amp;sheet=A0&amp;row=587&amp;col=9&amp;number=&amp;sourceID=34","")</f>
        <v/>
      </c>
      <c r="J587" s="4" t="str">
        <f>HYPERLINK("http://141.218.60.56/~jnz1568/getInfo.php?workbook=08_02.xlsx&amp;sheet=A0&amp;row=587&amp;col=10&amp;number=&amp;sourceID=34","")</f>
        <v/>
      </c>
      <c r="K587" s="4" t="str">
        <f>HYPERLINK("http://141.218.60.56/~jnz1568/getInfo.php?workbook=08_02.xlsx&amp;sheet=A0&amp;row=587&amp;col=11&amp;number=&amp;sourceID=30","")</f>
        <v/>
      </c>
      <c r="L587" s="4" t="str">
        <f>HYPERLINK("http://141.218.60.56/~jnz1568/getInfo.php?workbook=08_02.xlsx&amp;sheet=A0&amp;row=587&amp;col=12&amp;number=&amp;sourceID=30","")</f>
        <v/>
      </c>
      <c r="M587" s="4" t="str">
        <f>HYPERLINK("http://141.218.60.56/~jnz1568/getInfo.php?workbook=08_02.xlsx&amp;sheet=A0&amp;row=587&amp;col=13&amp;number=&amp;sourceID=30","")</f>
        <v/>
      </c>
      <c r="N587" s="4" t="str">
        <f>HYPERLINK("http://141.218.60.56/~jnz1568/getInfo.php?workbook=08_02.xlsx&amp;sheet=A0&amp;row=587&amp;col=14&amp;number=0.008328&amp;sourceID=30","0.008328")</f>
        <v>0.008328</v>
      </c>
      <c r="O587" s="4" t="str">
        <f>HYPERLINK("http://141.218.60.56/~jnz1568/getInfo.php?workbook=08_02.xlsx&amp;sheet=A0&amp;row=587&amp;col=15&amp;number=&amp;sourceID=32","")</f>
        <v/>
      </c>
      <c r="P587" s="4" t="str">
        <f>HYPERLINK("http://141.218.60.56/~jnz1568/getInfo.php?workbook=08_02.xlsx&amp;sheet=A0&amp;row=587&amp;col=16&amp;number=&amp;sourceID=32","")</f>
        <v/>
      </c>
      <c r="Q587" s="4" t="str">
        <f>HYPERLINK("http://141.218.60.56/~jnz1568/getInfo.php?workbook=08_02.xlsx&amp;sheet=A0&amp;row=587&amp;col=17&amp;number=&amp;sourceID=32","")</f>
        <v/>
      </c>
      <c r="R587" s="4" t="str">
        <f>HYPERLINK("http://141.218.60.56/~jnz1568/getInfo.php?workbook=08_02.xlsx&amp;sheet=A0&amp;row=587&amp;col=18&amp;number=&amp;sourceID=32","")</f>
        <v/>
      </c>
      <c r="S587" s="4" t="str">
        <f>HYPERLINK("http://141.218.60.56/~jnz1568/getInfo.php?workbook=08_02.xlsx&amp;sheet=A0&amp;row=587&amp;col=19&amp;number=&amp;sourceID=1","")</f>
        <v/>
      </c>
      <c r="T587" s="4" t="str">
        <f>HYPERLINK("http://141.218.60.56/~jnz1568/getInfo.php?workbook=08_02.xlsx&amp;sheet=A0&amp;row=587&amp;col=20&amp;number=&amp;sourceID=1","")</f>
        <v/>
      </c>
    </row>
    <row r="588" spans="1:20">
      <c r="A588" s="3">
        <v>8</v>
      </c>
      <c r="B588" s="3">
        <v>2</v>
      </c>
      <c r="C588" s="3">
        <v>38</v>
      </c>
      <c r="D588" s="3">
        <v>31</v>
      </c>
      <c r="E588" s="3">
        <f>((1/(INDEX(E0!J$4:J$52,C588,1)-INDEX(E0!J$4:J$52,D588,1))))*100000000</f>
        <v>0</v>
      </c>
      <c r="F588" s="4" t="str">
        <f>HYPERLINK("http://141.218.60.56/~jnz1568/getInfo.php?workbook=08_02.xlsx&amp;sheet=A0&amp;row=588&amp;col=6&amp;number=&amp;sourceID=27","")</f>
        <v/>
      </c>
      <c r="G588" s="4" t="str">
        <f>HYPERLINK("http://141.218.60.56/~jnz1568/getInfo.php?workbook=08_02.xlsx&amp;sheet=A0&amp;row=588&amp;col=7&amp;number=&amp;sourceID=34","")</f>
        <v/>
      </c>
      <c r="H588" s="4" t="str">
        <f>HYPERLINK("http://141.218.60.56/~jnz1568/getInfo.php?workbook=08_02.xlsx&amp;sheet=A0&amp;row=588&amp;col=8&amp;number=&amp;sourceID=34","")</f>
        <v/>
      </c>
      <c r="I588" s="4" t="str">
        <f>HYPERLINK("http://141.218.60.56/~jnz1568/getInfo.php?workbook=08_02.xlsx&amp;sheet=A0&amp;row=588&amp;col=9&amp;number=&amp;sourceID=34","")</f>
        <v/>
      </c>
      <c r="J588" s="4" t="str">
        <f>HYPERLINK("http://141.218.60.56/~jnz1568/getInfo.php?workbook=08_02.xlsx&amp;sheet=A0&amp;row=588&amp;col=10&amp;number=&amp;sourceID=34","")</f>
        <v/>
      </c>
      <c r="K588" s="4" t="str">
        <f>HYPERLINK("http://141.218.60.56/~jnz1568/getInfo.php?workbook=08_02.xlsx&amp;sheet=A0&amp;row=588&amp;col=11&amp;number=244400&amp;sourceID=30","244400")</f>
        <v>244400</v>
      </c>
      <c r="L588" s="4" t="str">
        <f>HYPERLINK("http://141.218.60.56/~jnz1568/getInfo.php?workbook=08_02.xlsx&amp;sheet=A0&amp;row=588&amp;col=12&amp;number=&amp;sourceID=30","")</f>
        <v/>
      </c>
      <c r="M588" s="4" t="str">
        <f>HYPERLINK("http://141.218.60.56/~jnz1568/getInfo.php?workbook=08_02.xlsx&amp;sheet=A0&amp;row=588&amp;col=13&amp;number=&amp;sourceID=30","")</f>
        <v/>
      </c>
      <c r="N588" s="4" t="str">
        <f>HYPERLINK("http://141.218.60.56/~jnz1568/getInfo.php?workbook=08_02.xlsx&amp;sheet=A0&amp;row=588&amp;col=14&amp;number=0.006251&amp;sourceID=30","0.006251")</f>
        <v>0.006251</v>
      </c>
      <c r="O588" s="4" t="str">
        <f>HYPERLINK("http://141.218.60.56/~jnz1568/getInfo.php?workbook=08_02.xlsx&amp;sheet=A0&amp;row=588&amp;col=15&amp;number=268300&amp;sourceID=32","268300")</f>
        <v>268300</v>
      </c>
      <c r="P588" s="4" t="str">
        <f>HYPERLINK("http://141.218.60.56/~jnz1568/getInfo.php?workbook=08_02.xlsx&amp;sheet=A0&amp;row=588&amp;col=16&amp;number=&amp;sourceID=32","")</f>
        <v/>
      </c>
      <c r="Q588" s="4" t="str">
        <f>HYPERLINK("http://141.218.60.56/~jnz1568/getInfo.php?workbook=08_02.xlsx&amp;sheet=A0&amp;row=588&amp;col=17&amp;number=&amp;sourceID=32","")</f>
        <v/>
      </c>
      <c r="R588" s="4" t="str">
        <f>HYPERLINK("http://141.218.60.56/~jnz1568/getInfo.php?workbook=08_02.xlsx&amp;sheet=A0&amp;row=588&amp;col=18&amp;number=0.006145&amp;sourceID=32","0.006145")</f>
        <v>0.006145</v>
      </c>
      <c r="S588" s="4" t="str">
        <f>HYPERLINK("http://141.218.60.56/~jnz1568/getInfo.php?workbook=08_02.xlsx&amp;sheet=A0&amp;row=588&amp;col=19&amp;number=&amp;sourceID=1","")</f>
        <v/>
      </c>
      <c r="T588" s="4" t="str">
        <f>HYPERLINK("http://141.218.60.56/~jnz1568/getInfo.php?workbook=08_02.xlsx&amp;sheet=A0&amp;row=588&amp;col=20&amp;number=&amp;sourceID=1","")</f>
        <v/>
      </c>
    </row>
    <row r="589" spans="1:20">
      <c r="A589" s="3">
        <v>8</v>
      </c>
      <c r="B589" s="3">
        <v>2</v>
      </c>
      <c r="C589" s="3">
        <v>38</v>
      </c>
      <c r="D589" s="3">
        <v>32</v>
      </c>
      <c r="E589" s="3">
        <f>((1/(INDEX(E0!J$4:J$52,C589,1)-INDEX(E0!J$4:J$52,D589,1))))*100000000</f>
        <v>0</v>
      </c>
      <c r="F589" s="4" t="str">
        <f>HYPERLINK("http://141.218.60.56/~jnz1568/getInfo.php?workbook=08_02.xlsx&amp;sheet=A0&amp;row=589&amp;col=6&amp;number=&amp;sourceID=27","")</f>
        <v/>
      </c>
      <c r="G589" s="4" t="str">
        <f>HYPERLINK("http://141.218.60.56/~jnz1568/getInfo.php?workbook=08_02.xlsx&amp;sheet=A0&amp;row=589&amp;col=7&amp;number=&amp;sourceID=34","")</f>
        <v/>
      </c>
      <c r="H589" s="4" t="str">
        <f>HYPERLINK("http://141.218.60.56/~jnz1568/getInfo.php?workbook=08_02.xlsx&amp;sheet=A0&amp;row=589&amp;col=8&amp;number=&amp;sourceID=34","")</f>
        <v/>
      </c>
      <c r="I589" s="4" t="str">
        <f>HYPERLINK("http://141.218.60.56/~jnz1568/getInfo.php?workbook=08_02.xlsx&amp;sheet=A0&amp;row=589&amp;col=9&amp;number=&amp;sourceID=34","")</f>
        <v/>
      </c>
      <c r="J589" s="4" t="str">
        <f>HYPERLINK("http://141.218.60.56/~jnz1568/getInfo.php?workbook=08_02.xlsx&amp;sheet=A0&amp;row=589&amp;col=10&amp;number=&amp;sourceID=34","")</f>
        <v/>
      </c>
      <c r="K589" s="4" t="str">
        <f>HYPERLINK("http://141.218.60.56/~jnz1568/getInfo.php?workbook=08_02.xlsx&amp;sheet=A0&amp;row=589&amp;col=11&amp;number=&amp;sourceID=30","")</f>
        <v/>
      </c>
      <c r="L589" s="4" t="str">
        <f>HYPERLINK("http://141.218.60.56/~jnz1568/getInfo.php?workbook=08_02.xlsx&amp;sheet=A0&amp;row=589&amp;col=12&amp;number=0.0722&amp;sourceID=30","0.0722")</f>
        <v>0.0722</v>
      </c>
      <c r="M589" s="4" t="str">
        <f>HYPERLINK("http://141.218.60.56/~jnz1568/getInfo.php?workbook=08_02.xlsx&amp;sheet=A0&amp;row=589&amp;col=13&amp;number=5.381e-07&amp;sourceID=30","5.381e-07")</f>
        <v>5.381e-07</v>
      </c>
      <c r="N589" s="4" t="str">
        <f>HYPERLINK("http://141.218.60.56/~jnz1568/getInfo.php?workbook=08_02.xlsx&amp;sheet=A0&amp;row=589&amp;col=14&amp;number=&amp;sourceID=30","")</f>
        <v/>
      </c>
      <c r="O589" s="4" t="str">
        <f>HYPERLINK("http://141.218.60.56/~jnz1568/getInfo.php?workbook=08_02.xlsx&amp;sheet=A0&amp;row=589&amp;col=15&amp;number=&amp;sourceID=32","")</f>
        <v/>
      </c>
      <c r="P589" s="4" t="str">
        <f>HYPERLINK("http://141.218.60.56/~jnz1568/getInfo.php?workbook=08_02.xlsx&amp;sheet=A0&amp;row=589&amp;col=16&amp;number=0.07525&amp;sourceID=32","0.07525")</f>
        <v>0.07525</v>
      </c>
      <c r="Q589" s="4" t="str">
        <f>HYPERLINK("http://141.218.60.56/~jnz1568/getInfo.php?workbook=08_02.xlsx&amp;sheet=A0&amp;row=589&amp;col=17&amp;number=5.78e-07&amp;sourceID=32","5.78e-07")</f>
        <v>5.78e-07</v>
      </c>
      <c r="R589" s="4" t="str">
        <f>HYPERLINK("http://141.218.60.56/~jnz1568/getInfo.php?workbook=08_02.xlsx&amp;sheet=A0&amp;row=589&amp;col=18&amp;number=&amp;sourceID=32","")</f>
        <v/>
      </c>
      <c r="S589" s="4" t="str">
        <f>HYPERLINK("http://141.218.60.56/~jnz1568/getInfo.php?workbook=08_02.xlsx&amp;sheet=A0&amp;row=589&amp;col=19&amp;number=&amp;sourceID=1","")</f>
        <v/>
      </c>
      <c r="T589" s="4" t="str">
        <f>HYPERLINK("http://141.218.60.56/~jnz1568/getInfo.php?workbook=08_02.xlsx&amp;sheet=A0&amp;row=589&amp;col=20&amp;number=&amp;sourceID=1","")</f>
        <v/>
      </c>
    </row>
    <row r="590" spans="1:20">
      <c r="A590" s="3">
        <v>8</v>
      </c>
      <c r="B590" s="3">
        <v>2</v>
      </c>
      <c r="C590" s="3">
        <v>38</v>
      </c>
      <c r="D590" s="3">
        <v>33</v>
      </c>
      <c r="E590" s="3">
        <f>((1/(INDEX(E0!J$4:J$52,C590,1)-INDEX(E0!J$4:J$52,D590,1))))*100000000</f>
        <v>0</v>
      </c>
      <c r="F590" s="4" t="str">
        <f>HYPERLINK("http://141.218.60.56/~jnz1568/getInfo.php?workbook=08_02.xlsx&amp;sheet=A0&amp;row=590&amp;col=6&amp;number=&amp;sourceID=27","")</f>
        <v/>
      </c>
      <c r="G590" s="4" t="str">
        <f>HYPERLINK("http://141.218.60.56/~jnz1568/getInfo.php?workbook=08_02.xlsx&amp;sheet=A0&amp;row=590&amp;col=7&amp;number=&amp;sourceID=34","")</f>
        <v/>
      </c>
      <c r="H590" s="4" t="str">
        <f>HYPERLINK("http://141.218.60.56/~jnz1568/getInfo.php?workbook=08_02.xlsx&amp;sheet=A0&amp;row=590&amp;col=8&amp;number=&amp;sourceID=34","")</f>
        <v/>
      </c>
      <c r="I590" s="4" t="str">
        <f>HYPERLINK("http://141.218.60.56/~jnz1568/getInfo.php?workbook=08_02.xlsx&amp;sheet=A0&amp;row=590&amp;col=9&amp;number=&amp;sourceID=34","")</f>
        <v/>
      </c>
      <c r="J590" s="4" t="str">
        <f>HYPERLINK("http://141.218.60.56/~jnz1568/getInfo.php?workbook=08_02.xlsx&amp;sheet=A0&amp;row=590&amp;col=10&amp;number=&amp;sourceID=34","")</f>
        <v/>
      </c>
      <c r="K590" s="4" t="str">
        <f>HYPERLINK("http://141.218.60.56/~jnz1568/getInfo.php?workbook=08_02.xlsx&amp;sheet=A0&amp;row=590&amp;col=11&amp;number=&amp;sourceID=30","")</f>
        <v/>
      </c>
      <c r="L590" s="4" t="str">
        <f>HYPERLINK("http://141.218.60.56/~jnz1568/getInfo.php?workbook=08_02.xlsx&amp;sheet=A0&amp;row=590&amp;col=12&amp;number=&amp;sourceID=30","")</f>
        <v/>
      </c>
      <c r="M590" s="4" t="str">
        <f>HYPERLINK("http://141.218.60.56/~jnz1568/getInfo.php?workbook=08_02.xlsx&amp;sheet=A0&amp;row=590&amp;col=13&amp;number=2.792e-12&amp;sourceID=30","2.792e-12")</f>
        <v>2.792e-12</v>
      </c>
      <c r="N590" s="4" t="str">
        <f>HYPERLINK("http://141.218.60.56/~jnz1568/getInfo.php?workbook=08_02.xlsx&amp;sheet=A0&amp;row=590&amp;col=14&amp;number=&amp;sourceID=30","")</f>
        <v/>
      </c>
      <c r="O590" s="4" t="str">
        <f>HYPERLINK("http://141.218.60.56/~jnz1568/getInfo.php?workbook=08_02.xlsx&amp;sheet=A0&amp;row=590&amp;col=15&amp;number=&amp;sourceID=32","")</f>
        <v/>
      </c>
      <c r="P590" s="4" t="str">
        <f>HYPERLINK("http://141.218.60.56/~jnz1568/getInfo.php?workbook=08_02.xlsx&amp;sheet=A0&amp;row=590&amp;col=16&amp;number=&amp;sourceID=32","")</f>
        <v/>
      </c>
      <c r="Q590" s="4" t="str">
        <f>HYPERLINK("http://141.218.60.56/~jnz1568/getInfo.php?workbook=08_02.xlsx&amp;sheet=A0&amp;row=590&amp;col=17&amp;number=1.146e-11&amp;sourceID=32","1.146e-11")</f>
        <v>1.146e-11</v>
      </c>
      <c r="R590" s="4" t="str">
        <f>HYPERLINK("http://141.218.60.56/~jnz1568/getInfo.php?workbook=08_02.xlsx&amp;sheet=A0&amp;row=590&amp;col=18&amp;number=&amp;sourceID=32","")</f>
        <v/>
      </c>
      <c r="S590" s="4" t="str">
        <f>HYPERLINK("http://141.218.60.56/~jnz1568/getInfo.php?workbook=08_02.xlsx&amp;sheet=A0&amp;row=590&amp;col=19&amp;number=&amp;sourceID=1","")</f>
        <v/>
      </c>
      <c r="T590" s="4" t="str">
        <f>HYPERLINK("http://141.218.60.56/~jnz1568/getInfo.php?workbook=08_02.xlsx&amp;sheet=A0&amp;row=590&amp;col=20&amp;number=&amp;sourceID=1","")</f>
        <v/>
      </c>
    </row>
    <row r="591" spans="1:20">
      <c r="A591" s="3">
        <v>8</v>
      </c>
      <c r="B591" s="3">
        <v>2</v>
      </c>
      <c r="C591" s="3">
        <v>38</v>
      </c>
      <c r="D591" s="3">
        <v>34</v>
      </c>
      <c r="E591" s="3">
        <f>((1/(INDEX(E0!J$4:J$52,C591,1)-INDEX(E0!J$4:J$52,D591,1))))*100000000</f>
        <v>0</v>
      </c>
      <c r="F591" s="4" t="str">
        <f>HYPERLINK("http://141.218.60.56/~jnz1568/getInfo.php?workbook=08_02.xlsx&amp;sheet=A0&amp;row=591&amp;col=6&amp;number=&amp;sourceID=27","")</f>
        <v/>
      </c>
      <c r="G591" s="4" t="str">
        <f>HYPERLINK("http://141.218.60.56/~jnz1568/getInfo.php?workbook=08_02.xlsx&amp;sheet=A0&amp;row=591&amp;col=7&amp;number=71333.3333333&amp;sourceID=34","71333.3333333")</f>
        <v>71333.3333333</v>
      </c>
      <c r="H591" s="4" t="str">
        <f>HYPERLINK("http://141.218.60.56/~jnz1568/getInfo.php?workbook=08_02.xlsx&amp;sheet=A0&amp;row=591&amp;col=8&amp;number=&amp;sourceID=34","")</f>
        <v/>
      </c>
      <c r="I591" s="4" t="str">
        <f>HYPERLINK("http://141.218.60.56/~jnz1568/getInfo.php?workbook=08_02.xlsx&amp;sheet=A0&amp;row=591&amp;col=9&amp;number=&amp;sourceID=34","")</f>
        <v/>
      </c>
      <c r="J591" s="4" t="str">
        <f>HYPERLINK("http://141.218.60.56/~jnz1568/getInfo.php?workbook=08_02.xlsx&amp;sheet=A0&amp;row=591&amp;col=10&amp;number=&amp;sourceID=34","")</f>
        <v/>
      </c>
      <c r="K591" s="4" t="str">
        <f>HYPERLINK("http://141.218.60.56/~jnz1568/getInfo.php?workbook=08_02.xlsx&amp;sheet=A0&amp;row=591&amp;col=11&amp;number=62840&amp;sourceID=30","62840")</f>
        <v>62840</v>
      </c>
      <c r="L591" s="4" t="str">
        <f>HYPERLINK("http://141.218.60.56/~jnz1568/getInfo.php?workbook=08_02.xlsx&amp;sheet=A0&amp;row=591&amp;col=12&amp;number=&amp;sourceID=30","")</f>
        <v/>
      </c>
      <c r="M591" s="4" t="str">
        <f>HYPERLINK("http://141.218.60.56/~jnz1568/getInfo.php?workbook=08_02.xlsx&amp;sheet=A0&amp;row=591&amp;col=13&amp;number=&amp;sourceID=30","")</f>
        <v/>
      </c>
      <c r="N591" s="4" t="str">
        <f>HYPERLINK("http://141.218.60.56/~jnz1568/getInfo.php?workbook=08_02.xlsx&amp;sheet=A0&amp;row=591&amp;col=14&amp;number=&amp;sourceID=30","")</f>
        <v/>
      </c>
      <c r="O591" s="4" t="str">
        <f>HYPERLINK("http://141.218.60.56/~jnz1568/getInfo.php?workbook=08_02.xlsx&amp;sheet=A0&amp;row=591&amp;col=15&amp;number=71170&amp;sourceID=32","71170")</f>
        <v>71170</v>
      </c>
      <c r="P591" s="4" t="str">
        <f>HYPERLINK("http://141.218.60.56/~jnz1568/getInfo.php?workbook=08_02.xlsx&amp;sheet=A0&amp;row=591&amp;col=16&amp;number=&amp;sourceID=32","")</f>
        <v/>
      </c>
      <c r="Q591" s="4" t="str">
        <f>HYPERLINK("http://141.218.60.56/~jnz1568/getInfo.php?workbook=08_02.xlsx&amp;sheet=A0&amp;row=591&amp;col=17&amp;number=&amp;sourceID=32","")</f>
        <v/>
      </c>
      <c r="R591" s="4" t="str">
        <f>HYPERLINK("http://141.218.60.56/~jnz1568/getInfo.php?workbook=08_02.xlsx&amp;sheet=A0&amp;row=591&amp;col=18&amp;number=&amp;sourceID=32","")</f>
        <v/>
      </c>
      <c r="S591" s="4" t="str">
        <f>HYPERLINK("http://141.218.60.56/~jnz1568/getInfo.php?workbook=08_02.xlsx&amp;sheet=A0&amp;row=591&amp;col=19&amp;number=&amp;sourceID=1","")</f>
        <v/>
      </c>
      <c r="T591" s="4" t="str">
        <f>HYPERLINK("http://141.218.60.56/~jnz1568/getInfo.php?workbook=08_02.xlsx&amp;sheet=A0&amp;row=591&amp;col=20&amp;number=&amp;sourceID=1","")</f>
        <v/>
      </c>
    </row>
    <row r="592" spans="1:20">
      <c r="A592" s="3">
        <v>8</v>
      </c>
      <c r="B592" s="3">
        <v>2</v>
      </c>
      <c r="C592" s="3">
        <v>38</v>
      </c>
      <c r="D592" s="3">
        <v>35</v>
      </c>
      <c r="E592" s="3">
        <f>((1/(INDEX(E0!J$4:J$52,C592,1)-INDEX(E0!J$4:J$52,D592,1))))*100000000</f>
        <v>0</v>
      </c>
      <c r="F592" s="4" t="str">
        <f>HYPERLINK("http://141.218.60.56/~jnz1568/getInfo.php?workbook=08_02.xlsx&amp;sheet=A0&amp;row=592&amp;col=6&amp;number=&amp;sourceID=27","")</f>
        <v/>
      </c>
      <c r="G592" s="4" t="str">
        <f>HYPERLINK("http://141.218.60.56/~jnz1568/getInfo.php?workbook=08_02.xlsx&amp;sheet=A0&amp;row=592&amp;col=7&amp;number=53666.6666667&amp;sourceID=34","53666.6666667")</f>
        <v>53666.6666667</v>
      </c>
      <c r="H592" s="4" t="str">
        <f>HYPERLINK("http://141.218.60.56/~jnz1568/getInfo.php?workbook=08_02.xlsx&amp;sheet=A0&amp;row=592&amp;col=8&amp;number=&amp;sourceID=34","")</f>
        <v/>
      </c>
      <c r="I592" s="4" t="str">
        <f>HYPERLINK("http://141.218.60.56/~jnz1568/getInfo.php?workbook=08_02.xlsx&amp;sheet=A0&amp;row=592&amp;col=9&amp;number=&amp;sourceID=34","")</f>
        <v/>
      </c>
      <c r="J592" s="4" t="str">
        <f>HYPERLINK("http://141.218.60.56/~jnz1568/getInfo.php?workbook=08_02.xlsx&amp;sheet=A0&amp;row=592&amp;col=10&amp;number=&amp;sourceID=34","")</f>
        <v/>
      </c>
      <c r="K592" s="4" t="str">
        <f>HYPERLINK("http://141.218.60.56/~jnz1568/getInfo.php?workbook=08_02.xlsx&amp;sheet=A0&amp;row=592&amp;col=11&amp;number=46700&amp;sourceID=30","46700")</f>
        <v>46700</v>
      </c>
      <c r="L592" s="4" t="str">
        <f>HYPERLINK("http://141.218.60.56/~jnz1568/getInfo.php?workbook=08_02.xlsx&amp;sheet=A0&amp;row=592&amp;col=12&amp;number=&amp;sourceID=30","")</f>
        <v/>
      </c>
      <c r="M592" s="4" t="str">
        <f>HYPERLINK("http://141.218.60.56/~jnz1568/getInfo.php?workbook=08_02.xlsx&amp;sheet=A0&amp;row=592&amp;col=13&amp;number=&amp;sourceID=30","")</f>
        <v/>
      </c>
      <c r="N592" s="4" t="str">
        <f>HYPERLINK("http://141.218.60.56/~jnz1568/getInfo.php?workbook=08_02.xlsx&amp;sheet=A0&amp;row=592&amp;col=14&amp;number=8.926e-11&amp;sourceID=30","8.926e-11")</f>
        <v>8.926e-11</v>
      </c>
      <c r="O592" s="4" t="str">
        <f>HYPERLINK("http://141.218.60.56/~jnz1568/getInfo.php?workbook=08_02.xlsx&amp;sheet=A0&amp;row=592&amp;col=15&amp;number=52590&amp;sourceID=32","52590")</f>
        <v>52590</v>
      </c>
      <c r="P592" s="4" t="str">
        <f>HYPERLINK("http://141.218.60.56/~jnz1568/getInfo.php?workbook=08_02.xlsx&amp;sheet=A0&amp;row=592&amp;col=16&amp;number=&amp;sourceID=32","")</f>
        <v/>
      </c>
      <c r="Q592" s="4" t="str">
        <f>HYPERLINK("http://141.218.60.56/~jnz1568/getInfo.php?workbook=08_02.xlsx&amp;sheet=A0&amp;row=592&amp;col=17&amp;number=&amp;sourceID=32","")</f>
        <v/>
      </c>
      <c r="R592" s="4" t="str">
        <f>HYPERLINK("http://141.218.60.56/~jnz1568/getInfo.php?workbook=08_02.xlsx&amp;sheet=A0&amp;row=592&amp;col=18&amp;number=1.092e-10&amp;sourceID=32","1.092e-10")</f>
        <v>1.092e-10</v>
      </c>
      <c r="S592" s="4" t="str">
        <f>HYPERLINK("http://141.218.60.56/~jnz1568/getInfo.php?workbook=08_02.xlsx&amp;sheet=A0&amp;row=592&amp;col=19&amp;number=&amp;sourceID=1","")</f>
        <v/>
      </c>
      <c r="T592" s="4" t="str">
        <f>HYPERLINK("http://141.218.60.56/~jnz1568/getInfo.php?workbook=08_02.xlsx&amp;sheet=A0&amp;row=592&amp;col=20&amp;number=&amp;sourceID=1","")</f>
        <v/>
      </c>
    </row>
    <row r="593" spans="1:20">
      <c r="A593" s="3">
        <v>8</v>
      </c>
      <c r="B593" s="3">
        <v>2</v>
      </c>
      <c r="C593" s="3">
        <v>38</v>
      </c>
      <c r="D593" s="3">
        <v>36</v>
      </c>
      <c r="E593" s="3">
        <f>((1/(INDEX(E0!J$4:J$52,C593,1)-INDEX(E0!J$4:J$52,D593,1))))*100000000</f>
        <v>0</v>
      </c>
      <c r="F593" s="4" t="str">
        <f>HYPERLINK("http://141.218.60.56/~jnz1568/getInfo.php?workbook=08_02.xlsx&amp;sheet=A0&amp;row=593&amp;col=6&amp;number=&amp;sourceID=27","")</f>
        <v/>
      </c>
      <c r="G593" s="4" t="str">
        <f>HYPERLINK("http://141.218.60.56/~jnz1568/getInfo.php?workbook=08_02.xlsx&amp;sheet=A0&amp;row=593&amp;col=7&amp;number=3566.66666667&amp;sourceID=34","3566.66666667")</f>
        <v>3566.66666667</v>
      </c>
      <c r="H593" s="4" t="str">
        <f>HYPERLINK("http://141.218.60.56/~jnz1568/getInfo.php?workbook=08_02.xlsx&amp;sheet=A0&amp;row=593&amp;col=8&amp;number=&amp;sourceID=34","")</f>
        <v/>
      </c>
      <c r="I593" s="4" t="str">
        <f>HYPERLINK("http://141.218.60.56/~jnz1568/getInfo.php?workbook=08_02.xlsx&amp;sheet=A0&amp;row=593&amp;col=9&amp;number=&amp;sourceID=34","")</f>
        <v/>
      </c>
      <c r="J593" s="4" t="str">
        <f>HYPERLINK("http://141.218.60.56/~jnz1568/getInfo.php?workbook=08_02.xlsx&amp;sheet=A0&amp;row=593&amp;col=10&amp;number=&amp;sourceID=34","")</f>
        <v/>
      </c>
      <c r="K593" s="4" t="str">
        <f>HYPERLINK("http://141.218.60.56/~jnz1568/getInfo.php?workbook=08_02.xlsx&amp;sheet=A0&amp;row=593&amp;col=11&amp;number=2926&amp;sourceID=30","2926")</f>
        <v>2926</v>
      </c>
      <c r="L593" s="4" t="str">
        <f>HYPERLINK("http://141.218.60.56/~jnz1568/getInfo.php?workbook=08_02.xlsx&amp;sheet=A0&amp;row=593&amp;col=12&amp;number=&amp;sourceID=30","")</f>
        <v/>
      </c>
      <c r="M593" s="4" t="str">
        <f>HYPERLINK("http://141.218.60.56/~jnz1568/getInfo.php?workbook=08_02.xlsx&amp;sheet=A0&amp;row=593&amp;col=13&amp;number=&amp;sourceID=30","")</f>
        <v/>
      </c>
      <c r="N593" s="4" t="str">
        <f>HYPERLINK("http://141.218.60.56/~jnz1568/getInfo.php?workbook=08_02.xlsx&amp;sheet=A0&amp;row=593&amp;col=14&amp;number=0&amp;sourceID=30","0")</f>
        <v>0</v>
      </c>
      <c r="O593" s="4" t="str">
        <f>HYPERLINK("http://141.218.60.56/~jnz1568/getInfo.php?workbook=08_02.xlsx&amp;sheet=A0&amp;row=593&amp;col=15&amp;number=3256&amp;sourceID=32","3256")</f>
        <v>3256</v>
      </c>
      <c r="P593" s="4" t="str">
        <f>HYPERLINK("http://141.218.60.56/~jnz1568/getInfo.php?workbook=08_02.xlsx&amp;sheet=A0&amp;row=593&amp;col=16&amp;number=&amp;sourceID=32","")</f>
        <v/>
      </c>
      <c r="Q593" s="4" t="str">
        <f>HYPERLINK("http://141.218.60.56/~jnz1568/getInfo.php?workbook=08_02.xlsx&amp;sheet=A0&amp;row=593&amp;col=17&amp;number=&amp;sourceID=32","")</f>
        <v/>
      </c>
      <c r="R593" s="4" t="str">
        <f>HYPERLINK("http://141.218.60.56/~jnz1568/getInfo.php?workbook=08_02.xlsx&amp;sheet=A0&amp;row=593&amp;col=18&amp;number=0&amp;sourceID=32","0")</f>
        <v>0</v>
      </c>
      <c r="S593" s="4" t="str">
        <f>HYPERLINK("http://141.218.60.56/~jnz1568/getInfo.php?workbook=08_02.xlsx&amp;sheet=A0&amp;row=593&amp;col=19&amp;number=&amp;sourceID=1","")</f>
        <v/>
      </c>
      <c r="T593" s="4" t="str">
        <f>HYPERLINK("http://141.218.60.56/~jnz1568/getInfo.php?workbook=08_02.xlsx&amp;sheet=A0&amp;row=593&amp;col=20&amp;number=&amp;sourceID=1","")</f>
        <v/>
      </c>
    </row>
    <row r="594" spans="1:20">
      <c r="A594" s="3">
        <v>8</v>
      </c>
      <c r="B594" s="3">
        <v>2</v>
      </c>
      <c r="C594" s="3">
        <v>39</v>
      </c>
      <c r="D594" s="3">
        <v>1</v>
      </c>
      <c r="E594" s="3">
        <f>((1/(INDEX(E0!J$4:J$52,C594,1)-INDEX(E0!J$4:J$52,D594,1))))*100000000</f>
        <v>0</v>
      </c>
      <c r="F594" s="4" t="str">
        <f>HYPERLINK("http://141.218.60.56/~jnz1568/getInfo.php?workbook=08_02.xlsx&amp;sheet=A0&amp;row=594&amp;col=6&amp;number=&amp;sourceID=27","")</f>
        <v/>
      </c>
      <c r="G594" s="4" t="str">
        <f>HYPERLINK("http://141.218.60.56/~jnz1568/getInfo.php?workbook=08_02.xlsx&amp;sheet=A0&amp;row=594&amp;col=7&amp;number=&amp;sourceID=34","")</f>
        <v/>
      </c>
      <c r="H594" s="4" t="str">
        <f>HYPERLINK("http://141.218.60.56/~jnz1568/getInfo.php?workbook=08_02.xlsx&amp;sheet=A0&amp;row=594&amp;col=8&amp;number=&amp;sourceID=34","")</f>
        <v/>
      </c>
      <c r="I594" s="4" t="str">
        <f>HYPERLINK("http://141.218.60.56/~jnz1568/getInfo.php?workbook=08_02.xlsx&amp;sheet=A0&amp;row=594&amp;col=9&amp;number=&amp;sourceID=34","")</f>
        <v/>
      </c>
      <c r="J594" s="4" t="str">
        <f>HYPERLINK("http://141.218.60.56/~jnz1568/getInfo.php?workbook=08_02.xlsx&amp;sheet=A0&amp;row=594&amp;col=10&amp;number=&amp;sourceID=34","")</f>
        <v/>
      </c>
      <c r="K594" s="4" t="str">
        <f>HYPERLINK("http://141.218.60.56/~jnz1568/getInfo.php?workbook=08_02.xlsx&amp;sheet=A0&amp;row=594&amp;col=11&amp;number=&amp;sourceID=30","")</f>
        <v/>
      </c>
      <c r="L594" s="4" t="str">
        <f>HYPERLINK("http://141.218.60.56/~jnz1568/getInfo.php?workbook=08_02.xlsx&amp;sheet=A0&amp;row=594&amp;col=12&amp;number=3725000&amp;sourceID=30","3725000")</f>
        <v>3725000</v>
      </c>
      <c r="M594" s="4" t="str">
        <f>HYPERLINK("http://141.218.60.56/~jnz1568/getInfo.php?workbook=08_02.xlsx&amp;sheet=A0&amp;row=594&amp;col=13&amp;number=&amp;sourceID=30","")</f>
        <v/>
      </c>
      <c r="N594" s="4" t="str">
        <f>HYPERLINK("http://141.218.60.56/~jnz1568/getInfo.php?workbook=08_02.xlsx&amp;sheet=A0&amp;row=594&amp;col=14&amp;number=&amp;sourceID=30","")</f>
        <v/>
      </c>
      <c r="O594" s="4" t="str">
        <f>HYPERLINK("http://141.218.60.56/~jnz1568/getInfo.php?workbook=08_02.xlsx&amp;sheet=A0&amp;row=594&amp;col=15&amp;number=&amp;sourceID=32","")</f>
        <v/>
      </c>
      <c r="P594" s="4" t="str">
        <f>HYPERLINK("http://141.218.60.56/~jnz1568/getInfo.php?workbook=08_02.xlsx&amp;sheet=A0&amp;row=594&amp;col=16&amp;number=376900&amp;sourceID=32","376900")</f>
        <v>376900</v>
      </c>
      <c r="Q594" s="4" t="str">
        <f>HYPERLINK("http://141.218.60.56/~jnz1568/getInfo.php?workbook=08_02.xlsx&amp;sheet=A0&amp;row=594&amp;col=17&amp;number=&amp;sourceID=32","")</f>
        <v/>
      </c>
      <c r="R594" s="4" t="str">
        <f>HYPERLINK("http://141.218.60.56/~jnz1568/getInfo.php?workbook=08_02.xlsx&amp;sheet=A0&amp;row=594&amp;col=18&amp;number=&amp;sourceID=32","")</f>
        <v/>
      </c>
      <c r="S594" s="4" t="str">
        <f>HYPERLINK("http://141.218.60.56/~jnz1568/getInfo.php?workbook=08_02.xlsx&amp;sheet=A0&amp;row=594&amp;col=19&amp;number=&amp;sourceID=1","")</f>
        <v/>
      </c>
      <c r="T594" s="4" t="str">
        <f>HYPERLINK("http://141.218.60.56/~jnz1568/getInfo.php?workbook=08_02.xlsx&amp;sheet=A0&amp;row=594&amp;col=20&amp;number=&amp;sourceID=1","")</f>
        <v/>
      </c>
    </row>
    <row r="595" spans="1:20">
      <c r="A595" s="3">
        <v>8</v>
      </c>
      <c r="B595" s="3">
        <v>2</v>
      </c>
      <c r="C595" s="3">
        <v>39</v>
      </c>
      <c r="D595" s="3">
        <v>2</v>
      </c>
      <c r="E595" s="3">
        <f>((1/(INDEX(E0!J$4:J$52,C595,1)-INDEX(E0!J$4:J$52,D595,1))))*100000000</f>
        <v>0</v>
      </c>
      <c r="F595" s="4" t="str">
        <f>HYPERLINK("http://141.218.60.56/~jnz1568/getInfo.php?workbook=08_02.xlsx&amp;sheet=A0&amp;row=595&amp;col=6&amp;number=&amp;sourceID=27","")</f>
        <v/>
      </c>
      <c r="G595" s="4" t="str">
        <f>HYPERLINK("http://141.218.60.56/~jnz1568/getInfo.php?workbook=08_02.xlsx&amp;sheet=A0&amp;row=595&amp;col=7&amp;number=&amp;sourceID=34","")</f>
        <v/>
      </c>
      <c r="H595" s="4" t="str">
        <f>HYPERLINK("http://141.218.60.56/~jnz1568/getInfo.php?workbook=08_02.xlsx&amp;sheet=A0&amp;row=595&amp;col=8&amp;number=&amp;sourceID=34","")</f>
        <v/>
      </c>
      <c r="I595" s="4" t="str">
        <f>HYPERLINK("http://141.218.60.56/~jnz1568/getInfo.php?workbook=08_02.xlsx&amp;sheet=A0&amp;row=595&amp;col=9&amp;number=&amp;sourceID=34","")</f>
        <v/>
      </c>
      <c r="J595" s="4" t="str">
        <f>HYPERLINK("http://141.218.60.56/~jnz1568/getInfo.php?workbook=08_02.xlsx&amp;sheet=A0&amp;row=595&amp;col=10&amp;number=&amp;sourceID=34","")</f>
        <v/>
      </c>
      <c r="K595" s="4" t="str">
        <f>HYPERLINK("http://141.218.60.56/~jnz1568/getInfo.php?workbook=08_02.xlsx&amp;sheet=A0&amp;row=595&amp;col=11&amp;number=&amp;sourceID=30","")</f>
        <v/>
      </c>
      <c r="L595" s="4" t="str">
        <f>HYPERLINK("http://141.218.60.56/~jnz1568/getInfo.php?workbook=08_02.xlsx&amp;sheet=A0&amp;row=595&amp;col=12&amp;number=112200&amp;sourceID=30","112200")</f>
        <v>112200</v>
      </c>
      <c r="M595" s="4" t="str">
        <f>HYPERLINK("http://141.218.60.56/~jnz1568/getInfo.php?workbook=08_02.xlsx&amp;sheet=A0&amp;row=595&amp;col=13&amp;number=0.006965&amp;sourceID=30","0.006965")</f>
        <v>0.006965</v>
      </c>
      <c r="N595" s="4" t="str">
        <f>HYPERLINK("http://141.218.60.56/~jnz1568/getInfo.php?workbook=08_02.xlsx&amp;sheet=A0&amp;row=595&amp;col=14&amp;number=&amp;sourceID=30","")</f>
        <v/>
      </c>
      <c r="O595" s="4" t="str">
        <f>HYPERLINK("http://141.218.60.56/~jnz1568/getInfo.php?workbook=08_02.xlsx&amp;sheet=A0&amp;row=595&amp;col=15&amp;number=&amp;sourceID=32","")</f>
        <v/>
      </c>
      <c r="P595" s="4" t="str">
        <f>HYPERLINK("http://141.218.60.56/~jnz1568/getInfo.php?workbook=08_02.xlsx&amp;sheet=A0&amp;row=595&amp;col=16&amp;number=364300&amp;sourceID=32","364300")</f>
        <v>364300</v>
      </c>
      <c r="Q595" s="4" t="str">
        <f>HYPERLINK("http://141.218.60.56/~jnz1568/getInfo.php?workbook=08_02.xlsx&amp;sheet=A0&amp;row=595&amp;col=17&amp;number=&amp;sourceID=32","")</f>
        <v/>
      </c>
      <c r="R595" s="4" t="str">
        <f>HYPERLINK("http://141.218.60.56/~jnz1568/getInfo.php?workbook=08_02.xlsx&amp;sheet=A0&amp;row=595&amp;col=18&amp;number=&amp;sourceID=32","")</f>
        <v/>
      </c>
      <c r="S595" s="4" t="str">
        <f>HYPERLINK("http://141.218.60.56/~jnz1568/getInfo.php?workbook=08_02.xlsx&amp;sheet=A0&amp;row=595&amp;col=19&amp;number=&amp;sourceID=1","")</f>
        <v/>
      </c>
      <c r="T595" s="4" t="str">
        <f>HYPERLINK("http://141.218.60.56/~jnz1568/getInfo.php?workbook=08_02.xlsx&amp;sheet=A0&amp;row=595&amp;col=20&amp;number=&amp;sourceID=1","")</f>
        <v/>
      </c>
    </row>
    <row r="596" spans="1:20">
      <c r="A596" s="3">
        <v>8</v>
      </c>
      <c r="B596" s="3">
        <v>2</v>
      </c>
      <c r="C596" s="3">
        <v>39</v>
      </c>
      <c r="D596" s="3">
        <v>3</v>
      </c>
      <c r="E596" s="3">
        <f>((1/(INDEX(E0!J$4:J$52,C596,1)-INDEX(E0!J$4:J$52,D596,1))))*100000000</f>
        <v>0</v>
      </c>
      <c r="F596" s="4" t="str">
        <f>HYPERLINK("http://141.218.60.56/~jnz1568/getInfo.php?workbook=08_02.xlsx&amp;sheet=A0&amp;row=596&amp;col=6&amp;number=&amp;sourceID=27","")</f>
        <v/>
      </c>
      <c r="G596" s="4" t="str">
        <f>HYPERLINK("http://141.218.60.56/~jnz1568/getInfo.php?workbook=08_02.xlsx&amp;sheet=A0&amp;row=596&amp;col=7&amp;number=&amp;sourceID=34","")</f>
        <v/>
      </c>
      <c r="H596" s="4" t="str">
        <f>HYPERLINK("http://141.218.60.56/~jnz1568/getInfo.php?workbook=08_02.xlsx&amp;sheet=A0&amp;row=596&amp;col=8&amp;number=&amp;sourceID=34","")</f>
        <v/>
      </c>
      <c r="I596" s="4" t="str">
        <f>HYPERLINK("http://141.218.60.56/~jnz1568/getInfo.php?workbook=08_02.xlsx&amp;sheet=A0&amp;row=596&amp;col=9&amp;number=&amp;sourceID=34","")</f>
        <v/>
      </c>
      <c r="J596" s="4" t="str">
        <f>HYPERLINK("http://141.218.60.56/~jnz1568/getInfo.php?workbook=08_02.xlsx&amp;sheet=A0&amp;row=596&amp;col=10&amp;number=&amp;sourceID=34","")</f>
        <v/>
      </c>
      <c r="K596" s="4" t="str">
        <f>HYPERLINK("http://141.218.60.56/~jnz1568/getInfo.php?workbook=08_02.xlsx&amp;sheet=A0&amp;row=596&amp;col=11&amp;number=&amp;sourceID=30","")</f>
        <v/>
      </c>
      <c r="L596" s="4" t="str">
        <f>HYPERLINK("http://141.218.60.56/~jnz1568/getInfo.php?workbook=08_02.xlsx&amp;sheet=A0&amp;row=596&amp;col=12&amp;number=&amp;sourceID=30","")</f>
        <v/>
      </c>
      <c r="M596" s="4" t="str">
        <f>HYPERLINK("http://141.218.60.56/~jnz1568/getInfo.php?workbook=08_02.xlsx&amp;sheet=A0&amp;row=596&amp;col=13&amp;number=&amp;sourceID=30","")</f>
        <v/>
      </c>
      <c r="N596" s="4" t="str">
        <f>HYPERLINK("http://141.218.60.56/~jnz1568/getInfo.php?workbook=08_02.xlsx&amp;sheet=A0&amp;row=596&amp;col=14&amp;number=4.989&amp;sourceID=30","4.989")</f>
        <v>4.989</v>
      </c>
      <c r="O596" s="4" t="str">
        <f>HYPERLINK("http://141.218.60.56/~jnz1568/getInfo.php?workbook=08_02.xlsx&amp;sheet=A0&amp;row=596&amp;col=15&amp;number=&amp;sourceID=32","")</f>
        <v/>
      </c>
      <c r="P596" s="4" t="str">
        <f>HYPERLINK("http://141.218.60.56/~jnz1568/getInfo.php?workbook=08_02.xlsx&amp;sheet=A0&amp;row=596&amp;col=16&amp;number=&amp;sourceID=32","")</f>
        <v/>
      </c>
      <c r="Q596" s="4" t="str">
        <f>HYPERLINK("http://141.218.60.56/~jnz1568/getInfo.php?workbook=08_02.xlsx&amp;sheet=A0&amp;row=596&amp;col=17&amp;number=&amp;sourceID=32","")</f>
        <v/>
      </c>
      <c r="R596" s="4" t="str">
        <f>HYPERLINK("http://141.218.60.56/~jnz1568/getInfo.php?workbook=08_02.xlsx&amp;sheet=A0&amp;row=596&amp;col=18&amp;number=4.811&amp;sourceID=32","4.811")</f>
        <v>4.811</v>
      </c>
      <c r="S596" s="4" t="str">
        <f>HYPERLINK("http://141.218.60.56/~jnz1568/getInfo.php?workbook=08_02.xlsx&amp;sheet=A0&amp;row=596&amp;col=19&amp;number=&amp;sourceID=1","")</f>
        <v/>
      </c>
      <c r="T596" s="4" t="str">
        <f>HYPERLINK("http://141.218.60.56/~jnz1568/getInfo.php?workbook=08_02.xlsx&amp;sheet=A0&amp;row=596&amp;col=20&amp;number=&amp;sourceID=1","")</f>
        <v/>
      </c>
    </row>
    <row r="597" spans="1:20">
      <c r="A597" s="3">
        <v>8</v>
      </c>
      <c r="B597" s="3">
        <v>2</v>
      </c>
      <c r="C597" s="3">
        <v>39</v>
      </c>
      <c r="D597" s="3">
        <v>4</v>
      </c>
      <c r="E597" s="3">
        <f>((1/(INDEX(E0!J$4:J$52,C597,1)-INDEX(E0!J$4:J$52,D597,1))))*100000000</f>
        <v>0</v>
      </c>
      <c r="F597" s="4" t="str">
        <f>HYPERLINK("http://141.218.60.56/~jnz1568/getInfo.php?workbook=08_02.xlsx&amp;sheet=A0&amp;row=597&amp;col=6&amp;number=&amp;sourceID=27","")</f>
        <v/>
      </c>
      <c r="G597" s="4" t="str">
        <f>HYPERLINK("http://141.218.60.56/~jnz1568/getInfo.php?workbook=08_02.xlsx&amp;sheet=A0&amp;row=597&amp;col=7&amp;number=18480000000&amp;sourceID=34","18480000000")</f>
        <v>18480000000</v>
      </c>
      <c r="H597" s="4" t="str">
        <f>HYPERLINK("http://141.218.60.56/~jnz1568/getInfo.php?workbook=08_02.xlsx&amp;sheet=A0&amp;row=597&amp;col=8&amp;number=&amp;sourceID=34","")</f>
        <v/>
      </c>
      <c r="I597" s="4" t="str">
        <f>HYPERLINK("http://141.218.60.56/~jnz1568/getInfo.php?workbook=08_02.xlsx&amp;sheet=A0&amp;row=597&amp;col=9&amp;number=&amp;sourceID=34","")</f>
        <v/>
      </c>
      <c r="J597" s="4" t="str">
        <f>HYPERLINK("http://141.218.60.56/~jnz1568/getInfo.php?workbook=08_02.xlsx&amp;sheet=A0&amp;row=597&amp;col=10&amp;number=&amp;sourceID=34","")</f>
        <v/>
      </c>
      <c r="K597" s="4" t="str">
        <f>HYPERLINK("http://141.218.60.56/~jnz1568/getInfo.php?workbook=08_02.xlsx&amp;sheet=A0&amp;row=597&amp;col=11&amp;number=17650000000&amp;sourceID=30","17650000000")</f>
        <v>17650000000</v>
      </c>
      <c r="L597" s="4" t="str">
        <f>HYPERLINK("http://141.218.60.56/~jnz1568/getInfo.php?workbook=08_02.xlsx&amp;sheet=A0&amp;row=597&amp;col=12&amp;number=&amp;sourceID=30","")</f>
        <v/>
      </c>
      <c r="M597" s="4" t="str">
        <f>HYPERLINK("http://141.218.60.56/~jnz1568/getInfo.php?workbook=08_02.xlsx&amp;sheet=A0&amp;row=597&amp;col=13&amp;number=&amp;sourceID=30","")</f>
        <v/>
      </c>
      <c r="N597" s="4" t="str">
        <f>HYPERLINK("http://141.218.60.56/~jnz1568/getInfo.php?workbook=08_02.xlsx&amp;sheet=A0&amp;row=597&amp;col=14&amp;number=104.8&amp;sourceID=30","104.8")</f>
        <v>104.8</v>
      </c>
      <c r="O597" s="4" t="str">
        <f>HYPERLINK("http://141.218.60.56/~jnz1568/getInfo.php?workbook=08_02.xlsx&amp;sheet=A0&amp;row=597&amp;col=15&amp;number=18350000000&amp;sourceID=32","18350000000")</f>
        <v>18350000000</v>
      </c>
      <c r="P597" s="4" t="str">
        <f>HYPERLINK("http://141.218.60.56/~jnz1568/getInfo.php?workbook=08_02.xlsx&amp;sheet=A0&amp;row=597&amp;col=16&amp;number=&amp;sourceID=32","")</f>
        <v/>
      </c>
      <c r="Q597" s="4" t="str">
        <f>HYPERLINK("http://141.218.60.56/~jnz1568/getInfo.php?workbook=08_02.xlsx&amp;sheet=A0&amp;row=597&amp;col=17&amp;number=&amp;sourceID=32","")</f>
        <v/>
      </c>
      <c r="R597" s="4" t="str">
        <f>HYPERLINK("http://141.218.60.56/~jnz1568/getInfo.php?workbook=08_02.xlsx&amp;sheet=A0&amp;row=597&amp;col=18&amp;number=107.2&amp;sourceID=32","107.2")</f>
        <v>107.2</v>
      </c>
      <c r="S597" s="4" t="str">
        <f>HYPERLINK("http://141.218.60.56/~jnz1568/getInfo.php?workbook=08_02.xlsx&amp;sheet=A0&amp;row=597&amp;col=19&amp;number=&amp;sourceID=1","")</f>
        <v/>
      </c>
      <c r="T597" s="4" t="str">
        <f>HYPERLINK("http://141.218.60.56/~jnz1568/getInfo.php?workbook=08_02.xlsx&amp;sheet=A0&amp;row=597&amp;col=20&amp;number=&amp;sourceID=1","")</f>
        <v/>
      </c>
    </row>
    <row r="598" spans="1:20">
      <c r="A598" s="3">
        <v>8</v>
      </c>
      <c r="B598" s="3">
        <v>2</v>
      </c>
      <c r="C598" s="3">
        <v>39</v>
      </c>
      <c r="D598" s="3">
        <v>5</v>
      </c>
      <c r="E598" s="3">
        <f>((1/(INDEX(E0!J$4:J$52,C598,1)-INDEX(E0!J$4:J$52,D598,1))))*100000000</f>
        <v>0</v>
      </c>
      <c r="F598" s="4" t="str">
        <f>HYPERLINK("http://141.218.60.56/~jnz1568/getInfo.php?workbook=08_02.xlsx&amp;sheet=A0&amp;row=598&amp;col=6&amp;number=&amp;sourceID=27","")</f>
        <v/>
      </c>
      <c r="G598" s="4" t="str">
        <f>HYPERLINK("http://141.218.60.56/~jnz1568/getInfo.php?workbook=08_02.xlsx&amp;sheet=A0&amp;row=598&amp;col=7&amp;number=6150000000&amp;sourceID=34","6150000000")</f>
        <v>6150000000</v>
      </c>
      <c r="H598" s="4" t="str">
        <f>HYPERLINK("http://141.218.60.56/~jnz1568/getInfo.php?workbook=08_02.xlsx&amp;sheet=A0&amp;row=598&amp;col=8&amp;number=&amp;sourceID=34","")</f>
        <v/>
      </c>
      <c r="I598" s="4" t="str">
        <f>HYPERLINK("http://141.218.60.56/~jnz1568/getInfo.php?workbook=08_02.xlsx&amp;sheet=A0&amp;row=598&amp;col=9&amp;number=&amp;sourceID=34","")</f>
        <v/>
      </c>
      <c r="J598" s="4" t="str">
        <f>HYPERLINK("http://141.218.60.56/~jnz1568/getInfo.php?workbook=08_02.xlsx&amp;sheet=A0&amp;row=598&amp;col=10&amp;number=&amp;sourceID=34","")</f>
        <v/>
      </c>
      <c r="K598" s="4" t="str">
        <f>HYPERLINK("http://141.218.60.56/~jnz1568/getInfo.php?workbook=08_02.xlsx&amp;sheet=A0&amp;row=598&amp;col=11&amp;number=5858000000&amp;sourceID=30","5858000000")</f>
        <v>5858000000</v>
      </c>
      <c r="L598" s="4" t="str">
        <f>HYPERLINK("http://141.218.60.56/~jnz1568/getInfo.php?workbook=08_02.xlsx&amp;sheet=A0&amp;row=598&amp;col=12&amp;number=&amp;sourceID=30","")</f>
        <v/>
      </c>
      <c r="M598" s="4" t="str">
        <f>HYPERLINK("http://141.218.60.56/~jnz1568/getInfo.php?workbook=08_02.xlsx&amp;sheet=A0&amp;row=598&amp;col=13&amp;number=&amp;sourceID=30","")</f>
        <v/>
      </c>
      <c r="N598" s="4" t="str">
        <f>HYPERLINK("http://141.218.60.56/~jnz1568/getInfo.php?workbook=08_02.xlsx&amp;sheet=A0&amp;row=598&amp;col=14&amp;number=43.88&amp;sourceID=30","43.88")</f>
        <v>43.88</v>
      </c>
      <c r="O598" s="4" t="str">
        <f>HYPERLINK("http://141.218.60.56/~jnz1568/getInfo.php?workbook=08_02.xlsx&amp;sheet=A0&amp;row=598&amp;col=15&amp;number=6094000000&amp;sourceID=32","6094000000")</f>
        <v>6094000000</v>
      </c>
      <c r="P598" s="4" t="str">
        <f>HYPERLINK("http://141.218.60.56/~jnz1568/getInfo.php?workbook=08_02.xlsx&amp;sheet=A0&amp;row=598&amp;col=16&amp;number=&amp;sourceID=32","")</f>
        <v/>
      </c>
      <c r="Q598" s="4" t="str">
        <f>HYPERLINK("http://141.218.60.56/~jnz1568/getInfo.php?workbook=08_02.xlsx&amp;sheet=A0&amp;row=598&amp;col=17&amp;number=&amp;sourceID=32","")</f>
        <v/>
      </c>
      <c r="R598" s="4" t="str">
        <f>HYPERLINK("http://141.218.60.56/~jnz1568/getInfo.php?workbook=08_02.xlsx&amp;sheet=A0&amp;row=598&amp;col=18&amp;number=44.69&amp;sourceID=32","44.69")</f>
        <v>44.69</v>
      </c>
      <c r="S598" s="4" t="str">
        <f>HYPERLINK("http://141.218.60.56/~jnz1568/getInfo.php?workbook=08_02.xlsx&amp;sheet=A0&amp;row=598&amp;col=19&amp;number=&amp;sourceID=1","")</f>
        <v/>
      </c>
      <c r="T598" s="4" t="str">
        <f>HYPERLINK("http://141.218.60.56/~jnz1568/getInfo.php?workbook=08_02.xlsx&amp;sheet=A0&amp;row=598&amp;col=20&amp;number=&amp;sourceID=1","")</f>
        <v/>
      </c>
    </row>
    <row r="599" spans="1:20">
      <c r="A599" s="3">
        <v>8</v>
      </c>
      <c r="B599" s="3">
        <v>2</v>
      </c>
      <c r="C599" s="3">
        <v>39</v>
      </c>
      <c r="D599" s="3">
        <v>6</v>
      </c>
      <c r="E599" s="3">
        <f>((1/(INDEX(E0!J$4:J$52,C599,1)-INDEX(E0!J$4:J$52,D599,1))))*100000000</f>
        <v>0</v>
      </c>
      <c r="F599" s="4" t="str">
        <f>HYPERLINK("http://141.218.60.56/~jnz1568/getInfo.php?workbook=08_02.xlsx&amp;sheet=A0&amp;row=599&amp;col=6&amp;number=&amp;sourceID=27","")</f>
        <v/>
      </c>
      <c r="G599" s="4" t="str">
        <f>HYPERLINK("http://141.218.60.56/~jnz1568/getInfo.php?workbook=08_02.xlsx&amp;sheet=A0&amp;row=599&amp;col=7&amp;number=&amp;sourceID=34","")</f>
        <v/>
      </c>
      <c r="H599" s="4" t="str">
        <f>HYPERLINK("http://141.218.60.56/~jnz1568/getInfo.php?workbook=08_02.xlsx&amp;sheet=A0&amp;row=599&amp;col=8&amp;number=&amp;sourceID=34","")</f>
        <v/>
      </c>
      <c r="I599" s="4" t="str">
        <f>HYPERLINK("http://141.218.60.56/~jnz1568/getInfo.php?workbook=08_02.xlsx&amp;sheet=A0&amp;row=599&amp;col=9&amp;number=&amp;sourceID=34","")</f>
        <v/>
      </c>
      <c r="J599" s="4" t="str">
        <f>HYPERLINK("http://141.218.60.56/~jnz1568/getInfo.php?workbook=08_02.xlsx&amp;sheet=A0&amp;row=599&amp;col=10&amp;number=&amp;sourceID=34","")</f>
        <v/>
      </c>
      <c r="K599" s="4" t="str">
        <f>HYPERLINK("http://141.218.60.56/~jnz1568/getInfo.php?workbook=08_02.xlsx&amp;sheet=A0&amp;row=599&amp;col=11&amp;number=&amp;sourceID=30","")</f>
        <v/>
      </c>
      <c r="L599" s="4" t="str">
        <f>HYPERLINK("http://141.218.60.56/~jnz1568/getInfo.php?workbook=08_02.xlsx&amp;sheet=A0&amp;row=599&amp;col=12&amp;number=10120&amp;sourceID=30","10120")</f>
        <v>10120</v>
      </c>
      <c r="M599" s="4" t="str">
        <f>HYPERLINK("http://141.218.60.56/~jnz1568/getInfo.php?workbook=08_02.xlsx&amp;sheet=A0&amp;row=599&amp;col=13&amp;number=&amp;sourceID=30","")</f>
        <v/>
      </c>
      <c r="N599" s="4" t="str">
        <f>HYPERLINK("http://141.218.60.56/~jnz1568/getInfo.php?workbook=08_02.xlsx&amp;sheet=A0&amp;row=599&amp;col=14&amp;number=&amp;sourceID=30","")</f>
        <v/>
      </c>
      <c r="O599" s="4" t="str">
        <f>HYPERLINK("http://141.218.60.56/~jnz1568/getInfo.php?workbook=08_02.xlsx&amp;sheet=A0&amp;row=599&amp;col=15&amp;number=&amp;sourceID=32","")</f>
        <v/>
      </c>
      <c r="P599" s="4" t="str">
        <f>HYPERLINK("http://141.218.60.56/~jnz1568/getInfo.php?workbook=08_02.xlsx&amp;sheet=A0&amp;row=599&amp;col=16&amp;number=1433&amp;sourceID=32","1433")</f>
        <v>1433</v>
      </c>
      <c r="Q599" s="4" t="str">
        <f>HYPERLINK("http://141.218.60.56/~jnz1568/getInfo.php?workbook=08_02.xlsx&amp;sheet=A0&amp;row=599&amp;col=17&amp;number=&amp;sourceID=32","")</f>
        <v/>
      </c>
      <c r="R599" s="4" t="str">
        <f>HYPERLINK("http://141.218.60.56/~jnz1568/getInfo.php?workbook=08_02.xlsx&amp;sheet=A0&amp;row=599&amp;col=18&amp;number=&amp;sourceID=32","")</f>
        <v/>
      </c>
      <c r="S599" s="4" t="str">
        <f>HYPERLINK("http://141.218.60.56/~jnz1568/getInfo.php?workbook=08_02.xlsx&amp;sheet=A0&amp;row=599&amp;col=19&amp;number=&amp;sourceID=1","")</f>
        <v/>
      </c>
      <c r="T599" s="4" t="str">
        <f>HYPERLINK("http://141.218.60.56/~jnz1568/getInfo.php?workbook=08_02.xlsx&amp;sheet=A0&amp;row=599&amp;col=20&amp;number=&amp;sourceID=1","")</f>
        <v/>
      </c>
    </row>
    <row r="600" spans="1:20">
      <c r="A600" s="3">
        <v>8</v>
      </c>
      <c r="B600" s="3">
        <v>2</v>
      </c>
      <c r="C600" s="3">
        <v>39</v>
      </c>
      <c r="D600" s="3">
        <v>7</v>
      </c>
      <c r="E600" s="3">
        <f>((1/(INDEX(E0!J$4:J$52,C600,1)-INDEX(E0!J$4:J$52,D600,1))))*100000000</f>
        <v>0</v>
      </c>
      <c r="F600" s="4" t="str">
        <f>HYPERLINK("http://141.218.60.56/~jnz1568/getInfo.php?workbook=08_02.xlsx&amp;sheet=A0&amp;row=600&amp;col=6&amp;number=&amp;sourceID=27","")</f>
        <v/>
      </c>
      <c r="G600" s="4" t="str">
        <f>HYPERLINK("http://141.218.60.56/~jnz1568/getInfo.php?workbook=08_02.xlsx&amp;sheet=A0&amp;row=600&amp;col=7&amp;number=&amp;sourceID=34","")</f>
        <v/>
      </c>
      <c r="H600" s="4" t="str">
        <f>HYPERLINK("http://141.218.60.56/~jnz1568/getInfo.php?workbook=08_02.xlsx&amp;sheet=A0&amp;row=600&amp;col=8&amp;number=&amp;sourceID=34","")</f>
        <v/>
      </c>
      <c r="I600" s="4" t="str">
        <f>HYPERLINK("http://141.218.60.56/~jnz1568/getInfo.php?workbook=08_02.xlsx&amp;sheet=A0&amp;row=600&amp;col=9&amp;number=&amp;sourceID=34","")</f>
        <v/>
      </c>
      <c r="J600" s="4" t="str">
        <f>HYPERLINK("http://141.218.60.56/~jnz1568/getInfo.php?workbook=08_02.xlsx&amp;sheet=A0&amp;row=600&amp;col=10&amp;number=&amp;sourceID=34","")</f>
        <v/>
      </c>
      <c r="K600" s="4" t="str">
        <f>HYPERLINK("http://141.218.60.56/~jnz1568/getInfo.php?workbook=08_02.xlsx&amp;sheet=A0&amp;row=600&amp;col=11&amp;number=122300000&amp;sourceID=30","122300000")</f>
        <v>122300000</v>
      </c>
      <c r="L600" s="4" t="str">
        <f>HYPERLINK("http://141.218.60.56/~jnz1568/getInfo.php?workbook=08_02.xlsx&amp;sheet=A0&amp;row=600&amp;col=12&amp;number=&amp;sourceID=30","")</f>
        <v/>
      </c>
      <c r="M600" s="4" t="str">
        <f>HYPERLINK("http://141.218.60.56/~jnz1568/getInfo.php?workbook=08_02.xlsx&amp;sheet=A0&amp;row=600&amp;col=13&amp;number=&amp;sourceID=30","")</f>
        <v/>
      </c>
      <c r="N600" s="4" t="str">
        <f>HYPERLINK("http://141.218.60.56/~jnz1568/getInfo.php?workbook=08_02.xlsx&amp;sheet=A0&amp;row=600&amp;col=14&amp;number=26.12&amp;sourceID=30","26.12")</f>
        <v>26.12</v>
      </c>
      <c r="O600" s="4" t="str">
        <f>HYPERLINK("http://141.218.60.56/~jnz1568/getInfo.php?workbook=08_02.xlsx&amp;sheet=A0&amp;row=600&amp;col=15&amp;number=136900000&amp;sourceID=32","136900000")</f>
        <v>136900000</v>
      </c>
      <c r="P600" s="4" t="str">
        <f>HYPERLINK("http://141.218.60.56/~jnz1568/getInfo.php?workbook=08_02.xlsx&amp;sheet=A0&amp;row=600&amp;col=16&amp;number=&amp;sourceID=32","")</f>
        <v/>
      </c>
      <c r="Q600" s="4" t="str">
        <f>HYPERLINK("http://141.218.60.56/~jnz1568/getInfo.php?workbook=08_02.xlsx&amp;sheet=A0&amp;row=600&amp;col=17&amp;number=&amp;sourceID=32","")</f>
        <v/>
      </c>
      <c r="R600" s="4" t="str">
        <f>HYPERLINK("http://141.218.60.56/~jnz1568/getInfo.php?workbook=08_02.xlsx&amp;sheet=A0&amp;row=600&amp;col=18&amp;number=22.89&amp;sourceID=32","22.89")</f>
        <v>22.89</v>
      </c>
      <c r="S600" s="4" t="str">
        <f>HYPERLINK("http://141.218.60.56/~jnz1568/getInfo.php?workbook=08_02.xlsx&amp;sheet=A0&amp;row=600&amp;col=19&amp;number=&amp;sourceID=1","")</f>
        <v/>
      </c>
      <c r="T600" s="4" t="str">
        <f>HYPERLINK("http://141.218.60.56/~jnz1568/getInfo.php?workbook=08_02.xlsx&amp;sheet=A0&amp;row=600&amp;col=20&amp;number=&amp;sourceID=1","")</f>
        <v/>
      </c>
    </row>
    <row r="601" spans="1:20">
      <c r="A601" s="3">
        <v>8</v>
      </c>
      <c r="B601" s="3">
        <v>2</v>
      </c>
      <c r="C601" s="3">
        <v>39</v>
      </c>
      <c r="D601" s="3">
        <v>8</v>
      </c>
      <c r="E601" s="3">
        <f>((1/(INDEX(E0!J$4:J$52,C601,1)-INDEX(E0!J$4:J$52,D601,1))))*100000000</f>
        <v>0</v>
      </c>
      <c r="F601" s="4" t="str">
        <f>HYPERLINK("http://141.218.60.56/~jnz1568/getInfo.php?workbook=08_02.xlsx&amp;sheet=A0&amp;row=601&amp;col=6&amp;number=&amp;sourceID=27","")</f>
        <v/>
      </c>
      <c r="G601" s="4" t="str">
        <f>HYPERLINK("http://141.218.60.56/~jnz1568/getInfo.php?workbook=08_02.xlsx&amp;sheet=A0&amp;row=601&amp;col=7&amp;number=&amp;sourceID=34","")</f>
        <v/>
      </c>
      <c r="H601" s="4" t="str">
        <f>HYPERLINK("http://141.218.60.56/~jnz1568/getInfo.php?workbook=08_02.xlsx&amp;sheet=A0&amp;row=601&amp;col=8&amp;number=&amp;sourceID=34","")</f>
        <v/>
      </c>
      <c r="I601" s="4" t="str">
        <f>HYPERLINK("http://141.218.60.56/~jnz1568/getInfo.php?workbook=08_02.xlsx&amp;sheet=A0&amp;row=601&amp;col=9&amp;number=&amp;sourceID=34","")</f>
        <v/>
      </c>
      <c r="J601" s="4" t="str">
        <f>HYPERLINK("http://141.218.60.56/~jnz1568/getInfo.php?workbook=08_02.xlsx&amp;sheet=A0&amp;row=601&amp;col=10&amp;number=&amp;sourceID=34","")</f>
        <v/>
      </c>
      <c r="K601" s="4" t="str">
        <f>HYPERLINK("http://141.218.60.56/~jnz1568/getInfo.php?workbook=08_02.xlsx&amp;sheet=A0&amp;row=601&amp;col=11&amp;number=&amp;sourceID=30","")</f>
        <v/>
      </c>
      <c r="L601" s="4" t="str">
        <f>HYPERLINK("http://141.218.60.56/~jnz1568/getInfo.php?workbook=08_02.xlsx&amp;sheet=A0&amp;row=601&amp;col=12&amp;number=173400&amp;sourceID=30","173400")</f>
        <v>173400</v>
      </c>
      <c r="M601" s="4" t="str">
        <f>HYPERLINK("http://141.218.60.56/~jnz1568/getInfo.php?workbook=08_02.xlsx&amp;sheet=A0&amp;row=601&amp;col=13&amp;number=1.659e-05&amp;sourceID=30","1.659e-05")</f>
        <v>1.659e-05</v>
      </c>
      <c r="N601" s="4" t="str">
        <f>HYPERLINK("http://141.218.60.56/~jnz1568/getInfo.php?workbook=08_02.xlsx&amp;sheet=A0&amp;row=601&amp;col=14&amp;number=&amp;sourceID=30","")</f>
        <v/>
      </c>
      <c r="O601" s="4" t="str">
        <f>HYPERLINK("http://141.218.60.56/~jnz1568/getInfo.php?workbook=08_02.xlsx&amp;sheet=A0&amp;row=601&amp;col=15&amp;number=&amp;sourceID=32","")</f>
        <v/>
      </c>
      <c r="P601" s="4" t="str">
        <f>HYPERLINK("http://141.218.60.56/~jnz1568/getInfo.php?workbook=08_02.xlsx&amp;sheet=A0&amp;row=601&amp;col=16&amp;number=193300&amp;sourceID=32","193300")</f>
        <v>193300</v>
      </c>
      <c r="Q601" s="4" t="str">
        <f>HYPERLINK("http://141.218.60.56/~jnz1568/getInfo.php?workbook=08_02.xlsx&amp;sheet=A0&amp;row=601&amp;col=17&amp;number=4.042e-05&amp;sourceID=32","4.042e-05")</f>
        <v>4.042e-05</v>
      </c>
      <c r="R601" s="4" t="str">
        <f>HYPERLINK("http://141.218.60.56/~jnz1568/getInfo.php?workbook=08_02.xlsx&amp;sheet=A0&amp;row=601&amp;col=18&amp;number=&amp;sourceID=32","")</f>
        <v/>
      </c>
      <c r="S601" s="4" t="str">
        <f>HYPERLINK("http://141.218.60.56/~jnz1568/getInfo.php?workbook=08_02.xlsx&amp;sheet=A0&amp;row=601&amp;col=19&amp;number=&amp;sourceID=1","")</f>
        <v/>
      </c>
      <c r="T601" s="4" t="str">
        <f>HYPERLINK("http://141.218.60.56/~jnz1568/getInfo.php?workbook=08_02.xlsx&amp;sheet=A0&amp;row=601&amp;col=20&amp;number=&amp;sourceID=1","")</f>
        <v/>
      </c>
    </row>
    <row r="602" spans="1:20">
      <c r="A602" s="3">
        <v>8</v>
      </c>
      <c r="B602" s="3">
        <v>2</v>
      </c>
      <c r="C602" s="3">
        <v>39</v>
      </c>
      <c r="D602" s="3">
        <v>9</v>
      </c>
      <c r="E602" s="3">
        <f>((1/(INDEX(E0!J$4:J$52,C602,1)-INDEX(E0!J$4:J$52,D602,1))))*100000000</f>
        <v>0</v>
      </c>
      <c r="F602" s="4" t="str">
        <f>HYPERLINK("http://141.218.60.56/~jnz1568/getInfo.php?workbook=08_02.xlsx&amp;sheet=A0&amp;row=602&amp;col=6&amp;number=&amp;sourceID=27","")</f>
        <v/>
      </c>
      <c r="G602" s="4" t="str">
        <f>HYPERLINK("http://141.218.60.56/~jnz1568/getInfo.php?workbook=08_02.xlsx&amp;sheet=A0&amp;row=602&amp;col=7&amp;number=&amp;sourceID=34","")</f>
        <v/>
      </c>
      <c r="H602" s="4" t="str">
        <f>HYPERLINK("http://141.218.60.56/~jnz1568/getInfo.php?workbook=08_02.xlsx&amp;sheet=A0&amp;row=602&amp;col=8&amp;number=&amp;sourceID=34","")</f>
        <v/>
      </c>
      <c r="I602" s="4" t="str">
        <f>HYPERLINK("http://141.218.60.56/~jnz1568/getInfo.php?workbook=08_02.xlsx&amp;sheet=A0&amp;row=602&amp;col=9&amp;number=&amp;sourceID=34","")</f>
        <v/>
      </c>
      <c r="J602" s="4" t="str">
        <f>HYPERLINK("http://141.218.60.56/~jnz1568/getInfo.php?workbook=08_02.xlsx&amp;sheet=A0&amp;row=602&amp;col=10&amp;number=&amp;sourceID=34","")</f>
        <v/>
      </c>
      <c r="K602" s="4" t="str">
        <f>HYPERLINK("http://141.218.60.56/~jnz1568/getInfo.php?workbook=08_02.xlsx&amp;sheet=A0&amp;row=602&amp;col=11&amp;number=&amp;sourceID=30","")</f>
        <v/>
      </c>
      <c r="L602" s="4" t="str">
        <f>HYPERLINK("http://141.218.60.56/~jnz1568/getInfo.php?workbook=08_02.xlsx&amp;sheet=A0&amp;row=602&amp;col=12&amp;number=&amp;sourceID=30","")</f>
        <v/>
      </c>
      <c r="M602" s="4" t="str">
        <f>HYPERLINK("http://141.218.60.56/~jnz1568/getInfo.php?workbook=08_02.xlsx&amp;sheet=A0&amp;row=602&amp;col=13&amp;number=&amp;sourceID=30","")</f>
        <v/>
      </c>
      <c r="N602" s="4" t="str">
        <f>HYPERLINK("http://141.218.60.56/~jnz1568/getInfo.php?workbook=08_02.xlsx&amp;sheet=A0&amp;row=602&amp;col=14&amp;number=0.195&amp;sourceID=30","0.195")</f>
        <v>0.195</v>
      </c>
      <c r="O602" s="4" t="str">
        <f>HYPERLINK("http://141.218.60.56/~jnz1568/getInfo.php?workbook=08_02.xlsx&amp;sheet=A0&amp;row=602&amp;col=15&amp;number=&amp;sourceID=32","")</f>
        <v/>
      </c>
      <c r="P602" s="4" t="str">
        <f>HYPERLINK("http://141.218.60.56/~jnz1568/getInfo.php?workbook=08_02.xlsx&amp;sheet=A0&amp;row=602&amp;col=16&amp;number=&amp;sourceID=32","")</f>
        <v/>
      </c>
      <c r="Q602" s="4" t="str">
        <f>HYPERLINK("http://141.218.60.56/~jnz1568/getInfo.php?workbook=08_02.xlsx&amp;sheet=A0&amp;row=602&amp;col=17&amp;number=&amp;sourceID=32","")</f>
        <v/>
      </c>
      <c r="R602" s="4" t="str">
        <f>HYPERLINK("http://141.218.60.56/~jnz1568/getInfo.php?workbook=08_02.xlsx&amp;sheet=A0&amp;row=602&amp;col=18&amp;number=0.1867&amp;sourceID=32","0.1867")</f>
        <v>0.1867</v>
      </c>
      <c r="S602" s="4" t="str">
        <f>HYPERLINK("http://141.218.60.56/~jnz1568/getInfo.php?workbook=08_02.xlsx&amp;sheet=A0&amp;row=602&amp;col=19&amp;number=&amp;sourceID=1","")</f>
        <v/>
      </c>
      <c r="T602" s="4" t="str">
        <f>HYPERLINK("http://141.218.60.56/~jnz1568/getInfo.php?workbook=08_02.xlsx&amp;sheet=A0&amp;row=602&amp;col=20&amp;number=&amp;sourceID=1","")</f>
        <v/>
      </c>
    </row>
    <row r="603" spans="1:20">
      <c r="A603" s="3">
        <v>8</v>
      </c>
      <c r="B603" s="3">
        <v>2</v>
      </c>
      <c r="C603" s="3">
        <v>39</v>
      </c>
      <c r="D603" s="3">
        <v>10</v>
      </c>
      <c r="E603" s="3">
        <f>((1/(INDEX(E0!J$4:J$52,C603,1)-INDEX(E0!J$4:J$52,D603,1))))*100000000</f>
        <v>0</v>
      </c>
      <c r="F603" s="4" t="str">
        <f>HYPERLINK("http://141.218.60.56/~jnz1568/getInfo.php?workbook=08_02.xlsx&amp;sheet=A0&amp;row=603&amp;col=6&amp;number=&amp;sourceID=27","")</f>
        <v/>
      </c>
      <c r="G603" s="4" t="str">
        <f>HYPERLINK("http://141.218.60.56/~jnz1568/getInfo.php?workbook=08_02.xlsx&amp;sheet=A0&amp;row=603&amp;col=7&amp;number=6224000000&amp;sourceID=34","6224000000")</f>
        <v>6224000000</v>
      </c>
      <c r="H603" s="4" t="str">
        <f>HYPERLINK("http://141.218.60.56/~jnz1568/getInfo.php?workbook=08_02.xlsx&amp;sheet=A0&amp;row=603&amp;col=8&amp;number=&amp;sourceID=34","")</f>
        <v/>
      </c>
      <c r="I603" s="4" t="str">
        <f>HYPERLINK("http://141.218.60.56/~jnz1568/getInfo.php?workbook=08_02.xlsx&amp;sheet=A0&amp;row=603&amp;col=9&amp;number=&amp;sourceID=34","")</f>
        <v/>
      </c>
      <c r="J603" s="4" t="str">
        <f>HYPERLINK("http://141.218.60.56/~jnz1568/getInfo.php?workbook=08_02.xlsx&amp;sheet=A0&amp;row=603&amp;col=10&amp;number=&amp;sourceID=34","")</f>
        <v/>
      </c>
      <c r="K603" s="4" t="str">
        <f>HYPERLINK("http://141.218.60.56/~jnz1568/getInfo.php?workbook=08_02.xlsx&amp;sheet=A0&amp;row=603&amp;col=11&amp;number=6068000000&amp;sourceID=30","6068000000")</f>
        <v>6068000000</v>
      </c>
      <c r="L603" s="4" t="str">
        <f>HYPERLINK("http://141.218.60.56/~jnz1568/getInfo.php?workbook=08_02.xlsx&amp;sheet=A0&amp;row=603&amp;col=12&amp;number=&amp;sourceID=30","")</f>
        <v/>
      </c>
      <c r="M603" s="4" t="str">
        <f>HYPERLINK("http://141.218.60.56/~jnz1568/getInfo.php?workbook=08_02.xlsx&amp;sheet=A0&amp;row=603&amp;col=13&amp;number=&amp;sourceID=30","")</f>
        <v/>
      </c>
      <c r="N603" s="4" t="str">
        <f>HYPERLINK("http://141.218.60.56/~jnz1568/getInfo.php?workbook=08_02.xlsx&amp;sheet=A0&amp;row=603&amp;col=14&amp;number=4.101&amp;sourceID=30","4.101")</f>
        <v>4.101</v>
      </c>
      <c r="O603" s="4" t="str">
        <f>HYPERLINK("http://141.218.60.56/~jnz1568/getInfo.php?workbook=08_02.xlsx&amp;sheet=A0&amp;row=603&amp;col=15&amp;number=6178000000&amp;sourceID=32","6178000000")</f>
        <v>6178000000</v>
      </c>
      <c r="P603" s="4" t="str">
        <f>HYPERLINK("http://141.218.60.56/~jnz1568/getInfo.php?workbook=08_02.xlsx&amp;sheet=A0&amp;row=603&amp;col=16&amp;number=&amp;sourceID=32","")</f>
        <v/>
      </c>
      <c r="Q603" s="4" t="str">
        <f>HYPERLINK("http://141.218.60.56/~jnz1568/getInfo.php?workbook=08_02.xlsx&amp;sheet=A0&amp;row=603&amp;col=17&amp;number=&amp;sourceID=32","")</f>
        <v/>
      </c>
      <c r="R603" s="4" t="str">
        <f>HYPERLINK("http://141.218.60.56/~jnz1568/getInfo.php?workbook=08_02.xlsx&amp;sheet=A0&amp;row=603&amp;col=18&amp;number=4.099&amp;sourceID=32","4.099")</f>
        <v>4.099</v>
      </c>
      <c r="S603" s="4" t="str">
        <f>HYPERLINK("http://141.218.60.56/~jnz1568/getInfo.php?workbook=08_02.xlsx&amp;sheet=A0&amp;row=603&amp;col=19&amp;number=&amp;sourceID=1","")</f>
        <v/>
      </c>
      <c r="T603" s="4" t="str">
        <f>HYPERLINK("http://141.218.60.56/~jnz1568/getInfo.php?workbook=08_02.xlsx&amp;sheet=A0&amp;row=603&amp;col=20&amp;number=&amp;sourceID=1","")</f>
        <v/>
      </c>
    </row>
    <row r="604" spans="1:20">
      <c r="A604" s="3">
        <v>8</v>
      </c>
      <c r="B604" s="3">
        <v>2</v>
      </c>
      <c r="C604" s="3">
        <v>39</v>
      </c>
      <c r="D604" s="3">
        <v>11</v>
      </c>
      <c r="E604" s="3">
        <f>((1/(INDEX(E0!J$4:J$52,C604,1)-INDEX(E0!J$4:J$52,D604,1))))*100000000</f>
        <v>0</v>
      </c>
      <c r="F604" s="4" t="str">
        <f>HYPERLINK("http://141.218.60.56/~jnz1568/getInfo.php?workbook=08_02.xlsx&amp;sheet=A0&amp;row=604&amp;col=6&amp;number=&amp;sourceID=27","")</f>
        <v/>
      </c>
      <c r="G604" s="4" t="str">
        <f>HYPERLINK("http://141.218.60.56/~jnz1568/getInfo.php?workbook=08_02.xlsx&amp;sheet=A0&amp;row=604&amp;col=7&amp;number=2074000000&amp;sourceID=34","2074000000")</f>
        <v>2074000000</v>
      </c>
      <c r="H604" s="4" t="str">
        <f>HYPERLINK("http://141.218.60.56/~jnz1568/getInfo.php?workbook=08_02.xlsx&amp;sheet=A0&amp;row=604&amp;col=8&amp;number=&amp;sourceID=34","")</f>
        <v/>
      </c>
      <c r="I604" s="4" t="str">
        <f>HYPERLINK("http://141.218.60.56/~jnz1568/getInfo.php?workbook=08_02.xlsx&amp;sheet=A0&amp;row=604&amp;col=9&amp;number=&amp;sourceID=34","")</f>
        <v/>
      </c>
      <c r="J604" s="4" t="str">
        <f>HYPERLINK("http://141.218.60.56/~jnz1568/getInfo.php?workbook=08_02.xlsx&amp;sheet=A0&amp;row=604&amp;col=10&amp;number=&amp;sourceID=34","")</f>
        <v/>
      </c>
      <c r="K604" s="4" t="str">
        <f>HYPERLINK("http://141.218.60.56/~jnz1568/getInfo.php?workbook=08_02.xlsx&amp;sheet=A0&amp;row=604&amp;col=11&amp;number=2017000000&amp;sourceID=30","2017000000")</f>
        <v>2017000000</v>
      </c>
      <c r="L604" s="4" t="str">
        <f>HYPERLINK("http://141.218.60.56/~jnz1568/getInfo.php?workbook=08_02.xlsx&amp;sheet=A0&amp;row=604&amp;col=12&amp;number=&amp;sourceID=30","")</f>
        <v/>
      </c>
      <c r="M604" s="4" t="str">
        <f>HYPERLINK("http://141.218.60.56/~jnz1568/getInfo.php?workbook=08_02.xlsx&amp;sheet=A0&amp;row=604&amp;col=13&amp;number=&amp;sourceID=30","")</f>
        <v/>
      </c>
      <c r="N604" s="4" t="str">
        <f>HYPERLINK("http://141.218.60.56/~jnz1568/getInfo.php?workbook=08_02.xlsx&amp;sheet=A0&amp;row=604&amp;col=14&amp;number=1.72&amp;sourceID=30","1.72")</f>
        <v>1.72</v>
      </c>
      <c r="O604" s="4" t="str">
        <f>HYPERLINK("http://141.218.60.56/~jnz1568/getInfo.php?workbook=08_02.xlsx&amp;sheet=A0&amp;row=604&amp;col=15&amp;number=2054000000&amp;sourceID=32","2054000000")</f>
        <v>2054000000</v>
      </c>
      <c r="P604" s="4" t="str">
        <f>HYPERLINK("http://141.218.60.56/~jnz1568/getInfo.php?workbook=08_02.xlsx&amp;sheet=A0&amp;row=604&amp;col=16&amp;number=&amp;sourceID=32","")</f>
        <v/>
      </c>
      <c r="Q604" s="4" t="str">
        <f>HYPERLINK("http://141.218.60.56/~jnz1568/getInfo.php?workbook=08_02.xlsx&amp;sheet=A0&amp;row=604&amp;col=17&amp;number=&amp;sourceID=32","")</f>
        <v/>
      </c>
      <c r="R604" s="4" t="str">
        <f>HYPERLINK("http://141.218.60.56/~jnz1568/getInfo.php?workbook=08_02.xlsx&amp;sheet=A0&amp;row=604&amp;col=18&amp;number=1.707&amp;sourceID=32","1.707")</f>
        <v>1.707</v>
      </c>
      <c r="S604" s="4" t="str">
        <f>HYPERLINK("http://141.218.60.56/~jnz1568/getInfo.php?workbook=08_02.xlsx&amp;sheet=A0&amp;row=604&amp;col=19&amp;number=&amp;sourceID=1","")</f>
        <v/>
      </c>
      <c r="T604" s="4" t="str">
        <f>HYPERLINK("http://141.218.60.56/~jnz1568/getInfo.php?workbook=08_02.xlsx&amp;sheet=A0&amp;row=604&amp;col=20&amp;number=&amp;sourceID=1","")</f>
        <v/>
      </c>
    </row>
    <row r="605" spans="1:20">
      <c r="A605" s="3">
        <v>8</v>
      </c>
      <c r="B605" s="3">
        <v>2</v>
      </c>
      <c r="C605" s="3">
        <v>39</v>
      </c>
      <c r="D605" s="3">
        <v>12</v>
      </c>
      <c r="E605" s="3">
        <f>((1/(INDEX(E0!J$4:J$52,C605,1)-INDEX(E0!J$4:J$52,D605,1))))*100000000</f>
        <v>0</v>
      </c>
      <c r="F605" s="4" t="str">
        <f>HYPERLINK("http://141.218.60.56/~jnz1568/getInfo.php?workbook=08_02.xlsx&amp;sheet=A0&amp;row=605&amp;col=6&amp;number=&amp;sourceID=27","")</f>
        <v/>
      </c>
      <c r="G605" s="4" t="str">
        <f>HYPERLINK("http://141.218.60.56/~jnz1568/getInfo.php?workbook=08_02.xlsx&amp;sheet=A0&amp;row=605&amp;col=7&amp;number=&amp;sourceID=34","")</f>
        <v/>
      </c>
      <c r="H605" s="4" t="str">
        <f>HYPERLINK("http://141.218.60.56/~jnz1568/getInfo.php?workbook=08_02.xlsx&amp;sheet=A0&amp;row=605&amp;col=8&amp;number=&amp;sourceID=34","")</f>
        <v/>
      </c>
      <c r="I605" s="4" t="str">
        <f>HYPERLINK("http://141.218.60.56/~jnz1568/getInfo.php?workbook=08_02.xlsx&amp;sheet=A0&amp;row=605&amp;col=9&amp;number=&amp;sourceID=34","")</f>
        <v/>
      </c>
      <c r="J605" s="4" t="str">
        <f>HYPERLINK("http://141.218.60.56/~jnz1568/getInfo.php?workbook=08_02.xlsx&amp;sheet=A0&amp;row=605&amp;col=10&amp;number=&amp;sourceID=34","")</f>
        <v/>
      </c>
      <c r="K605" s="4" t="str">
        <f>HYPERLINK("http://141.218.60.56/~jnz1568/getInfo.php?workbook=08_02.xlsx&amp;sheet=A0&amp;row=605&amp;col=11&amp;number=&amp;sourceID=30","")</f>
        <v/>
      </c>
      <c r="L605" s="4" t="str">
        <f>HYPERLINK("http://141.218.60.56/~jnz1568/getInfo.php?workbook=08_02.xlsx&amp;sheet=A0&amp;row=605&amp;col=12&amp;number=1366&amp;sourceID=30","1366")</f>
        <v>1366</v>
      </c>
      <c r="M605" s="4" t="str">
        <f>HYPERLINK("http://141.218.60.56/~jnz1568/getInfo.php?workbook=08_02.xlsx&amp;sheet=A0&amp;row=605&amp;col=13&amp;number=&amp;sourceID=30","")</f>
        <v/>
      </c>
      <c r="N605" s="4" t="str">
        <f>HYPERLINK("http://141.218.60.56/~jnz1568/getInfo.php?workbook=08_02.xlsx&amp;sheet=A0&amp;row=605&amp;col=14&amp;number=&amp;sourceID=30","")</f>
        <v/>
      </c>
      <c r="O605" s="4" t="str">
        <f>HYPERLINK("http://141.218.60.56/~jnz1568/getInfo.php?workbook=08_02.xlsx&amp;sheet=A0&amp;row=605&amp;col=15&amp;number=&amp;sourceID=32","")</f>
        <v/>
      </c>
      <c r="P605" s="4" t="str">
        <f>HYPERLINK("http://141.218.60.56/~jnz1568/getInfo.php?workbook=08_02.xlsx&amp;sheet=A0&amp;row=605&amp;col=16&amp;number=1225&amp;sourceID=32","1225")</f>
        <v>1225</v>
      </c>
      <c r="Q605" s="4" t="str">
        <f>HYPERLINK("http://141.218.60.56/~jnz1568/getInfo.php?workbook=08_02.xlsx&amp;sheet=A0&amp;row=605&amp;col=17&amp;number=&amp;sourceID=32","")</f>
        <v/>
      </c>
      <c r="R605" s="4" t="str">
        <f>HYPERLINK("http://141.218.60.56/~jnz1568/getInfo.php?workbook=08_02.xlsx&amp;sheet=A0&amp;row=605&amp;col=18&amp;number=&amp;sourceID=32","")</f>
        <v/>
      </c>
      <c r="S605" s="4" t="str">
        <f>HYPERLINK("http://141.218.60.56/~jnz1568/getInfo.php?workbook=08_02.xlsx&amp;sheet=A0&amp;row=605&amp;col=19&amp;number=&amp;sourceID=1","")</f>
        <v/>
      </c>
      <c r="T605" s="4" t="str">
        <f>HYPERLINK("http://141.218.60.56/~jnz1568/getInfo.php?workbook=08_02.xlsx&amp;sheet=A0&amp;row=605&amp;col=20&amp;number=&amp;sourceID=1","")</f>
        <v/>
      </c>
    </row>
    <row r="606" spans="1:20">
      <c r="A606" s="3">
        <v>8</v>
      </c>
      <c r="B606" s="3">
        <v>2</v>
      </c>
      <c r="C606" s="3">
        <v>39</v>
      </c>
      <c r="D606" s="3">
        <v>13</v>
      </c>
      <c r="E606" s="3">
        <f>((1/(INDEX(E0!J$4:J$52,C606,1)-INDEX(E0!J$4:J$52,D606,1))))*100000000</f>
        <v>0</v>
      </c>
      <c r="F606" s="4" t="str">
        <f>HYPERLINK("http://141.218.60.56/~jnz1568/getInfo.php?workbook=08_02.xlsx&amp;sheet=A0&amp;row=606&amp;col=6&amp;number=&amp;sourceID=27","")</f>
        <v/>
      </c>
      <c r="G606" s="4" t="str">
        <f>HYPERLINK("http://141.218.60.56/~jnz1568/getInfo.php?workbook=08_02.xlsx&amp;sheet=A0&amp;row=606&amp;col=7&amp;number=&amp;sourceID=34","")</f>
        <v/>
      </c>
      <c r="H606" s="4" t="str">
        <f>HYPERLINK("http://141.218.60.56/~jnz1568/getInfo.php?workbook=08_02.xlsx&amp;sheet=A0&amp;row=606&amp;col=8&amp;number=&amp;sourceID=34","")</f>
        <v/>
      </c>
      <c r="I606" s="4" t="str">
        <f>HYPERLINK("http://141.218.60.56/~jnz1568/getInfo.php?workbook=08_02.xlsx&amp;sheet=A0&amp;row=606&amp;col=9&amp;number=&amp;sourceID=34","")</f>
        <v/>
      </c>
      <c r="J606" s="4" t="str">
        <f>HYPERLINK("http://141.218.60.56/~jnz1568/getInfo.php?workbook=08_02.xlsx&amp;sheet=A0&amp;row=606&amp;col=10&amp;number=&amp;sourceID=34","")</f>
        <v/>
      </c>
      <c r="K606" s="4" t="str">
        <f>HYPERLINK("http://141.218.60.56/~jnz1568/getInfo.php?workbook=08_02.xlsx&amp;sheet=A0&amp;row=606&amp;col=11&amp;number=&amp;sourceID=30","")</f>
        <v/>
      </c>
      <c r="L606" s="4" t="str">
        <f>HYPERLINK("http://141.218.60.56/~jnz1568/getInfo.php?workbook=08_02.xlsx&amp;sheet=A0&amp;row=606&amp;col=12&amp;number=23270&amp;sourceID=30","23270")</f>
        <v>23270</v>
      </c>
      <c r="M606" s="4" t="str">
        <f>HYPERLINK("http://141.218.60.56/~jnz1568/getInfo.php?workbook=08_02.xlsx&amp;sheet=A0&amp;row=606&amp;col=13&amp;number=0.0004422&amp;sourceID=30","0.0004422")</f>
        <v>0.0004422</v>
      </c>
      <c r="N606" s="4" t="str">
        <f>HYPERLINK("http://141.218.60.56/~jnz1568/getInfo.php?workbook=08_02.xlsx&amp;sheet=A0&amp;row=606&amp;col=14&amp;number=&amp;sourceID=30","")</f>
        <v/>
      </c>
      <c r="O606" s="4" t="str">
        <f>HYPERLINK("http://141.218.60.56/~jnz1568/getInfo.php?workbook=08_02.xlsx&amp;sheet=A0&amp;row=606&amp;col=15&amp;number=&amp;sourceID=32","")</f>
        <v/>
      </c>
      <c r="P606" s="4" t="str">
        <f>HYPERLINK("http://141.218.60.56/~jnz1568/getInfo.php?workbook=08_02.xlsx&amp;sheet=A0&amp;row=606&amp;col=16&amp;number=23450&amp;sourceID=32","23450")</f>
        <v>23450</v>
      </c>
      <c r="Q606" s="4" t="str">
        <f>HYPERLINK("http://141.218.60.56/~jnz1568/getInfo.php?workbook=08_02.xlsx&amp;sheet=A0&amp;row=606&amp;col=17&amp;number=0.000526&amp;sourceID=32","0.000526")</f>
        <v>0.000526</v>
      </c>
      <c r="R606" s="4" t="str">
        <f>HYPERLINK("http://141.218.60.56/~jnz1568/getInfo.php?workbook=08_02.xlsx&amp;sheet=A0&amp;row=606&amp;col=18&amp;number=&amp;sourceID=32","")</f>
        <v/>
      </c>
      <c r="S606" s="4" t="str">
        <f>HYPERLINK("http://141.218.60.56/~jnz1568/getInfo.php?workbook=08_02.xlsx&amp;sheet=A0&amp;row=606&amp;col=19&amp;number=&amp;sourceID=1","")</f>
        <v/>
      </c>
      <c r="T606" s="4" t="str">
        <f>HYPERLINK("http://141.218.60.56/~jnz1568/getInfo.php?workbook=08_02.xlsx&amp;sheet=A0&amp;row=606&amp;col=20&amp;number=&amp;sourceID=1","")</f>
        <v/>
      </c>
    </row>
    <row r="607" spans="1:20">
      <c r="A607" s="3">
        <v>8</v>
      </c>
      <c r="B607" s="3">
        <v>2</v>
      </c>
      <c r="C607" s="3">
        <v>39</v>
      </c>
      <c r="D607" s="3">
        <v>14</v>
      </c>
      <c r="E607" s="3">
        <f>((1/(INDEX(E0!J$4:J$52,C607,1)-INDEX(E0!J$4:J$52,D607,1))))*100000000</f>
        <v>0</v>
      </c>
      <c r="F607" s="4" t="str">
        <f>HYPERLINK("http://141.218.60.56/~jnz1568/getInfo.php?workbook=08_02.xlsx&amp;sheet=A0&amp;row=607&amp;col=6&amp;number=&amp;sourceID=27","")</f>
        <v/>
      </c>
      <c r="G607" s="4" t="str">
        <f>HYPERLINK("http://141.218.60.56/~jnz1568/getInfo.php?workbook=08_02.xlsx&amp;sheet=A0&amp;row=607&amp;col=7&amp;number=&amp;sourceID=34","")</f>
        <v/>
      </c>
      <c r="H607" s="4" t="str">
        <f>HYPERLINK("http://141.218.60.56/~jnz1568/getInfo.php?workbook=08_02.xlsx&amp;sheet=A0&amp;row=607&amp;col=8&amp;number=&amp;sourceID=34","")</f>
        <v/>
      </c>
      <c r="I607" s="4" t="str">
        <f>HYPERLINK("http://141.218.60.56/~jnz1568/getInfo.php?workbook=08_02.xlsx&amp;sheet=A0&amp;row=607&amp;col=9&amp;number=&amp;sourceID=34","")</f>
        <v/>
      </c>
      <c r="J607" s="4" t="str">
        <f>HYPERLINK("http://141.218.60.56/~jnz1568/getInfo.php?workbook=08_02.xlsx&amp;sheet=A0&amp;row=607&amp;col=10&amp;number=&amp;sourceID=34","")</f>
        <v/>
      </c>
      <c r="K607" s="4" t="str">
        <f>HYPERLINK("http://141.218.60.56/~jnz1568/getInfo.php?workbook=08_02.xlsx&amp;sheet=A0&amp;row=607&amp;col=11&amp;number=&amp;sourceID=30","")</f>
        <v/>
      </c>
      <c r="L607" s="4" t="str">
        <f>HYPERLINK("http://141.218.60.56/~jnz1568/getInfo.php?workbook=08_02.xlsx&amp;sheet=A0&amp;row=607&amp;col=12&amp;number=16990&amp;sourceID=30","16990")</f>
        <v>16990</v>
      </c>
      <c r="M607" s="4" t="str">
        <f>HYPERLINK("http://141.218.60.56/~jnz1568/getInfo.php?workbook=08_02.xlsx&amp;sheet=A0&amp;row=607&amp;col=13&amp;number=0.008545&amp;sourceID=30","0.008545")</f>
        <v>0.008545</v>
      </c>
      <c r="N607" s="4" t="str">
        <f>HYPERLINK("http://141.218.60.56/~jnz1568/getInfo.php?workbook=08_02.xlsx&amp;sheet=A0&amp;row=607&amp;col=14&amp;number=&amp;sourceID=30","")</f>
        <v/>
      </c>
      <c r="O607" s="4" t="str">
        <f>HYPERLINK("http://141.218.60.56/~jnz1568/getInfo.php?workbook=08_02.xlsx&amp;sheet=A0&amp;row=607&amp;col=15&amp;number=&amp;sourceID=32","")</f>
        <v/>
      </c>
      <c r="P607" s="4" t="str">
        <f>HYPERLINK("http://141.218.60.56/~jnz1568/getInfo.php?workbook=08_02.xlsx&amp;sheet=A0&amp;row=607&amp;col=16&amp;number=17240&amp;sourceID=32","17240")</f>
        <v>17240</v>
      </c>
      <c r="Q607" s="4" t="str">
        <f>HYPERLINK("http://141.218.60.56/~jnz1568/getInfo.php?workbook=08_02.xlsx&amp;sheet=A0&amp;row=607&amp;col=17&amp;number=0.008554&amp;sourceID=32","0.008554")</f>
        <v>0.008554</v>
      </c>
      <c r="R607" s="4" t="str">
        <f>HYPERLINK("http://141.218.60.56/~jnz1568/getInfo.php?workbook=08_02.xlsx&amp;sheet=A0&amp;row=607&amp;col=18&amp;number=&amp;sourceID=32","")</f>
        <v/>
      </c>
      <c r="S607" s="4" t="str">
        <f>HYPERLINK("http://141.218.60.56/~jnz1568/getInfo.php?workbook=08_02.xlsx&amp;sheet=A0&amp;row=607&amp;col=19&amp;number=&amp;sourceID=1","")</f>
        <v/>
      </c>
      <c r="T607" s="4" t="str">
        <f>HYPERLINK("http://141.218.60.56/~jnz1568/getInfo.php?workbook=08_02.xlsx&amp;sheet=A0&amp;row=607&amp;col=20&amp;number=&amp;sourceID=1","")</f>
        <v/>
      </c>
    </row>
    <row r="608" spans="1:20">
      <c r="A608" s="3">
        <v>8</v>
      </c>
      <c r="B608" s="3">
        <v>2</v>
      </c>
      <c r="C608" s="3">
        <v>39</v>
      </c>
      <c r="D608" s="3">
        <v>15</v>
      </c>
      <c r="E608" s="3">
        <f>((1/(INDEX(E0!J$4:J$52,C608,1)-INDEX(E0!J$4:J$52,D608,1))))*100000000</f>
        <v>0</v>
      </c>
      <c r="F608" s="4" t="str">
        <f>HYPERLINK("http://141.218.60.56/~jnz1568/getInfo.php?workbook=08_02.xlsx&amp;sheet=A0&amp;row=608&amp;col=6&amp;number=&amp;sourceID=27","")</f>
        <v/>
      </c>
      <c r="G608" s="4" t="str">
        <f>HYPERLINK("http://141.218.60.56/~jnz1568/getInfo.php?workbook=08_02.xlsx&amp;sheet=A0&amp;row=608&amp;col=7&amp;number=&amp;sourceID=34","")</f>
        <v/>
      </c>
      <c r="H608" s="4" t="str">
        <f>HYPERLINK("http://141.218.60.56/~jnz1568/getInfo.php?workbook=08_02.xlsx&amp;sheet=A0&amp;row=608&amp;col=8&amp;number=&amp;sourceID=34","")</f>
        <v/>
      </c>
      <c r="I608" s="4" t="str">
        <f>HYPERLINK("http://141.218.60.56/~jnz1568/getInfo.php?workbook=08_02.xlsx&amp;sheet=A0&amp;row=608&amp;col=9&amp;number=&amp;sourceID=34","")</f>
        <v/>
      </c>
      <c r="J608" s="4" t="str">
        <f>HYPERLINK("http://141.218.60.56/~jnz1568/getInfo.php?workbook=08_02.xlsx&amp;sheet=A0&amp;row=608&amp;col=10&amp;number=&amp;sourceID=34","")</f>
        <v/>
      </c>
      <c r="K608" s="4" t="str">
        <f>HYPERLINK("http://141.218.60.56/~jnz1568/getInfo.php?workbook=08_02.xlsx&amp;sheet=A0&amp;row=608&amp;col=11&amp;number=&amp;sourceID=30","")</f>
        <v/>
      </c>
      <c r="L608" s="4" t="str">
        <f>HYPERLINK("http://141.218.60.56/~jnz1568/getInfo.php?workbook=08_02.xlsx&amp;sheet=A0&amp;row=608&amp;col=12&amp;number=26510&amp;sourceID=30","26510")</f>
        <v>26510</v>
      </c>
      <c r="M608" s="4" t="str">
        <f>HYPERLINK("http://141.218.60.56/~jnz1568/getInfo.php?workbook=08_02.xlsx&amp;sheet=A0&amp;row=608&amp;col=13&amp;number=0.003127&amp;sourceID=30","0.003127")</f>
        <v>0.003127</v>
      </c>
      <c r="N608" s="4" t="str">
        <f>HYPERLINK("http://141.218.60.56/~jnz1568/getInfo.php?workbook=08_02.xlsx&amp;sheet=A0&amp;row=608&amp;col=14&amp;number=&amp;sourceID=30","")</f>
        <v/>
      </c>
      <c r="O608" s="4" t="str">
        <f>HYPERLINK("http://141.218.60.56/~jnz1568/getInfo.php?workbook=08_02.xlsx&amp;sheet=A0&amp;row=608&amp;col=15&amp;number=&amp;sourceID=32","")</f>
        <v/>
      </c>
      <c r="P608" s="4" t="str">
        <f>HYPERLINK("http://141.218.60.56/~jnz1568/getInfo.php?workbook=08_02.xlsx&amp;sheet=A0&amp;row=608&amp;col=16&amp;number=26760&amp;sourceID=32","26760")</f>
        <v>26760</v>
      </c>
      <c r="Q608" s="4" t="str">
        <f>HYPERLINK("http://141.218.60.56/~jnz1568/getInfo.php?workbook=08_02.xlsx&amp;sheet=A0&amp;row=608&amp;col=17&amp;number=0.002972&amp;sourceID=32","0.002972")</f>
        <v>0.002972</v>
      </c>
      <c r="R608" s="4" t="str">
        <f>HYPERLINK("http://141.218.60.56/~jnz1568/getInfo.php?workbook=08_02.xlsx&amp;sheet=A0&amp;row=608&amp;col=18&amp;number=&amp;sourceID=32","")</f>
        <v/>
      </c>
      <c r="S608" s="4" t="str">
        <f>HYPERLINK("http://141.218.60.56/~jnz1568/getInfo.php?workbook=08_02.xlsx&amp;sheet=A0&amp;row=608&amp;col=19&amp;number=&amp;sourceID=1","")</f>
        <v/>
      </c>
      <c r="T608" s="4" t="str">
        <f>HYPERLINK("http://141.218.60.56/~jnz1568/getInfo.php?workbook=08_02.xlsx&amp;sheet=A0&amp;row=608&amp;col=20&amp;number=&amp;sourceID=1","")</f>
        <v/>
      </c>
    </row>
    <row r="609" spans="1:20">
      <c r="A609" s="3">
        <v>8</v>
      </c>
      <c r="B609" s="3">
        <v>2</v>
      </c>
      <c r="C609" s="3">
        <v>39</v>
      </c>
      <c r="D609" s="3">
        <v>16</v>
      </c>
      <c r="E609" s="3">
        <f>((1/(INDEX(E0!J$4:J$52,C609,1)-INDEX(E0!J$4:J$52,D609,1))))*100000000</f>
        <v>0</v>
      </c>
      <c r="F609" s="4" t="str">
        <f>HYPERLINK("http://141.218.60.56/~jnz1568/getInfo.php?workbook=08_02.xlsx&amp;sheet=A0&amp;row=609&amp;col=6&amp;number=&amp;sourceID=27","")</f>
        <v/>
      </c>
      <c r="G609" s="4" t="str">
        <f>HYPERLINK("http://141.218.60.56/~jnz1568/getInfo.php?workbook=08_02.xlsx&amp;sheet=A0&amp;row=609&amp;col=7&amp;number=&amp;sourceID=34","")</f>
        <v/>
      </c>
      <c r="H609" s="4" t="str">
        <f>HYPERLINK("http://141.218.60.56/~jnz1568/getInfo.php?workbook=08_02.xlsx&amp;sheet=A0&amp;row=609&amp;col=8&amp;number=&amp;sourceID=34","")</f>
        <v/>
      </c>
      <c r="I609" s="4" t="str">
        <f>HYPERLINK("http://141.218.60.56/~jnz1568/getInfo.php?workbook=08_02.xlsx&amp;sheet=A0&amp;row=609&amp;col=9&amp;number=&amp;sourceID=34","")</f>
        <v/>
      </c>
      <c r="J609" s="4" t="str">
        <f>HYPERLINK("http://141.218.60.56/~jnz1568/getInfo.php?workbook=08_02.xlsx&amp;sheet=A0&amp;row=609&amp;col=10&amp;number=&amp;sourceID=34","")</f>
        <v/>
      </c>
      <c r="K609" s="4" t="str">
        <f>HYPERLINK("http://141.218.60.56/~jnz1568/getInfo.php?workbook=08_02.xlsx&amp;sheet=A0&amp;row=609&amp;col=11&amp;number=&amp;sourceID=30","")</f>
        <v/>
      </c>
      <c r="L609" s="4" t="str">
        <f>HYPERLINK("http://141.218.60.56/~jnz1568/getInfo.php?workbook=08_02.xlsx&amp;sheet=A0&amp;row=609&amp;col=12&amp;number=42.63&amp;sourceID=30","42.63")</f>
        <v>42.63</v>
      </c>
      <c r="M609" s="4" t="str">
        <f>HYPERLINK("http://141.218.60.56/~jnz1568/getInfo.php?workbook=08_02.xlsx&amp;sheet=A0&amp;row=609&amp;col=13&amp;number=0.003738&amp;sourceID=30","0.003738")</f>
        <v>0.003738</v>
      </c>
      <c r="N609" s="4" t="str">
        <f>HYPERLINK("http://141.218.60.56/~jnz1568/getInfo.php?workbook=08_02.xlsx&amp;sheet=A0&amp;row=609&amp;col=14&amp;number=&amp;sourceID=30","")</f>
        <v/>
      </c>
      <c r="O609" s="4" t="str">
        <f>HYPERLINK("http://141.218.60.56/~jnz1568/getInfo.php?workbook=08_02.xlsx&amp;sheet=A0&amp;row=609&amp;col=15&amp;number=&amp;sourceID=32","")</f>
        <v/>
      </c>
      <c r="P609" s="4" t="str">
        <f>HYPERLINK("http://141.218.60.56/~jnz1568/getInfo.php?workbook=08_02.xlsx&amp;sheet=A0&amp;row=609&amp;col=16&amp;number=49.37&amp;sourceID=32","49.37")</f>
        <v>49.37</v>
      </c>
      <c r="Q609" s="4" t="str">
        <f>HYPERLINK("http://141.218.60.56/~jnz1568/getInfo.php?workbook=08_02.xlsx&amp;sheet=A0&amp;row=609&amp;col=17&amp;number=0.003361&amp;sourceID=32","0.003361")</f>
        <v>0.003361</v>
      </c>
      <c r="R609" s="4" t="str">
        <f>HYPERLINK("http://141.218.60.56/~jnz1568/getInfo.php?workbook=08_02.xlsx&amp;sheet=A0&amp;row=609&amp;col=18&amp;number=&amp;sourceID=32","")</f>
        <v/>
      </c>
      <c r="S609" s="4" t="str">
        <f>HYPERLINK("http://141.218.60.56/~jnz1568/getInfo.php?workbook=08_02.xlsx&amp;sheet=A0&amp;row=609&amp;col=19&amp;number=&amp;sourceID=1","")</f>
        <v/>
      </c>
      <c r="T609" s="4" t="str">
        <f>HYPERLINK("http://141.218.60.56/~jnz1568/getInfo.php?workbook=08_02.xlsx&amp;sheet=A0&amp;row=609&amp;col=20&amp;number=&amp;sourceID=1","")</f>
        <v/>
      </c>
    </row>
    <row r="610" spans="1:20">
      <c r="A610" s="3">
        <v>8</v>
      </c>
      <c r="B610" s="3">
        <v>2</v>
      </c>
      <c r="C610" s="3">
        <v>39</v>
      </c>
      <c r="D610" s="3">
        <v>17</v>
      </c>
      <c r="E610" s="3">
        <f>((1/(INDEX(E0!J$4:J$52,C610,1)-INDEX(E0!J$4:J$52,D610,1))))*100000000</f>
        <v>0</v>
      </c>
      <c r="F610" s="4" t="str">
        <f>HYPERLINK("http://141.218.60.56/~jnz1568/getInfo.php?workbook=08_02.xlsx&amp;sheet=A0&amp;row=610&amp;col=6&amp;number=&amp;sourceID=27","")</f>
        <v/>
      </c>
      <c r="G610" s="4" t="str">
        <f>HYPERLINK("http://141.218.60.56/~jnz1568/getInfo.php?workbook=08_02.xlsx&amp;sheet=A0&amp;row=610&amp;col=7&amp;number=&amp;sourceID=34","")</f>
        <v/>
      </c>
      <c r="H610" s="4" t="str">
        <f>HYPERLINK("http://141.218.60.56/~jnz1568/getInfo.php?workbook=08_02.xlsx&amp;sheet=A0&amp;row=610&amp;col=8&amp;number=&amp;sourceID=34","")</f>
        <v/>
      </c>
      <c r="I610" s="4" t="str">
        <f>HYPERLINK("http://141.218.60.56/~jnz1568/getInfo.php?workbook=08_02.xlsx&amp;sheet=A0&amp;row=610&amp;col=9&amp;number=&amp;sourceID=34","")</f>
        <v/>
      </c>
      <c r="J610" s="4" t="str">
        <f>HYPERLINK("http://141.218.60.56/~jnz1568/getInfo.php?workbook=08_02.xlsx&amp;sheet=A0&amp;row=610&amp;col=10&amp;number=&amp;sourceID=34","")</f>
        <v/>
      </c>
      <c r="K610" s="4" t="str">
        <f>HYPERLINK("http://141.218.60.56/~jnz1568/getInfo.php?workbook=08_02.xlsx&amp;sheet=A0&amp;row=610&amp;col=11&amp;number=41790000&amp;sourceID=30","41790000")</f>
        <v>41790000</v>
      </c>
      <c r="L610" s="4" t="str">
        <f>HYPERLINK("http://141.218.60.56/~jnz1568/getInfo.php?workbook=08_02.xlsx&amp;sheet=A0&amp;row=610&amp;col=12&amp;number=&amp;sourceID=30","")</f>
        <v/>
      </c>
      <c r="M610" s="4" t="str">
        <f>HYPERLINK("http://141.218.60.56/~jnz1568/getInfo.php?workbook=08_02.xlsx&amp;sheet=A0&amp;row=610&amp;col=13&amp;number=&amp;sourceID=30","")</f>
        <v/>
      </c>
      <c r="N610" s="4" t="str">
        <f>HYPERLINK("http://141.218.60.56/~jnz1568/getInfo.php?workbook=08_02.xlsx&amp;sheet=A0&amp;row=610&amp;col=14&amp;number=1.059&amp;sourceID=30","1.059")</f>
        <v>1.059</v>
      </c>
      <c r="O610" s="4" t="str">
        <f>HYPERLINK("http://141.218.60.56/~jnz1568/getInfo.php?workbook=08_02.xlsx&amp;sheet=A0&amp;row=610&amp;col=15&amp;number=50720000&amp;sourceID=32","50720000")</f>
        <v>50720000</v>
      </c>
      <c r="P610" s="4" t="str">
        <f>HYPERLINK("http://141.218.60.56/~jnz1568/getInfo.php?workbook=08_02.xlsx&amp;sheet=A0&amp;row=610&amp;col=16&amp;number=&amp;sourceID=32","")</f>
        <v/>
      </c>
      <c r="Q610" s="4" t="str">
        <f>HYPERLINK("http://141.218.60.56/~jnz1568/getInfo.php?workbook=08_02.xlsx&amp;sheet=A0&amp;row=610&amp;col=17&amp;number=&amp;sourceID=32","")</f>
        <v/>
      </c>
      <c r="R610" s="4" t="str">
        <f>HYPERLINK("http://141.218.60.56/~jnz1568/getInfo.php?workbook=08_02.xlsx&amp;sheet=A0&amp;row=610&amp;col=18&amp;number=0.9779&amp;sourceID=32","0.9779")</f>
        <v>0.9779</v>
      </c>
      <c r="S610" s="4" t="str">
        <f>HYPERLINK("http://141.218.60.56/~jnz1568/getInfo.php?workbook=08_02.xlsx&amp;sheet=A0&amp;row=610&amp;col=19&amp;number=&amp;sourceID=1","")</f>
        <v/>
      </c>
      <c r="T610" s="4" t="str">
        <f>HYPERLINK("http://141.218.60.56/~jnz1568/getInfo.php?workbook=08_02.xlsx&amp;sheet=A0&amp;row=610&amp;col=20&amp;number=&amp;sourceID=1","")</f>
        <v/>
      </c>
    </row>
    <row r="611" spans="1:20">
      <c r="A611" s="3">
        <v>8</v>
      </c>
      <c r="B611" s="3">
        <v>2</v>
      </c>
      <c r="C611" s="3">
        <v>39</v>
      </c>
      <c r="D611" s="3">
        <v>18</v>
      </c>
      <c r="E611" s="3">
        <f>((1/(INDEX(E0!J$4:J$52,C611,1)-INDEX(E0!J$4:J$52,D611,1))))*100000000</f>
        <v>0</v>
      </c>
      <c r="F611" s="4" t="str">
        <f>HYPERLINK("http://141.218.60.56/~jnz1568/getInfo.php?workbook=08_02.xlsx&amp;sheet=A0&amp;row=611&amp;col=6&amp;number=&amp;sourceID=27","")</f>
        <v/>
      </c>
      <c r="G611" s="4" t="str">
        <f>HYPERLINK("http://141.218.60.56/~jnz1568/getInfo.php?workbook=08_02.xlsx&amp;sheet=A0&amp;row=611&amp;col=7&amp;number=&amp;sourceID=34","")</f>
        <v/>
      </c>
      <c r="H611" s="4" t="str">
        <f>HYPERLINK("http://141.218.60.56/~jnz1568/getInfo.php?workbook=08_02.xlsx&amp;sheet=A0&amp;row=611&amp;col=8&amp;number=&amp;sourceID=34","")</f>
        <v/>
      </c>
      <c r="I611" s="4" t="str">
        <f>HYPERLINK("http://141.218.60.56/~jnz1568/getInfo.php?workbook=08_02.xlsx&amp;sheet=A0&amp;row=611&amp;col=9&amp;number=&amp;sourceID=34","")</f>
        <v/>
      </c>
      <c r="J611" s="4" t="str">
        <f>HYPERLINK("http://141.218.60.56/~jnz1568/getInfo.php?workbook=08_02.xlsx&amp;sheet=A0&amp;row=611&amp;col=10&amp;number=&amp;sourceID=34","")</f>
        <v/>
      </c>
      <c r="K611" s="4" t="str">
        <f>HYPERLINK("http://141.218.60.56/~jnz1568/getInfo.php?workbook=08_02.xlsx&amp;sheet=A0&amp;row=611&amp;col=11&amp;number=&amp;sourceID=30","")</f>
        <v/>
      </c>
      <c r="L611" s="4" t="str">
        <f>HYPERLINK("http://141.218.60.56/~jnz1568/getInfo.php?workbook=08_02.xlsx&amp;sheet=A0&amp;row=611&amp;col=12&amp;number=71520&amp;sourceID=30","71520")</f>
        <v>71520</v>
      </c>
      <c r="M611" s="4" t="str">
        <f>HYPERLINK("http://141.218.60.56/~jnz1568/getInfo.php?workbook=08_02.xlsx&amp;sheet=A0&amp;row=611&amp;col=13&amp;number=2.114e-06&amp;sourceID=30","2.114e-06")</f>
        <v>2.114e-06</v>
      </c>
      <c r="N611" s="4" t="str">
        <f>HYPERLINK("http://141.218.60.56/~jnz1568/getInfo.php?workbook=08_02.xlsx&amp;sheet=A0&amp;row=611&amp;col=14&amp;number=&amp;sourceID=30","")</f>
        <v/>
      </c>
      <c r="O611" s="4" t="str">
        <f>HYPERLINK("http://141.218.60.56/~jnz1568/getInfo.php?workbook=08_02.xlsx&amp;sheet=A0&amp;row=611&amp;col=15&amp;number=&amp;sourceID=32","")</f>
        <v/>
      </c>
      <c r="P611" s="4" t="str">
        <f>HYPERLINK("http://141.218.60.56/~jnz1568/getInfo.php?workbook=08_02.xlsx&amp;sheet=A0&amp;row=611&amp;col=16&amp;number=72550&amp;sourceID=32","72550")</f>
        <v>72550</v>
      </c>
      <c r="Q611" s="4" t="str">
        <f>HYPERLINK("http://141.218.60.56/~jnz1568/getInfo.php?workbook=08_02.xlsx&amp;sheet=A0&amp;row=611&amp;col=17&amp;number=1.469e-06&amp;sourceID=32","1.469e-06")</f>
        <v>1.469e-06</v>
      </c>
      <c r="R611" s="4" t="str">
        <f>HYPERLINK("http://141.218.60.56/~jnz1568/getInfo.php?workbook=08_02.xlsx&amp;sheet=A0&amp;row=611&amp;col=18&amp;number=&amp;sourceID=32","")</f>
        <v/>
      </c>
      <c r="S611" s="4" t="str">
        <f>HYPERLINK("http://141.218.60.56/~jnz1568/getInfo.php?workbook=08_02.xlsx&amp;sheet=A0&amp;row=611&amp;col=19&amp;number=&amp;sourceID=1","")</f>
        <v/>
      </c>
      <c r="T611" s="4" t="str">
        <f>HYPERLINK("http://141.218.60.56/~jnz1568/getInfo.php?workbook=08_02.xlsx&amp;sheet=A0&amp;row=611&amp;col=20&amp;number=&amp;sourceID=1","")</f>
        <v/>
      </c>
    </row>
    <row r="612" spans="1:20">
      <c r="A612" s="3">
        <v>8</v>
      </c>
      <c r="B612" s="3">
        <v>2</v>
      </c>
      <c r="C612" s="3">
        <v>39</v>
      </c>
      <c r="D612" s="3">
        <v>19</v>
      </c>
      <c r="E612" s="3">
        <f>((1/(INDEX(E0!J$4:J$52,C612,1)-INDEX(E0!J$4:J$52,D612,1))))*100000000</f>
        <v>0</v>
      </c>
      <c r="F612" s="4" t="str">
        <f>HYPERLINK("http://141.218.60.56/~jnz1568/getInfo.php?workbook=08_02.xlsx&amp;sheet=A0&amp;row=612&amp;col=6&amp;number=&amp;sourceID=27","")</f>
        <v/>
      </c>
      <c r="G612" s="4" t="str">
        <f>HYPERLINK("http://141.218.60.56/~jnz1568/getInfo.php?workbook=08_02.xlsx&amp;sheet=A0&amp;row=612&amp;col=7&amp;number=&amp;sourceID=34","")</f>
        <v/>
      </c>
      <c r="H612" s="4" t="str">
        <f>HYPERLINK("http://141.218.60.56/~jnz1568/getInfo.php?workbook=08_02.xlsx&amp;sheet=A0&amp;row=612&amp;col=8&amp;number=&amp;sourceID=34","")</f>
        <v/>
      </c>
      <c r="I612" s="4" t="str">
        <f>HYPERLINK("http://141.218.60.56/~jnz1568/getInfo.php?workbook=08_02.xlsx&amp;sheet=A0&amp;row=612&amp;col=9&amp;number=&amp;sourceID=34","")</f>
        <v/>
      </c>
      <c r="J612" s="4" t="str">
        <f>HYPERLINK("http://141.218.60.56/~jnz1568/getInfo.php?workbook=08_02.xlsx&amp;sheet=A0&amp;row=612&amp;col=10&amp;number=&amp;sourceID=34","")</f>
        <v/>
      </c>
      <c r="K612" s="4" t="str">
        <f>HYPERLINK("http://141.218.60.56/~jnz1568/getInfo.php?workbook=08_02.xlsx&amp;sheet=A0&amp;row=612&amp;col=11&amp;number=&amp;sourceID=30","")</f>
        <v/>
      </c>
      <c r="L612" s="4" t="str">
        <f>HYPERLINK("http://141.218.60.56/~jnz1568/getInfo.php?workbook=08_02.xlsx&amp;sheet=A0&amp;row=612&amp;col=12&amp;number=&amp;sourceID=30","")</f>
        <v/>
      </c>
      <c r="M612" s="4" t="str">
        <f>HYPERLINK("http://141.218.60.56/~jnz1568/getInfo.php?workbook=08_02.xlsx&amp;sheet=A0&amp;row=612&amp;col=13&amp;number=&amp;sourceID=30","")</f>
        <v/>
      </c>
      <c r="N612" s="4" t="str">
        <f>HYPERLINK("http://141.218.60.56/~jnz1568/getInfo.php?workbook=08_02.xlsx&amp;sheet=A0&amp;row=612&amp;col=14&amp;number=0.008295&amp;sourceID=30","0.008295")</f>
        <v>0.008295</v>
      </c>
      <c r="O612" s="4" t="str">
        <f>HYPERLINK("http://141.218.60.56/~jnz1568/getInfo.php?workbook=08_02.xlsx&amp;sheet=A0&amp;row=612&amp;col=15&amp;number=&amp;sourceID=32","")</f>
        <v/>
      </c>
      <c r="P612" s="4" t="str">
        <f>HYPERLINK("http://141.218.60.56/~jnz1568/getInfo.php?workbook=08_02.xlsx&amp;sheet=A0&amp;row=612&amp;col=16&amp;number=&amp;sourceID=32","")</f>
        <v/>
      </c>
      <c r="Q612" s="4" t="str">
        <f>HYPERLINK("http://141.218.60.56/~jnz1568/getInfo.php?workbook=08_02.xlsx&amp;sheet=A0&amp;row=612&amp;col=17&amp;number=&amp;sourceID=32","")</f>
        <v/>
      </c>
      <c r="R612" s="4" t="str">
        <f>HYPERLINK("http://141.218.60.56/~jnz1568/getInfo.php?workbook=08_02.xlsx&amp;sheet=A0&amp;row=612&amp;col=18&amp;number=0.00785&amp;sourceID=32","0.00785")</f>
        <v>0.00785</v>
      </c>
      <c r="S612" s="4" t="str">
        <f>HYPERLINK("http://141.218.60.56/~jnz1568/getInfo.php?workbook=08_02.xlsx&amp;sheet=A0&amp;row=612&amp;col=19&amp;number=&amp;sourceID=1","")</f>
        <v/>
      </c>
      <c r="T612" s="4" t="str">
        <f>HYPERLINK("http://141.218.60.56/~jnz1568/getInfo.php?workbook=08_02.xlsx&amp;sheet=A0&amp;row=612&amp;col=20&amp;number=&amp;sourceID=1","")</f>
        <v/>
      </c>
    </row>
    <row r="613" spans="1:20">
      <c r="A613" s="3">
        <v>8</v>
      </c>
      <c r="B613" s="3">
        <v>2</v>
      </c>
      <c r="C613" s="3">
        <v>39</v>
      </c>
      <c r="D613" s="3">
        <v>20</v>
      </c>
      <c r="E613" s="3">
        <f>((1/(INDEX(E0!J$4:J$52,C613,1)-INDEX(E0!J$4:J$52,D613,1))))*100000000</f>
        <v>0</v>
      </c>
      <c r="F613" s="4" t="str">
        <f>HYPERLINK("http://141.218.60.56/~jnz1568/getInfo.php?workbook=08_02.xlsx&amp;sheet=A0&amp;row=613&amp;col=6&amp;number=&amp;sourceID=27","")</f>
        <v/>
      </c>
      <c r="G613" s="4" t="str">
        <f>HYPERLINK("http://141.218.60.56/~jnz1568/getInfo.php?workbook=08_02.xlsx&amp;sheet=A0&amp;row=613&amp;col=7&amp;number=2578000000&amp;sourceID=34","2578000000")</f>
        <v>2578000000</v>
      </c>
      <c r="H613" s="4" t="str">
        <f>HYPERLINK("http://141.218.60.56/~jnz1568/getInfo.php?workbook=08_02.xlsx&amp;sheet=A0&amp;row=613&amp;col=8&amp;number=&amp;sourceID=34","")</f>
        <v/>
      </c>
      <c r="I613" s="4" t="str">
        <f>HYPERLINK("http://141.218.60.56/~jnz1568/getInfo.php?workbook=08_02.xlsx&amp;sheet=A0&amp;row=613&amp;col=9&amp;number=&amp;sourceID=34","")</f>
        <v/>
      </c>
      <c r="J613" s="4" t="str">
        <f>HYPERLINK("http://141.218.60.56/~jnz1568/getInfo.php?workbook=08_02.xlsx&amp;sheet=A0&amp;row=613&amp;col=10&amp;number=&amp;sourceID=34","")</f>
        <v/>
      </c>
      <c r="K613" s="4" t="str">
        <f>HYPERLINK("http://141.218.60.56/~jnz1568/getInfo.php?workbook=08_02.xlsx&amp;sheet=A0&amp;row=613&amp;col=11&amp;number=2544000000&amp;sourceID=30","2544000000")</f>
        <v>2544000000</v>
      </c>
      <c r="L613" s="4" t="str">
        <f>HYPERLINK("http://141.218.60.56/~jnz1568/getInfo.php?workbook=08_02.xlsx&amp;sheet=A0&amp;row=613&amp;col=12&amp;number=&amp;sourceID=30","")</f>
        <v/>
      </c>
      <c r="M613" s="4" t="str">
        <f>HYPERLINK("http://141.218.60.56/~jnz1568/getInfo.php?workbook=08_02.xlsx&amp;sheet=A0&amp;row=613&amp;col=13&amp;number=&amp;sourceID=30","")</f>
        <v/>
      </c>
      <c r="N613" s="4" t="str">
        <f>HYPERLINK("http://141.218.60.56/~jnz1568/getInfo.php?workbook=08_02.xlsx&amp;sheet=A0&amp;row=613&amp;col=14&amp;number=0.1745&amp;sourceID=30","0.1745")</f>
        <v>0.1745</v>
      </c>
      <c r="O613" s="4" t="str">
        <f>HYPERLINK("http://141.218.60.56/~jnz1568/getInfo.php?workbook=08_02.xlsx&amp;sheet=A0&amp;row=613&amp;col=15&amp;number=2557000000&amp;sourceID=32","2557000000")</f>
        <v>2557000000</v>
      </c>
      <c r="P613" s="4" t="str">
        <f>HYPERLINK("http://141.218.60.56/~jnz1568/getInfo.php?workbook=08_02.xlsx&amp;sheet=A0&amp;row=613&amp;col=16&amp;number=&amp;sourceID=32","")</f>
        <v/>
      </c>
      <c r="Q613" s="4" t="str">
        <f>HYPERLINK("http://141.218.60.56/~jnz1568/getInfo.php?workbook=08_02.xlsx&amp;sheet=A0&amp;row=613&amp;col=17&amp;number=&amp;sourceID=32","")</f>
        <v/>
      </c>
      <c r="R613" s="4" t="str">
        <f>HYPERLINK("http://141.218.60.56/~jnz1568/getInfo.php?workbook=08_02.xlsx&amp;sheet=A0&amp;row=613&amp;col=18&amp;number=0.1722&amp;sourceID=32","0.1722")</f>
        <v>0.1722</v>
      </c>
      <c r="S613" s="4" t="str">
        <f>HYPERLINK("http://141.218.60.56/~jnz1568/getInfo.php?workbook=08_02.xlsx&amp;sheet=A0&amp;row=613&amp;col=19&amp;number=&amp;sourceID=1","")</f>
        <v/>
      </c>
      <c r="T613" s="4" t="str">
        <f>HYPERLINK("http://141.218.60.56/~jnz1568/getInfo.php?workbook=08_02.xlsx&amp;sheet=A0&amp;row=613&amp;col=20&amp;number=&amp;sourceID=1","")</f>
        <v/>
      </c>
    </row>
    <row r="614" spans="1:20">
      <c r="A614" s="3">
        <v>8</v>
      </c>
      <c r="B614" s="3">
        <v>2</v>
      </c>
      <c r="C614" s="3">
        <v>39</v>
      </c>
      <c r="D614" s="3">
        <v>21</v>
      </c>
      <c r="E614" s="3">
        <f>((1/(INDEX(E0!J$4:J$52,C614,1)-INDEX(E0!J$4:J$52,D614,1))))*100000000</f>
        <v>0</v>
      </c>
      <c r="F614" s="4" t="str">
        <f>HYPERLINK("http://141.218.60.56/~jnz1568/getInfo.php?workbook=08_02.xlsx&amp;sheet=A0&amp;row=614&amp;col=6&amp;number=&amp;sourceID=27","")</f>
        <v/>
      </c>
      <c r="G614" s="4" t="str">
        <f>HYPERLINK("http://141.218.60.56/~jnz1568/getInfo.php?workbook=08_02.xlsx&amp;sheet=A0&amp;row=614&amp;col=7&amp;number=859400000&amp;sourceID=34","859400000")</f>
        <v>859400000</v>
      </c>
      <c r="H614" s="4" t="str">
        <f>HYPERLINK("http://141.218.60.56/~jnz1568/getInfo.php?workbook=08_02.xlsx&amp;sheet=A0&amp;row=614&amp;col=8&amp;number=&amp;sourceID=34","")</f>
        <v/>
      </c>
      <c r="I614" s="4" t="str">
        <f>HYPERLINK("http://141.218.60.56/~jnz1568/getInfo.php?workbook=08_02.xlsx&amp;sheet=A0&amp;row=614&amp;col=9&amp;number=&amp;sourceID=34","")</f>
        <v/>
      </c>
      <c r="J614" s="4" t="str">
        <f>HYPERLINK("http://141.218.60.56/~jnz1568/getInfo.php?workbook=08_02.xlsx&amp;sheet=A0&amp;row=614&amp;col=10&amp;number=&amp;sourceID=34","")</f>
        <v/>
      </c>
      <c r="K614" s="4" t="str">
        <f>HYPERLINK("http://141.218.60.56/~jnz1568/getInfo.php?workbook=08_02.xlsx&amp;sheet=A0&amp;row=614&amp;col=11&amp;number=846700000&amp;sourceID=30","846700000")</f>
        <v>846700000</v>
      </c>
      <c r="L614" s="4" t="str">
        <f>HYPERLINK("http://141.218.60.56/~jnz1568/getInfo.php?workbook=08_02.xlsx&amp;sheet=A0&amp;row=614&amp;col=12&amp;number=&amp;sourceID=30","")</f>
        <v/>
      </c>
      <c r="M614" s="4" t="str">
        <f>HYPERLINK("http://141.218.60.56/~jnz1568/getInfo.php?workbook=08_02.xlsx&amp;sheet=A0&amp;row=614&amp;col=13&amp;number=&amp;sourceID=30","")</f>
        <v/>
      </c>
      <c r="N614" s="4" t="str">
        <f>HYPERLINK("http://141.218.60.56/~jnz1568/getInfo.php?workbook=08_02.xlsx&amp;sheet=A0&amp;row=614&amp;col=14&amp;number=0.07324&amp;sourceID=30","0.07324")</f>
        <v>0.07324</v>
      </c>
      <c r="O614" s="4" t="str">
        <f>HYPERLINK("http://141.218.60.56/~jnz1568/getInfo.php?workbook=08_02.xlsx&amp;sheet=A0&amp;row=614&amp;col=15&amp;number=850900000&amp;sourceID=32","850900000")</f>
        <v>850900000</v>
      </c>
      <c r="P614" s="4" t="str">
        <f>HYPERLINK("http://141.218.60.56/~jnz1568/getInfo.php?workbook=08_02.xlsx&amp;sheet=A0&amp;row=614&amp;col=16&amp;number=&amp;sourceID=32","")</f>
        <v/>
      </c>
      <c r="Q614" s="4" t="str">
        <f>HYPERLINK("http://141.218.60.56/~jnz1568/getInfo.php?workbook=08_02.xlsx&amp;sheet=A0&amp;row=614&amp;col=17&amp;number=&amp;sourceID=32","")</f>
        <v/>
      </c>
      <c r="R614" s="4" t="str">
        <f>HYPERLINK("http://141.218.60.56/~jnz1568/getInfo.php?workbook=08_02.xlsx&amp;sheet=A0&amp;row=614&amp;col=18&amp;number=0.07176&amp;sourceID=32","0.07176")</f>
        <v>0.07176</v>
      </c>
      <c r="S614" s="4" t="str">
        <f>HYPERLINK("http://141.218.60.56/~jnz1568/getInfo.php?workbook=08_02.xlsx&amp;sheet=A0&amp;row=614&amp;col=19&amp;number=&amp;sourceID=1","")</f>
        <v/>
      </c>
      <c r="T614" s="4" t="str">
        <f>HYPERLINK("http://141.218.60.56/~jnz1568/getInfo.php?workbook=08_02.xlsx&amp;sheet=A0&amp;row=614&amp;col=20&amp;number=&amp;sourceID=1","")</f>
        <v/>
      </c>
    </row>
    <row r="615" spans="1:20">
      <c r="A615" s="3">
        <v>8</v>
      </c>
      <c r="B615" s="3">
        <v>2</v>
      </c>
      <c r="C615" s="3">
        <v>39</v>
      </c>
      <c r="D615" s="3">
        <v>22</v>
      </c>
      <c r="E615" s="3">
        <f>((1/(INDEX(E0!J$4:J$52,C615,1)-INDEX(E0!J$4:J$52,D615,1))))*100000000</f>
        <v>0</v>
      </c>
      <c r="F615" s="4" t="str">
        <f>HYPERLINK("http://141.218.60.56/~jnz1568/getInfo.php?workbook=08_02.xlsx&amp;sheet=A0&amp;row=615&amp;col=6&amp;number=&amp;sourceID=27","")</f>
        <v/>
      </c>
      <c r="G615" s="4" t="str">
        <f>HYPERLINK("http://141.218.60.56/~jnz1568/getInfo.php?workbook=08_02.xlsx&amp;sheet=A0&amp;row=615&amp;col=7&amp;number=&amp;sourceID=34","")</f>
        <v/>
      </c>
      <c r="H615" s="4" t="str">
        <f>HYPERLINK("http://141.218.60.56/~jnz1568/getInfo.php?workbook=08_02.xlsx&amp;sheet=A0&amp;row=615&amp;col=8&amp;number=&amp;sourceID=34","")</f>
        <v/>
      </c>
      <c r="I615" s="4" t="str">
        <f>HYPERLINK("http://141.218.60.56/~jnz1568/getInfo.php?workbook=08_02.xlsx&amp;sheet=A0&amp;row=615&amp;col=9&amp;number=&amp;sourceID=34","")</f>
        <v/>
      </c>
      <c r="J615" s="4" t="str">
        <f>HYPERLINK("http://141.218.60.56/~jnz1568/getInfo.php?workbook=08_02.xlsx&amp;sheet=A0&amp;row=615&amp;col=10&amp;number=&amp;sourceID=34","")</f>
        <v/>
      </c>
      <c r="K615" s="4" t="str">
        <f>HYPERLINK("http://141.218.60.56/~jnz1568/getInfo.php?workbook=08_02.xlsx&amp;sheet=A0&amp;row=615&amp;col=11&amp;number=&amp;sourceID=30","")</f>
        <v/>
      </c>
      <c r="L615" s="4" t="str">
        <f>HYPERLINK("http://141.218.60.56/~jnz1568/getInfo.php?workbook=08_02.xlsx&amp;sheet=A0&amp;row=615&amp;col=12&amp;number=452.6&amp;sourceID=30","452.6")</f>
        <v>452.6</v>
      </c>
      <c r="M615" s="4" t="str">
        <f>HYPERLINK("http://141.218.60.56/~jnz1568/getInfo.php?workbook=08_02.xlsx&amp;sheet=A0&amp;row=615&amp;col=13&amp;number=&amp;sourceID=30","")</f>
        <v/>
      </c>
      <c r="N615" s="4" t="str">
        <f>HYPERLINK("http://141.218.60.56/~jnz1568/getInfo.php?workbook=08_02.xlsx&amp;sheet=A0&amp;row=615&amp;col=14&amp;number=&amp;sourceID=30","")</f>
        <v/>
      </c>
      <c r="O615" s="4" t="str">
        <f>HYPERLINK("http://141.218.60.56/~jnz1568/getInfo.php?workbook=08_02.xlsx&amp;sheet=A0&amp;row=615&amp;col=15&amp;number=&amp;sourceID=32","")</f>
        <v/>
      </c>
      <c r="P615" s="4" t="str">
        <f>HYPERLINK("http://141.218.60.56/~jnz1568/getInfo.php?workbook=08_02.xlsx&amp;sheet=A0&amp;row=615&amp;col=16&amp;number=550&amp;sourceID=32","550")</f>
        <v>550</v>
      </c>
      <c r="Q615" s="4" t="str">
        <f>HYPERLINK("http://141.218.60.56/~jnz1568/getInfo.php?workbook=08_02.xlsx&amp;sheet=A0&amp;row=615&amp;col=17&amp;number=&amp;sourceID=32","")</f>
        <v/>
      </c>
      <c r="R615" s="4" t="str">
        <f>HYPERLINK("http://141.218.60.56/~jnz1568/getInfo.php?workbook=08_02.xlsx&amp;sheet=A0&amp;row=615&amp;col=18&amp;number=&amp;sourceID=32","")</f>
        <v/>
      </c>
      <c r="S615" s="4" t="str">
        <f>HYPERLINK("http://141.218.60.56/~jnz1568/getInfo.php?workbook=08_02.xlsx&amp;sheet=A0&amp;row=615&amp;col=19&amp;number=&amp;sourceID=1","")</f>
        <v/>
      </c>
      <c r="T615" s="4" t="str">
        <f>HYPERLINK("http://141.218.60.56/~jnz1568/getInfo.php?workbook=08_02.xlsx&amp;sheet=A0&amp;row=615&amp;col=20&amp;number=&amp;sourceID=1","")</f>
        <v/>
      </c>
    </row>
    <row r="616" spans="1:20">
      <c r="A616" s="3">
        <v>8</v>
      </c>
      <c r="B616" s="3">
        <v>2</v>
      </c>
      <c r="C616" s="3">
        <v>39</v>
      </c>
      <c r="D616" s="3">
        <v>23</v>
      </c>
      <c r="E616" s="3">
        <f>((1/(INDEX(E0!J$4:J$52,C616,1)-INDEX(E0!J$4:J$52,D616,1))))*100000000</f>
        <v>0</v>
      </c>
      <c r="F616" s="4" t="str">
        <f>HYPERLINK("http://141.218.60.56/~jnz1568/getInfo.php?workbook=08_02.xlsx&amp;sheet=A0&amp;row=616&amp;col=6&amp;number=&amp;sourceID=27","")</f>
        <v/>
      </c>
      <c r="G616" s="4" t="str">
        <f>HYPERLINK("http://141.218.60.56/~jnz1568/getInfo.php?workbook=08_02.xlsx&amp;sheet=A0&amp;row=616&amp;col=7&amp;number=&amp;sourceID=34","")</f>
        <v/>
      </c>
      <c r="H616" s="4" t="str">
        <f>HYPERLINK("http://141.218.60.56/~jnz1568/getInfo.php?workbook=08_02.xlsx&amp;sheet=A0&amp;row=616&amp;col=8&amp;number=&amp;sourceID=34","")</f>
        <v/>
      </c>
      <c r="I616" s="4" t="str">
        <f>HYPERLINK("http://141.218.60.56/~jnz1568/getInfo.php?workbook=08_02.xlsx&amp;sheet=A0&amp;row=616&amp;col=9&amp;number=&amp;sourceID=34","")</f>
        <v/>
      </c>
      <c r="J616" s="4" t="str">
        <f>HYPERLINK("http://141.218.60.56/~jnz1568/getInfo.php?workbook=08_02.xlsx&amp;sheet=A0&amp;row=616&amp;col=10&amp;number=&amp;sourceID=34","")</f>
        <v/>
      </c>
      <c r="K616" s="4" t="str">
        <f>HYPERLINK("http://141.218.60.56/~jnz1568/getInfo.php?workbook=08_02.xlsx&amp;sheet=A0&amp;row=616&amp;col=11&amp;number=&amp;sourceID=30","")</f>
        <v/>
      </c>
      <c r="L616" s="4" t="str">
        <f>HYPERLINK("http://141.218.60.56/~jnz1568/getInfo.php?workbook=08_02.xlsx&amp;sheet=A0&amp;row=616&amp;col=12&amp;number=10880&amp;sourceID=30","10880")</f>
        <v>10880</v>
      </c>
      <c r="M616" s="4" t="str">
        <f>HYPERLINK("http://141.218.60.56/~jnz1568/getInfo.php?workbook=08_02.xlsx&amp;sheet=A0&amp;row=616&amp;col=13&amp;number=4.956e-05&amp;sourceID=30","4.956e-05")</f>
        <v>4.956e-05</v>
      </c>
      <c r="N616" s="4" t="str">
        <f>HYPERLINK("http://141.218.60.56/~jnz1568/getInfo.php?workbook=08_02.xlsx&amp;sheet=A0&amp;row=616&amp;col=14&amp;number=&amp;sourceID=30","")</f>
        <v/>
      </c>
      <c r="O616" s="4" t="str">
        <f>HYPERLINK("http://141.218.60.56/~jnz1568/getInfo.php?workbook=08_02.xlsx&amp;sheet=A0&amp;row=616&amp;col=15&amp;number=&amp;sourceID=32","")</f>
        <v/>
      </c>
      <c r="P616" s="4" t="str">
        <f>HYPERLINK("http://141.218.60.56/~jnz1568/getInfo.php?workbook=08_02.xlsx&amp;sheet=A0&amp;row=616&amp;col=16&amp;number=10880&amp;sourceID=32","10880")</f>
        <v>10880</v>
      </c>
      <c r="Q616" s="4" t="str">
        <f>HYPERLINK("http://141.218.60.56/~jnz1568/getInfo.php?workbook=08_02.xlsx&amp;sheet=A0&amp;row=616&amp;col=17&amp;number=5.261e-05&amp;sourceID=32","5.261e-05")</f>
        <v>5.261e-05</v>
      </c>
      <c r="R616" s="4" t="str">
        <f>HYPERLINK("http://141.218.60.56/~jnz1568/getInfo.php?workbook=08_02.xlsx&amp;sheet=A0&amp;row=616&amp;col=18&amp;number=&amp;sourceID=32","")</f>
        <v/>
      </c>
      <c r="S616" s="4" t="str">
        <f>HYPERLINK("http://141.218.60.56/~jnz1568/getInfo.php?workbook=08_02.xlsx&amp;sheet=A0&amp;row=616&amp;col=19&amp;number=&amp;sourceID=1","")</f>
        <v/>
      </c>
      <c r="T616" s="4" t="str">
        <f>HYPERLINK("http://141.218.60.56/~jnz1568/getInfo.php?workbook=08_02.xlsx&amp;sheet=A0&amp;row=616&amp;col=20&amp;number=&amp;sourceID=1","")</f>
        <v/>
      </c>
    </row>
    <row r="617" spans="1:20">
      <c r="A617" s="3">
        <v>8</v>
      </c>
      <c r="B617" s="3">
        <v>2</v>
      </c>
      <c r="C617" s="3">
        <v>39</v>
      </c>
      <c r="D617" s="3">
        <v>24</v>
      </c>
      <c r="E617" s="3">
        <f>((1/(INDEX(E0!J$4:J$52,C617,1)-INDEX(E0!J$4:J$52,D617,1))))*100000000</f>
        <v>0</v>
      </c>
      <c r="F617" s="4" t="str">
        <f>HYPERLINK("http://141.218.60.56/~jnz1568/getInfo.php?workbook=08_02.xlsx&amp;sheet=A0&amp;row=617&amp;col=6&amp;number=&amp;sourceID=27","")</f>
        <v/>
      </c>
      <c r="G617" s="4" t="str">
        <f>HYPERLINK("http://141.218.60.56/~jnz1568/getInfo.php?workbook=08_02.xlsx&amp;sheet=A0&amp;row=617&amp;col=7&amp;number=&amp;sourceID=34","")</f>
        <v/>
      </c>
      <c r="H617" s="4" t="str">
        <f>HYPERLINK("http://141.218.60.56/~jnz1568/getInfo.php?workbook=08_02.xlsx&amp;sheet=A0&amp;row=617&amp;col=8&amp;number=&amp;sourceID=34","")</f>
        <v/>
      </c>
      <c r="I617" s="4" t="str">
        <f>HYPERLINK("http://141.218.60.56/~jnz1568/getInfo.php?workbook=08_02.xlsx&amp;sheet=A0&amp;row=617&amp;col=9&amp;number=&amp;sourceID=34","")</f>
        <v/>
      </c>
      <c r="J617" s="4" t="str">
        <f>HYPERLINK("http://141.218.60.56/~jnz1568/getInfo.php?workbook=08_02.xlsx&amp;sheet=A0&amp;row=617&amp;col=10&amp;number=&amp;sourceID=34","")</f>
        <v/>
      </c>
      <c r="K617" s="4" t="str">
        <f>HYPERLINK("http://141.218.60.56/~jnz1568/getInfo.php?workbook=08_02.xlsx&amp;sheet=A0&amp;row=617&amp;col=11&amp;number=&amp;sourceID=30","")</f>
        <v/>
      </c>
      <c r="L617" s="4" t="str">
        <f>HYPERLINK("http://141.218.60.56/~jnz1568/getInfo.php?workbook=08_02.xlsx&amp;sheet=A0&amp;row=617&amp;col=12&amp;number=7927&amp;sourceID=30","7927")</f>
        <v>7927</v>
      </c>
      <c r="M617" s="4" t="str">
        <f>HYPERLINK("http://141.218.60.56/~jnz1568/getInfo.php?workbook=08_02.xlsx&amp;sheet=A0&amp;row=617&amp;col=13&amp;number=0.0004057&amp;sourceID=30","0.0004057")</f>
        <v>0.0004057</v>
      </c>
      <c r="N617" s="4" t="str">
        <f>HYPERLINK("http://141.218.60.56/~jnz1568/getInfo.php?workbook=08_02.xlsx&amp;sheet=A0&amp;row=617&amp;col=14&amp;number=&amp;sourceID=30","")</f>
        <v/>
      </c>
      <c r="O617" s="4" t="str">
        <f>HYPERLINK("http://141.218.60.56/~jnz1568/getInfo.php?workbook=08_02.xlsx&amp;sheet=A0&amp;row=617&amp;col=15&amp;number=&amp;sourceID=32","")</f>
        <v/>
      </c>
      <c r="P617" s="4" t="str">
        <f>HYPERLINK("http://141.218.60.56/~jnz1568/getInfo.php?workbook=08_02.xlsx&amp;sheet=A0&amp;row=617&amp;col=16&amp;number=7971&amp;sourceID=32","7971")</f>
        <v>7971</v>
      </c>
      <c r="Q617" s="4" t="str">
        <f>HYPERLINK("http://141.218.60.56/~jnz1568/getInfo.php?workbook=08_02.xlsx&amp;sheet=A0&amp;row=617&amp;col=17&amp;number=0.0004074&amp;sourceID=32","0.0004074")</f>
        <v>0.0004074</v>
      </c>
      <c r="R617" s="4" t="str">
        <f>HYPERLINK("http://141.218.60.56/~jnz1568/getInfo.php?workbook=08_02.xlsx&amp;sheet=A0&amp;row=617&amp;col=18&amp;number=&amp;sourceID=32","")</f>
        <v/>
      </c>
      <c r="S617" s="4" t="str">
        <f>HYPERLINK("http://141.218.60.56/~jnz1568/getInfo.php?workbook=08_02.xlsx&amp;sheet=A0&amp;row=617&amp;col=19&amp;number=&amp;sourceID=1","")</f>
        <v/>
      </c>
      <c r="T617" s="4" t="str">
        <f>HYPERLINK("http://141.218.60.56/~jnz1568/getInfo.php?workbook=08_02.xlsx&amp;sheet=A0&amp;row=617&amp;col=20&amp;number=&amp;sourceID=1","")</f>
        <v/>
      </c>
    </row>
    <row r="618" spans="1:20">
      <c r="A618" s="3">
        <v>8</v>
      </c>
      <c r="B618" s="3">
        <v>2</v>
      </c>
      <c r="C618" s="3">
        <v>39</v>
      </c>
      <c r="D618" s="3">
        <v>25</v>
      </c>
      <c r="E618" s="3">
        <f>((1/(INDEX(E0!J$4:J$52,C618,1)-INDEX(E0!J$4:J$52,D618,1))))*100000000</f>
        <v>0</v>
      </c>
      <c r="F618" s="4" t="str">
        <f>HYPERLINK("http://141.218.60.56/~jnz1568/getInfo.php?workbook=08_02.xlsx&amp;sheet=A0&amp;row=618&amp;col=6&amp;number=&amp;sourceID=27","")</f>
        <v/>
      </c>
      <c r="G618" s="4" t="str">
        <f>HYPERLINK("http://141.218.60.56/~jnz1568/getInfo.php?workbook=08_02.xlsx&amp;sheet=A0&amp;row=618&amp;col=7&amp;number=&amp;sourceID=34","")</f>
        <v/>
      </c>
      <c r="H618" s="4" t="str">
        <f>HYPERLINK("http://141.218.60.56/~jnz1568/getInfo.php?workbook=08_02.xlsx&amp;sheet=A0&amp;row=618&amp;col=8&amp;number=&amp;sourceID=34","")</f>
        <v/>
      </c>
      <c r="I618" s="4" t="str">
        <f>HYPERLINK("http://141.218.60.56/~jnz1568/getInfo.php?workbook=08_02.xlsx&amp;sheet=A0&amp;row=618&amp;col=9&amp;number=&amp;sourceID=34","")</f>
        <v/>
      </c>
      <c r="J618" s="4" t="str">
        <f>HYPERLINK("http://141.218.60.56/~jnz1568/getInfo.php?workbook=08_02.xlsx&amp;sheet=A0&amp;row=618&amp;col=10&amp;number=&amp;sourceID=34","")</f>
        <v/>
      </c>
      <c r="K618" s="4" t="str">
        <f>HYPERLINK("http://141.218.60.56/~jnz1568/getInfo.php?workbook=08_02.xlsx&amp;sheet=A0&amp;row=618&amp;col=11&amp;number=&amp;sourceID=30","")</f>
        <v/>
      </c>
      <c r="L618" s="4" t="str">
        <f>HYPERLINK("http://141.218.60.56/~jnz1568/getInfo.php?workbook=08_02.xlsx&amp;sheet=A0&amp;row=618&amp;col=12&amp;number=&amp;sourceID=30","")</f>
        <v/>
      </c>
      <c r="M618" s="4" t="str">
        <f>HYPERLINK("http://141.218.60.56/~jnz1568/getInfo.php?workbook=08_02.xlsx&amp;sheet=A0&amp;row=618&amp;col=13&amp;number=&amp;sourceID=30","")</f>
        <v/>
      </c>
      <c r="N618" s="4" t="str">
        <f>HYPERLINK("http://141.218.60.56/~jnz1568/getInfo.php?workbook=08_02.xlsx&amp;sheet=A0&amp;row=618&amp;col=14&amp;number=0.001265&amp;sourceID=30","0.001265")</f>
        <v>0.001265</v>
      </c>
      <c r="O618" s="4" t="str">
        <f>HYPERLINK("http://141.218.60.56/~jnz1568/getInfo.php?workbook=08_02.xlsx&amp;sheet=A0&amp;row=618&amp;col=15&amp;number=&amp;sourceID=32","")</f>
        <v/>
      </c>
      <c r="P618" s="4" t="str">
        <f>HYPERLINK("http://141.218.60.56/~jnz1568/getInfo.php?workbook=08_02.xlsx&amp;sheet=A0&amp;row=618&amp;col=16&amp;number=&amp;sourceID=32","")</f>
        <v/>
      </c>
      <c r="Q618" s="4" t="str">
        <f>HYPERLINK("http://141.218.60.56/~jnz1568/getInfo.php?workbook=08_02.xlsx&amp;sheet=A0&amp;row=618&amp;col=17&amp;number=&amp;sourceID=32","")</f>
        <v/>
      </c>
      <c r="R618" s="4" t="str">
        <f>HYPERLINK("http://141.218.60.56/~jnz1568/getInfo.php?workbook=08_02.xlsx&amp;sheet=A0&amp;row=618&amp;col=18&amp;number=&amp;sourceID=32","")</f>
        <v/>
      </c>
      <c r="S618" s="4" t="str">
        <f>HYPERLINK("http://141.218.60.56/~jnz1568/getInfo.php?workbook=08_02.xlsx&amp;sheet=A0&amp;row=618&amp;col=19&amp;number=&amp;sourceID=1","")</f>
        <v/>
      </c>
      <c r="T618" s="4" t="str">
        <f>HYPERLINK("http://141.218.60.56/~jnz1568/getInfo.php?workbook=08_02.xlsx&amp;sheet=A0&amp;row=618&amp;col=20&amp;number=&amp;sourceID=1","")</f>
        <v/>
      </c>
    </row>
    <row r="619" spans="1:20">
      <c r="A619" s="3">
        <v>8</v>
      </c>
      <c r="B619" s="3">
        <v>2</v>
      </c>
      <c r="C619" s="3">
        <v>39</v>
      </c>
      <c r="D619" s="3">
        <v>26</v>
      </c>
      <c r="E619" s="3">
        <f>((1/(INDEX(E0!J$4:J$52,C619,1)-INDEX(E0!J$4:J$52,D619,1))))*100000000</f>
        <v>0</v>
      </c>
      <c r="F619" s="4" t="str">
        <f>HYPERLINK("http://141.218.60.56/~jnz1568/getInfo.php?workbook=08_02.xlsx&amp;sheet=A0&amp;row=619&amp;col=6&amp;number=&amp;sourceID=27","")</f>
        <v/>
      </c>
      <c r="G619" s="4" t="str">
        <f>HYPERLINK("http://141.218.60.56/~jnz1568/getInfo.php?workbook=08_02.xlsx&amp;sheet=A0&amp;row=619&amp;col=7&amp;number=&amp;sourceID=34","")</f>
        <v/>
      </c>
      <c r="H619" s="4" t="str">
        <f>HYPERLINK("http://141.218.60.56/~jnz1568/getInfo.php?workbook=08_02.xlsx&amp;sheet=A0&amp;row=619&amp;col=8&amp;number=&amp;sourceID=34","")</f>
        <v/>
      </c>
      <c r="I619" s="4" t="str">
        <f>HYPERLINK("http://141.218.60.56/~jnz1568/getInfo.php?workbook=08_02.xlsx&amp;sheet=A0&amp;row=619&amp;col=9&amp;number=&amp;sourceID=34","")</f>
        <v/>
      </c>
      <c r="J619" s="4" t="str">
        <f>HYPERLINK("http://141.218.60.56/~jnz1568/getInfo.php?workbook=08_02.xlsx&amp;sheet=A0&amp;row=619&amp;col=10&amp;number=&amp;sourceID=34","")</f>
        <v/>
      </c>
      <c r="K619" s="4" t="str">
        <f>HYPERLINK("http://141.218.60.56/~jnz1568/getInfo.php?workbook=08_02.xlsx&amp;sheet=A0&amp;row=619&amp;col=11&amp;number=&amp;sourceID=30","")</f>
        <v/>
      </c>
      <c r="L619" s="4" t="str">
        <f>HYPERLINK("http://141.218.60.56/~jnz1568/getInfo.php?workbook=08_02.xlsx&amp;sheet=A0&amp;row=619&amp;col=12&amp;number=12420&amp;sourceID=30","12420")</f>
        <v>12420</v>
      </c>
      <c r="M619" s="4" t="str">
        <f>HYPERLINK("http://141.218.60.56/~jnz1568/getInfo.php?workbook=08_02.xlsx&amp;sheet=A0&amp;row=619&amp;col=13&amp;number=0.00055&amp;sourceID=30","0.00055")</f>
        <v>0.00055</v>
      </c>
      <c r="N619" s="4" t="str">
        <f>HYPERLINK("http://141.218.60.56/~jnz1568/getInfo.php?workbook=08_02.xlsx&amp;sheet=A0&amp;row=619&amp;col=14&amp;number=&amp;sourceID=30","")</f>
        <v/>
      </c>
      <c r="O619" s="4" t="str">
        <f>HYPERLINK("http://141.218.60.56/~jnz1568/getInfo.php?workbook=08_02.xlsx&amp;sheet=A0&amp;row=619&amp;col=15&amp;number=&amp;sourceID=32","")</f>
        <v/>
      </c>
      <c r="P619" s="4" t="str">
        <f>HYPERLINK("http://141.218.60.56/~jnz1568/getInfo.php?workbook=08_02.xlsx&amp;sheet=A0&amp;row=619&amp;col=16&amp;number=12420&amp;sourceID=32","12420")</f>
        <v>12420</v>
      </c>
      <c r="Q619" s="4" t="str">
        <f>HYPERLINK("http://141.218.60.56/~jnz1568/getInfo.php?workbook=08_02.xlsx&amp;sheet=A0&amp;row=619&amp;col=17&amp;number=0.0005375&amp;sourceID=32","0.0005375")</f>
        <v>0.0005375</v>
      </c>
      <c r="R619" s="4" t="str">
        <f>HYPERLINK("http://141.218.60.56/~jnz1568/getInfo.php?workbook=08_02.xlsx&amp;sheet=A0&amp;row=619&amp;col=18&amp;number=&amp;sourceID=32","")</f>
        <v/>
      </c>
      <c r="S619" s="4" t="str">
        <f>HYPERLINK("http://141.218.60.56/~jnz1568/getInfo.php?workbook=08_02.xlsx&amp;sheet=A0&amp;row=619&amp;col=19&amp;number=&amp;sourceID=1","")</f>
        <v/>
      </c>
      <c r="T619" s="4" t="str">
        <f>HYPERLINK("http://141.218.60.56/~jnz1568/getInfo.php?workbook=08_02.xlsx&amp;sheet=A0&amp;row=619&amp;col=20&amp;number=&amp;sourceID=1","")</f>
        <v/>
      </c>
    </row>
    <row r="620" spans="1:20">
      <c r="A620" s="3">
        <v>8</v>
      </c>
      <c r="B620" s="3">
        <v>2</v>
      </c>
      <c r="C620" s="3">
        <v>39</v>
      </c>
      <c r="D620" s="3">
        <v>27</v>
      </c>
      <c r="E620" s="3">
        <f>((1/(INDEX(E0!J$4:J$52,C620,1)-INDEX(E0!J$4:J$52,D620,1))))*100000000</f>
        <v>0</v>
      </c>
      <c r="F620" s="4" t="str">
        <f>HYPERLINK("http://141.218.60.56/~jnz1568/getInfo.php?workbook=08_02.xlsx&amp;sheet=A0&amp;row=620&amp;col=6&amp;number=&amp;sourceID=27","")</f>
        <v/>
      </c>
      <c r="G620" s="4" t="str">
        <f>HYPERLINK("http://141.218.60.56/~jnz1568/getInfo.php?workbook=08_02.xlsx&amp;sheet=A0&amp;row=620&amp;col=7&amp;number=&amp;sourceID=34","")</f>
        <v/>
      </c>
      <c r="H620" s="4" t="str">
        <f>HYPERLINK("http://141.218.60.56/~jnz1568/getInfo.php?workbook=08_02.xlsx&amp;sheet=A0&amp;row=620&amp;col=8&amp;number=&amp;sourceID=34","")</f>
        <v/>
      </c>
      <c r="I620" s="4" t="str">
        <f>HYPERLINK("http://141.218.60.56/~jnz1568/getInfo.php?workbook=08_02.xlsx&amp;sheet=A0&amp;row=620&amp;col=9&amp;number=&amp;sourceID=34","")</f>
        <v/>
      </c>
      <c r="J620" s="4" t="str">
        <f>HYPERLINK("http://141.218.60.56/~jnz1568/getInfo.php?workbook=08_02.xlsx&amp;sheet=A0&amp;row=620&amp;col=10&amp;number=&amp;sourceID=34","")</f>
        <v/>
      </c>
      <c r="K620" s="4" t="str">
        <f>HYPERLINK("http://141.218.60.56/~jnz1568/getInfo.php?workbook=08_02.xlsx&amp;sheet=A0&amp;row=620&amp;col=11&amp;number=76160000&amp;sourceID=30","76160000")</f>
        <v>76160000</v>
      </c>
      <c r="L620" s="4" t="str">
        <f>HYPERLINK("http://141.218.60.56/~jnz1568/getInfo.php?workbook=08_02.xlsx&amp;sheet=A0&amp;row=620&amp;col=12&amp;number=&amp;sourceID=30","")</f>
        <v/>
      </c>
      <c r="M620" s="4" t="str">
        <f>HYPERLINK("http://141.218.60.56/~jnz1568/getInfo.php?workbook=08_02.xlsx&amp;sheet=A0&amp;row=620&amp;col=13&amp;number=&amp;sourceID=30","")</f>
        <v/>
      </c>
      <c r="N620" s="4" t="str">
        <f>HYPERLINK("http://141.218.60.56/~jnz1568/getInfo.php?workbook=08_02.xlsx&amp;sheet=A0&amp;row=620&amp;col=14&amp;number=0.003153&amp;sourceID=30","0.003153")</f>
        <v>0.003153</v>
      </c>
      <c r="O620" s="4" t="str">
        <f>HYPERLINK("http://141.218.60.56/~jnz1568/getInfo.php?workbook=08_02.xlsx&amp;sheet=A0&amp;row=620&amp;col=15&amp;number=76580000&amp;sourceID=32","76580000")</f>
        <v>76580000</v>
      </c>
      <c r="P620" s="4" t="str">
        <f>HYPERLINK("http://141.218.60.56/~jnz1568/getInfo.php?workbook=08_02.xlsx&amp;sheet=A0&amp;row=620&amp;col=16&amp;number=&amp;sourceID=32","")</f>
        <v/>
      </c>
      <c r="Q620" s="4" t="str">
        <f>HYPERLINK("http://141.218.60.56/~jnz1568/getInfo.php?workbook=08_02.xlsx&amp;sheet=A0&amp;row=620&amp;col=17&amp;number=&amp;sourceID=32","")</f>
        <v/>
      </c>
      <c r="R620" s="4" t="str">
        <f>HYPERLINK("http://141.218.60.56/~jnz1568/getInfo.php?workbook=08_02.xlsx&amp;sheet=A0&amp;row=620&amp;col=18&amp;number=0.003074&amp;sourceID=32","0.003074")</f>
        <v>0.003074</v>
      </c>
      <c r="S620" s="4" t="str">
        <f>HYPERLINK("http://141.218.60.56/~jnz1568/getInfo.php?workbook=08_02.xlsx&amp;sheet=A0&amp;row=620&amp;col=19&amp;number=&amp;sourceID=1","")</f>
        <v/>
      </c>
      <c r="T620" s="4" t="str">
        <f>HYPERLINK("http://141.218.60.56/~jnz1568/getInfo.php?workbook=08_02.xlsx&amp;sheet=A0&amp;row=620&amp;col=20&amp;number=&amp;sourceID=1","")</f>
        <v/>
      </c>
    </row>
    <row r="621" spans="1:20">
      <c r="A621" s="3">
        <v>8</v>
      </c>
      <c r="B621" s="3">
        <v>2</v>
      </c>
      <c r="C621" s="3">
        <v>39</v>
      </c>
      <c r="D621" s="3">
        <v>28</v>
      </c>
      <c r="E621" s="3">
        <f>((1/(INDEX(E0!J$4:J$52,C621,1)-INDEX(E0!J$4:J$52,D621,1))))*100000000</f>
        <v>0</v>
      </c>
      <c r="F621" s="4" t="str">
        <f>HYPERLINK("http://141.218.60.56/~jnz1568/getInfo.php?workbook=08_02.xlsx&amp;sheet=A0&amp;row=621&amp;col=6&amp;number=&amp;sourceID=27","")</f>
        <v/>
      </c>
      <c r="G621" s="4" t="str">
        <f>HYPERLINK("http://141.218.60.56/~jnz1568/getInfo.php?workbook=08_02.xlsx&amp;sheet=A0&amp;row=621&amp;col=7&amp;number=&amp;sourceID=34","")</f>
        <v/>
      </c>
      <c r="H621" s="4" t="str">
        <f>HYPERLINK("http://141.218.60.56/~jnz1568/getInfo.php?workbook=08_02.xlsx&amp;sheet=A0&amp;row=621&amp;col=8&amp;number=&amp;sourceID=34","")</f>
        <v/>
      </c>
      <c r="I621" s="4" t="str">
        <f>HYPERLINK("http://141.218.60.56/~jnz1568/getInfo.php?workbook=08_02.xlsx&amp;sheet=A0&amp;row=621&amp;col=9&amp;number=&amp;sourceID=34","")</f>
        <v/>
      </c>
      <c r="J621" s="4" t="str">
        <f>HYPERLINK("http://141.218.60.56/~jnz1568/getInfo.php?workbook=08_02.xlsx&amp;sheet=A0&amp;row=621&amp;col=10&amp;number=&amp;sourceID=34","")</f>
        <v/>
      </c>
      <c r="K621" s="4" t="str">
        <f>HYPERLINK("http://141.218.60.56/~jnz1568/getInfo.php?workbook=08_02.xlsx&amp;sheet=A0&amp;row=621&amp;col=11&amp;number=13600000&amp;sourceID=30","13600000")</f>
        <v>13600000</v>
      </c>
      <c r="L621" s="4" t="str">
        <f>HYPERLINK("http://141.218.60.56/~jnz1568/getInfo.php?workbook=08_02.xlsx&amp;sheet=A0&amp;row=621&amp;col=12&amp;number=&amp;sourceID=30","")</f>
        <v/>
      </c>
      <c r="M621" s="4" t="str">
        <f>HYPERLINK("http://141.218.60.56/~jnz1568/getInfo.php?workbook=08_02.xlsx&amp;sheet=A0&amp;row=621&amp;col=13&amp;number=&amp;sourceID=30","")</f>
        <v/>
      </c>
      <c r="N621" s="4" t="str">
        <f>HYPERLINK("http://141.218.60.56/~jnz1568/getInfo.php?workbook=08_02.xlsx&amp;sheet=A0&amp;row=621&amp;col=14&amp;number=0.0006412&amp;sourceID=30","0.0006412")</f>
        <v>0.0006412</v>
      </c>
      <c r="O621" s="4" t="str">
        <f>HYPERLINK("http://141.218.60.56/~jnz1568/getInfo.php?workbook=08_02.xlsx&amp;sheet=A0&amp;row=621&amp;col=15&amp;number=13610000&amp;sourceID=32","13610000")</f>
        <v>13610000</v>
      </c>
      <c r="P621" s="4" t="str">
        <f>HYPERLINK("http://141.218.60.56/~jnz1568/getInfo.php?workbook=08_02.xlsx&amp;sheet=A0&amp;row=621&amp;col=16&amp;number=&amp;sourceID=32","")</f>
        <v/>
      </c>
      <c r="Q621" s="4" t="str">
        <f>HYPERLINK("http://141.218.60.56/~jnz1568/getInfo.php?workbook=08_02.xlsx&amp;sheet=A0&amp;row=621&amp;col=17&amp;number=&amp;sourceID=32","")</f>
        <v/>
      </c>
      <c r="R621" s="4" t="str">
        <f>HYPERLINK("http://141.218.60.56/~jnz1568/getInfo.php?workbook=08_02.xlsx&amp;sheet=A0&amp;row=621&amp;col=18&amp;number=0.0006515&amp;sourceID=32","0.0006515")</f>
        <v>0.0006515</v>
      </c>
      <c r="S621" s="4" t="str">
        <f>HYPERLINK("http://141.218.60.56/~jnz1568/getInfo.php?workbook=08_02.xlsx&amp;sheet=A0&amp;row=621&amp;col=19&amp;number=&amp;sourceID=1","")</f>
        <v/>
      </c>
      <c r="T621" s="4" t="str">
        <f>HYPERLINK("http://141.218.60.56/~jnz1568/getInfo.php?workbook=08_02.xlsx&amp;sheet=A0&amp;row=621&amp;col=20&amp;number=&amp;sourceID=1","")</f>
        <v/>
      </c>
    </row>
    <row r="622" spans="1:20">
      <c r="A622" s="3">
        <v>8</v>
      </c>
      <c r="B622" s="3">
        <v>2</v>
      </c>
      <c r="C622" s="3">
        <v>39</v>
      </c>
      <c r="D622" s="3">
        <v>29</v>
      </c>
      <c r="E622" s="3">
        <f>((1/(INDEX(E0!J$4:J$52,C622,1)-INDEX(E0!J$4:J$52,D622,1))))*100000000</f>
        <v>0</v>
      </c>
      <c r="F622" s="4" t="str">
        <f>HYPERLINK("http://141.218.60.56/~jnz1568/getInfo.php?workbook=08_02.xlsx&amp;sheet=A0&amp;row=622&amp;col=6&amp;number=&amp;sourceID=27","")</f>
        <v/>
      </c>
      <c r="G622" s="4" t="str">
        <f>HYPERLINK("http://141.218.60.56/~jnz1568/getInfo.php?workbook=08_02.xlsx&amp;sheet=A0&amp;row=622&amp;col=7&amp;number=&amp;sourceID=34","")</f>
        <v/>
      </c>
      <c r="H622" s="4" t="str">
        <f>HYPERLINK("http://141.218.60.56/~jnz1568/getInfo.php?workbook=08_02.xlsx&amp;sheet=A0&amp;row=622&amp;col=8&amp;number=&amp;sourceID=34","")</f>
        <v/>
      </c>
      <c r="I622" s="4" t="str">
        <f>HYPERLINK("http://141.218.60.56/~jnz1568/getInfo.php?workbook=08_02.xlsx&amp;sheet=A0&amp;row=622&amp;col=9&amp;number=&amp;sourceID=34","")</f>
        <v/>
      </c>
      <c r="J622" s="4" t="str">
        <f>HYPERLINK("http://141.218.60.56/~jnz1568/getInfo.php?workbook=08_02.xlsx&amp;sheet=A0&amp;row=622&amp;col=10&amp;number=&amp;sourceID=34","")</f>
        <v/>
      </c>
      <c r="K622" s="4" t="str">
        <f>HYPERLINK("http://141.218.60.56/~jnz1568/getInfo.php?workbook=08_02.xlsx&amp;sheet=A0&amp;row=622&amp;col=11&amp;number=&amp;sourceID=30","")</f>
        <v/>
      </c>
      <c r="L622" s="4" t="str">
        <f>HYPERLINK("http://141.218.60.56/~jnz1568/getInfo.php?workbook=08_02.xlsx&amp;sheet=A0&amp;row=622&amp;col=12&amp;number=41.49&amp;sourceID=30","41.49")</f>
        <v>41.49</v>
      </c>
      <c r="M622" s="4" t="str">
        <f>HYPERLINK("http://141.218.60.56/~jnz1568/getInfo.php?workbook=08_02.xlsx&amp;sheet=A0&amp;row=622&amp;col=13&amp;number=0.0003415&amp;sourceID=30","0.0003415")</f>
        <v>0.0003415</v>
      </c>
      <c r="N622" s="4" t="str">
        <f>HYPERLINK("http://141.218.60.56/~jnz1568/getInfo.php?workbook=08_02.xlsx&amp;sheet=A0&amp;row=622&amp;col=14&amp;number=&amp;sourceID=30","")</f>
        <v/>
      </c>
      <c r="O622" s="4" t="str">
        <f>HYPERLINK("http://141.218.60.56/~jnz1568/getInfo.php?workbook=08_02.xlsx&amp;sheet=A0&amp;row=622&amp;col=15&amp;number=&amp;sourceID=32","")</f>
        <v/>
      </c>
      <c r="P622" s="4" t="str">
        <f>HYPERLINK("http://141.218.60.56/~jnz1568/getInfo.php?workbook=08_02.xlsx&amp;sheet=A0&amp;row=622&amp;col=16&amp;number=51.98&amp;sourceID=32","51.98")</f>
        <v>51.98</v>
      </c>
      <c r="Q622" s="4" t="str">
        <f>HYPERLINK("http://141.218.60.56/~jnz1568/getInfo.php?workbook=08_02.xlsx&amp;sheet=A0&amp;row=622&amp;col=17&amp;number=0.0003103&amp;sourceID=32","0.0003103")</f>
        <v>0.0003103</v>
      </c>
      <c r="R622" s="4" t="str">
        <f>HYPERLINK("http://141.218.60.56/~jnz1568/getInfo.php?workbook=08_02.xlsx&amp;sheet=A0&amp;row=622&amp;col=18&amp;number=&amp;sourceID=32","")</f>
        <v/>
      </c>
      <c r="S622" s="4" t="str">
        <f>HYPERLINK("http://141.218.60.56/~jnz1568/getInfo.php?workbook=08_02.xlsx&amp;sheet=A0&amp;row=622&amp;col=19&amp;number=&amp;sourceID=1","")</f>
        <v/>
      </c>
      <c r="T622" s="4" t="str">
        <f>HYPERLINK("http://141.218.60.56/~jnz1568/getInfo.php?workbook=08_02.xlsx&amp;sheet=A0&amp;row=622&amp;col=20&amp;number=&amp;sourceID=1","")</f>
        <v/>
      </c>
    </row>
    <row r="623" spans="1:20">
      <c r="A623" s="3">
        <v>8</v>
      </c>
      <c r="B623" s="3">
        <v>2</v>
      </c>
      <c r="C623" s="3">
        <v>39</v>
      </c>
      <c r="D623" s="3">
        <v>30</v>
      </c>
      <c r="E623" s="3">
        <f>((1/(INDEX(E0!J$4:J$52,C623,1)-INDEX(E0!J$4:J$52,D623,1))))*100000000</f>
        <v>0</v>
      </c>
      <c r="F623" s="4" t="str">
        <f>HYPERLINK("http://141.218.60.56/~jnz1568/getInfo.php?workbook=08_02.xlsx&amp;sheet=A0&amp;row=623&amp;col=6&amp;number=&amp;sourceID=27","")</f>
        <v/>
      </c>
      <c r="G623" s="4" t="str">
        <f>HYPERLINK("http://141.218.60.56/~jnz1568/getInfo.php?workbook=08_02.xlsx&amp;sheet=A0&amp;row=623&amp;col=7&amp;number=&amp;sourceID=34","")</f>
        <v/>
      </c>
      <c r="H623" s="4" t="str">
        <f>HYPERLINK("http://141.218.60.56/~jnz1568/getInfo.php?workbook=08_02.xlsx&amp;sheet=A0&amp;row=623&amp;col=8&amp;number=&amp;sourceID=34","")</f>
        <v/>
      </c>
      <c r="I623" s="4" t="str">
        <f>HYPERLINK("http://141.218.60.56/~jnz1568/getInfo.php?workbook=08_02.xlsx&amp;sheet=A0&amp;row=623&amp;col=9&amp;number=&amp;sourceID=34","")</f>
        <v/>
      </c>
      <c r="J623" s="4" t="str">
        <f>HYPERLINK("http://141.218.60.56/~jnz1568/getInfo.php?workbook=08_02.xlsx&amp;sheet=A0&amp;row=623&amp;col=10&amp;number=&amp;sourceID=34","")</f>
        <v/>
      </c>
      <c r="K623" s="4" t="str">
        <f>HYPERLINK("http://141.218.60.56/~jnz1568/getInfo.php?workbook=08_02.xlsx&amp;sheet=A0&amp;row=623&amp;col=11&amp;number=33350000&amp;sourceID=30","33350000")</f>
        <v>33350000</v>
      </c>
      <c r="L623" s="4" t="str">
        <f>HYPERLINK("http://141.218.60.56/~jnz1568/getInfo.php?workbook=08_02.xlsx&amp;sheet=A0&amp;row=623&amp;col=12&amp;number=&amp;sourceID=30","")</f>
        <v/>
      </c>
      <c r="M623" s="4" t="str">
        <f>HYPERLINK("http://141.218.60.56/~jnz1568/getInfo.php?workbook=08_02.xlsx&amp;sheet=A0&amp;row=623&amp;col=13&amp;number=&amp;sourceID=30","")</f>
        <v/>
      </c>
      <c r="N623" s="4" t="str">
        <f>HYPERLINK("http://141.218.60.56/~jnz1568/getInfo.php?workbook=08_02.xlsx&amp;sheet=A0&amp;row=623&amp;col=14&amp;number=0.01559&amp;sourceID=30","0.01559")</f>
        <v>0.01559</v>
      </c>
      <c r="O623" s="4" t="str">
        <f>HYPERLINK("http://141.218.60.56/~jnz1568/getInfo.php?workbook=08_02.xlsx&amp;sheet=A0&amp;row=623&amp;col=15&amp;number=33250000&amp;sourceID=32","33250000")</f>
        <v>33250000</v>
      </c>
      <c r="P623" s="4" t="str">
        <f>HYPERLINK("http://141.218.60.56/~jnz1568/getInfo.php?workbook=08_02.xlsx&amp;sheet=A0&amp;row=623&amp;col=16&amp;number=&amp;sourceID=32","")</f>
        <v/>
      </c>
      <c r="Q623" s="4" t="str">
        <f>HYPERLINK("http://141.218.60.56/~jnz1568/getInfo.php?workbook=08_02.xlsx&amp;sheet=A0&amp;row=623&amp;col=17&amp;number=&amp;sourceID=32","")</f>
        <v/>
      </c>
      <c r="R623" s="4" t="str">
        <f>HYPERLINK("http://141.218.60.56/~jnz1568/getInfo.php?workbook=08_02.xlsx&amp;sheet=A0&amp;row=623&amp;col=18&amp;number=0.01541&amp;sourceID=32","0.01541")</f>
        <v>0.01541</v>
      </c>
      <c r="S623" s="4" t="str">
        <f>HYPERLINK("http://141.218.60.56/~jnz1568/getInfo.php?workbook=08_02.xlsx&amp;sheet=A0&amp;row=623&amp;col=19&amp;number=&amp;sourceID=1","")</f>
        <v/>
      </c>
      <c r="T623" s="4" t="str">
        <f>HYPERLINK("http://141.218.60.56/~jnz1568/getInfo.php?workbook=08_02.xlsx&amp;sheet=A0&amp;row=623&amp;col=20&amp;number=&amp;sourceID=1","")</f>
        <v/>
      </c>
    </row>
    <row r="624" spans="1:20">
      <c r="A624" s="3">
        <v>8</v>
      </c>
      <c r="B624" s="3">
        <v>2</v>
      </c>
      <c r="C624" s="3">
        <v>39</v>
      </c>
      <c r="D624" s="3">
        <v>31</v>
      </c>
      <c r="E624" s="3">
        <f>((1/(INDEX(E0!J$4:J$52,C624,1)-INDEX(E0!J$4:J$52,D624,1))))*100000000</f>
        <v>0</v>
      </c>
      <c r="F624" s="4" t="str">
        <f>HYPERLINK("http://141.218.60.56/~jnz1568/getInfo.php?workbook=08_02.xlsx&amp;sheet=A0&amp;row=624&amp;col=6&amp;number=&amp;sourceID=27","")</f>
        <v/>
      </c>
      <c r="G624" s="4" t="str">
        <f>HYPERLINK("http://141.218.60.56/~jnz1568/getInfo.php?workbook=08_02.xlsx&amp;sheet=A0&amp;row=624&amp;col=7&amp;number=&amp;sourceID=34","")</f>
        <v/>
      </c>
      <c r="H624" s="4" t="str">
        <f>HYPERLINK("http://141.218.60.56/~jnz1568/getInfo.php?workbook=08_02.xlsx&amp;sheet=A0&amp;row=624&amp;col=8&amp;number=&amp;sourceID=34","")</f>
        <v/>
      </c>
      <c r="I624" s="4" t="str">
        <f>HYPERLINK("http://141.218.60.56/~jnz1568/getInfo.php?workbook=08_02.xlsx&amp;sheet=A0&amp;row=624&amp;col=9&amp;number=&amp;sourceID=34","")</f>
        <v/>
      </c>
      <c r="J624" s="4" t="str">
        <f>HYPERLINK("http://141.218.60.56/~jnz1568/getInfo.php?workbook=08_02.xlsx&amp;sheet=A0&amp;row=624&amp;col=10&amp;number=&amp;sourceID=34","")</f>
        <v/>
      </c>
      <c r="K624" s="4" t="str">
        <f>HYPERLINK("http://141.218.60.56/~jnz1568/getInfo.php?workbook=08_02.xlsx&amp;sheet=A0&amp;row=624&amp;col=11&amp;number=18030000&amp;sourceID=30","18030000")</f>
        <v>18030000</v>
      </c>
      <c r="L624" s="4" t="str">
        <f>HYPERLINK("http://141.218.60.56/~jnz1568/getInfo.php?workbook=08_02.xlsx&amp;sheet=A0&amp;row=624&amp;col=12&amp;number=&amp;sourceID=30","")</f>
        <v/>
      </c>
      <c r="M624" s="4" t="str">
        <f>HYPERLINK("http://141.218.60.56/~jnz1568/getInfo.php?workbook=08_02.xlsx&amp;sheet=A0&amp;row=624&amp;col=13&amp;number=&amp;sourceID=30","")</f>
        <v/>
      </c>
      <c r="N624" s="4" t="str">
        <f>HYPERLINK("http://141.218.60.56/~jnz1568/getInfo.php?workbook=08_02.xlsx&amp;sheet=A0&amp;row=624&amp;col=14&amp;number=0.04594&amp;sourceID=30","0.04594")</f>
        <v>0.04594</v>
      </c>
      <c r="O624" s="4" t="str">
        <f>HYPERLINK("http://141.218.60.56/~jnz1568/getInfo.php?workbook=08_02.xlsx&amp;sheet=A0&amp;row=624&amp;col=15&amp;number=22620000&amp;sourceID=32","22620000")</f>
        <v>22620000</v>
      </c>
      <c r="P624" s="4" t="str">
        <f>HYPERLINK("http://141.218.60.56/~jnz1568/getInfo.php?workbook=08_02.xlsx&amp;sheet=A0&amp;row=624&amp;col=16&amp;number=&amp;sourceID=32","")</f>
        <v/>
      </c>
      <c r="Q624" s="4" t="str">
        <f>HYPERLINK("http://141.218.60.56/~jnz1568/getInfo.php?workbook=08_02.xlsx&amp;sheet=A0&amp;row=624&amp;col=17&amp;number=&amp;sourceID=32","")</f>
        <v/>
      </c>
      <c r="R624" s="4" t="str">
        <f>HYPERLINK("http://141.218.60.56/~jnz1568/getInfo.php?workbook=08_02.xlsx&amp;sheet=A0&amp;row=624&amp;col=18&amp;number=0.04365&amp;sourceID=32","0.04365")</f>
        <v>0.04365</v>
      </c>
      <c r="S624" s="4" t="str">
        <f>HYPERLINK("http://141.218.60.56/~jnz1568/getInfo.php?workbook=08_02.xlsx&amp;sheet=A0&amp;row=624&amp;col=19&amp;number=&amp;sourceID=1","")</f>
        <v/>
      </c>
      <c r="T624" s="4" t="str">
        <f>HYPERLINK("http://141.218.60.56/~jnz1568/getInfo.php?workbook=08_02.xlsx&amp;sheet=A0&amp;row=624&amp;col=20&amp;number=&amp;sourceID=1","")</f>
        <v/>
      </c>
    </row>
    <row r="625" spans="1:20">
      <c r="A625" s="3">
        <v>8</v>
      </c>
      <c r="B625" s="3">
        <v>2</v>
      </c>
      <c r="C625" s="3">
        <v>39</v>
      </c>
      <c r="D625" s="3">
        <v>32</v>
      </c>
      <c r="E625" s="3">
        <f>((1/(INDEX(E0!J$4:J$52,C625,1)-INDEX(E0!J$4:J$52,D625,1))))*100000000</f>
        <v>0</v>
      </c>
      <c r="F625" s="4" t="str">
        <f>HYPERLINK("http://141.218.60.56/~jnz1568/getInfo.php?workbook=08_02.xlsx&amp;sheet=A0&amp;row=625&amp;col=6&amp;number=&amp;sourceID=27","")</f>
        <v/>
      </c>
      <c r="G625" s="4" t="str">
        <f>HYPERLINK("http://141.218.60.56/~jnz1568/getInfo.php?workbook=08_02.xlsx&amp;sheet=A0&amp;row=625&amp;col=7&amp;number=&amp;sourceID=34","")</f>
        <v/>
      </c>
      <c r="H625" s="4" t="str">
        <f>HYPERLINK("http://141.218.60.56/~jnz1568/getInfo.php?workbook=08_02.xlsx&amp;sheet=A0&amp;row=625&amp;col=8&amp;number=&amp;sourceID=34","")</f>
        <v/>
      </c>
      <c r="I625" s="4" t="str">
        <f>HYPERLINK("http://141.218.60.56/~jnz1568/getInfo.php?workbook=08_02.xlsx&amp;sheet=A0&amp;row=625&amp;col=9&amp;number=&amp;sourceID=34","")</f>
        <v/>
      </c>
      <c r="J625" s="4" t="str">
        <f>HYPERLINK("http://141.218.60.56/~jnz1568/getInfo.php?workbook=08_02.xlsx&amp;sheet=A0&amp;row=625&amp;col=10&amp;number=&amp;sourceID=34","")</f>
        <v/>
      </c>
      <c r="K625" s="4" t="str">
        <f>HYPERLINK("http://141.218.60.56/~jnz1568/getInfo.php?workbook=08_02.xlsx&amp;sheet=A0&amp;row=625&amp;col=11&amp;number=&amp;sourceID=30","")</f>
        <v/>
      </c>
      <c r="L625" s="4" t="str">
        <f>HYPERLINK("http://141.218.60.56/~jnz1568/getInfo.php?workbook=08_02.xlsx&amp;sheet=A0&amp;row=625&amp;col=12&amp;number=0.07186&amp;sourceID=30","0.07186")</f>
        <v>0.07186</v>
      </c>
      <c r="M625" s="4" t="str">
        <f>HYPERLINK("http://141.218.60.56/~jnz1568/getInfo.php?workbook=08_02.xlsx&amp;sheet=A0&amp;row=625&amp;col=13&amp;number=1.201e-07&amp;sourceID=30","1.201e-07")</f>
        <v>1.201e-07</v>
      </c>
      <c r="N625" s="4" t="str">
        <f>HYPERLINK("http://141.218.60.56/~jnz1568/getInfo.php?workbook=08_02.xlsx&amp;sheet=A0&amp;row=625&amp;col=14&amp;number=&amp;sourceID=30","")</f>
        <v/>
      </c>
      <c r="O625" s="4" t="str">
        <f>HYPERLINK("http://141.218.60.56/~jnz1568/getInfo.php?workbook=08_02.xlsx&amp;sheet=A0&amp;row=625&amp;col=15&amp;number=&amp;sourceID=32","")</f>
        <v/>
      </c>
      <c r="P625" s="4" t="str">
        <f>HYPERLINK("http://141.218.60.56/~jnz1568/getInfo.php?workbook=08_02.xlsx&amp;sheet=A0&amp;row=625&amp;col=16&amp;number=0.07475&amp;sourceID=32","0.07475")</f>
        <v>0.07475</v>
      </c>
      <c r="Q625" s="4" t="str">
        <f>HYPERLINK("http://141.218.60.56/~jnz1568/getInfo.php?workbook=08_02.xlsx&amp;sheet=A0&amp;row=625&amp;col=17&amp;number=1.303e-07&amp;sourceID=32","1.303e-07")</f>
        <v>1.303e-07</v>
      </c>
      <c r="R625" s="4" t="str">
        <f>HYPERLINK("http://141.218.60.56/~jnz1568/getInfo.php?workbook=08_02.xlsx&amp;sheet=A0&amp;row=625&amp;col=18&amp;number=&amp;sourceID=32","")</f>
        <v/>
      </c>
      <c r="S625" s="4" t="str">
        <f>HYPERLINK("http://141.218.60.56/~jnz1568/getInfo.php?workbook=08_02.xlsx&amp;sheet=A0&amp;row=625&amp;col=19&amp;number=&amp;sourceID=1","")</f>
        <v/>
      </c>
      <c r="T625" s="4" t="str">
        <f>HYPERLINK("http://141.218.60.56/~jnz1568/getInfo.php?workbook=08_02.xlsx&amp;sheet=A0&amp;row=625&amp;col=20&amp;number=&amp;sourceID=1","")</f>
        <v/>
      </c>
    </row>
    <row r="626" spans="1:20">
      <c r="A626" s="3">
        <v>8</v>
      </c>
      <c r="B626" s="3">
        <v>2</v>
      </c>
      <c r="C626" s="3">
        <v>39</v>
      </c>
      <c r="D626" s="3">
        <v>33</v>
      </c>
      <c r="E626" s="3">
        <f>((1/(INDEX(E0!J$4:J$52,C626,1)-INDEX(E0!J$4:J$52,D626,1))))*100000000</f>
        <v>0</v>
      </c>
      <c r="F626" s="4" t="str">
        <f>HYPERLINK("http://141.218.60.56/~jnz1568/getInfo.php?workbook=08_02.xlsx&amp;sheet=A0&amp;row=626&amp;col=6&amp;number=&amp;sourceID=27","")</f>
        <v/>
      </c>
      <c r="G626" s="4" t="str">
        <f>HYPERLINK("http://141.218.60.56/~jnz1568/getInfo.php?workbook=08_02.xlsx&amp;sheet=A0&amp;row=626&amp;col=7&amp;number=&amp;sourceID=34","")</f>
        <v/>
      </c>
      <c r="H626" s="4" t="str">
        <f>HYPERLINK("http://141.218.60.56/~jnz1568/getInfo.php?workbook=08_02.xlsx&amp;sheet=A0&amp;row=626&amp;col=8&amp;number=&amp;sourceID=34","")</f>
        <v/>
      </c>
      <c r="I626" s="4" t="str">
        <f>HYPERLINK("http://141.218.60.56/~jnz1568/getInfo.php?workbook=08_02.xlsx&amp;sheet=A0&amp;row=626&amp;col=9&amp;number=&amp;sourceID=34","")</f>
        <v/>
      </c>
      <c r="J626" s="4" t="str">
        <f>HYPERLINK("http://141.218.60.56/~jnz1568/getInfo.php?workbook=08_02.xlsx&amp;sheet=A0&amp;row=626&amp;col=10&amp;number=&amp;sourceID=34","")</f>
        <v/>
      </c>
      <c r="K626" s="4" t="str">
        <f>HYPERLINK("http://141.218.60.56/~jnz1568/getInfo.php?workbook=08_02.xlsx&amp;sheet=A0&amp;row=626&amp;col=11&amp;number=&amp;sourceID=30","")</f>
        <v/>
      </c>
      <c r="L626" s="4" t="str">
        <f>HYPERLINK("http://141.218.60.56/~jnz1568/getInfo.php?workbook=08_02.xlsx&amp;sheet=A0&amp;row=626&amp;col=12&amp;number=4.347e-07&amp;sourceID=30","4.347e-07")</f>
        <v>4.347e-07</v>
      </c>
      <c r="M626" s="4" t="str">
        <f>HYPERLINK("http://141.218.60.56/~jnz1568/getInfo.php?workbook=08_02.xlsx&amp;sheet=A0&amp;row=626&amp;col=13&amp;number=&amp;sourceID=30","")</f>
        <v/>
      </c>
      <c r="N626" s="4" t="str">
        <f>HYPERLINK("http://141.218.60.56/~jnz1568/getInfo.php?workbook=08_02.xlsx&amp;sheet=A0&amp;row=626&amp;col=14&amp;number=&amp;sourceID=30","")</f>
        <v/>
      </c>
      <c r="O626" s="4" t="str">
        <f>HYPERLINK("http://141.218.60.56/~jnz1568/getInfo.php?workbook=08_02.xlsx&amp;sheet=A0&amp;row=626&amp;col=15&amp;number=&amp;sourceID=32","")</f>
        <v/>
      </c>
      <c r="P626" s="4" t="str">
        <f>HYPERLINK("http://141.218.60.56/~jnz1568/getInfo.php?workbook=08_02.xlsx&amp;sheet=A0&amp;row=626&amp;col=16&amp;number=3.703e-06&amp;sourceID=32","3.703e-06")</f>
        <v>3.703e-06</v>
      </c>
      <c r="Q626" s="4" t="str">
        <f>HYPERLINK("http://141.218.60.56/~jnz1568/getInfo.php?workbook=08_02.xlsx&amp;sheet=A0&amp;row=626&amp;col=17&amp;number=&amp;sourceID=32","")</f>
        <v/>
      </c>
      <c r="R626" s="4" t="str">
        <f>HYPERLINK("http://141.218.60.56/~jnz1568/getInfo.php?workbook=08_02.xlsx&amp;sheet=A0&amp;row=626&amp;col=18&amp;number=&amp;sourceID=32","")</f>
        <v/>
      </c>
      <c r="S626" s="4" t="str">
        <f>HYPERLINK("http://141.218.60.56/~jnz1568/getInfo.php?workbook=08_02.xlsx&amp;sheet=A0&amp;row=626&amp;col=19&amp;number=&amp;sourceID=1","")</f>
        <v/>
      </c>
      <c r="T626" s="4" t="str">
        <f>HYPERLINK("http://141.218.60.56/~jnz1568/getInfo.php?workbook=08_02.xlsx&amp;sheet=A0&amp;row=626&amp;col=20&amp;number=&amp;sourceID=1","")</f>
        <v/>
      </c>
    </row>
    <row r="627" spans="1:20">
      <c r="A627" s="3">
        <v>8</v>
      </c>
      <c r="B627" s="3">
        <v>2</v>
      </c>
      <c r="C627" s="3">
        <v>39</v>
      </c>
      <c r="D627" s="3">
        <v>34</v>
      </c>
      <c r="E627" s="3">
        <f>((1/(INDEX(E0!J$4:J$52,C627,1)-INDEX(E0!J$4:J$52,D627,1))))*100000000</f>
        <v>0</v>
      </c>
      <c r="F627" s="4" t="str">
        <f>HYPERLINK("http://141.218.60.56/~jnz1568/getInfo.php?workbook=08_02.xlsx&amp;sheet=A0&amp;row=627&amp;col=6&amp;number=&amp;sourceID=27","")</f>
        <v/>
      </c>
      <c r="G627" s="4" t="str">
        <f>HYPERLINK("http://141.218.60.56/~jnz1568/getInfo.php?workbook=08_02.xlsx&amp;sheet=A0&amp;row=627&amp;col=7&amp;number=&amp;sourceID=34","")</f>
        <v/>
      </c>
      <c r="H627" s="4" t="str">
        <f>HYPERLINK("http://141.218.60.56/~jnz1568/getInfo.php?workbook=08_02.xlsx&amp;sheet=A0&amp;row=627&amp;col=8&amp;number=&amp;sourceID=34","")</f>
        <v/>
      </c>
      <c r="I627" s="4" t="str">
        <f>HYPERLINK("http://141.218.60.56/~jnz1568/getInfo.php?workbook=08_02.xlsx&amp;sheet=A0&amp;row=627&amp;col=9&amp;number=&amp;sourceID=34","")</f>
        <v/>
      </c>
      <c r="J627" s="4" t="str">
        <f>HYPERLINK("http://141.218.60.56/~jnz1568/getInfo.php?workbook=08_02.xlsx&amp;sheet=A0&amp;row=627&amp;col=10&amp;number=&amp;sourceID=34","")</f>
        <v/>
      </c>
      <c r="K627" s="4" t="str">
        <f>HYPERLINK("http://141.218.60.56/~jnz1568/getInfo.php?workbook=08_02.xlsx&amp;sheet=A0&amp;row=627&amp;col=11&amp;number=&amp;sourceID=30","")</f>
        <v/>
      </c>
      <c r="L627" s="4" t="str">
        <f>HYPERLINK("http://141.218.60.56/~jnz1568/getInfo.php?workbook=08_02.xlsx&amp;sheet=A0&amp;row=627&amp;col=12&amp;number=&amp;sourceID=30","")</f>
        <v/>
      </c>
      <c r="M627" s="4" t="str">
        <f>HYPERLINK("http://141.218.60.56/~jnz1568/getInfo.php?workbook=08_02.xlsx&amp;sheet=A0&amp;row=627&amp;col=13&amp;number=&amp;sourceID=30","")</f>
        <v/>
      </c>
      <c r="N627" s="4" t="str">
        <f>HYPERLINK("http://141.218.60.56/~jnz1568/getInfo.php?workbook=08_02.xlsx&amp;sheet=A0&amp;row=627&amp;col=14&amp;number=5.734e-11&amp;sourceID=30","5.734e-11")</f>
        <v>5.734e-11</v>
      </c>
      <c r="O627" s="4" t="str">
        <f>HYPERLINK("http://141.218.60.56/~jnz1568/getInfo.php?workbook=08_02.xlsx&amp;sheet=A0&amp;row=627&amp;col=15&amp;number=&amp;sourceID=32","")</f>
        <v/>
      </c>
      <c r="P627" s="4" t="str">
        <f>HYPERLINK("http://141.218.60.56/~jnz1568/getInfo.php?workbook=08_02.xlsx&amp;sheet=A0&amp;row=627&amp;col=16&amp;number=&amp;sourceID=32","")</f>
        <v/>
      </c>
      <c r="Q627" s="4" t="str">
        <f>HYPERLINK("http://141.218.60.56/~jnz1568/getInfo.php?workbook=08_02.xlsx&amp;sheet=A0&amp;row=627&amp;col=17&amp;number=&amp;sourceID=32","")</f>
        <v/>
      </c>
      <c r="R627" s="4" t="str">
        <f>HYPERLINK("http://141.218.60.56/~jnz1568/getInfo.php?workbook=08_02.xlsx&amp;sheet=A0&amp;row=627&amp;col=18&amp;number=6.627e-11&amp;sourceID=32","6.627e-11")</f>
        <v>6.627e-11</v>
      </c>
      <c r="S627" s="4" t="str">
        <f>HYPERLINK("http://141.218.60.56/~jnz1568/getInfo.php?workbook=08_02.xlsx&amp;sheet=A0&amp;row=627&amp;col=19&amp;number=&amp;sourceID=1","")</f>
        <v/>
      </c>
      <c r="T627" s="4" t="str">
        <f>HYPERLINK("http://141.218.60.56/~jnz1568/getInfo.php?workbook=08_02.xlsx&amp;sheet=A0&amp;row=627&amp;col=20&amp;number=&amp;sourceID=1","")</f>
        <v/>
      </c>
    </row>
    <row r="628" spans="1:20">
      <c r="A628" s="3">
        <v>8</v>
      </c>
      <c r="B628" s="3">
        <v>2</v>
      </c>
      <c r="C628" s="3">
        <v>39</v>
      </c>
      <c r="D628" s="3">
        <v>35</v>
      </c>
      <c r="E628" s="3">
        <f>((1/(INDEX(E0!J$4:J$52,C628,1)-INDEX(E0!J$4:J$52,D628,1))))*100000000</f>
        <v>0</v>
      </c>
      <c r="F628" s="4" t="str">
        <f>HYPERLINK("http://141.218.60.56/~jnz1568/getInfo.php?workbook=08_02.xlsx&amp;sheet=A0&amp;row=628&amp;col=6&amp;number=&amp;sourceID=27","")</f>
        <v/>
      </c>
      <c r="G628" s="4" t="str">
        <f>HYPERLINK("http://141.218.60.56/~jnz1568/getInfo.php?workbook=08_02.xlsx&amp;sheet=A0&amp;row=628&amp;col=7&amp;number=99600&amp;sourceID=34","99600")</f>
        <v>99600</v>
      </c>
      <c r="H628" s="4" t="str">
        <f>HYPERLINK("http://141.218.60.56/~jnz1568/getInfo.php?workbook=08_02.xlsx&amp;sheet=A0&amp;row=628&amp;col=8&amp;number=&amp;sourceID=34","")</f>
        <v/>
      </c>
      <c r="I628" s="4" t="str">
        <f>HYPERLINK("http://141.218.60.56/~jnz1568/getInfo.php?workbook=08_02.xlsx&amp;sheet=A0&amp;row=628&amp;col=9&amp;number=&amp;sourceID=34","")</f>
        <v/>
      </c>
      <c r="J628" s="4" t="str">
        <f>HYPERLINK("http://141.218.60.56/~jnz1568/getInfo.php?workbook=08_02.xlsx&amp;sheet=A0&amp;row=628&amp;col=10&amp;number=&amp;sourceID=34","")</f>
        <v/>
      </c>
      <c r="K628" s="4" t="str">
        <f>HYPERLINK("http://141.218.60.56/~jnz1568/getInfo.php?workbook=08_02.xlsx&amp;sheet=A0&amp;row=628&amp;col=11&amp;number=83990&amp;sourceID=30","83990")</f>
        <v>83990</v>
      </c>
      <c r="L628" s="4" t="str">
        <f>HYPERLINK("http://141.218.60.56/~jnz1568/getInfo.php?workbook=08_02.xlsx&amp;sheet=A0&amp;row=628&amp;col=12&amp;number=&amp;sourceID=30","")</f>
        <v/>
      </c>
      <c r="M628" s="4" t="str">
        <f>HYPERLINK("http://141.218.60.56/~jnz1568/getInfo.php?workbook=08_02.xlsx&amp;sheet=A0&amp;row=628&amp;col=13&amp;number=&amp;sourceID=30","")</f>
        <v/>
      </c>
      <c r="N628" s="4" t="str">
        <f>HYPERLINK("http://141.218.60.56/~jnz1568/getInfo.php?workbook=08_02.xlsx&amp;sheet=A0&amp;row=628&amp;col=14&amp;number=1.186e-09&amp;sourceID=30","1.186e-09")</f>
        <v>1.186e-09</v>
      </c>
      <c r="O628" s="4" t="str">
        <f>HYPERLINK("http://141.218.60.56/~jnz1568/getInfo.php?workbook=08_02.xlsx&amp;sheet=A0&amp;row=628&amp;col=15&amp;number=94430&amp;sourceID=32","94430")</f>
        <v>94430</v>
      </c>
      <c r="P628" s="4" t="str">
        <f>HYPERLINK("http://141.218.60.56/~jnz1568/getInfo.php?workbook=08_02.xlsx&amp;sheet=A0&amp;row=628&amp;col=16&amp;number=&amp;sourceID=32","")</f>
        <v/>
      </c>
      <c r="Q628" s="4" t="str">
        <f>HYPERLINK("http://141.218.60.56/~jnz1568/getInfo.php?workbook=08_02.xlsx&amp;sheet=A0&amp;row=628&amp;col=17&amp;number=&amp;sourceID=32","")</f>
        <v/>
      </c>
      <c r="R628" s="4" t="str">
        <f>HYPERLINK("http://141.218.60.56/~jnz1568/getInfo.php?workbook=08_02.xlsx&amp;sheet=A0&amp;row=628&amp;col=18&amp;number=1.417e-09&amp;sourceID=32","1.417e-09")</f>
        <v>1.417e-09</v>
      </c>
      <c r="S628" s="4" t="str">
        <f>HYPERLINK("http://141.218.60.56/~jnz1568/getInfo.php?workbook=08_02.xlsx&amp;sheet=A0&amp;row=628&amp;col=19&amp;number=&amp;sourceID=1","")</f>
        <v/>
      </c>
      <c r="T628" s="4" t="str">
        <f>HYPERLINK("http://141.218.60.56/~jnz1568/getInfo.php?workbook=08_02.xlsx&amp;sheet=A0&amp;row=628&amp;col=20&amp;number=&amp;sourceID=1","")</f>
        <v/>
      </c>
    </row>
    <row r="629" spans="1:20">
      <c r="A629" s="3">
        <v>8</v>
      </c>
      <c r="B629" s="3">
        <v>2</v>
      </c>
      <c r="C629" s="3">
        <v>39</v>
      </c>
      <c r="D629" s="3">
        <v>36</v>
      </c>
      <c r="E629" s="3">
        <f>((1/(INDEX(E0!J$4:J$52,C629,1)-INDEX(E0!J$4:J$52,D629,1))))*100000000</f>
        <v>0</v>
      </c>
      <c r="F629" s="4" t="str">
        <f>HYPERLINK("http://141.218.60.56/~jnz1568/getInfo.php?workbook=08_02.xlsx&amp;sheet=A0&amp;row=629&amp;col=6&amp;number=&amp;sourceID=27","")</f>
        <v/>
      </c>
      <c r="G629" s="4" t="str">
        <f>HYPERLINK("http://141.218.60.56/~jnz1568/getInfo.php?workbook=08_02.xlsx&amp;sheet=A0&amp;row=629&amp;col=7&amp;number=33200&amp;sourceID=34","33200")</f>
        <v>33200</v>
      </c>
      <c r="H629" s="4" t="str">
        <f>HYPERLINK("http://141.218.60.56/~jnz1568/getInfo.php?workbook=08_02.xlsx&amp;sheet=A0&amp;row=629&amp;col=8&amp;number=&amp;sourceID=34","")</f>
        <v/>
      </c>
      <c r="I629" s="4" t="str">
        <f>HYPERLINK("http://141.218.60.56/~jnz1568/getInfo.php?workbook=08_02.xlsx&amp;sheet=A0&amp;row=629&amp;col=9&amp;number=&amp;sourceID=34","")</f>
        <v/>
      </c>
      <c r="J629" s="4" t="str">
        <f>HYPERLINK("http://141.218.60.56/~jnz1568/getInfo.php?workbook=08_02.xlsx&amp;sheet=A0&amp;row=629&amp;col=10&amp;number=&amp;sourceID=34","")</f>
        <v/>
      </c>
      <c r="K629" s="4" t="str">
        <f>HYPERLINK("http://141.218.60.56/~jnz1568/getInfo.php?workbook=08_02.xlsx&amp;sheet=A0&amp;row=629&amp;col=11&amp;number=26320&amp;sourceID=30","26320")</f>
        <v>26320</v>
      </c>
      <c r="L629" s="4" t="str">
        <f>HYPERLINK("http://141.218.60.56/~jnz1568/getInfo.php?workbook=08_02.xlsx&amp;sheet=A0&amp;row=629&amp;col=12&amp;number=&amp;sourceID=30","")</f>
        <v/>
      </c>
      <c r="M629" s="4" t="str">
        <f>HYPERLINK("http://141.218.60.56/~jnz1568/getInfo.php?workbook=08_02.xlsx&amp;sheet=A0&amp;row=629&amp;col=13&amp;number=&amp;sourceID=30","")</f>
        <v/>
      </c>
      <c r="N629" s="4" t="str">
        <f>HYPERLINK("http://141.218.60.56/~jnz1568/getInfo.php?workbook=08_02.xlsx&amp;sheet=A0&amp;row=629&amp;col=14&amp;number=4.511e-10&amp;sourceID=30","4.511e-10")</f>
        <v>4.511e-10</v>
      </c>
      <c r="O629" s="4" t="str">
        <f>HYPERLINK("http://141.218.60.56/~jnz1568/getInfo.php?workbook=08_02.xlsx&amp;sheet=A0&amp;row=629&amp;col=15&amp;number=29230&amp;sourceID=32","29230")</f>
        <v>29230</v>
      </c>
      <c r="P629" s="4" t="str">
        <f>HYPERLINK("http://141.218.60.56/~jnz1568/getInfo.php?workbook=08_02.xlsx&amp;sheet=A0&amp;row=629&amp;col=16&amp;number=&amp;sourceID=32","")</f>
        <v/>
      </c>
      <c r="Q629" s="4" t="str">
        <f>HYPERLINK("http://141.218.60.56/~jnz1568/getInfo.php?workbook=08_02.xlsx&amp;sheet=A0&amp;row=629&amp;col=17&amp;number=&amp;sourceID=32","")</f>
        <v/>
      </c>
      <c r="R629" s="4" t="str">
        <f>HYPERLINK("http://141.218.60.56/~jnz1568/getInfo.php?workbook=08_02.xlsx&amp;sheet=A0&amp;row=629&amp;col=18&amp;number=5.245e-10&amp;sourceID=32","5.245e-10")</f>
        <v>5.245e-10</v>
      </c>
      <c r="S629" s="4" t="str">
        <f>HYPERLINK("http://141.218.60.56/~jnz1568/getInfo.php?workbook=08_02.xlsx&amp;sheet=A0&amp;row=629&amp;col=19&amp;number=&amp;sourceID=1","")</f>
        <v/>
      </c>
      <c r="T629" s="4" t="str">
        <f>HYPERLINK("http://141.218.60.56/~jnz1568/getInfo.php?workbook=08_02.xlsx&amp;sheet=A0&amp;row=629&amp;col=20&amp;number=&amp;sourceID=1","")</f>
        <v/>
      </c>
    </row>
    <row r="630" spans="1:20">
      <c r="A630" s="3">
        <v>8</v>
      </c>
      <c r="B630" s="3">
        <v>2</v>
      </c>
      <c r="C630" s="3">
        <v>39</v>
      </c>
      <c r="D630" s="3">
        <v>38</v>
      </c>
      <c r="E630" s="3">
        <f>((1/(INDEX(E0!J$4:J$52,C630,1)-INDEX(E0!J$4:J$52,D630,1))))*100000000</f>
        <v>0</v>
      </c>
      <c r="F630" s="4" t="str">
        <f>HYPERLINK("http://141.218.60.56/~jnz1568/getInfo.php?workbook=08_02.xlsx&amp;sheet=A0&amp;row=630&amp;col=6&amp;number=&amp;sourceID=27","")</f>
        <v/>
      </c>
      <c r="G630" s="4" t="str">
        <f>HYPERLINK("http://141.218.60.56/~jnz1568/getInfo.php?workbook=08_02.xlsx&amp;sheet=A0&amp;row=630&amp;col=7&amp;number=&amp;sourceID=34","")</f>
        <v/>
      </c>
      <c r="H630" s="4" t="str">
        <f>HYPERLINK("http://141.218.60.56/~jnz1568/getInfo.php?workbook=08_02.xlsx&amp;sheet=A0&amp;row=630&amp;col=8&amp;number=&amp;sourceID=34","")</f>
        <v/>
      </c>
      <c r="I630" s="4" t="str">
        <f>HYPERLINK("http://141.218.60.56/~jnz1568/getInfo.php?workbook=08_02.xlsx&amp;sheet=A0&amp;row=630&amp;col=9&amp;number=&amp;sourceID=34","")</f>
        <v/>
      </c>
      <c r="J630" s="4" t="str">
        <f>HYPERLINK("http://141.218.60.56/~jnz1568/getInfo.php?workbook=08_02.xlsx&amp;sheet=A0&amp;row=630&amp;col=10&amp;number=&amp;sourceID=34","")</f>
        <v/>
      </c>
      <c r="K630" s="4" t="str">
        <f>HYPERLINK("http://141.218.60.56/~jnz1568/getInfo.php?workbook=08_02.xlsx&amp;sheet=A0&amp;row=630&amp;col=11&amp;number=&amp;sourceID=30","")</f>
        <v/>
      </c>
      <c r="L630" s="4" t="str">
        <f>HYPERLINK("http://141.218.60.56/~jnz1568/getInfo.php?workbook=08_02.xlsx&amp;sheet=A0&amp;row=630&amp;col=12&amp;number=0&amp;sourceID=30","0")</f>
        <v>0</v>
      </c>
      <c r="M630" s="4" t="str">
        <f>HYPERLINK("http://141.218.60.56/~jnz1568/getInfo.php?workbook=08_02.xlsx&amp;sheet=A0&amp;row=630&amp;col=13&amp;number=2.859e-10&amp;sourceID=30","2.859e-10")</f>
        <v>2.859e-10</v>
      </c>
      <c r="N630" s="4" t="str">
        <f>HYPERLINK("http://141.218.60.56/~jnz1568/getInfo.php?workbook=08_02.xlsx&amp;sheet=A0&amp;row=630&amp;col=14&amp;number=&amp;sourceID=30","")</f>
        <v/>
      </c>
      <c r="O630" s="4" t="str">
        <f>HYPERLINK("http://141.218.60.56/~jnz1568/getInfo.php?workbook=08_02.xlsx&amp;sheet=A0&amp;row=630&amp;col=15&amp;number=&amp;sourceID=32","")</f>
        <v/>
      </c>
      <c r="P630" s="4" t="str">
        <f>HYPERLINK("http://141.218.60.56/~jnz1568/getInfo.php?workbook=08_02.xlsx&amp;sheet=A0&amp;row=630&amp;col=16&amp;number=&amp;sourceID=32","")</f>
        <v/>
      </c>
      <c r="Q630" s="4" t="str">
        <f>HYPERLINK("http://141.218.60.56/~jnz1568/getInfo.php?workbook=08_02.xlsx&amp;sheet=A0&amp;row=630&amp;col=17&amp;number=&amp;sourceID=32","")</f>
        <v/>
      </c>
      <c r="R630" s="4" t="str">
        <f>HYPERLINK("http://141.218.60.56/~jnz1568/getInfo.php?workbook=08_02.xlsx&amp;sheet=A0&amp;row=630&amp;col=18&amp;number=&amp;sourceID=32","")</f>
        <v/>
      </c>
      <c r="S630" s="4" t="str">
        <f>HYPERLINK("http://141.218.60.56/~jnz1568/getInfo.php?workbook=08_02.xlsx&amp;sheet=A0&amp;row=630&amp;col=19&amp;number=&amp;sourceID=1","")</f>
        <v/>
      </c>
      <c r="T630" s="4" t="str">
        <f>HYPERLINK("http://141.218.60.56/~jnz1568/getInfo.php?workbook=08_02.xlsx&amp;sheet=A0&amp;row=630&amp;col=20&amp;number=&amp;sourceID=1","")</f>
        <v/>
      </c>
    </row>
    <row r="631" spans="1:20">
      <c r="A631" s="3">
        <v>8</v>
      </c>
      <c r="B631" s="3">
        <v>2</v>
      </c>
      <c r="C631" s="3">
        <v>40</v>
      </c>
      <c r="D631" s="3">
        <v>2</v>
      </c>
      <c r="E631" s="3">
        <f>((1/(INDEX(E0!J$4:J$52,C631,1)-INDEX(E0!J$4:J$52,D631,1))))*100000000</f>
        <v>0</v>
      </c>
      <c r="F631" s="4" t="str">
        <f>HYPERLINK("http://141.218.60.56/~jnz1568/getInfo.php?workbook=08_02.xlsx&amp;sheet=A0&amp;row=631&amp;col=6&amp;number=&amp;sourceID=27","")</f>
        <v/>
      </c>
      <c r="G631" s="4" t="str">
        <f>HYPERLINK("http://141.218.60.56/~jnz1568/getInfo.php?workbook=08_02.xlsx&amp;sheet=A0&amp;row=631&amp;col=7&amp;number=&amp;sourceID=34","")</f>
        <v/>
      </c>
      <c r="H631" s="4" t="str">
        <f>HYPERLINK("http://141.218.60.56/~jnz1568/getInfo.php?workbook=08_02.xlsx&amp;sheet=A0&amp;row=631&amp;col=8&amp;number=&amp;sourceID=34","")</f>
        <v/>
      </c>
      <c r="I631" s="4" t="str">
        <f>HYPERLINK("http://141.218.60.56/~jnz1568/getInfo.php?workbook=08_02.xlsx&amp;sheet=A0&amp;row=631&amp;col=9&amp;number=&amp;sourceID=34","")</f>
        <v/>
      </c>
      <c r="J631" s="4" t="str">
        <f>HYPERLINK("http://141.218.60.56/~jnz1568/getInfo.php?workbook=08_02.xlsx&amp;sheet=A0&amp;row=631&amp;col=10&amp;number=&amp;sourceID=34","")</f>
        <v/>
      </c>
      <c r="K631" s="4" t="str">
        <f>HYPERLINK("http://141.218.60.56/~jnz1568/getInfo.php?workbook=08_02.xlsx&amp;sheet=A0&amp;row=631&amp;col=11&amp;number=&amp;sourceID=30","")</f>
        <v/>
      </c>
      <c r="L631" s="4" t="str">
        <f>HYPERLINK("http://141.218.60.56/~jnz1568/getInfo.php?workbook=08_02.xlsx&amp;sheet=A0&amp;row=631&amp;col=12&amp;number=112800&amp;sourceID=30","112800")</f>
        <v>112800</v>
      </c>
      <c r="M631" s="4" t="str">
        <f>HYPERLINK("http://141.218.60.56/~jnz1568/getInfo.php?workbook=08_02.xlsx&amp;sheet=A0&amp;row=631&amp;col=13&amp;number=&amp;sourceID=30","")</f>
        <v/>
      </c>
      <c r="N631" s="4" t="str">
        <f>HYPERLINK("http://141.218.60.56/~jnz1568/getInfo.php?workbook=08_02.xlsx&amp;sheet=A0&amp;row=631&amp;col=14&amp;number=&amp;sourceID=30","")</f>
        <v/>
      </c>
      <c r="O631" s="4" t="str">
        <f>HYPERLINK("http://141.218.60.56/~jnz1568/getInfo.php?workbook=08_02.xlsx&amp;sheet=A0&amp;row=631&amp;col=15&amp;number=&amp;sourceID=32","")</f>
        <v/>
      </c>
      <c r="P631" s="4" t="str">
        <f>HYPERLINK("http://141.218.60.56/~jnz1568/getInfo.php?workbook=08_02.xlsx&amp;sheet=A0&amp;row=631&amp;col=16&amp;number=367800&amp;sourceID=32","367800")</f>
        <v>367800</v>
      </c>
      <c r="Q631" s="4" t="str">
        <f>HYPERLINK("http://141.218.60.56/~jnz1568/getInfo.php?workbook=08_02.xlsx&amp;sheet=A0&amp;row=631&amp;col=17&amp;number=&amp;sourceID=32","")</f>
        <v/>
      </c>
      <c r="R631" s="4" t="str">
        <f>HYPERLINK("http://141.218.60.56/~jnz1568/getInfo.php?workbook=08_02.xlsx&amp;sheet=A0&amp;row=631&amp;col=18&amp;number=&amp;sourceID=32","")</f>
        <v/>
      </c>
      <c r="S631" s="4" t="str">
        <f>HYPERLINK("http://141.218.60.56/~jnz1568/getInfo.php?workbook=08_02.xlsx&amp;sheet=A0&amp;row=631&amp;col=19&amp;number=&amp;sourceID=1","")</f>
        <v/>
      </c>
      <c r="T631" s="4" t="str">
        <f>HYPERLINK("http://141.218.60.56/~jnz1568/getInfo.php?workbook=08_02.xlsx&amp;sheet=A0&amp;row=631&amp;col=20&amp;number=&amp;sourceID=1","")</f>
        <v/>
      </c>
    </row>
    <row r="632" spans="1:20">
      <c r="A632" s="3">
        <v>8</v>
      </c>
      <c r="B632" s="3">
        <v>2</v>
      </c>
      <c r="C632" s="3">
        <v>40</v>
      </c>
      <c r="D632" s="3">
        <v>4</v>
      </c>
      <c r="E632" s="3">
        <f>((1/(INDEX(E0!J$4:J$52,C632,1)-INDEX(E0!J$4:J$52,D632,1))))*100000000</f>
        <v>0</v>
      </c>
      <c r="F632" s="4" t="str">
        <f>HYPERLINK("http://141.218.60.56/~jnz1568/getInfo.php?workbook=08_02.xlsx&amp;sheet=A0&amp;row=632&amp;col=6&amp;number=&amp;sourceID=27","")</f>
        <v/>
      </c>
      <c r="G632" s="4" t="str">
        <f>HYPERLINK("http://141.218.60.56/~jnz1568/getInfo.php?workbook=08_02.xlsx&amp;sheet=A0&amp;row=632&amp;col=7&amp;number=&amp;sourceID=34","")</f>
        <v/>
      </c>
      <c r="H632" s="4" t="str">
        <f>HYPERLINK("http://141.218.60.56/~jnz1568/getInfo.php?workbook=08_02.xlsx&amp;sheet=A0&amp;row=632&amp;col=8&amp;number=&amp;sourceID=34","")</f>
        <v/>
      </c>
      <c r="I632" s="4" t="str">
        <f>HYPERLINK("http://141.218.60.56/~jnz1568/getInfo.php?workbook=08_02.xlsx&amp;sheet=A0&amp;row=632&amp;col=9&amp;number=&amp;sourceID=34","")</f>
        <v/>
      </c>
      <c r="J632" s="4" t="str">
        <f>HYPERLINK("http://141.218.60.56/~jnz1568/getInfo.php?workbook=08_02.xlsx&amp;sheet=A0&amp;row=632&amp;col=10&amp;number=&amp;sourceID=34","")</f>
        <v/>
      </c>
      <c r="K632" s="4" t="str">
        <f>HYPERLINK("http://141.218.60.56/~jnz1568/getInfo.php?workbook=08_02.xlsx&amp;sheet=A0&amp;row=632&amp;col=11&amp;number=&amp;sourceID=30","")</f>
        <v/>
      </c>
      <c r="L632" s="4" t="str">
        <f>HYPERLINK("http://141.218.60.56/~jnz1568/getInfo.php?workbook=08_02.xlsx&amp;sheet=A0&amp;row=632&amp;col=12&amp;number=&amp;sourceID=30","")</f>
        <v/>
      </c>
      <c r="M632" s="4" t="str">
        <f>HYPERLINK("http://141.218.60.56/~jnz1568/getInfo.php?workbook=08_02.xlsx&amp;sheet=A0&amp;row=632&amp;col=13&amp;number=&amp;sourceID=30","")</f>
        <v/>
      </c>
      <c r="N632" s="4" t="str">
        <f>HYPERLINK("http://141.218.60.56/~jnz1568/getInfo.php?workbook=08_02.xlsx&amp;sheet=A0&amp;row=632&amp;col=14&amp;number=8.682&amp;sourceID=30","8.682")</f>
        <v>8.682</v>
      </c>
      <c r="O632" s="4" t="str">
        <f>HYPERLINK("http://141.218.60.56/~jnz1568/getInfo.php?workbook=08_02.xlsx&amp;sheet=A0&amp;row=632&amp;col=15&amp;number=&amp;sourceID=32","")</f>
        <v/>
      </c>
      <c r="P632" s="4" t="str">
        <f>HYPERLINK("http://141.218.60.56/~jnz1568/getInfo.php?workbook=08_02.xlsx&amp;sheet=A0&amp;row=632&amp;col=16&amp;number=&amp;sourceID=32","")</f>
        <v/>
      </c>
      <c r="Q632" s="4" t="str">
        <f>HYPERLINK("http://141.218.60.56/~jnz1568/getInfo.php?workbook=08_02.xlsx&amp;sheet=A0&amp;row=632&amp;col=17&amp;number=&amp;sourceID=32","")</f>
        <v/>
      </c>
      <c r="R632" s="4" t="str">
        <f>HYPERLINK("http://141.218.60.56/~jnz1568/getInfo.php?workbook=08_02.xlsx&amp;sheet=A0&amp;row=632&amp;col=18&amp;number=8.949&amp;sourceID=32","8.949")</f>
        <v>8.949</v>
      </c>
      <c r="S632" s="4" t="str">
        <f>HYPERLINK("http://141.218.60.56/~jnz1568/getInfo.php?workbook=08_02.xlsx&amp;sheet=A0&amp;row=632&amp;col=19&amp;number=&amp;sourceID=1","")</f>
        <v/>
      </c>
      <c r="T632" s="4" t="str">
        <f>HYPERLINK("http://141.218.60.56/~jnz1568/getInfo.php?workbook=08_02.xlsx&amp;sheet=A0&amp;row=632&amp;col=20&amp;number=&amp;sourceID=1","")</f>
        <v/>
      </c>
    </row>
    <row r="633" spans="1:20">
      <c r="A633" s="3">
        <v>8</v>
      </c>
      <c r="B633" s="3">
        <v>2</v>
      </c>
      <c r="C633" s="3">
        <v>40</v>
      </c>
      <c r="D633" s="3">
        <v>5</v>
      </c>
      <c r="E633" s="3">
        <f>((1/(INDEX(E0!J$4:J$52,C633,1)-INDEX(E0!J$4:J$52,D633,1))))*100000000</f>
        <v>0</v>
      </c>
      <c r="F633" s="4" t="str">
        <f>HYPERLINK("http://141.218.60.56/~jnz1568/getInfo.php?workbook=08_02.xlsx&amp;sheet=A0&amp;row=633&amp;col=6&amp;number=&amp;sourceID=27","")</f>
        <v/>
      </c>
      <c r="G633" s="4" t="str">
        <f>HYPERLINK("http://141.218.60.56/~jnz1568/getInfo.php?workbook=08_02.xlsx&amp;sheet=A0&amp;row=633&amp;col=7&amp;number=24614285714.3&amp;sourceID=34","24614285714.3")</f>
        <v>24614285714.3</v>
      </c>
      <c r="H633" s="4" t="str">
        <f>HYPERLINK("http://141.218.60.56/~jnz1568/getInfo.php?workbook=08_02.xlsx&amp;sheet=A0&amp;row=633&amp;col=8&amp;number=&amp;sourceID=34","")</f>
        <v/>
      </c>
      <c r="I633" s="4" t="str">
        <f>HYPERLINK("http://141.218.60.56/~jnz1568/getInfo.php?workbook=08_02.xlsx&amp;sheet=A0&amp;row=633&amp;col=9&amp;number=&amp;sourceID=34","")</f>
        <v/>
      </c>
      <c r="J633" s="4" t="str">
        <f>HYPERLINK("http://141.218.60.56/~jnz1568/getInfo.php?workbook=08_02.xlsx&amp;sheet=A0&amp;row=633&amp;col=10&amp;number=&amp;sourceID=34","")</f>
        <v/>
      </c>
      <c r="K633" s="4" t="str">
        <f>HYPERLINK("http://141.218.60.56/~jnz1568/getInfo.php?workbook=08_02.xlsx&amp;sheet=A0&amp;row=633&amp;col=11&amp;number=23590000000&amp;sourceID=30","23590000000")</f>
        <v>23590000000</v>
      </c>
      <c r="L633" s="4" t="str">
        <f>HYPERLINK("http://141.218.60.56/~jnz1568/getInfo.php?workbook=08_02.xlsx&amp;sheet=A0&amp;row=633&amp;col=12&amp;number=&amp;sourceID=30","")</f>
        <v/>
      </c>
      <c r="M633" s="4" t="str">
        <f>HYPERLINK("http://141.218.60.56/~jnz1568/getInfo.php?workbook=08_02.xlsx&amp;sheet=A0&amp;row=633&amp;col=13&amp;number=&amp;sourceID=30","")</f>
        <v/>
      </c>
      <c r="N633" s="4" t="str">
        <f>HYPERLINK("http://141.218.60.56/~jnz1568/getInfo.php?workbook=08_02.xlsx&amp;sheet=A0&amp;row=633&amp;col=14&amp;number=388.9&amp;sourceID=30","388.9")</f>
        <v>388.9</v>
      </c>
      <c r="O633" s="4" t="str">
        <f>HYPERLINK("http://141.218.60.56/~jnz1568/getInfo.php?workbook=08_02.xlsx&amp;sheet=A0&amp;row=633&amp;col=15&amp;number=24590000000&amp;sourceID=32","24590000000")</f>
        <v>24590000000</v>
      </c>
      <c r="P633" s="4" t="str">
        <f>HYPERLINK("http://141.218.60.56/~jnz1568/getInfo.php?workbook=08_02.xlsx&amp;sheet=A0&amp;row=633&amp;col=16&amp;number=&amp;sourceID=32","")</f>
        <v/>
      </c>
      <c r="Q633" s="4" t="str">
        <f>HYPERLINK("http://141.218.60.56/~jnz1568/getInfo.php?workbook=08_02.xlsx&amp;sheet=A0&amp;row=633&amp;col=17&amp;number=&amp;sourceID=32","")</f>
        <v/>
      </c>
      <c r="R633" s="4" t="str">
        <f>HYPERLINK("http://141.218.60.56/~jnz1568/getInfo.php?workbook=08_02.xlsx&amp;sheet=A0&amp;row=633&amp;col=18&amp;number=406.9&amp;sourceID=32","406.9")</f>
        <v>406.9</v>
      </c>
      <c r="S633" s="4" t="str">
        <f>HYPERLINK("http://141.218.60.56/~jnz1568/getInfo.php?workbook=08_02.xlsx&amp;sheet=A0&amp;row=633&amp;col=19&amp;number=&amp;sourceID=1","")</f>
        <v/>
      </c>
      <c r="T633" s="4" t="str">
        <f>HYPERLINK("http://141.218.60.56/~jnz1568/getInfo.php?workbook=08_02.xlsx&amp;sheet=A0&amp;row=633&amp;col=20&amp;number=&amp;sourceID=1","")</f>
        <v/>
      </c>
    </row>
    <row r="634" spans="1:20">
      <c r="A634" s="3">
        <v>8</v>
      </c>
      <c r="B634" s="3">
        <v>2</v>
      </c>
      <c r="C634" s="3">
        <v>40</v>
      </c>
      <c r="D634" s="3">
        <v>7</v>
      </c>
      <c r="E634" s="3">
        <f>((1/(INDEX(E0!J$4:J$52,C634,1)-INDEX(E0!J$4:J$52,D634,1))))*100000000</f>
        <v>0</v>
      </c>
      <c r="F634" s="4" t="str">
        <f>HYPERLINK("http://141.218.60.56/~jnz1568/getInfo.php?workbook=08_02.xlsx&amp;sheet=A0&amp;row=634&amp;col=6&amp;number=&amp;sourceID=27","")</f>
        <v/>
      </c>
      <c r="G634" s="4" t="str">
        <f>HYPERLINK("http://141.218.60.56/~jnz1568/getInfo.php?workbook=08_02.xlsx&amp;sheet=A0&amp;row=634&amp;col=7&amp;number=&amp;sourceID=34","")</f>
        <v/>
      </c>
      <c r="H634" s="4" t="str">
        <f>HYPERLINK("http://141.218.60.56/~jnz1568/getInfo.php?workbook=08_02.xlsx&amp;sheet=A0&amp;row=634&amp;col=8&amp;number=&amp;sourceID=34","")</f>
        <v/>
      </c>
      <c r="I634" s="4" t="str">
        <f>HYPERLINK("http://141.218.60.56/~jnz1568/getInfo.php?workbook=08_02.xlsx&amp;sheet=A0&amp;row=634&amp;col=9&amp;number=&amp;sourceID=34","")</f>
        <v/>
      </c>
      <c r="J634" s="4" t="str">
        <f>HYPERLINK("http://141.218.60.56/~jnz1568/getInfo.php?workbook=08_02.xlsx&amp;sheet=A0&amp;row=634&amp;col=10&amp;number=&amp;sourceID=34","")</f>
        <v/>
      </c>
      <c r="K634" s="4" t="str">
        <f>HYPERLINK("http://141.218.60.56/~jnz1568/getInfo.php?workbook=08_02.xlsx&amp;sheet=A0&amp;row=634&amp;col=11&amp;number=&amp;sourceID=30","")</f>
        <v/>
      </c>
      <c r="L634" s="4" t="str">
        <f>HYPERLINK("http://141.218.60.56/~jnz1568/getInfo.php?workbook=08_02.xlsx&amp;sheet=A0&amp;row=634&amp;col=12&amp;number=&amp;sourceID=30","")</f>
        <v/>
      </c>
      <c r="M634" s="4" t="str">
        <f>HYPERLINK("http://141.218.60.56/~jnz1568/getInfo.php?workbook=08_02.xlsx&amp;sheet=A0&amp;row=634&amp;col=13&amp;number=&amp;sourceID=30","")</f>
        <v/>
      </c>
      <c r="N634" s="4" t="str">
        <f>HYPERLINK("http://141.218.60.56/~jnz1568/getInfo.php?workbook=08_02.xlsx&amp;sheet=A0&amp;row=634&amp;col=14&amp;number=132.9&amp;sourceID=30","132.9")</f>
        <v>132.9</v>
      </c>
      <c r="O634" s="4" t="str">
        <f>HYPERLINK("http://141.218.60.56/~jnz1568/getInfo.php?workbook=08_02.xlsx&amp;sheet=A0&amp;row=634&amp;col=15&amp;number=&amp;sourceID=32","")</f>
        <v/>
      </c>
      <c r="P634" s="4" t="str">
        <f>HYPERLINK("http://141.218.60.56/~jnz1568/getInfo.php?workbook=08_02.xlsx&amp;sheet=A0&amp;row=634&amp;col=16&amp;number=&amp;sourceID=32","")</f>
        <v/>
      </c>
      <c r="Q634" s="4" t="str">
        <f>HYPERLINK("http://141.218.60.56/~jnz1568/getInfo.php?workbook=08_02.xlsx&amp;sheet=A0&amp;row=634&amp;col=17&amp;number=&amp;sourceID=32","")</f>
        <v/>
      </c>
      <c r="R634" s="4" t="str">
        <f>HYPERLINK("http://141.218.60.56/~jnz1568/getInfo.php?workbook=08_02.xlsx&amp;sheet=A0&amp;row=634&amp;col=18&amp;number=120.3&amp;sourceID=32","120.3")</f>
        <v>120.3</v>
      </c>
      <c r="S634" s="4" t="str">
        <f>HYPERLINK("http://141.218.60.56/~jnz1568/getInfo.php?workbook=08_02.xlsx&amp;sheet=A0&amp;row=634&amp;col=19&amp;number=&amp;sourceID=1","")</f>
        <v/>
      </c>
      <c r="T634" s="4" t="str">
        <f>HYPERLINK("http://141.218.60.56/~jnz1568/getInfo.php?workbook=08_02.xlsx&amp;sheet=A0&amp;row=634&amp;col=20&amp;number=&amp;sourceID=1","")</f>
        <v/>
      </c>
    </row>
    <row r="635" spans="1:20">
      <c r="A635" s="3">
        <v>8</v>
      </c>
      <c r="B635" s="3">
        <v>2</v>
      </c>
      <c r="C635" s="3">
        <v>40</v>
      </c>
      <c r="D635" s="3">
        <v>8</v>
      </c>
      <c r="E635" s="3">
        <f>((1/(INDEX(E0!J$4:J$52,C635,1)-INDEX(E0!J$4:J$52,D635,1))))*100000000</f>
        <v>0</v>
      </c>
      <c r="F635" s="4" t="str">
        <f>HYPERLINK("http://141.218.60.56/~jnz1568/getInfo.php?workbook=08_02.xlsx&amp;sheet=A0&amp;row=635&amp;col=6&amp;number=&amp;sourceID=27","")</f>
        <v/>
      </c>
      <c r="G635" s="4" t="str">
        <f>HYPERLINK("http://141.218.60.56/~jnz1568/getInfo.php?workbook=08_02.xlsx&amp;sheet=A0&amp;row=635&amp;col=7&amp;number=&amp;sourceID=34","")</f>
        <v/>
      </c>
      <c r="H635" s="4" t="str">
        <f>HYPERLINK("http://141.218.60.56/~jnz1568/getInfo.php?workbook=08_02.xlsx&amp;sheet=A0&amp;row=635&amp;col=8&amp;number=&amp;sourceID=34","")</f>
        <v/>
      </c>
      <c r="I635" s="4" t="str">
        <f>HYPERLINK("http://141.218.60.56/~jnz1568/getInfo.php?workbook=08_02.xlsx&amp;sheet=A0&amp;row=635&amp;col=9&amp;number=&amp;sourceID=34","")</f>
        <v/>
      </c>
      <c r="J635" s="4" t="str">
        <f>HYPERLINK("http://141.218.60.56/~jnz1568/getInfo.php?workbook=08_02.xlsx&amp;sheet=A0&amp;row=635&amp;col=10&amp;number=&amp;sourceID=34","")</f>
        <v/>
      </c>
      <c r="K635" s="4" t="str">
        <f>HYPERLINK("http://141.218.60.56/~jnz1568/getInfo.php?workbook=08_02.xlsx&amp;sheet=A0&amp;row=635&amp;col=11&amp;number=&amp;sourceID=30","")</f>
        <v/>
      </c>
      <c r="L635" s="4" t="str">
        <f>HYPERLINK("http://141.218.60.56/~jnz1568/getInfo.php?workbook=08_02.xlsx&amp;sheet=A0&amp;row=635&amp;col=12&amp;number=174600&amp;sourceID=30","174600")</f>
        <v>174600</v>
      </c>
      <c r="M635" s="4" t="str">
        <f>HYPERLINK("http://141.218.60.56/~jnz1568/getInfo.php?workbook=08_02.xlsx&amp;sheet=A0&amp;row=635&amp;col=13&amp;number=&amp;sourceID=30","")</f>
        <v/>
      </c>
      <c r="N635" s="4" t="str">
        <f>HYPERLINK("http://141.218.60.56/~jnz1568/getInfo.php?workbook=08_02.xlsx&amp;sheet=A0&amp;row=635&amp;col=14&amp;number=&amp;sourceID=30","")</f>
        <v/>
      </c>
      <c r="O635" s="4" t="str">
        <f>HYPERLINK("http://141.218.60.56/~jnz1568/getInfo.php?workbook=08_02.xlsx&amp;sheet=A0&amp;row=635&amp;col=15&amp;number=&amp;sourceID=32","")</f>
        <v/>
      </c>
      <c r="P635" s="4" t="str">
        <f>HYPERLINK("http://141.218.60.56/~jnz1568/getInfo.php?workbook=08_02.xlsx&amp;sheet=A0&amp;row=635&amp;col=16&amp;number=195000&amp;sourceID=32","195000")</f>
        <v>195000</v>
      </c>
      <c r="Q635" s="4" t="str">
        <f>HYPERLINK("http://141.218.60.56/~jnz1568/getInfo.php?workbook=08_02.xlsx&amp;sheet=A0&amp;row=635&amp;col=17&amp;number=&amp;sourceID=32","")</f>
        <v/>
      </c>
      <c r="R635" s="4" t="str">
        <f>HYPERLINK("http://141.218.60.56/~jnz1568/getInfo.php?workbook=08_02.xlsx&amp;sheet=A0&amp;row=635&amp;col=18&amp;number=&amp;sourceID=32","")</f>
        <v/>
      </c>
      <c r="S635" s="4" t="str">
        <f>HYPERLINK("http://141.218.60.56/~jnz1568/getInfo.php?workbook=08_02.xlsx&amp;sheet=A0&amp;row=635&amp;col=19&amp;number=&amp;sourceID=1","")</f>
        <v/>
      </c>
      <c r="T635" s="4" t="str">
        <f>HYPERLINK("http://141.218.60.56/~jnz1568/getInfo.php?workbook=08_02.xlsx&amp;sheet=A0&amp;row=635&amp;col=20&amp;number=&amp;sourceID=1","")</f>
        <v/>
      </c>
    </row>
    <row r="636" spans="1:20">
      <c r="A636" s="3">
        <v>8</v>
      </c>
      <c r="B636" s="3">
        <v>2</v>
      </c>
      <c r="C636" s="3">
        <v>40</v>
      </c>
      <c r="D636" s="3">
        <v>10</v>
      </c>
      <c r="E636" s="3">
        <f>((1/(INDEX(E0!J$4:J$52,C636,1)-INDEX(E0!J$4:J$52,D636,1))))*100000000</f>
        <v>0</v>
      </c>
      <c r="F636" s="4" t="str">
        <f>HYPERLINK("http://141.218.60.56/~jnz1568/getInfo.php?workbook=08_02.xlsx&amp;sheet=A0&amp;row=636&amp;col=6&amp;number=&amp;sourceID=27","")</f>
        <v/>
      </c>
      <c r="G636" s="4" t="str">
        <f>HYPERLINK("http://141.218.60.56/~jnz1568/getInfo.php?workbook=08_02.xlsx&amp;sheet=A0&amp;row=636&amp;col=7&amp;number=&amp;sourceID=34","")</f>
        <v/>
      </c>
      <c r="H636" s="4" t="str">
        <f>HYPERLINK("http://141.218.60.56/~jnz1568/getInfo.php?workbook=08_02.xlsx&amp;sheet=A0&amp;row=636&amp;col=8&amp;number=&amp;sourceID=34","")</f>
        <v/>
      </c>
      <c r="I636" s="4" t="str">
        <f>HYPERLINK("http://141.218.60.56/~jnz1568/getInfo.php?workbook=08_02.xlsx&amp;sheet=A0&amp;row=636&amp;col=9&amp;number=&amp;sourceID=34","")</f>
        <v/>
      </c>
      <c r="J636" s="4" t="str">
        <f>HYPERLINK("http://141.218.60.56/~jnz1568/getInfo.php?workbook=08_02.xlsx&amp;sheet=A0&amp;row=636&amp;col=10&amp;number=&amp;sourceID=34","")</f>
        <v/>
      </c>
      <c r="K636" s="4" t="str">
        <f>HYPERLINK("http://141.218.60.56/~jnz1568/getInfo.php?workbook=08_02.xlsx&amp;sheet=A0&amp;row=636&amp;col=11&amp;number=&amp;sourceID=30","")</f>
        <v/>
      </c>
      <c r="L636" s="4" t="str">
        <f>HYPERLINK("http://141.218.60.56/~jnz1568/getInfo.php?workbook=08_02.xlsx&amp;sheet=A0&amp;row=636&amp;col=12&amp;number=&amp;sourceID=30","")</f>
        <v/>
      </c>
      <c r="M636" s="4" t="str">
        <f>HYPERLINK("http://141.218.60.56/~jnz1568/getInfo.php?workbook=08_02.xlsx&amp;sheet=A0&amp;row=636&amp;col=13&amp;number=&amp;sourceID=30","")</f>
        <v/>
      </c>
      <c r="N636" s="4" t="str">
        <f>HYPERLINK("http://141.218.60.56/~jnz1568/getInfo.php?workbook=08_02.xlsx&amp;sheet=A0&amp;row=636&amp;col=14&amp;number=0.3397&amp;sourceID=30","0.3397")</f>
        <v>0.3397</v>
      </c>
      <c r="O636" s="4" t="str">
        <f>HYPERLINK("http://141.218.60.56/~jnz1568/getInfo.php?workbook=08_02.xlsx&amp;sheet=A0&amp;row=636&amp;col=15&amp;number=&amp;sourceID=32","")</f>
        <v/>
      </c>
      <c r="P636" s="4" t="str">
        <f>HYPERLINK("http://141.218.60.56/~jnz1568/getInfo.php?workbook=08_02.xlsx&amp;sheet=A0&amp;row=636&amp;col=16&amp;number=&amp;sourceID=32","")</f>
        <v/>
      </c>
      <c r="Q636" s="4" t="str">
        <f>HYPERLINK("http://141.218.60.56/~jnz1568/getInfo.php?workbook=08_02.xlsx&amp;sheet=A0&amp;row=636&amp;col=17&amp;number=&amp;sourceID=32","")</f>
        <v/>
      </c>
      <c r="R636" s="4" t="str">
        <f>HYPERLINK("http://141.218.60.56/~jnz1568/getInfo.php?workbook=08_02.xlsx&amp;sheet=A0&amp;row=636&amp;col=18&amp;number=0.3468&amp;sourceID=32","0.3468")</f>
        <v>0.3468</v>
      </c>
      <c r="S636" s="4" t="str">
        <f>HYPERLINK("http://141.218.60.56/~jnz1568/getInfo.php?workbook=08_02.xlsx&amp;sheet=A0&amp;row=636&amp;col=19&amp;number=&amp;sourceID=1","")</f>
        <v/>
      </c>
      <c r="T636" s="4" t="str">
        <f>HYPERLINK("http://141.218.60.56/~jnz1568/getInfo.php?workbook=08_02.xlsx&amp;sheet=A0&amp;row=636&amp;col=20&amp;number=&amp;sourceID=1","")</f>
        <v/>
      </c>
    </row>
    <row r="637" spans="1:20">
      <c r="A637" s="3">
        <v>8</v>
      </c>
      <c r="B637" s="3">
        <v>2</v>
      </c>
      <c r="C637" s="3">
        <v>40</v>
      </c>
      <c r="D637" s="3">
        <v>11</v>
      </c>
      <c r="E637" s="3">
        <f>((1/(INDEX(E0!J$4:J$52,C637,1)-INDEX(E0!J$4:J$52,D637,1))))*100000000</f>
        <v>0</v>
      </c>
      <c r="F637" s="4" t="str">
        <f>HYPERLINK("http://141.218.60.56/~jnz1568/getInfo.php?workbook=08_02.xlsx&amp;sheet=A0&amp;row=637&amp;col=6&amp;number=&amp;sourceID=27","")</f>
        <v/>
      </c>
      <c r="G637" s="4" t="str">
        <f>HYPERLINK("http://141.218.60.56/~jnz1568/getInfo.php?workbook=08_02.xlsx&amp;sheet=A0&amp;row=637&amp;col=7&amp;number=8310000000&amp;sourceID=34","8310000000")</f>
        <v>8310000000</v>
      </c>
      <c r="H637" s="4" t="str">
        <f>HYPERLINK("http://141.218.60.56/~jnz1568/getInfo.php?workbook=08_02.xlsx&amp;sheet=A0&amp;row=637&amp;col=8&amp;number=&amp;sourceID=34","")</f>
        <v/>
      </c>
      <c r="I637" s="4" t="str">
        <f>HYPERLINK("http://141.218.60.56/~jnz1568/getInfo.php?workbook=08_02.xlsx&amp;sheet=A0&amp;row=637&amp;col=9&amp;number=&amp;sourceID=34","")</f>
        <v/>
      </c>
      <c r="J637" s="4" t="str">
        <f>HYPERLINK("http://141.218.60.56/~jnz1568/getInfo.php?workbook=08_02.xlsx&amp;sheet=A0&amp;row=637&amp;col=10&amp;number=&amp;sourceID=34","")</f>
        <v/>
      </c>
      <c r="K637" s="4" t="str">
        <f>HYPERLINK("http://141.218.60.56/~jnz1568/getInfo.php?workbook=08_02.xlsx&amp;sheet=A0&amp;row=637&amp;col=11&amp;number=8121000000&amp;sourceID=30","8121000000")</f>
        <v>8121000000</v>
      </c>
      <c r="L637" s="4" t="str">
        <f>HYPERLINK("http://141.218.60.56/~jnz1568/getInfo.php?workbook=08_02.xlsx&amp;sheet=A0&amp;row=637&amp;col=12&amp;number=&amp;sourceID=30","")</f>
        <v/>
      </c>
      <c r="M637" s="4" t="str">
        <f>HYPERLINK("http://141.218.60.56/~jnz1568/getInfo.php?workbook=08_02.xlsx&amp;sheet=A0&amp;row=637&amp;col=13&amp;number=&amp;sourceID=30","")</f>
        <v/>
      </c>
      <c r="N637" s="4" t="str">
        <f>HYPERLINK("http://141.218.60.56/~jnz1568/getInfo.php?workbook=08_02.xlsx&amp;sheet=A0&amp;row=637&amp;col=14&amp;number=15.23&amp;sourceID=30","15.23")</f>
        <v>15.23</v>
      </c>
      <c r="O637" s="4" t="str">
        <f>HYPERLINK("http://141.218.60.56/~jnz1568/getInfo.php?workbook=08_02.xlsx&amp;sheet=A0&amp;row=637&amp;col=15&amp;number=8282000000&amp;sourceID=32","8282000000")</f>
        <v>8282000000</v>
      </c>
      <c r="P637" s="4" t="str">
        <f>HYPERLINK("http://141.218.60.56/~jnz1568/getInfo.php?workbook=08_02.xlsx&amp;sheet=A0&amp;row=637&amp;col=16&amp;number=&amp;sourceID=32","")</f>
        <v/>
      </c>
      <c r="Q637" s="4" t="str">
        <f>HYPERLINK("http://141.218.60.56/~jnz1568/getInfo.php?workbook=08_02.xlsx&amp;sheet=A0&amp;row=637&amp;col=17&amp;number=&amp;sourceID=32","")</f>
        <v/>
      </c>
      <c r="R637" s="4" t="str">
        <f>HYPERLINK("http://141.218.60.56/~jnz1568/getInfo.php?workbook=08_02.xlsx&amp;sheet=A0&amp;row=637&amp;col=18&amp;number=15.56&amp;sourceID=32","15.56")</f>
        <v>15.56</v>
      </c>
      <c r="S637" s="4" t="str">
        <f>HYPERLINK("http://141.218.60.56/~jnz1568/getInfo.php?workbook=08_02.xlsx&amp;sheet=A0&amp;row=637&amp;col=19&amp;number=&amp;sourceID=1","")</f>
        <v/>
      </c>
      <c r="T637" s="4" t="str">
        <f>HYPERLINK("http://141.218.60.56/~jnz1568/getInfo.php?workbook=08_02.xlsx&amp;sheet=A0&amp;row=637&amp;col=20&amp;number=&amp;sourceID=1","")</f>
        <v/>
      </c>
    </row>
    <row r="638" spans="1:20">
      <c r="A638" s="3">
        <v>8</v>
      </c>
      <c r="B638" s="3">
        <v>2</v>
      </c>
      <c r="C638" s="3">
        <v>40</v>
      </c>
      <c r="D638" s="3">
        <v>13</v>
      </c>
      <c r="E638" s="3">
        <f>((1/(INDEX(E0!J$4:J$52,C638,1)-INDEX(E0!J$4:J$52,D638,1))))*100000000</f>
        <v>0</v>
      </c>
      <c r="F638" s="4" t="str">
        <f>HYPERLINK("http://141.218.60.56/~jnz1568/getInfo.php?workbook=08_02.xlsx&amp;sheet=A0&amp;row=638&amp;col=6&amp;number=&amp;sourceID=27","")</f>
        <v/>
      </c>
      <c r="G638" s="4" t="str">
        <f>HYPERLINK("http://141.218.60.56/~jnz1568/getInfo.php?workbook=08_02.xlsx&amp;sheet=A0&amp;row=638&amp;col=7&amp;number=&amp;sourceID=34","")</f>
        <v/>
      </c>
      <c r="H638" s="4" t="str">
        <f>HYPERLINK("http://141.218.60.56/~jnz1568/getInfo.php?workbook=08_02.xlsx&amp;sheet=A0&amp;row=638&amp;col=8&amp;number=&amp;sourceID=34","")</f>
        <v/>
      </c>
      <c r="I638" s="4" t="str">
        <f>HYPERLINK("http://141.218.60.56/~jnz1568/getInfo.php?workbook=08_02.xlsx&amp;sheet=A0&amp;row=638&amp;col=9&amp;number=&amp;sourceID=34","")</f>
        <v/>
      </c>
      <c r="J638" s="4" t="str">
        <f>HYPERLINK("http://141.218.60.56/~jnz1568/getInfo.php?workbook=08_02.xlsx&amp;sheet=A0&amp;row=638&amp;col=10&amp;number=&amp;sourceID=34","")</f>
        <v/>
      </c>
      <c r="K638" s="4" t="str">
        <f>HYPERLINK("http://141.218.60.56/~jnz1568/getInfo.php?workbook=08_02.xlsx&amp;sheet=A0&amp;row=638&amp;col=11&amp;number=&amp;sourceID=30","")</f>
        <v/>
      </c>
      <c r="L638" s="4" t="str">
        <f>HYPERLINK("http://141.218.60.56/~jnz1568/getInfo.php?workbook=08_02.xlsx&amp;sheet=A0&amp;row=638&amp;col=12&amp;number=1904&amp;sourceID=30","1904")</f>
        <v>1904</v>
      </c>
      <c r="M638" s="4" t="str">
        <f>HYPERLINK("http://141.218.60.56/~jnz1568/getInfo.php?workbook=08_02.xlsx&amp;sheet=A0&amp;row=638&amp;col=13&amp;number=&amp;sourceID=30","")</f>
        <v/>
      </c>
      <c r="N638" s="4" t="str">
        <f>HYPERLINK("http://141.218.60.56/~jnz1568/getInfo.php?workbook=08_02.xlsx&amp;sheet=A0&amp;row=638&amp;col=14&amp;number=&amp;sourceID=30","")</f>
        <v/>
      </c>
      <c r="O638" s="4" t="str">
        <f>HYPERLINK("http://141.218.60.56/~jnz1568/getInfo.php?workbook=08_02.xlsx&amp;sheet=A0&amp;row=638&amp;col=15&amp;number=&amp;sourceID=32","")</f>
        <v/>
      </c>
      <c r="P638" s="4" t="str">
        <f>HYPERLINK("http://141.218.60.56/~jnz1568/getInfo.php?workbook=08_02.xlsx&amp;sheet=A0&amp;row=638&amp;col=16&amp;number=1924&amp;sourceID=32","1924")</f>
        <v>1924</v>
      </c>
      <c r="Q638" s="4" t="str">
        <f>HYPERLINK("http://141.218.60.56/~jnz1568/getInfo.php?workbook=08_02.xlsx&amp;sheet=A0&amp;row=638&amp;col=17&amp;number=&amp;sourceID=32","")</f>
        <v/>
      </c>
      <c r="R638" s="4" t="str">
        <f>HYPERLINK("http://141.218.60.56/~jnz1568/getInfo.php?workbook=08_02.xlsx&amp;sheet=A0&amp;row=638&amp;col=18&amp;number=&amp;sourceID=32","")</f>
        <v/>
      </c>
      <c r="S638" s="4" t="str">
        <f>HYPERLINK("http://141.218.60.56/~jnz1568/getInfo.php?workbook=08_02.xlsx&amp;sheet=A0&amp;row=638&amp;col=19&amp;number=&amp;sourceID=1","")</f>
        <v/>
      </c>
      <c r="T638" s="4" t="str">
        <f>HYPERLINK("http://141.218.60.56/~jnz1568/getInfo.php?workbook=08_02.xlsx&amp;sheet=A0&amp;row=638&amp;col=20&amp;number=&amp;sourceID=1","")</f>
        <v/>
      </c>
    </row>
    <row r="639" spans="1:20">
      <c r="A639" s="3">
        <v>8</v>
      </c>
      <c r="B639" s="3">
        <v>2</v>
      </c>
      <c r="C639" s="3">
        <v>40</v>
      </c>
      <c r="D639" s="3">
        <v>14</v>
      </c>
      <c r="E639" s="3">
        <f>((1/(INDEX(E0!J$4:J$52,C639,1)-INDEX(E0!J$4:J$52,D639,1))))*100000000</f>
        <v>0</v>
      </c>
      <c r="F639" s="4" t="str">
        <f>HYPERLINK("http://141.218.60.56/~jnz1568/getInfo.php?workbook=08_02.xlsx&amp;sheet=A0&amp;row=639&amp;col=6&amp;number=&amp;sourceID=27","")</f>
        <v/>
      </c>
      <c r="G639" s="4" t="str">
        <f>HYPERLINK("http://141.218.60.56/~jnz1568/getInfo.php?workbook=08_02.xlsx&amp;sheet=A0&amp;row=639&amp;col=7&amp;number=&amp;sourceID=34","")</f>
        <v/>
      </c>
      <c r="H639" s="4" t="str">
        <f>HYPERLINK("http://141.218.60.56/~jnz1568/getInfo.php?workbook=08_02.xlsx&amp;sheet=A0&amp;row=639&amp;col=8&amp;number=&amp;sourceID=34","")</f>
        <v/>
      </c>
      <c r="I639" s="4" t="str">
        <f>HYPERLINK("http://141.218.60.56/~jnz1568/getInfo.php?workbook=08_02.xlsx&amp;sheet=A0&amp;row=639&amp;col=9&amp;number=&amp;sourceID=34","")</f>
        <v/>
      </c>
      <c r="J639" s="4" t="str">
        <f>HYPERLINK("http://141.218.60.56/~jnz1568/getInfo.php?workbook=08_02.xlsx&amp;sheet=A0&amp;row=639&amp;col=10&amp;number=&amp;sourceID=34","")</f>
        <v/>
      </c>
      <c r="K639" s="4" t="str">
        <f>HYPERLINK("http://141.218.60.56/~jnz1568/getInfo.php?workbook=08_02.xlsx&amp;sheet=A0&amp;row=639&amp;col=11&amp;number=&amp;sourceID=30","")</f>
        <v/>
      </c>
      <c r="L639" s="4" t="str">
        <f>HYPERLINK("http://141.218.60.56/~jnz1568/getInfo.php?workbook=08_02.xlsx&amp;sheet=A0&amp;row=639&amp;col=12&amp;number=18840&amp;sourceID=30","18840")</f>
        <v>18840</v>
      </c>
      <c r="M639" s="4" t="str">
        <f>HYPERLINK("http://141.218.60.56/~jnz1568/getInfo.php?workbook=08_02.xlsx&amp;sheet=A0&amp;row=639&amp;col=13&amp;number=0.002416&amp;sourceID=30","0.002416")</f>
        <v>0.002416</v>
      </c>
      <c r="N639" s="4" t="str">
        <f>HYPERLINK("http://141.218.60.56/~jnz1568/getInfo.php?workbook=08_02.xlsx&amp;sheet=A0&amp;row=639&amp;col=14&amp;number=&amp;sourceID=30","")</f>
        <v/>
      </c>
      <c r="O639" s="4" t="str">
        <f>HYPERLINK("http://141.218.60.56/~jnz1568/getInfo.php?workbook=08_02.xlsx&amp;sheet=A0&amp;row=639&amp;col=15&amp;number=&amp;sourceID=32","")</f>
        <v/>
      </c>
      <c r="P639" s="4" t="str">
        <f>HYPERLINK("http://141.218.60.56/~jnz1568/getInfo.php?workbook=08_02.xlsx&amp;sheet=A0&amp;row=639&amp;col=16&amp;number=18980&amp;sourceID=32","18980")</f>
        <v>18980</v>
      </c>
      <c r="Q639" s="4" t="str">
        <f>HYPERLINK("http://141.218.60.56/~jnz1568/getInfo.php?workbook=08_02.xlsx&amp;sheet=A0&amp;row=639&amp;col=17&amp;number=0.002566&amp;sourceID=32","0.002566")</f>
        <v>0.002566</v>
      </c>
      <c r="R639" s="4" t="str">
        <f>HYPERLINK("http://141.218.60.56/~jnz1568/getInfo.php?workbook=08_02.xlsx&amp;sheet=A0&amp;row=639&amp;col=18&amp;number=&amp;sourceID=32","")</f>
        <v/>
      </c>
      <c r="S639" s="4" t="str">
        <f>HYPERLINK("http://141.218.60.56/~jnz1568/getInfo.php?workbook=08_02.xlsx&amp;sheet=A0&amp;row=639&amp;col=19&amp;number=&amp;sourceID=1","")</f>
        <v/>
      </c>
      <c r="T639" s="4" t="str">
        <f>HYPERLINK("http://141.218.60.56/~jnz1568/getInfo.php?workbook=08_02.xlsx&amp;sheet=A0&amp;row=639&amp;col=20&amp;number=&amp;sourceID=1","")</f>
        <v/>
      </c>
    </row>
    <row r="640" spans="1:20">
      <c r="A640" s="3">
        <v>8</v>
      </c>
      <c r="B640" s="3">
        <v>2</v>
      </c>
      <c r="C640" s="3">
        <v>40</v>
      </c>
      <c r="D640" s="3">
        <v>15</v>
      </c>
      <c r="E640" s="3">
        <f>((1/(INDEX(E0!J$4:J$52,C640,1)-INDEX(E0!J$4:J$52,D640,1))))*100000000</f>
        <v>0</v>
      </c>
      <c r="F640" s="4" t="str">
        <f>HYPERLINK("http://141.218.60.56/~jnz1568/getInfo.php?workbook=08_02.xlsx&amp;sheet=A0&amp;row=640&amp;col=6&amp;number=&amp;sourceID=27","")</f>
        <v/>
      </c>
      <c r="G640" s="4" t="str">
        <f>HYPERLINK("http://141.218.60.56/~jnz1568/getInfo.php?workbook=08_02.xlsx&amp;sheet=A0&amp;row=640&amp;col=7&amp;number=&amp;sourceID=34","")</f>
        <v/>
      </c>
      <c r="H640" s="4" t="str">
        <f>HYPERLINK("http://141.218.60.56/~jnz1568/getInfo.php?workbook=08_02.xlsx&amp;sheet=A0&amp;row=640&amp;col=8&amp;number=&amp;sourceID=34","")</f>
        <v/>
      </c>
      <c r="I640" s="4" t="str">
        <f>HYPERLINK("http://141.218.60.56/~jnz1568/getInfo.php?workbook=08_02.xlsx&amp;sheet=A0&amp;row=640&amp;col=9&amp;number=&amp;sourceID=34","")</f>
        <v/>
      </c>
      <c r="J640" s="4" t="str">
        <f>HYPERLINK("http://141.218.60.56/~jnz1568/getInfo.php?workbook=08_02.xlsx&amp;sheet=A0&amp;row=640&amp;col=10&amp;number=&amp;sourceID=34","")</f>
        <v/>
      </c>
      <c r="K640" s="4" t="str">
        <f>HYPERLINK("http://141.218.60.56/~jnz1568/getInfo.php?workbook=08_02.xlsx&amp;sheet=A0&amp;row=640&amp;col=11&amp;number=&amp;sourceID=30","")</f>
        <v/>
      </c>
      <c r="L640" s="4" t="str">
        <f>HYPERLINK("http://141.218.60.56/~jnz1568/getInfo.php?workbook=08_02.xlsx&amp;sheet=A0&amp;row=640&amp;col=12&amp;number=45760&amp;sourceID=30","45760")</f>
        <v>45760</v>
      </c>
      <c r="M640" s="4" t="str">
        <f>HYPERLINK("http://141.218.60.56/~jnz1568/getInfo.php?workbook=08_02.xlsx&amp;sheet=A0&amp;row=640&amp;col=13&amp;number=0.01699&amp;sourceID=30","0.01699")</f>
        <v>0.01699</v>
      </c>
      <c r="N640" s="4" t="str">
        <f>HYPERLINK("http://141.218.60.56/~jnz1568/getInfo.php?workbook=08_02.xlsx&amp;sheet=A0&amp;row=640&amp;col=14&amp;number=&amp;sourceID=30","")</f>
        <v/>
      </c>
      <c r="O640" s="4" t="str">
        <f>HYPERLINK("http://141.218.60.56/~jnz1568/getInfo.php?workbook=08_02.xlsx&amp;sheet=A0&amp;row=640&amp;col=15&amp;number=&amp;sourceID=32","")</f>
        <v/>
      </c>
      <c r="P640" s="4" t="str">
        <f>HYPERLINK("http://141.218.60.56/~jnz1568/getInfo.php?workbook=08_02.xlsx&amp;sheet=A0&amp;row=640&amp;col=16&amp;number=46270&amp;sourceID=32","46270")</f>
        <v>46270</v>
      </c>
      <c r="Q640" s="4" t="str">
        <f>HYPERLINK("http://141.218.60.56/~jnz1568/getInfo.php?workbook=08_02.xlsx&amp;sheet=A0&amp;row=640&amp;col=17&amp;number=0.01611&amp;sourceID=32","0.01611")</f>
        <v>0.01611</v>
      </c>
      <c r="R640" s="4" t="str">
        <f>HYPERLINK("http://141.218.60.56/~jnz1568/getInfo.php?workbook=08_02.xlsx&amp;sheet=A0&amp;row=640&amp;col=18&amp;number=&amp;sourceID=32","")</f>
        <v/>
      </c>
      <c r="S640" s="4" t="str">
        <f>HYPERLINK("http://141.218.60.56/~jnz1568/getInfo.php?workbook=08_02.xlsx&amp;sheet=A0&amp;row=640&amp;col=19&amp;number=&amp;sourceID=1","")</f>
        <v/>
      </c>
      <c r="T640" s="4" t="str">
        <f>HYPERLINK("http://141.218.60.56/~jnz1568/getInfo.php?workbook=08_02.xlsx&amp;sheet=A0&amp;row=640&amp;col=20&amp;number=&amp;sourceID=1","")</f>
        <v/>
      </c>
    </row>
    <row r="641" spans="1:20">
      <c r="A641" s="3">
        <v>8</v>
      </c>
      <c r="B641" s="3">
        <v>2</v>
      </c>
      <c r="C641" s="3">
        <v>40</v>
      </c>
      <c r="D641" s="3">
        <v>16</v>
      </c>
      <c r="E641" s="3">
        <f>((1/(INDEX(E0!J$4:J$52,C641,1)-INDEX(E0!J$4:J$52,D641,1))))*100000000</f>
        <v>0</v>
      </c>
      <c r="F641" s="4" t="str">
        <f>HYPERLINK("http://141.218.60.56/~jnz1568/getInfo.php?workbook=08_02.xlsx&amp;sheet=A0&amp;row=641&amp;col=6&amp;number=&amp;sourceID=27","")</f>
        <v/>
      </c>
      <c r="G641" s="4" t="str">
        <f>HYPERLINK("http://141.218.60.56/~jnz1568/getInfo.php?workbook=08_02.xlsx&amp;sheet=A0&amp;row=641&amp;col=7&amp;number=&amp;sourceID=34","")</f>
        <v/>
      </c>
      <c r="H641" s="4" t="str">
        <f>HYPERLINK("http://141.218.60.56/~jnz1568/getInfo.php?workbook=08_02.xlsx&amp;sheet=A0&amp;row=641&amp;col=8&amp;number=&amp;sourceID=34","")</f>
        <v/>
      </c>
      <c r="I641" s="4" t="str">
        <f>HYPERLINK("http://141.218.60.56/~jnz1568/getInfo.php?workbook=08_02.xlsx&amp;sheet=A0&amp;row=641&amp;col=9&amp;number=&amp;sourceID=34","")</f>
        <v/>
      </c>
      <c r="J641" s="4" t="str">
        <f>HYPERLINK("http://141.218.60.56/~jnz1568/getInfo.php?workbook=08_02.xlsx&amp;sheet=A0&amp;row=641&amp;col=10&amp;number=&amp;sourceID=34","")</f>
        <v/>
      </c>
      <c r="K641" s="4" t="str">
        <f>HYPERLINK("http://141.218.60.56/~jnz1568/getInfo.php?workbook=08_02.xlsx&amp;sheet=A0&amp;row=641&amp;col=11&amp;number=&amp;sourceID=30","")</f>
        <v/>
      </c>
      <c r="L641" s="4" t="str">
        <f>HYPERLINK("http://141.218.60.56/~jnz1568/getInfo.php?workbook=08_02.xlsx&amp;sheet=A0&amp;row=641&amp;col=12&amp;number=242.6&amp;sourceID=30","242.6")</f>
        <v>242.6</v>
      </c>
      <c r="M641" s="4" t="str">
        <f>HYPERLINK("http://141.218.60.56/~jnz1568/getInfo.php?workbook=08_02.xlsx&amp;sheet=A0&amp;row=641&amp;col=13&amp;number=0.0002124&amp;sourceID=30","0.0002124")</f>
        <v>0.0002124</v>
      </c>
      <c r="N641" s="4" t="str">
        <f>HYPERLINK("http://141.218.60.56/~jnz1568/getInfo.php?workbook=08_02.xlsx&amp;sheet=A0&amp;row=641&amp;col=14&amp;number=&amp;sourceID=30","")</f>
        <v/>
      </c>
      <c r="O641" s="4" t="str">
        <f>HYPERLINK("http://141.218.60.56/~jnz1568/getInfo.php?workbook=08_02.xlsx&amp;sheet=A0&amp;row=641&amp;col=15&amp;number=&amp;sourceID=32","")</f>
        <v/>
      </c>
      <c r="P641" s="4" t="str">
        <f>HYPERLINK("http://141.218.60.56/~jnz1568/getInfo.php?workbook=08_02.xlsx&amp;sheet=A0&amp;row=641&amp;col=16&amp;number=304.5&amp;sourceID=32","304.5")</f>
        <v>304.5</v>
      </c>
      <c r="Q641" s="4" t="str">
        <f>HYPERLINK("http://141.218.60.56/~jnz1568/getInfo.php?workbook=08_02.xlsx&amp;sheet=A0&amp;row=641&amp;col=17&amp;number=0.0002325&amp;sourceID=32","0.0002325")</f>
        <v>0.0002325</v>
      </c>
      <c r="R641" s="4" t="str">
        <f>HYPERLINK("http://141.218.60.56/~jnz1568/getInfo.php?workbook=08_02.xlsx&amp;sheet=A0&amp;row=641&amp;col=18&amp;number=&amp;sourceID=32","")</f>
        <v/>
      </c>
      <c r="S641" s="4" t="str">
        <f>HYPERLINK("http://141.218.60.56/~jnz1568/getInfo.php?workbook=08_02.xlsx&amp;sheet=A0&amp;row=641&amp;col=19&amp;number=&amp;sourceID=1","")</f>
        <v/>
      </c>
      <c r="T641" s="4" t="str">
        <f>HYPERLINK("http://141.218.60.56/~jnz1568/getInfo.php?workbook=08_02.xlsx&amp;sheet=A0&amp;row=641&amp;col=20&amp;number=&amp;sourceID=1","")</f>
        <v/>
      </c>
    </row>
    <row r="642" spans="1:20">
      <c r="A642" s="3">
        <v>8</v>
      </c>
      <c r="B642" s="3">
        <v>2</v>
      </c>
      <c r="C642" s="3">
        <v>40</v>
      </c>
      <c r="D642" s="3">
        <v>17</v>
      </c>
      <c r="E642" s="3">
        <f>((1/(INDEX(E0!J$4:J$52,C642,1)-INDEX(E0!J$4:J$52,D642,1))))*100000000</f>
        <v>0</v>
      </c>
      <c r="F642" s="4" t="str">
        <f>HYPERLINK("http://141.218.60.56/~jnz1568/getInfo.php?workbook=08_02.xlsx&amp;sheet=A0&amp;row=642&amp;col=6&amp;number=&amp;sourceID=27","")</f>
        <v/>
      </c>
      <c r="G642" s="4" t="str">
        <f>HYPERLINK("http://141.218.60.56/~jnz1568/getInfo.php?workbook=08_02.xlsx&amp;sheet=A0&amp;row=642&amp;col=7&amp;number=&amp;sourceID=34","")</f>
        <v/>
      </c>
      <c r="H642" s="4" t="str">
        <f>HYPERLINK("http://141.218.60.56/~jnz1568/getInfo.php?workbook=08_02.xlsx&amp;sheet=A0&amp;row=642&amp;col=8&amp;number=&amp;sourceID=34","")</f>
        <v/>
      </c>
      <c r="I642" s="4" t="str">
        <f>HYPERLINK("http://141.218.60.56/~jnz1568/getInfo.php?workbook=08_02.xlsx&amp;sheet=A0&amp;row=642&amp;col=9&amp;number=&amp;sourceID=34","")</f>
        <v/>
      </c>
      <c r="J642" s="4" t="str">
        <f>HYPERLINK("http://141.218.60.56/~jnz1568/getInfo.php?workbook=08_02.xlsx&amp;sheet=A0&amp;row=642&amp;col=10&amp;number=&amp;sourceID=34","")</f>
        <v/>
      </c>
      <c r="K642" s="4" t="str">
        <f>HYPERLINK("http://141.218.60.56/~jnz1568/getInfo.php?workbook=08_02.xlsx&amp;sheet=A0&amp;row=642&amp;col=11&amp;number=&amp;sourceID=30","")</f>
        <v/>
      </c>
      <c r="L642" s="4" t="str">
        <f>HYPERLINK("http://141.218.60.56/~jnz1568/getInfo.php?workbook=08_02.xlsx&amp;sheet=A0&amp;row=642&amp;col=12&amp;number=&amp;sourceID=30","")</f>
        <v/>
      </c>
      <c r="M642" s="4" t="str">
        <f>HYPERLINK("http://141.218.60.56/~jnz1568/getInfo.php?workbook=08_02.xlsx&amp;sheet=A0&amp;row=642&amp;col=13&amp;number=&amp;sourceID=30","")</f>
        <v/>
      </c>
      <c r="N642" s="4" t="str">
        <f>HYPERLINK("http://141.218.60.56/~jnz1568/getInfo.php?workbook=08_02.xlsx&amp;sheet=A0&amp;row=642&amp;col=14&amp;number=5.359&amp;sourceID=30","5.359")</f>
        <v>5.359</v>
      </c>
      <c r="O642" s="4" t="str">
        <f>HYPERLINK("http://141.218.60.56/~jnz1568/getInfo.php?workbook=08_02.xlsx&amp;sheet=A0&amp;row=642&amp;col=15&amp;number=&amp;sourceID=32","")</f>
        <v/>
      </c>
      <c r="P642" s="4" t="str">
        <f>HYPERLINK("http://141.218.60.56/~jnz1568/getInfo.php?workbook=08_02.xlsx&amp;sheet=A0&amp;row=642&amp;col=16&amp;number=&amp;sourceID=32","")</f>
        <v/>
      </c>
      <c r="Q642" s="4" t="str">
        <f>HYPERLINK("http://141.218.60.56/~jnz1568/getInfo.php?workbook=08_02.xlsx&amp;sheet=A0&amp;row=642&amp;col=17&amp;number=&amp;sourceID=32","")</f>
        <v/>
      </c>
      <c r="R642" s="4" t="str">
        <f>HYPERLINK("http://141.218.60.56/~jnz1568/getInfo.php?workbook=08_02.xlsx&amp;sheet=A0&amp;row=642&amp;col=18&amp;number=5.127&amp;sourceID=32","5.127")</f>
        <v>5.127</v>
      </c>
      <c r="S642" s="4" t="str">
        <f>HYPERLINK("http://141.218.60.56/~jnz1568/getInfo.php?workbook=08_02.xlsx&amp;sheet=A0&amp;row=642&amp;col=19&amp;number=&amp;sourceID=1","")</f>
        <v/>
      </c>
      <c r="T642" s="4" t="str">
        <f>HYPERLINK("http://141.218.60.56/~jnz1568/getInfo.php?workbook=08_02.xlsx&amp;sheet=A0&amp;row=642&amp;col=20&amp;number=&amp;sourceID=1","")</f>
        <v/>
      </c>
    </row>
    <row r="643" spans="1:20">
      <c r="A643" s="3">
        <v>8</v>
      </c>
      <c r="B643" s="3">
        <v>2</v>
      </c>
      <c r="C643" s="3">
        <v>40</v>
      </c>
      <c r="D643" s="3">
        <v>18</v>
      </c>
      <c r="E643" s="3">
        <f>((1/(INDEX(E0!J$4:J$52,C643,1)-INDEX(E0!J$4:J$52,D643,1))))*100000000</f>
        <v>0</v>
      </c>
      <c r="F643" s="4" t="str">
        <f>HYPERLINK("http://141.218.60.56/~jnz1568/getInfo.php?workbook=08_02.xlsx&amp;sheet=A0&amp;row=643&amp;col=6&amp;number=&amp;sourceID=27","")</f>
        <v/>
      </c>
      <c r="G643" s="4" t="str">
        <f>HYPERLINK("http://141.218.60.56/~jnz1568/getInfo.php?workbook=08_02.xlsx&amp;sheet=A0&amp;row=643&amp;col=7&amp;number=&amp;sourceID=34","")</f>
        <v/>
      </c>
      <c r="H643" s="4" t="str">
        <f>HYPERLINK("http://141.218.60.56/~jnz1568/getInfo.php?workbook=08_02.xlsx&amp;sheet=A0&amp;row=643&amp;col=8&amp;number=&amp;sourceID=34","")</f>
        <v/>
      </c>
      <c r="I643" s="4" t="str">
        <f>HYPERLINK("http://141.218.60.56/~jnz1568/getInfo.php?workbook=08_02.xlsx&amp;sheet=A0&amp;row=643&amp;col=9&amp;number=&amp;sourceID=34","")</f>
        <v/>
      </c>
      <c r="J643" s="4" t="str">
        <f>HYPERLINK("http://141.218.60.56/~jnz1568/getInfo.php?workbook=08_02.xlsx&amp;sheet=A0&amp;row=643&amp;col=10&amp;number=&amp;sourceID=34","")</f>
        <v/>
      </c>
      <c r="K643" s="4" t="str">
        <f>HYPERLINK("http://141.218.60.56/~jnz1568/getInfo.php?workbook=08_02.xlsx&amp;sheet=A0&amp;row=643&amp;col=11&amp;number=&amp;sourceID=30","")</f>
        <v/>
      </c>
      <c r="L643" s="4" t="str">
        <f>HYPERLINK("http://141.218.60.56/~jnz1568/getInfo.php?workbook=08_02.xlsx&amp;sheet=A0&amp;row=643&amp;col=12&amp;number=72000&amp;sourceID=30","72000")</f>
        <v>72000</v>
      </c>
      <c r="M643" s="4" t="str">
        <f>HYPERLINK("http://141.218.60.56/~jnz1568/getInfo.php?workbook=08_02.xlsx&amp;sheet=A0&amp;row=643&amp;col=13&amp;number=&amp;sourceID=30","")</f>
        <v/>
      </c>
      <c r="N643" s="4" t="str">
        <f>HYPERLINK("http://141.218.60.56/~jnz1568/getInfo.php?workbook=08_02.xlsx&amp;sheet=A0&amp;row=643&amp;col=14&amp;number=&amp;sourceID=30","")</f>
        <v/>
      </c>
      <c r="O643" s="4" t="str">
        <f>HYPERLINK("http://141.218.60.56/~jnz1568/getInfo.php?workbook=08_02.xlsx&amp;sheet=A0&amp;row=643&amp;col=15&amp;number=&amp;sourceID=32","")</f>
        <v/>
      </c>
      <c r="P643" s="4" t="str">
        <f>HYPERLINK("http://141.218.60.56/~jnz1568/getInfo.php?workbook=08_02.xlsx&amp;sheet=A0&amp;row=643&amp;col=16&amp;number=73170&amp;sourceID=32","73170")</f>
        <v>73170</v>
      </c>
      <c r="Q643" s="4" t="str">
        <f>HYPERLINK("http://141.218.60.56/~jnz1568/getInfo.php?workbook=08_02.xlsx&amp;sheet=A0&amp;row=643&amp;col=17&amp;number=&amp;sourceID=32","")</f>
        <v/>
      </c>
      <c r="R643" s="4" t="str">
        <f>HYPERLINK("http://141.218.60.56/~jnz1568/getInfo.php?workbook=08_02.xlsx&amp;sheet=A0&amp;row=643&amp;col=18&amp;number=&amp;sourceID=32","")</f>
        <v/>
      </c>
      <c r="S643" s="4" t="str">
        <f>HYPERLINK("http://141.218.60.56/~jnz1568/getInfo.php?workbook=08_02.xlsx&amp;sheet=A0&amp;row=643&amp;col=19&amp;number=&amp;sourceID=1","")</f>
        <v/>
      </c>
      <c r="T643" s="4" t="str">
        <f>HYPERLINK("http://141.218.60.56/~jnz1568/getInfo.php?workbook=08_02.xlsx&amp;sheet=A0&amp;row=643&amp;col=20&amp;number=&amp;sourceID=1","")</f>
        <v/>
      </c>
    </row>
    <row r="644" spans="1:20">
      <c r="A644" s="3">
        <v>8</v>
      </c>
      <c r="B644" s="3">
        <v>2</v>
      </c>
      <c r="C644" s="3">
        <v>40</v>
      </c>
      <c r="D644" s="3">
        <v>20</v>
      </c>
      <c r="E644" s="3">
        <f>((1/(INDEX(E0!J$4:J$52,C644,1)-INDEX(E0!J$4:J$52,D644,1))))*100000000</f>
        <v>0</v>
      </c>
      <c r="F644" s="4" t="str">
        <f>HYPERLINK("http://141.218.60.56/~jnz1568/getInfo.php?workbook=08_02.xlsx&amp;sheet=A0&amp;row=644&amp;col=6&amp;number=&amp;sourceID=27","")</f>
        <v/>
      </c>
      <c r="G644" s="4" t="str">
        <f>HYPERLINK("http://141.218.60.56/~jnz1568/getInfo.php?workbook=08_02.xlsx&amp;sheet=A0&amp;row=644&amp;col=7&amp;number=&amp;sourceID=34","")</f>
        <v/>
      </c>
      <c r="H644" s="4" t="str">
        <f>HYPERLINK("http://141.218.60.56/~jnz1568/getInfo.php?workbook=08_02.xlsx&amp;sheet=A0&amp;row=644&amp;col=8&amp;number=&amp;sourceID=34","")</f>
        <v/>
      </c>
      <c r="I644" s="4" t="str">
        <f>HYPERLINK("http://141.218.60.56/~jnz1568/getInfo.php?workbook=08_02.xlsx&amp;sheet=A0&amp;row=644&amp;col=9&amp;number=&amp;sourceID=34","")</f>
        <v/>
      </c>
      <c r="J644" s="4" t="str">
        <f>HYPERLINK("http://141.218.60.56/~jnz1568/getInfo.php?workbook=08_02.xlsx&amp;sheet=A0&amp;row=644&amp;col=10&amp;number=&amp;sourceID=34","")</f>
        <v/>
      </c>
      <c r="K644" s="4" t="str">
        <f>HYPERLINK("http://141.218.60.56/~jnz1568/getInfo.php?workbook=08_02.xlsx&amp;sheet=A0&amp;row=644&amp;col=11&amp;number=&amp;sourceID=30","")</f>
        <v/>
      </c>
      <c r="L644" s="4" t="str">
        <f>HYPERLINK("http://141.218.60.56/~jnz1568/getInfo.php?workbook=08_02.xlsx&amp;sheet=A0&amp;row=644&amp;col=12&amp;number=&amp;sourceID=30","")</f>
        <v/>
      </c>
      <c r="M644" s="4" t="str">
        <f>HYPERLINK("http://141.218.60.56/~jnz1568/getInfo.php?workbook=08_02.xlsx&amp;sheet=A0&amp;row=644&amp;col=13&amp;number=&amp;sourceID=30","")</f>
        <v/>
      </c>
      <c r="N644" s="4" t="str">
        <f>HYPERLINK("http://141.218.60.56/~jnz1568/getInfo.php?workbook=08_02.xlsx&amp;sheet=A0&amp;row=644&amp;col=14&amp;number=0.01443&amp;sourceID=30","0.01443")</f>
        <v>0.01443</v>
      </c>
      <c r="O644" s="4" t="str">
        <f>HYPERLINK("http://141.218.60.56/~jnz1568/getInfo.php?workbook=08_02.xlsx&amp;sheet=A0&amp;row=644&amp;col=15&amp;number=&amp;sourceID=32","")</f>
        <v/>
      </c>
      <c r="P644" s="4" t="str">
        <f>HYPERLINK("http://141.218.60.56/~jnz1568/getInfo.php?workbook=08_02.xlsx&amp;sheet=A0&amp;row=644&amp;col=16&amp;number=&amp;sourceID=32","")</f>
        <v/>
      </c>
      <c r="Q644" s="4" t="str">
        <f>HYPERLINK("http://141.218.60.56/~jnz1568/getInfo.php?workbook=08_02.xlsx&amp;sheet=A0&amp;row=644&amp;col=17&amp;number=&amp;sourceID=32","")</f>
        <v/>
      </c>
      <c r="R644" s="4" t="str">
        <f>HYPERLINK("http://141.218.60.56/~jnz1568/getInfo.php?workbook=08_02.xlsx&amp;sheet=A0&amp;row=644&amp;col=18&amp;number=0.01461&amp;sourceID=32","0.01461")</f>
        <v>0.01461</v>
      </c>
      <c r="S644" s="4" t="str">
        <f>HYPERLINK("http://141.218.60.56/~jnz1568/getInfo.php?workbook=08_02.xlsx&amp;sheet=A0&amp;row=644&amp;col=19&amp;number=&amp;sourceID=1","")</f>
        <v/>
      </c>
      <c r="T644" s="4" t="str">
        <f>HYPERLINK("http://141.218.60.56/~jnz1568/getInfo.php?workbook=08_02.xlsx&amp;sheet=A0&amp;row=644&amp;col=20&amp;number=&amp;sourceID=1","")</f>
        <v/>
      </c>
    </row>
    <row r="645" spans="1:20">
      <c r="A645" s="3">
        <v>8</v>
      </c>
      <c r="B645" s="3">
        <v>2</v>
      </c>
      <c r="C645" s="3">
        <v>40</v>
      </c>
      <c r="D645" s="3">
        <v>21</v>
      </c>
      <c r="E645" s="3">
        <f>((1/(INDEX(E0!J$4:J$52,C645,1)-INDEX(E0!J$4:J$52,D645,1))))*100000000</f>
        <v>0</v>
      </c>
      <c r="F645" s="4" t="str">
        <f>HYPERLINK("http://141.218.60.56/~jnz1568/getInfo.php?workbook=08_02.xlsx&amp;sheet=A0&amp;row=645&amp;col=6&amp;number=&amp;sourceID=27","")</f>
        <v/>
      </c>
      <c r="G645" s="4" t="str">
        <f>HYPERLINK("http://141.218.60.56/~jnz1568/getInfo.php?workbook=08_02.xlsx&amp;sheet=A0&amp;row=645&amp;col=7&amp;number=3454285714.29&amp;sourceID=34","3454285714.29")</f>
        <v>3454285714.29</v>
      </c>
      <c r="H645" s="4" t="str">
        <f>HYPERLINK("http://141.218.60.56/~jnz1568/getInfo.php?workbook=08_02.xlsx&amp;sheet=A0&amp;row=645&amp;col=8&amp;number=&amp;sourceID=34","")</f>
        <v/>
      </c>
      <c r="I645" s="4" t="str">
        <f>HYPERLINK("http://141.218.60.56/~jnz1568/getInfo.php?workbook=08_02.xlsx&amp;sheet=A0&amp;row=645&amp;col=9&amp;number=&amp;sourceID=34","")</f>
        <v/>
      </c>
      <c r="J645" s="4" t="str">
        <f>HYPERLINK("http://141.218.60.56/~jnz1568/getInfo.php?workbook=08_02.xlsx&amp;sheet=A0&amp;row=645&amp;col=10&amp;number=&amp;sourceID=34","")</f>
        <v/>
      </c>
      <c r="K645" s="4" t="str">
        <f>HYPERLINK("http://141.218.60.56/~jnz1568/getInfo.php?workbook=08_02.xlsx&amp;sheet=A0&amp;row=645&amp;col=11&amp;number=3408000000&amp;sourceID=30","3408000000")</f>
        <v>3408000000</v>
      </c>
      <c r="L645" s="4" t="str">
        <f>HYPERLINK("http://141.218.60.56/~jnz1568/getInfo.php?workbook=08_02.xlsx&amp;sheet=A0&amp;row=645&amp;col=12&amp;number=&amp;sourceID=30","")</f>
        <v/>
      </c>
      <c r="M645" s="4" t="str">
        <f>HYPERLINK("http://141.218.60.56/~jnz1568/getInfo.php?workbook=08_02.xlsx&amp;sheet=A0&amp;row=645&amp;col=13&amp;number=&amp;sourceID=30","")</f>
        <v/>
      </c>
      <c r="N645" s="4" t="str">
        <f>HYPERLINK("http://141.218.60.56/~jnz1568/getInfo.php?workbook=08_02.xlsx&amp;sheet=A0&amp;row=645&amp;col=14&amp;number=0.6484&amp;sourceID=30","0.6484")</f>
        <v>0.6484</v>
      </c>
      <c r="O645" s="4" t="str">
        <f>HYPERLINK("http://141.218.60.56/~jnz1568/getInfo.php?workbook=08_02.xlsx&amp;sheet=A0&amp;row=645&amp;col=15&amp;number=3430000000&amp;sourceID=32","3430000000")</f>
        <v>3430000000</v>
      </c>
      <c r="P645" s="4" t="str">
        <f>HYPERLINK("http://141.218.60.56/~jnz1568/getInfo.php?workbook=08_02.xlsx&amp;sheet=A0&amp;row=645&amp;col=16&amp;number=&amp;sourceID=32","")</f>
        <v/>
      </c>
      <c r="Q645" s="4" t="str">
        <f>HYPERLINK("http://141.218.60.56/~jnz1568/getInfo.php?workbook=08_02.xlsx&amp;sheet=A0&amp;row=645&amp;col=17&amp;number=&amp;sourceID=32","")</f>
        <v/>
      </c>
      <c r="R645" s="4" t="str">
        <f>HYPERLINK("http://141.218.60.56/~jnz1568/getInfo.php?workbook=08_02.xlsx&amp;sheet=A0&amp;row=645&amp;col=18&amp;number=0.6541&amp;sourceID=32","0.6541")</f>
        <v>0.6541</v>
      </c>
      <c r="S645" s="4" t="str">
        <f>HYPERLINK("http://141.218.60.56/~jnz1568/getInfo.php?workbook=08_02.xlsx&amp;sheet=A0&amp;row=645&amp;col=19&amp;number=&amp;sourceID=1","")</f>
        <v/>
      </c>
      <c r="T645" s="4" t="str">
        <f>HYPERLINK("http://141.218.60.56/~jnz1568/getInfo.php?workbook=08_02.xlsx&amp;sheet=A0&amp;row=645&amp;col=20&amp;number=&amp;sourceID=1","")</f>
        <v/>
      </c>
    </row>
    <row r="646" spans="1:20">
      <c r="A646" s="3">
        <v>8</v>
      </c>
      <c r="B646" s="3">
        <v>2</v>
      </c>
      <c r="C646" s="3">
        <v>40</v>
      </c>
      <c r="D646" s="3">
        <v>23</v>
      </c>
      <c r="E646" s="3">
        <f>((1/(INDEX(E0!J$4:J$52,C646,1)-INDEX(E0!J$4:J$52,D646,1))))*100000000</f>
        <v>0</v>
      </c>
      <c r="F646" s="4" t="str">
        <f>HYPERLINK("http://141.218.60.56/~jnz1568/getInfo.php?workbook=08_02.xlsx&amp;sheet=A0&amp;row=646&amp;col=6&amp;number=&amp;sourceID=27","")</f>
        <v/>
      </c>
      <c r="G646" s="4" t="str">
        <f>HYPERLINK("http://141.218.60.56/~jnz1568/getInfo.php?workbook=08_02.xlsx&amp;sheet=A0&amp;row=646&amp;col=7&amp;number=&amp;sourceID=34","")</f>
        <v/>
      </c>
      <c r="H646" s="4" t="str">
        <f>HYPERLINK("http://141.218.60.56/~jnz1568/getInfo.php?workbook=08_02.xlsx&amp;sheet=A0&amp;row=646&amp;col=8&amp;number=&amp;sourceID=34","")</f>
        <v/>
      </c>
      <c r="I646" s="4" t="str">
        <f>HYPERLINK("http://141.218.60.56/~jnz1568/getInfo.php?workbook=08_02.xlsx&amp;sheet=A0&amp;row=646&amp;col=9&amp;number=&amp;sourceID=34","")</f>
        <v/>
      </c>
      <c r="J646" s="4" t="str">
        <f>HYPERLINK("http://141.218.60.56/~jnz1568/getInfo.php?workbook=08_02.xlsx&amp;sheet=A0&amp;row=646&amp;col=10&amp;number=&amp;sourceID=34","")</f>
        <v/>
      </c>
      <c r="K646" s="4" t="str">
        <f>HYPERLINK("http://141.218.60.56/~jnz1568/getInfo.php?workbook=08_02.xlsx&amp;sheet=A0&amp;row=646&amp;col=11&amp;number=&amp;sourceID=30","")</f>
        <v/>
      </c>
      <c r="L646" s="4" t="str">
        <f>HYPERLINK("http://141.218.60.56/~jnz1568/getInfo.php?workbook=08_02.xlsx&amp;sheet=A0&amp;row=646&amp;col=12&amp;number=890.9&amp;sourceID=30","890.9")</f>
        <v>890.9</v>
      </c>
      <c r="M646" s="4" t="str">
        <f>HYPERLINK("http://141.218.60.56/~jnz1568/getInfo.php?workbook=08_02.xlsx&amp;sheet=A0&amp;row=646&amp;col=13&amp;number=&amp;sourceID=30","")</f>
        <v/>
      </c>
      <c r="N646" s="4" t="str">
        <f>HYPERLINK("http://141.218.60.56/~jnz1568/getInfo.php?workbook=08_02.xlsx&amp;sheet=A0&amp;row=646&amp;col=14&amp;number=&amp;sourceID=30","")</f>
        <v/>
      </c>
      <c r="O646" s="4" t="str">
        <f>HYPERLINK("http://141.218.60.56/~jnz1568/getInfo.php?workbook=08_02.xlsx&amp;sheet=A0&amp;row=646&amp;col=15&amp;number=&amp;sourceID=32","")</f>
        <v/>
      </c>
      <c r="P646" s="4" t="str">
        <f>HYPERLINK("http://141.218.60.56/~jnz1568/getInfo.php?workbook=08_02.xlsx&amp;sheet=A0&amp;row=646&amp;col=16&amp;number=892.5&amp;sourceID=32","892.5")</f>
        <v>892.5</v>
      </c>
      <c r="Q646" s="4" t="str">
        <f>HYPERLINK("http://141.218.60.56/~jnz1568/getInfo.php?workbook=08_02.xlsx&amp;sheet=A0&amp;row=646&amp;col=17&amp;number=&amp;sourceID=32","")</f>
        <v/>
      </c>
      <c r="R646" s="4" t="str">
        <f>HYPERLINK("http://141.218.60.56/~jnz1568/getInfo.php?workbook=08_02.xlsx&amp;sheet=A0&amp;row=646&amp;col=18&amp;number=&amp;sourceID=32","")</f>
        <v/>
      </c>
      <c r="S646" s="4" t="str">
        <f>HYPERLINK("http://141.218.60.56/~jnz1568/getInfo.php?workbook=08_02.xlsx&amp;sheet=A0&amp;row=646&amp;col=19&amp;number=&amp;sourceID=1","")</f>
        <v/>
      </c>
      <c r="T646" s="4" t="str">
        <f>HYPERLINK("http://141.218.60.56/~jnz1568/getInfo.php?workbook=08_02.xlsx&amp;sheet=A0&amp;row=646&amp;col=20&amp;number=&amp;sourceID=1","")</f>
        <v/>
      </c>
    </row>
    <row r="647" spans="1:20">
      <c r="A647" s="3">
        <v>8</v>
      </c>
      <c r="B647" s="3">
        <v>2</v>
      </c>
      <c r="C647" s="3">
        <v>40</v>
      </c>
      <c r="D647" s="3">
        <v>24</v>
      </c>
      <c r="E647" s="3">
        <f>((1/(INDEX(E0!J$4:J$52,C647,1)-INDEX(E0!J$4:J$52,D647,1))))*100000000</f>
        <v>0</v>
      </c>
      <c r="F647" s="4" t="str">
        <f>HYPERLINK("http://141.218.60.56/~jnz1568/getInfo.php?workbook=08_02.xlsx&amp;sheet=A0&amp;row=647&amp;col=6&amp;number=&amp;sourceID=27","")</f>
        <v/>
      </c>
      <c r="G647" s="4" t="str">
        <f>HYPERLINK("http://141.218.60.56/~jnz1568/getInfo.php?workbook=08_02.xlsx&amp;sheet=A0&amp;row=647&amp;col=7&amp;number=&amp;sourceID=34","")</f>
        <v/>
      </c>
      <c r="H647" s="4" t="str">
        <f>HYPERLINK("http://141.218.60.56/~jnz1568/getInfo.php?workbook=08_02.xlsx&amp;sheet=A0&amp;row=647&amp;col=8&amp;number=&amp;sourceID=34","")</f>
        <v/>
      </c>
      <c r="I647" s="4" t="str">
        <f>HYPERLINK("http://141.218.60.56/~jnz1568/getInfo.php?workbook=08_02.xlsx&amp;sheet=A0&amp;row=647&amp;col=9&amp;number=&amp;sourceID=34","")</f>
        <v/>
      </c>
      <c r="J647" s="4" t="str">
        <f>HYPERLINK("http://141.218.60.56/~jnz1568/getInfo.php?workbook=08_02.xlsx&amp;sheet=A0&amp;row=647&amp;col=10&amp;number=&amp;sourceID=34","")</f>
        <v/>
      </c>
      <c r="K647" s="4" t="str">
        <f>HYPERLINK("http://141.218.60.56/~jnz1568/getInfo.php?workbook=08_02.xlsx&amp;sheet=A0&amp;row=647&amp;col=11&amp;number=&amp;sourceID=30","")</f>
        <v/>
      </c>
      <c r="L647" s="4" t="str">
        <f>HYPERLINK("http://141.218.60.56/~jnz1568/getInfo.php?workbook=08_02.xlsx&amp;sheet=A0&amp;row=647&amp;col=12&amp;number=8862&amp;sourceID=30","8862")</f>
        <v>8862</v>
      </c>
      <c r="M647" s="4" t="str">
        <f>HYPERLINK("http://141.218.60.56/~jnz1568/getInfo.php?workbook=08_02.xlsx&amp;sheet=A0&amp;row=647&amp;col=13&amp;number=0.0004094&amp;sourceID=30","0.0004094")</f>
        <v>0.0004094</v>
      </c>
      <c r="N647" s="4" t="str">
        <f>HYPERLINK("http://141.218.60.56/~jnz1568/getInfo.php?workbook=08_02.xlsx&amp;sheet=A0&amp;row=647&amp;col=14&amp;number=&amp;sourceID=30","")</f>
        <v/>
      </c>
      <c r="O647" s="4" t="str">
        <f>HYPERLINK("http://141.218.60.56/~jnz1568/getInfo.php?workbook=08_02.xlsx&amp;sheet=A0&amp;row=647&amp;col=15&amp;number=&amp;sourceID=32","")</f>
        <v/>
      </c>
      <c r="P647" s="4" t="str">
        <f>HYPERLINK("http://141.218.60.56/~jnz1568/getInfo.php?workbook=08_02.xlsx&amp;sheet=A0&amp;row=647&amp;col=16&amp;number=8861&amp;sourceID=32","8861")</f>
        <v>8861</v>
      </c>
      <c r="Q647" s="4" t="str">
        <f>HYPERLINK("http://141.218.60.56/~jnz1568/getInfo.php?workbook=08_02.xlsx&amp;sheet=A0&amp;row=647&amp;col=17&amp;number=0.0004221&amp;sourceID=32","0.0004221")</f>
        <v>0.0004221</v>
      </c>
      <c r="R647" s="4" t="str">
        <f>HYPERLINK("http://141.218.60.56/~jnz1568/getInfo.php?workbook=08_02.xlsx&amp;sheet=A0&amp;row=647&amp;col=18&amp;number=&amp;sourceID=32","")</f>
        <v/>
      </c>
      <c r="S647" s="4" t="str">
        <f>HYPERLINK("http://141.218.60.56/~jnz1568/getInfo.php?workbook=08_02.xlsx&amp;sheet=A0&amp;row=647&amp;col=19&amp;number=&amp;sourceID=1","")</f>
        <v/>
      </c>
      <c r="T647" s="4" t="str">
        <f>HYPERLINK("http://141.218.60.56/~jnz1568/getInfo.php?workbook=08_02.xlsx&amp;sheet=A0&amp;row=647&amp;col=20&amp;number=&amp;sourceID=1","")</f>
        <v/>
      </c>
    </row>
    <row r="648" spans="1:20">
      <c r="A648" s="3">
        <v>8</v>
      </c>
      <c r="B648" s="3">
        <v>2</v>
      </c>
      <c r="C648" s="3">
        <v>40</v>
      </c>
      <c r="D648" s="3">
        <v>25</v>
      </c>
      <c r="E648" s="3">
        <f>((1/(INDEX(E0!J$4:J$52,C648,1)-INDEX(E0!J$4:J$52,D648,1))))*100000000</f>
        <v>0</v>
      </c>
      <c r="F648" s="4" t="str">
        <f>HYPERLINK("http://141.218.60.56/~jnz1568/getInfo.php?workbook=08_02.xlsx&amp;sheet=A0&amp;row=648&amp;col=6&amp;number=&amp;sourceID=27","")</f>
        <v/>
      </c>
      <c r="G648" s="4" t="str">
        <f>HYPERLINK("http://141.218.60.56/~jnz1568/getInfo.php?workbook=08_02.xlsx&amp;sheet=A0&amp;row=648&amp;col=7&amp;number=&amp;sourceID=34","")</f>
        <v/>
      </c>
      <c r="H648" s="4" t="str">
        <f>HYPERLINK("http://141.218.60.56/~jnz1568/getInfo.php?workbook=08_02.xlsx&amp;sheet=A0&amp;row=648&amp;col=8&amp;number=&amp;sourceID=34","")</f>
        <v/>
      </c>
      <c r="I648" s="4" t="str">
        <f>HYPERLINK("http://141.218.60.56/~jnz1568/getInfo.php?workbook=08_02.xlsx&amp;sheet=A0&amp;row=648&amp;col=9&amp;number=&amp;sourceID=34","")</f>
        <v/>
      </c>
      <c r="J648" s="4" t="str">
        <f>HYPERLINK("http://141.218.60.56/~jnz1568/getInfo.php?workbook=08_02.xlsx&amp;sheet=A0&amp;row=648&amp;col=10&amp;number=&amp;sourceID=34","")</f>
        <v/>
      </c>
      <c r="K648" s="4" t="str">
        <f>HYPERLINK("http://141.218.60.56/~jnz1568/getInfo.php?workbook=08_02.xlsx&amp;sheet=A0&amp;row=648&amp;col=11&amp;number=113000000&amp;sourceID=30","113000000")</f>
        <v>113000000</v>
      </c>
      <c r="L648" s="4" t="str">
        <f>HYPERLINK("http://141.218.60.56/~jnz1568/getInfo.php?workbook=08_02.xlsx&amp;sheet=A0&amp;row=648&amp;col=12&amp;number=&amp;sourceID=30","")</f>
        <v/>
      </c>
      <c r="M648" s="4" t="str">
        <f>HYPERLINK("http://141.218.60.56/~jnz1568/getInfo.php?workbook=08_02.xlsx&amp;sheet=A0&amp;row=648&amp;col=13&amp;number=&amp;sourceID=30","")</f>
        <v/>
      </c>
      <c r="N648" s="4" t="str">
        <f>HYPERLINK("http://141.218.60.56/~jnz1568/getInfo.php?workbook=08_02.xlsx&amp;sheet=A0&amp;row=648&amp;col=14&amp;number=0.03307&amp;sourceID=30","0.03307")</f>
        <v>0.03307</v>
      </c>
      <c r="O648" s="4" t="str">
        <f>HYPERLINK("http://141.218.60.56/~jnz1568/getInfo.php?workbook=08_02.xlsx&amp;sheet=A0&amp;row=648&amp;col=15&amp;number=&amp;sourceID=32","")</f>
        <v/>
      </c>
      <c r="P648" s="4" t="str">
        <f>HYPERLINK("http://141.218.60.56/~jnz1568/getInfo.php?workbook=08_02.xlsx&amp;sheet=A0&amp;row=648&amp;col=16&amp;number=&amp;sourceID=32","")</f>
        <v/>
      </c>
      <c r="Q648" s="4" t="str">
        <f>HYPERLINK("http://141.218.60.56/~jnz1568/getInfo.php?workbook=08_02.xlsx&amp;sheet=A0&amp;row=648&amp;col=17&amp;number=&amp;sourceID=32","")</f>
        <v/>
      </c>
      <c r="R648" s="4" t="str">
        <f>HYPERLINK("http://141.218.60.56/~jnz1568/getInfo.php?workbook=08_02.xlsx&amp;sheet=A0&amp;row=648&amp;col=18&amp;number=&amp;sourceID=32","")</f>
        <v/>
      </c>
      <c r="S648" s="4" t="str">
        <f>HYPERLINK("http://141.218.60.56/~jnz1568/getInfo.php?workbook=08_02.xlsx&amp;sheet=A0&amp;row=648&amp;col=19&amp;number=&amp;sourceID=1","")</f>
        <v/>
      </c>
      <c r="T648" s="4" t="str">
        <f>HYPERLINK("http://141.218.60.56/~jnz1568/getInfo.php?workbook=08_02.xlsx&amp;sheet=A0&amp;row=648&amp;col=20&amp;number=&amp;sourceID=1","")</f>
        <v/>
      </c>
    </row>
    <row r="649" spans="1:20">
      <c r="A649" s="3">
        <v>8</v>
      </c>
      <c r="B649" s="3">
        <v>2</v>
      </c>
      <c r="C649" s="3">
        <v>40</v>
      </c>
      <c r="D649" s="3">
        <v>26</v>
      </c>
      <c r="E649" s="3">
        <f>((1/(INDEX(E0!J$4:J$52,C649,1)-INDEX(E0!J$4:J$52,D649,1))))*100000000</f>
        <v>0</v>
      </c>
      <c r="F649" s="4" t="str">
        <f>HYPERLINK("http://141.218.60.56/~jnz1568/getInfo.php?workbook=08_02.xlsx&amp;sheet=A0&amp;row=649&amp;col=6&amp;number=&amp;sourceID=27","")</f>
        <v/>
      </c>
      <c r="G649" s="4" t="str">
        <f>HYPERLINK("http://141.218.60.56/~jnz1568/getInfo.php?workbook=08_02.xlsx&amp;sheet=A0&amp;row=649&amp;col=7&amp;number=&amp;sourceID=34","")</f>
        <v/>
      </c>
      <c r="H649" s="4" t="str">
        <f>HYPERLINK("http://141.218.60.56/~jnz1568/getInfo.php?workbook=08_02.xlsx&amp;sheet=A0&amp;row=649&amp;col=8&amp;number=&amp;sourceID=34","")</f>
        <v/>
      </c>
      <c r="I649" s="4" t="str">
        <f>HYPERLINK("http://141.218.60.56/~jnz1568/getInfo.php?workbook=08_02.xlsx&amp;sheet=A0&amp;row=649&amp;col=9&amp;number=&amp;sourceID=34","")</f>
        <v/>
      </c>
      <c r="J649" s="4" t="str">
        <f>HYPERLINK("http://141.218.60.56/~jnz1568/getInfo.php?workbook=08_02.xlsx&amp;sheet=A0&amp;row=649&amp;col=10&amp;number=&amp;sourceID=34","")</f>
        <v/>
      </c>
      <c r="K649" s="4" t="str">
        <f>HYPERLINK("http://141.218.60.56/~jnz1568/getInfo.php?workbook=08_02.xlsx&amp;sheet=A0&amp;row=649&amp;col=11&amp;number=&amp;sourceID=30","")</f>
        <v/>
      </c>
      <c r="L649" s="4" t="str">
        <f>HYPERLINK("http://141.218.60.56/~jnz1568/getInfo.php?workbook=08_02.xlsx&amp;sheet=A0&amp;row=649&amp;col=12&amp;number=21430&amp;sourceID=30","21430")</f>
        <v>21430</v>
      </c>
      <c r="M649" s="4" t="str">
        <f>HYPERLINK("http://141.218.60.56/~jnz1568/getInfo.php?workbook=08_02.xlsx&amp;sheet=A0&amp;row=649&amp;col=13&amp;number=0.0007845&amp;sourceID=30","0.0007845")</f>
        <v>0.0007845</v>
      </c>
      <c r="N649" s="4" t="str">
        <f>HYPERLINK("http://141.218.60.56/~jnz1568/getInfo.php?workbook=08_02.xlsx&amp;sheet=A0&amp;row=649&amp;col=14&amp;number=&amp;sourceID=30","")</f>
        <v/>
      </c>
      <c r="O649" s="4" t="str">
        <f>HYPERLINK("http://141.218.60.56/~jnz1568/getInfo.php?workbook=08_02.xlsx&amp;sheet=A0&amp;row=649&amp;col=15&amp;number=&amp;sourceID=32","")</f>
        <v/>
      </c>
      <c r="P649" s="4" t="str">
        <f>HYPERLINK("http://141.218.60.56/~jnz1568/getInfo.php?workbook=08_02.xlsx&amp;sheet=A0&amp;row=649&amp;col=16&amp;number=21470&amp;sourceID=32","21470")</f>
        <v>21470</v>
      </c>
      <c r="Q649" s="4" t="str">
        <f>HYPERLINK("http://141.218.60.56/~jnz1568/getInfo.php?workbook=08_02.xlsx&amp;sheet=A0&amp;row=649&amp;col=17&amp;number=0.0007453&amp;sourceID=32","0.0007453")</f>
        <v>0.0007453</v>
      </c>
      <c r="R649" s="4" t="str">
        <f>HYPERLINK("http://141.218.60.56/~jnz1568/getInfo.php?workbook=08_02.xlsx&amp;sheet=A0&amp;row=649&amp;col=18&amp;number=&amp;sourceID=32","")</f>
        <v/>
      </c>
      <c r="S649" s="4" t="str">
        <f>HYPERLINK("http://141.218.60.56/~jnz1568/getInfo.php?workbook=08_02.xlsx&amp;sheet=A0&amp;row=649&amp;col=19&amp;number=&amp;sourceID=1","")</f>
        <v/>
      </c>
      <c r="T649" s="4" t="str">
        <f>HYPERLINK("http://141.218.60.56/~jnz1568/getInfo.php?workbook=08_02.xlsx&amp;sheet=A0&amp;row=649&amp;col=20&amp;number=&amp;sourceID=1","")</f>
        <v/>
      </c>
    </row>
    <row r="650" spans="1:20">
      <c r="A650" s="3">
        <v>8</v>
      </c>
      <c r="B650" s="3">
        <v>2</v>
      </c>
      <c r="C650" s="3">
        <v>40</v>
      </c>
      <c r="D650" s="3">
        <v>27</v>
      </c>
      <c r="E650" s="3">
        <f>((1/(INDEX(E0!J$4:J$52,C650,1)-INDEX(E0!J$4:J$52,D650,1))))*100000000</f>
        <v>0</v>
      </c>
      <c r="F650" s="4" t="str">
        <f>HYPERLINK("http://141.218.60.56/~jnz1568/getInfo.php?workbook=08_02.xlsx&amp;sheet=A0&amp;row=650&amp;col=6&amp;number=&amp;sourceID=27","")</f>
        <v/>
      </c>
      <c r="G650" s="4" t="str">
        <f>HYPERLINK("http://141.218.60.56/~jnz1568/getInfo.php?workbook=08_02.xlsx&amp;sheet=A0&amp;row=650&amp;col=7&amp;number=&amp;sourceID=34","")</f>
        <v/>
      </c>
      <c r="H650" s="4" t="str">
        <f>HYPERLINK("http://141.218.60.56/~jnz1568/getInfo.php?workbook=08_02.xlsx&amp;sheet=A0&amp;row=650&amp;col=8&amp;number=&amp;sourceID=34","")</f>
        <v/>
      </c>
      <c r="I650" s="4" t="str">
        <f>HYPERLINK("http://141.218.60.56/~jnz1568/getInfo.php?workbook=08_02.xlsx&amp;sheet=A0&amp;row=650&amp;col=9&amp;number=&amp;sourceID=34","")</f>
        <v/>
      </c>
      <c r="J650" s="4" t="str">
        <f>HYPERLINK("http://141.218.60.56/~jnz1568/getInfo.php?workbook=08_02.xlsx&amp;sheet=A0&amp;row=650&amp;col=10&amp;number=&amp;sourceID=34","")</f>
        <v/>
      </c>
      <c r="K650" s="4" t="str">
        <f>HYPERLINK("http://141.218.60.56/~jnz1568/getInfo.php?workbook=08_02.xlsx&amp;sheet=A0&amp;row=650&amp;col=11&amp;number=5992000&amp;sourceID=30","5992000")</f>
        <v>5992000</v>
      </c>
      <c r="L650" s="4" t="str">
        <f>HYPERLINK("http://141.218.60.56/~jnz1568/getInfo.php?workbook=08_02.xlsx&amp;sheet=A0&amp;row=650&amp;col=12&amp;number=&amp;sourceID=30","")</f>
        <v/>
      </c>
      <c r="M650" s="4" t="str">
        <f>HYPERLINK("http://141.218.60.56/~jnz1568/getInfo.php?workbook=08_02.xlsx&amp;sheet=A0&amp;row=650&amp;col=13&amp;number=&amp;sourceID=30","")</f>
        <v/>
      </c>
      <c r="N650" s="4" t="str">
        <f>HYPERLINK("http://141.218.60.56/~jnz1568/getInfo.php?workbook=08_02.xlsx&amp;sheet=A0&amp;row=650&amp;col=14&amp;number=7.646e-06&amp;sourceID=30","7.646e-06")</f>
        <v>7.646e-06</v>
      </c>
      <c r="O650" s="4" t="str">
        <f>HYPERLINK("http://141.218.60.56/~jnz1568/getInfo.php?workbook=08_02.xlsx&amp;sheet=A0&amp;row=650&amp;col=15&amp;number=5927000&amp;sourceID=32","5927000")</f>
        <v>5927000</v>
      </c>
      <c r="P650" s="4" t="str">
        <f>HYPERLINK("http://141.218.60.56/~jnz1568/getInfo.php?workbook=08_02.xlsx&amp;sheet=A0&amp;row=650&amp;col=16&amp;number=&amp;sourceID=32","")</f>
        <v/>
      </c>
      <c r="Q650" s="4" t="str">
        <f>HYPERLINK("http://141.218.60.56/~jnz1568/getInfo.php?workbook=08_02.xlsx&amp;sheet=A0&amp;row=650&amp;col=17&amp;number=&amp;sourceID=32","")</f>
        <v/>
      </c>
      <c r="R650" s="4" t="str">
        <f>HYPERLINK("http://141.218.60.56/~jnz1568/getInfo.php?workbook=08_02.xlsx&amp;sheet=A0&amp;row=650&amp;col=18&amp;number=4.957e-06&amp;sourceID=32","4.957e-06")</f>
        <v>4.957e-06</v>
      </c>
      <c r="S650" s="4" t="str">
        <f>HYPERLINK("http://141.218.60.56/~jnz1568/getInfo.php?workbook=08_02.xlsx&amp;sheet=A0&amp;row=650&amp;col=19&amp;number=&amp;sourceID=1","")</f>
        <v/>
      </c>
      <c r="T650" s="4" t="str">
        <f>HYPERLINK("http://141.218.60.56/~jnz1568/getInfo.php?workbook=08_02.xlsx&amp;sheet=A0&amp;row=650&amp;col=20&amp;number=&amp;sourceID=1","")</f>
        <v/>
      </c>
    </row>
    <row r="651" spans="1:20">
      <c r="A651" s="3">
        <v>8</v>
      </c>
      <c r="B651" s="3">
        <v>2</v>
      </c>
      <c r="C651" s="3">
        <v>40</v>
      </c>
      <c r="D651" s="3">
        <v>28</v>
      </c>
      <c r="E651" s="3">
        <f>((1/(INDEX(E0!J$4:J$52,C651,1)-INDEX(E0!J$4:J$52,D651,1))))*100000000</f>
        <v>0</v>
      </c>
      <c r="F651" s="4" t="str">
        <f>HYPERLINK("http://141.218.60.56/~jnz1568/getInfo.php?workbook=08_02.xlsx&amp;sheet=A0&amp;row=651&amp;col=6&amp;number=&amp;sourceID=27","")</f>
        <v/>
      </c>
      <c r="G651" s="4" t="str">
        <f>HYPERLINK("http://141.218.60.56/~jnz1568/getInfo.php?workbook=08_02.xlsx&amp;sheet=A0&amp;row=651&amp;col=7&amp;number=&amp;sourceID=34","")</f>
        <v/>
      </c>
      <c r="H651" s="4" t="str">
        <f>HYPERLINK("http://141.218.60.56/~jnz1568/getInfo.php?workbook=08_02.xlsx&amp;sheet=A0&amp;row=651&amp;col=8&amp;number=&amp;sourceID=34","")</f>
        <v/>
      </c>
      <c r="I651" s="4" t="str">
        <f>HYPERLINK("http://141.218.60.56/~jnz1568/getInfo.php?workbook=08_02.xlsx&amp;sheet=A0&amp;row=651&amp;col=9&amp;number=&amp;sourceID=34","")</f>
        <v/>
      </c>
      <c r="J651" s="4" t="str">
        <f>HYPERLINK("http://141.218.60.56/~jnz1568/getInfo.php?workbook=08_02.xlsx&amp;sheet=A0&amp;row=651&amp;col=10&amp;number=&amp;sourceID=34","")</f>
        <v/>
      </c>
      <c r="K651" s="4" t="str">
        <f>HYPERLINK("http://141.218.60.56/~jnz1568/getInfo.php?workbook=08_02.xlsx&amp;sheet=A0&amp;row=651&amp;col=11&amp;number=277900&amp;sourceID=30","277900")</f>
        <v>277900</v>
      </c>
      <c r="L651" s="4" t="str">
        <f>HYPERLINK("http://141.218.60.56/~jnz1568/getInfo.php?workbook=08_02.xlsx&amp;sheet=A0&amp;row=651&amp;col=12&amp;number=&amp;sourceID=30","")</f>
        <v/>
      </c>
      <c r="M651" s="4" t="str">
        <f>HYPERLINK("http://141.218.60.56/~jnz1568/getInfo.php?workbook=08_02.xlsx&amp;sheet=A0&amp;row=651&amp;col=13&amp;number=&amp;sourceID=30","")</f>
        <v/>
      </c>
      <c r="N651" s="4" t="str">
        <f>HYPERLINK("http://141.218.60.56/~jnz1568/getInfo.php?workbook=08_02.xlsx&amp;sheet=A0&amp;row=651&amp;col=14&amp;number=2.559e-10&amp;sourceID=30","2.559e-10")</f>
        <v>2.559e-10</v>
      </c>
      <c r="O651" s="4" t="str">
        <f>HYPERLINK("http://141.218.60.56/~jnz1568/getInfo.php?workbook=08_02.xlsx&amp;sheet=A0&amp;row=651&amp;col=15&amp;number=278300&amp;sourceID=32","278300")</f>
        <v>278300</v>
      </c>
      <c r="P651" s="4" t="str">
        <f>HYPERLINK("http://141.218.60.56/~jnz1568/getInfo.php?workbook=08_02.xlsx&amp;sheet=A0&amp;row=651&amp;col=16&amp;number=&amp;sourceID=32","")</f>
        <v/>
      </c>
      <c r="Q651" s="4" t="str">
        <f>HYPERLINK("http://141.218.60.56/~jnz1568/getInfo.php?workbook=08_02.xlsx&amp;sheet=A0&amp;row=651&amp;col=17&amp;number=&amp;sourceID=32","")</f>
        <v/>
      </c>
      <c r="R651" s="4" t="str">
        <f>HYPERLINK("http://141.218.60.56/~jnz1568/getInfo.php?workbook=08_02.xlsx&amp;sheet=A0&amp;row=651&amp;col=18&amp;number=3.192e-10&amp;sourceID=32","3.192e-10")</f>
        <v>3.192e-10</v>
      </c>
      <c r="S651" s="4" t="str">
        <f>HYPERLINK("http://141.218.60.56/~jnz1568/getInfo.php?workbook=08_02.xlsx&amp;sheet=A0&amp;row=651&amp;col=19&amp;number=&amp;sourceID=1","")</f>
        <v/>
      </c>
      <c r="T651" s="4" t="str">
        <f>HYPERLINK("http://141.218.60.56/~jnz1568/getInfo.php?workbook=08_02.xlsx&amp;sheet=A0&amp;row=651&amp;col=20&amp;number=&amp;sourceID=1","")</f>
        <v/>
      </c>
    </row>
    <row r="652" spans="1:20">
      <c r="A652" s="3">
        <v>8</v>
      </c>
      <c r="B652" s="3">
        <v>2</v>
      </c>
      <c r="C652" s="3">
        <v>40</v>
      </c>
      <c r="D652" s="3">
        <v>29</v>
      </c>
      <c r="E652" s="3">
        <f>((1/(INDEX(E0!J$4:J$52,C652,1)-INDEX(E0!J$4:J$52,D652,1))))*100000000</f>
        <v>0</v>
      </c>
      <c r="F652" s="4" t="str">
        <f>HYPERLINK("http://141.218.60.56/~jnz1568/getInfo.php?workbook=08_02.xlsx&amp;sheet=A0&amp;row=652&amp;col=6&amp;number=&amp;sourceID=27","")</f>
        <v/>
      </c>
      <c r="G652" s="4" t="str">
        <f>HYPERLINK("http://141.218.60.56/~jnz1568/getInfo.php?workbook=08_02.xlsx&amp;sheet=A0&amp;row=652&amp;col=7&amp;number=&amp;sourceID=34","")</f>
        <v/>
      </c>
      <c r="H652" s="4" t="str">
        <f>HYPERLINK("http://141.218.60.56/~jnz1568/getInfo.php?workbook=08_02.xlsx&amp;sheet=A0&amp;row=652&amp;col=8&amp;number=&amp;sourceID=34","")</f>
        <v/>
      </c>
      <c r="I652" s="4" t="str">
        <f>HYPERLINK("http://141.218.60.56/~jnz1568/getInfo.php?workbook=08_02.xlsx&amp;sheet=A0&amp;row=652&amp;col=9&amp;number=&amp;sourceID=34","")</f>
        <v/>
      </c>
      <c r="J652" s="4" t="str">
        <f>HYPERLINK("http://141.218.60.56/~jnz1568/getInfo.php?workbook=08_02.xlsx&amp;sheet=A0&amp;row=652&amp;col=10&amp;number=&amp;sourceID=34","")</f>
        <v/>
      </c>
      <c r="K652" s="4" t="str">
        <f>HYPERLINK("http://141.218.60.56/~jnz1568/getInfo.php?workbook=08_02.xlsx&amp;sheet=A0&amp;row=652&amp;col=11&amp;number=&amp;sourceID=30","")</f>
        <v/>
      </c>
      <c r="L652" s="4" t="str">
        <f>HYPERLINK("http://141.218.60.56/~jnz1568/getInfo.php?workbook=08_02.xlsx&amp;sheet=A0&amp;row=652&amp;col=12&amp;number=69.39&amp;sourceID=30","69.39")</f>
        <v>69.39</v>
      </c>
      <c r="M652" s="4" t="str">
        <f>HYPERLINK("http://141.218.60.56/~jnz1568/getInfo.php?workbook=08_02.xlsx&amp;sheet=A0&amp;row=652&amp;col=13&amp;number=0.0001822&amp;sourceID=30","0.0001822")</f>
        <v>0.0001822</v>
      </c>
      <c r="N652" s="4" t="str">
        <f>HYPERLINK("http://141.218.60.56/~jnz1568/getInfo.php?workbook=08_02.xlsx&amp;sheet=A0&amp;row=652&amp;col=14&amp;number=&amp;sourceID=30","")</f>
        <v/>
      </c>
      <c r="O652" s="4" t="str">
        <f>HYPERLINK("http://141.218.60.56/~jnz1568/getInfo.php?workbook=08_02.xlsx&amp;sheet=A0&amp;row=652&amp;col=15&amp;number=&amp;sourceID=32","")</f>
        <v/>
      </c>
      <c r="P652" s="4" t="str">
        <f>HYPERLINK("http://141.218.60.56/~jnz1568/getInfo.php?workbook=08_02.xlsx&amp;sheet=A0&amp;row=652&amp;col=16&amp;number=87.42&amp;sourceID=32","87.42")</f>
        <v>87.42</v>
      </c>
      <c r="Q652" s="4" t="str">
        <f>HYPERLINK("http://141.218.60.56/~jnz1568/getInfo.php?workbook=08_02.xlsx&amp;sheet=A0&amp;row=652&amp;col=17&amp;number=0.0001841&amp;sourceID=32","0.0001841")</f>
        <v>0.0001841</v>
      </c>
      <c r="R652" s="4" t="str">
        <f>HYPERLINK("http://141.218.60.56/~jnz1568/getInfo.php?workbook=08_02.xlsx&amp;sheet=A0&amp;row=652&amp;col=18&amp;number=&amp;sourceID=32","")</f>
        <v/>
      </c>
      <c r="S652" s="4" t="str">
        <f>HYPERLINK("http://141.218.60.56/~jnz1568/getInfo.php?workbook=08_02.xlsx&amp;sheet=A0&amp;row=652&amp;col=19&amp;number=&amp;sourceID=1","")</f>
        <v/>
      </c>
      <c r="T652" s="4" t="str">
        <f>HYPERLINK("http://141.218.60.56/~jnz1568/getInfo.php?workbook=08_02.xlsx&amp;sheet=A0&amp;row=652&amp;col=20&amp;number=&amp;sourceID=1","")</f>
        <v/>
      </c>
    </row>
    <row r="653" spans="1:20">
      <c r="A653" s="3">
        <v>8</v>
      </c>
      <c r="B653" s="3">
        <v>2</v>
      </c>
      <c r="C653" s="3">
        <v>40</v>
      </c>
      <c r="D653" s="3">
        <v>30</v>
      </c>
      <c r="E653" s="3">
        <f>((1/(INDEX(E0!J$4:J$52,C653,1)-INDEX(E0!J$4:J$52,D653,1))))*100000000</f>
        <v>0</v>
      </c>
      <c r="F653" s="4" t="str">
        <f>HYPERLINK("http://141.218.60.56/~jnz1568/getInfo.php?workbook=08_02.xlsx&amp;sheet=A0&amp;row=653&amp;col=6&amp;number=&amp;sourceID=27","")</f>
        <v/>
      </c>
      <c r="G653" s="4" t="str">
        <f>HYPERLINK("http://141.218.60.56/~jnz1568/getInfo.php?workbook=08_02.xlsx&amp;sheet=A0&amp;row=653&amp;col=7&amp;number=&amp;sourceID=34","")</f>
        <v/>
      </c>
      <c r="H653" s="4" t="str">
        <f>HYPERLINK("http://141.218.60.56/~jnz1568/getInfo.php?workbook=08_02.xlsx&amp;sheet=A0&amp;row=653&amp;col=8&amp;number=&amp;sourceID=34","")</f>
        <v/>
      </c>
      <c r="I653" s="4" t="str">
        <f>HYPERLINK("http://141.218.60.56/~jnz1568/getInfo.php?workbook=08_02.xlsx&amp;sheet=A0&amp;row=653&amp;col=9&amp;number=&amp;sourceID=34","")</f>
        <v/>
      </c>
      <c r="J653" s="4" t="str">
        <f>HYPERLINK("http://141.218.60.56/~jnz1568/getInfo.php?workbook=08_02.xlsx&amp;sheet=A0&amp;row=653&amp;col=10&amp;number=&amp;sourceID=34","")</f>
        <v/>
      </c>
      <c r="K653" s="4" t="str">
        <f>HYPERLINK("http://141.218.60.56/~jnz1568/getInfo.php?workbook=08_02.xlsx&amp;sheet=A0&amp;row=653&amp;col=11&amp;number=3763000&amp;sourceID=30","3763000")</f>
        <v>3763000</v>
      </c>
      <c r="L653" s="4" t="str">
        <f>HYPERLINK("http://141.218.60.56/~jnz1568/getInfo.php?workbook=08_02.xlsx&amp;sheet=A0&amp;row=653&amp;col=12&amp;number=&amp;sourceID=30","")</f>
        <v/>
      </c>
      <c r="M653" s="4" t="str">
        <f>HYPERLINK("http://141.218.60.56/~jnz1568/getInfo.php?workbook=08_02.xlsx&amp;sheet=A0&amp;row=653&amp;col=13&amp;number=&amp;sourceID=30","")</f>
        <v/>
      </c>
      <c r="N653" s="4" t="str">
        <f>HYPERLINK("http://141.218.60.56/~jnz1568/getInfo.php?workbook=08_02.xlsx&amp;sheet=A0&amp;row=653&amp;col=14&amp;number=0.003965&amp;sourceID=30","0.003965")</f>
        <v>0.003965</v>
      </c>
      <c r="O653" s="4" t="str">
        <f>HYPERLINK("http://141.218.60.56/~jnz1568/getInfo.php?workbook=08_02.xlsx&amp;sheet=A0&amp;row=653&amp;col=15&amp;number=3855000&amp;sourceID=32","3855000")</f>
        <v>3855000</v>
      </c>
      <c r="P653" s="4" t="str">
        <f>HYPERLINK("http://141.218.60.56/~jnz1568/getInfo.php?workbook=08_02.xlsx&amp;sheet=A0&amp;row=653&amp;col=16&amp;number=&amp;sourceID=32","")</f>
        <v/>
      </c>
      <c r="Q653" s="4" t="str">
        <f>HYPERLINK("http://141.218.60.56/~jnz1568/getInfo.php?workbook=08_02.xlsx&amp;sheet=A0&amp;row=653&amp;col=17&amp;number=&amp;sourceID=32","")</f>
        <v/>
      </c>
      <c r="R653" s="4" t="str">
        <f>HYPERLINK("http://141.218.60.56/~jnz1568/getInfo.php?workbook=08_02.xlsx&amp;sheet=A0&amp;row=653&amp;col=18&amp;number=0.003976&amp;sourceID=32","0.003976")</f>
        <v>0.003976</v>
      </c>
      <c r="S653" s="4" t="str">
        <f>HYPERLINK("http://141.218.60.56/~jnz1568/getInfo.php?workbook=08_02.xlsx&amp;sheet=A0&amp;row=653&amp;col=19&amp;number=&amp;sourceID=1","")</f>
        <v/>
      </c>
      <c r="T653" s="4" t="str">
        <f>HYPERLINK("http://141.218.60.56/~jnz1568/getInfo.php?workbook=08_02.xlsx&amp;sheet=A0&amp;row=653&amp;col=20&amp;number=&amp;sourceID=1","")</f>
        <v/>
      </c>
    </row>
    <row r="654" spans="1:20">
      <c r="A654" s="3">
        <v>8</v>
      </c>
      <c r="B654" s="3">
        <v>2</v>
      </c>
      <c r="C654" s="3">
        <v>40</v>
      </c>
      <c r="D654" s="3">
        <v>31</v>
      </c>
      <c r="E654" s="3">
        <f>((1/(INDEX(E0!J$4:J$52,C654,1)-INDEX(E0!J$4:J$52,D654,1))))*100000000</f>
        <v>0</v>
      </c>
      <c r="F654" s="4" t="str">
        <f>HYPERLINK("http://141.218.60.56/~jnz1568/getInfo.php?workbook=08_02.xlsx&amp;sheet=A0&amp;row=654&amp;col=6&amp;number=&amp;sourceID=27","")</f>
        <v/>
      </c>
      <c r="G654" s="4" t="str">
        <f>HYPERLINK("http://141.218.60.56/~jnz1568/getInfo.php?workbook=08_02.xlsx&amp;sheet=A0&amp;row=654&amp;col=7&amp;number=&amp;sourceID=34","")</f>
        <v/>
      </c>
      <c r="H654" s="4" t="str">
        <f>HYPERLINK("http://141.218.60.56/~jnz1568/getInfo.php?workbook=08_02.xlsx&amp;sheet=A0&amp;row=654&amp;col=8&amp;number=&amp;sourceID=34","")</f>
        <v/>
      </c>
      <c r="I654" s="4" t="str">
        <f>HYPERLINK("http://141.218.60.56/~jnz1568/getInfo.php?workbook=08_02.xlsx&amp;sheet=A0&amp;row=654&amp;col=9&amp;number=&amp;sourceID=34","")</f>
        <v/>
      </c>
      <c r="J654" s="4" t="str">
        <f>HYPERLINK("http://141.218.60.56/~jnz1568/getInfo.php?workbook=08_02.xlsx&amp;sheet=A0&amp;row=654&amp;col=10&amp;number=&amp;sourceID=34","")</f>
        <v/>
      </c>
      <c r="K654" s="4" t="str">
        <f>HYPERLINK("http://141.218.60.56/~jnz1568/getInfo.php?workbook=08_02.xlsx&amp;sheet=A0&amp;row=654&amp;col=11&amp;number=&amp;sourceID=30","")</f>
        <v/>
      </c>
      <c r="L654" s="4" t="str">
        <f>HYPERLINK("http://141.218.60.56/~jnz1568/getInfo.php?workbook=08_02.xlsx&amp;sheet=A0&amp;row=654&amp;col=12&amp;number=&amp;sourceID=30","")</f>
        <v/>
      </c>
      <c r="M654" s="4" t="str">
        <f>HYPERLINK("http://141.218.60.56/~jnz1568/getInfo.php?workbook=08_02.xlsx&amp;sheet=A0&amp;row=654&amp;col=13&amp;number=&amp;sourceID=30","")</f>
        <v/>
      </c>
      <c r="N654" s="4" t="str">
        <f>HYPERLINK("http://141.218.60.56/~jnz1568/getInfo.php?workbook=08_02.xlsx&amp;sheet=A0&amp;row=654&amp;col=14&amp;number=0.2321&amp;sourceID=30","0.2321")</f>
        <v>0.2321</v>
      </c>
      <c r="O654" s="4" t="str">
        <f>HYPERLINK("http://141.218.60.56/~jnz1568/getInfo.php?workbook=08_02.xlsx&amp;sheet=A0&amp;row=654&amp;col=15&amp;number=&amp;sourceID=32","")</f>
        <v/>
      </c>
      <c r="P654" s="4" t="str">
        <f>HYPERLINK("http://141.218.60.56/~jnz1568/getInfo.php?workbook=08_02.xlsx&amp;sheet=A0&amp;row=654&amp;col=16&amp;number=&amp;sourceID=32","")</f>
        <v/>
      </c>
      <c r="Q654" s="4" t="str">
        <f>HYPERLINK("http://141.218.60.56/~jnz1568/getInfo.php?workbook=08_02.xlsx&amp;sheet=A0&amp;row=654&amp;col=17&amp;number=&amp;sourceID=32","")</f>
        <v/>
      </c>
      <c r="R654" s="4" t="str">
        <f>HYPERLINK("http://141.218.60.56/~jnz1568/getInfo.php?workbook=08_02.xlsx&amp;sheet=A0&amp;row=654&amp;col=18&amp;number=0.2286&amp;sourceID=32","0.2286")</f>
        <v>0.2286</v>
      </c>
      <c r="S654" s="4" t="str">
        <f>HYPERLINK("http://141.218.60.56/~jnz1568/getInfo.php?workbook=08_02.xlsx&amp;sheet=A0&amp;row=654&amp;col=19&amp;number=&amp;sourceID=1","")</f>
        <v/>
      </c>
      <c r="T654" s="4" t="str">
        <f>HYPERLINK("http://141.218.60.56/~jnz1568/getInfo.php?workbook=08_02.xlsx&amp;sheet=A0&amp;row=654&amp;col=20&amp;number=&amp;sourceID=1","")</f>
        <v/>
      </c>
    </row>
    <row r="655" spans="1:20">
      <c r="A655" s="3">
        <v>8</v>
      </c>
      <c r="B655" s="3">
        <v>2</v>
      </c>
      <c r="C655" s="3">
        <v>40</v>
      </c>
      <c r="D655" s="3">
        <v>32</v>
      </c>
      <c r="E655" s="3">
        <f>((1/(INDEX(E0!J$4:J$52,C655,1)-INDEX(E0!J$4:J$52,D655,1))))*100000000</f>
        <v>0</v>
      </c>
      <c r="F655" s="4" t="str">
        <f>HYPERLINK("http://141.218.60.56/~jnz1568/getInfo.php?workbook=08_02.xlsx&amp;sheet=A0&amp;row=655&amp;col=6&amp;number=&amp;sourceID=27","")</f>
        <v/>
      </c>
      <c r="G655" s="4" t="str">
        <f>HYPERLINK("http://141.218.60.56/~jnz1568/getInfo.php?workbook=08_02.xlsx&amp;sheet=A0&amp;row=655&amp;col=7&amp;number=&amp;sourceID=34","")</f>
        <v/>
      </c>
      <c r="H655" s="4" t="str">
        <f>HYPERLINK("http://141.218.60.56/~jnz1568/getInfo.php?workbook=08_02.xlsx&amp;sheet=A0&amp;row=655&amp;col=8&amp;number=&amp;sourceID=34","")</f>
        <v/>
      </c>
      <c r="I655" s="4" t="str">
        <f>HYPERLINK("http://141.218.60.56/~jnz1568/getInfo.php?workbook=08_02.xlsx&amp;sheet=A0&amp;row=655&amp;col=9&amp;number=&amp;sourceID=34","")</f>
        <v/>
      </c>
      <c r="J655" s="4" t="str">
        <f>HYPERLINK("http://141.218.60.56/~jnz1568/getInfo.php?workbook=08_02.xlsx&amp;sheet=A0&amp;row=655&amp;col=10&amp;number=&amp;sourceID=34","")</f>
        <v/>
      </c>
      <c r="K655" s="4" t="str">
        <f>HYPERLINK("http://141.218.60.56/~jnz1568/getInfo.php?workbook=08_02.xlsx&amp;sheet=A0&amp;row=655&amp;col=11&amp;number=&amp;sourceID=30","")</f>
        <v/>
      </c>
      <c r="L655" s="4" t="str">
        <f>HYPERLINK("http://141.218.60.56/~jnz1568/getInfo.php?workbook=08_02.xlsx&amp;sheet=A0&amp;row=655&amp;col=12&amp;number=0.07307&amp;sourceID=30","0.07307")</f>
        <v>0.07307</v>
      </c>
      <c r="M655" s="4" t="str">
        <f>HYPERLINK("http://141.218.60.56/~jnz1568/getInfo.php?workbook=08_02.xlsx&amp;sheet=A0&amp;row=655&amp;col=13&amp;number=&amp;sourceID=30","")</f>
        <v/>
      </c>
      <c r="N655" s="4" t="str">
        <f>HYPERLINK("http://141.218.60.56/~jnz1568/getInfo.php?workbook=08_02.xlsx&amp;sheet=A0&amp;row=655&amp;col=14&amp;number=&amp;sourceID=30","")</f>
        <v/>
      </c>
      <c r="O655" s="4" t="str">
        <f>HYPERLINK("http://141.218.60.56/~jnz1568/getInfo.php?workbook=08_02.xlsx&amp;sheet=A0&amp;row=655&amp;col=15&amp;number=&amp;sourceID=32","")</f>
        <v/>
      </c>
      <c r="P655" s="4" t="str">
        <f>HYPERLINK("http://141.218.60.56/~jnz1568/getInfo.php?workbook=08_02.xlsx&amp;sheet=A0&amp;row=655&amp;col=16&amp;number=0.07616&amp;sourceID=32","0.07616")</f>
        <v>0.07616</v>
      </c>
      <c r="Q655" s="4" t="str">
        <f>HYPERLINK("http://141.218.60.56/~jnz1568/getInfo.php?workbook=08_02.xlsx&amp;sheet=A0&amp;row=655&amp;col=17&amp;number=&amp;sourceID=32","")</f>
        <v/>
      </c>
      <c r="R655" s="4" t="str">
        <f>HYPERLINK("http://141.218.60.56/~jnz1568/getInfo.php?workbook=08_02.xlsx&amp;sheet=A0&amp;row=655&amp;col=18&amp;number=&amp;sourceID=32","")</f>
        <v/>
      </c>
      <c r="S655" s="4" t="str">
        <f>HYPERLINK("http://141.218.60.56/~jnz1568/getInfo.php?workbook=08_02.xlsx&amp;sheet=A0&amp;row=655&amp;col=19&amp;number=&amp;sourceID=1","")</f>
        <v/>
      </c>
      <c r="T655" s="4" t="str">
        <f>HYPERLINK("http://141.218.60.56/~jnz1568/getInfo.php?workbook=08_02.xlsx&amp;sheet=A0&amp;row=655&amp;col=20&amp;number=&amp;sourceID=1","")</f>
        <v/>
      </c>
    </row>
    <row r="656" spans="1:20">
      <c r="A656" s="3">
        <v>8</v>
      </c>
      <c r="B656" s="3">
        <v>2</v>
      </c>
      <c r="C656" s="3">
        <v>40</v>
      </c>
      <c r="D656" s="3">
        <v>35</v>
      </c>
      <c r="E656" s="3">
        <f>((1/(INDEX(E0!J$4:J$52,C656,1)-INDEX(E0!J$4:J$52,D656,1))))*100000000</f>
        <v>0</v>
      </c>
      <c r="F656" s="4" t="str">
        <f>HYPERLINK("http://141.218.60.56/~jnz1568/getInfo.php?workbook=08_02.xlsx&amp;sheet=A0&amp;row=656&amp;col=6&amp;number=&amp;sourceID=27","")</f>
        <v/>
      </c>
      <c r="G656" s="4" t="str">
        <f>HYPERLINK("http://141.218.60.56/~jnz1568/getInfo.php?workbook=08_02.xlsx&amp;sheet=A0&amp;row=656&amp;col=7&amp;number=&amp;sourceID=34","")</f>
        <v/>
      </c>
      <c r="H656" s="4" t="str">
        <f>HYPERLINK("http://141.218.60.56/~jnz1568/getInfo.php?workbook=08_02.xlsx&amp;sheet=A0&amp;row=656&amp;col=8&amp;number=&amp;sourceID=34","")</f>
        <v/>
      </c>
      <c r="I656" s="4" t="str">
        <f>HYPERLINK("http://141.218.60.56/~jnz1568/getInfo.php?workbook=08_02.xlsx&amp;sheet=A0&amp;row=656&amp;col=9&amp;number=&amp;sourceID=34","")</f>
        <v/>
      </c>
      <c r="J656" s="4" t="str">
        <f>HYPERLINK("http://141.218.60.56/~jnz1568/getInfo.php?workbook=08_02.xlsx&amp;sheet=A0&amp;row=656&amp;col=10&amp;number=&amp;sourceID=34","")</f>
        <v/>
      </c>
      <c r="K656" s="4" t="str">
        <f>HYPERLINK("http://141.218.60.56/~jnz1568/getInfo.php?workbook=08_02.xlsx&amp;sheet=A0&amp;row=656&amp;col=11&amp;number=&amp;sourceID=30","")</f>
        <v/>
      </c>
      <c r="L656" s="4" t="str">
        <f>HYPERLINK("http://141.218.60.56/~jnz1568/getInfo.php?workbook=08_02.xlsx&amp;sheet=A0&amp;row=656&amp;col=12&amp;number=&amp;sourceID=30","")</f>
        <v/>
      </c>
      <c r="M656" s="4" t="str">
        <f>HYPERLINK("http://141.218.60.56/~jnz1568/getInfo.php?workbook=08_02.xlsx&amp;sheet=A0&amp;row=656&amp;col=13&amp;number=&amp;sourceID=30","")</f>
        <v/>
      </c>
      <c r="N656" s="4" t="str">
        <f>HYPERLINK("http://141.218.60.56/~jnz1568/getInfo.php?workbook=08_02.xlsx&amp;sheet=A0&amp;row=656&amp;col=14&amp;number=1.006e-10&amp;sourceID=30","1.006e-10")</f>
        <v>1.006e-10</v>
      </c>
      <c r="O656" s="4" t="str">
        <f>HYPERLINK("http://141.218.60.56/~jnz1568/getInfo.php?workbook=08_02.xlsx&amp;sheet=A0&amp;row=656&amp;col=15&amp;number=&amp;sourceID=32","")</f>
        <v/>
      </c>
      <c r="P656" s="4" t="str">
        <f>HYPERLINK("http://141.218.60.56/~jnz1568/getInfo.php?workbook=08_02.xlsx&amp;sheet=A0&amp;row=656&amp;col=16&amp;number=&amp;sourceID=32","")</f>
        <v/>
      </c>
      <c r="Q656" s="4" t="str">
        <f>HYPERLINK("http://141.218.60.56/~jnz1568/getInfo.php?workbook=08_02.xlsx&amp;sheet=A0&amp;row=656&amp;col=17&amp;number=&amp;sourceID=32","")</f>
        <v/>
      </c>
      <c r="R656" s="4" t="str">
        <f>HYPERLINK("http://141.218.60.56/~jnz1568/getInfo.php?workbook=08_02.xlsx&amp;sheet=A0&amp;row=656&amp;col=18&amp;number=1.238e-10&amp;sourceID=32","1.238e-10")</f>
        <v>1.238e-10</v>
      </c>
      <c r="S656" s="4" t="str">
        <f>HYPERLINK("http://141.218.60.56/~jnz1568/getInfo.php?workbook=08_02.xlsx&amp;sheet=A0&amp;row=656&amp;col=19&amp;number=&amp;sourceID=1","")</f>
        <v/>
      </c>
      <c r="T656" s="4" t="str">
        <f>HYPERLINK("http://141.218.60.56/~jnz1568/getInfo.php?workbook=08_02.xlsx&amp;sheet=A0&amp;row=656&amp;col=20&amp;number=&amp;sourceID=1","")</f>
        <v/>
      </c>
    </row>
    <row r="657" spans="1:20">
      <c r="A657" s="3">
        <v>8</v>
      </c>
      <c r="B657" s="3">
        <v>2</v>
      </c>
      <c r="C657" s="3">
        <v>40</v>
      </c>
      <c r="D657" s="3">
        <v>36</v>
      </c>
      <c r="E657" s="3">
        <f>((1/(INDEX(E0!J$4:J$52,C657,1)-INDEX(E0!J$4:J$52,D657,1))))*100000000</f>
        <v>0</v>
      </c>
      <c r="F657" s="4" t="str">
        <f>HYPERLINK("http://141.218.60.56/~jnz1568/getInfo.php?workbook=08_02.xlsx&amp;sheet=A0&amp;row=657&amp;col=6&amp;number=&amp;sourceID=27","")</f>
        <v/>
      </c>
      <c r="G657" s="4" t="str">
        <f>HYPERLINK("http://141.218.60.56/~jnz1568/getInfo.php?workbook=08_02.xlsx&amp;sheet=A0&amp;row=657&amp;col=7&amp;number=177142.857143&amp;sourceID=34","177142.857143")</f>
        <v>177142.857143</v>
      </c>
      <c r="H657" s="4" t="str">
        <f>HYPERLINK("http://141.218.60.56/~jnz1568/getInfo.php?workbook=08_02.xlsx&amp;sheet=A0&amp;row=657&amp;col=8&amp;number=&amp;sourceID=34","")</f>
        <v/>
      </c>
      <c r="I657" s="4" t="str">
        <f>HYPERLINK("http://141.218.60.56/~jnz1568/getInfo.php?workbook=08_02.xlsx&amp;sheet=A0&amp;row=657&amp;col=9&amp;number=&amp;sourceID=34","")</f>
        <v/>
      </c>
      <c r="J657" s="4" t="str">
        <f>HYPERLINK("http://141.218.60.56/~jnz1568/getInfo.php?workbook=08_02.xlsx&amp;sheet=A0&amp;row=657&amp;col=10&amp;number=&amp;sourceID=34","")</f>
        <v/>
      </c>
      <c r="K657" s="4" t="str">
        <f>HYPERLINK("http://141.218.60.56/~jnz1568/getInfo.php?workbook=08_02.xlsx&amp;sheet=A0&amp;row=657&amp;col=11&amp;number=107900&amp;sourceID=30","107900")</f>
        <v>107900</v>
      </c>
      <c r="L657" s="4" t="str">
        <f>HYPERLINK("http://141.218.60.56/~jnz1568/getInfo.php?workbook=08_02.xlsx&amp;sheet=A0&amp;row=657&amp;col=12&amp;number=&amp;sourceID=30","")</f>
        <v/>
      </c>
      <c r="M657" s="4" t="str">
        <f>HYPERLINK("http://141.218.60.56/~jnz1568/getInfo.php?workbook=08_02.xlsx&amp;sheet=A0&amp;row=657&amp;col=13&amp;number=&amp;sourceID=30","")</f>
        <v/>
      </c>
      <c r="N657" s="4" t="str">
        <f>HYPERLINK("http://141.218.60.56/~jnz1568/getInfo.php?workbook=08_02.xlsx&amp;sheet=A0&amp;row=657&amp;col=14&amp;number=4.112e-09&amp;sourceID=30","4.112e-09")</f>
        <v>4.112e-09</v>
      </c>
      <c r="O657" s="4" t="str">
        <f>HYPERLINK("http://141.218.60.56/~jnz1568/getInfo.php?workbook=08_02.xlsx&amp;sheet=A0&amp;row=657&amp;col=15&amp;number=120000&amp;sourceID=32","120000")</f>
        <v>120000</v>
      </c>
      <c r="P657" s="4" t="str">
        <f>HYPERLINK("http://141.218.60.56/~jnz1568/getInfo.php?workbook=08_02.xlsx&amp;sheet=A0&amp;row=657&amp;col=16&amp;number=&amp;sourceID=32","")</f>
        <v/>
      </c>
      <c r="Q657" s="4" t="str">
        <f>HYPERLINK("http://141.218.60.56/~jnz1568/getInfo.php?workbook=08_02.xlsx&amp;sheet=A0&amp;row=657&amp;col=17&amp;number=&amp;sourceID=32","")</f>
        <v/>
      </c>
      <c r="R657" s="4" t="str">
        <f>HYPERLINK("http://141.218.60.56/~jnz1568/getInfo.php?workbook=08_02.xlsx&amp;sheet=A0&amp;row=657&amp;col=18&amp;number=4.923e-09&amp;sourceID=32","4.923e-09")</f>
        <v>4.923e-09</v>
      </c>
      <c r="S657" s="4" t="str">
        <f>HYPERLINK("http://141.218.60.56/~jnz1568/getInfo.php?workbook=08_02.xlsx&amp;sheet=A0&amp;row=657&amp;col=19&amp;number=&amp;sourceID=1","")</f>
        <v/>
      </c>
      <c r="T657" s="4" t="str">
        <f>HYPERLINK("http://141.218.60.56/~jnz1568/getInfo.php?workbook=08_02.xlsx&amp;sheet=A0&amp;row=657&amp;col=20&amp;number=&amp;sourceID=1","")</f>
        <v/>
      </c>
    </row>
    <row r="658" spans="1:20">
      <c r="A658" s="3">
        <v>8</v>
      </c>
      <c r="B658" s="3">
        <v>2</v>
      </c>
      <c r="C658" s="3">
        <v>40</v>
      </c>
      <c r="D658" s="3">
        <v>38</v>
      </c>
      <c r="E658" s="3">
        <f>((1/(INDEX(E0!J$4:J$52,C658,1)-INDEX(E0!J$4:J$52,D658,1))))*100000000</f>
        <v>0</v>
      </c>
      <c r="F658" s="4" t="str">
        <f>HYPERLINK("http://141.218.60.56/~jnz1568/getInfo.php?workbook=08_02.xlsx&amp;sheet=A0&amp;row=658&amp;col=6&amp;number=&amp;sourceID=27","")</f>
        <v/>
      </c>
      <c r="G658" s="4" t="str">
        <f>HYPERLINK("http://141.218.60.56/~jnz1568/getInfo.php?workbook=08_02.xlsx&amp;sheet=A0&amp;row=658&amp;col=7&amp;number=&amp;sourceID=34","")</f>
        <v/>
      </c>
      <c r="H658" s="4" t="str">
        <f>HYPERLINK("http://141.218.60.56/~jnz1568/getInfo.php?workbook=08_02.xlsx&amp;sheet=A0&amp;row=658&amp;col=8&amp;number=&amp;sourceID=34","")</f>
        <v/>
      </c>
      <c r="I658" s="4" t="str">
        <f>HYPERLINK("http://141.218.60.56/~jnz1568/getInfo.php?workbook=08_02.xlsx&amp;sheet=A0&amp;row=658&amp;col=9&amp;number=&amp;sourceID=34","")</f>
        <v/>
      </c>
      <c r="J658" s="4" t="str">
        <f>HYPERLINK("http://141.218.60.56/~jnz1568/getInfo.php?workbook=08_02.xlsx&amp;sheet=A0&amp;row=658&amp;col=10&amp;number=&amp;sourceID=34","")</f>
        <v/>
      </c>
      <c r="K658" s="4" t="str">
        <f>HYPERLINK("http://141.218.60.56/~jnz1568/getInfo.php?workbook=08_02.xlsx&amp;sheet=A0&amp;row=658&amp;col=11&amp;number=&amp;sourceID=30","")</f>
        <v/>
      </c>
      <c r="L658" s="4" t="str">
        <f>HYPERLINK("http://141.218.60.56/~jnz1568/getInfo.php?workbook=08_02.xlsx&amp;sheet=A0&amp;row=658&amp;col=12&amp;number=0&amp;sourceID=30","0")</f>
        <v>0</v>
      </c>
      <c r="M658" s="4" t="str">
        <f>HYPERLINK("http://141.218.60.56/~jnz1568/getInfo.php?workbook=08_02.xlsx&amp;sheet=A0&amp;row=658&amp;col=13&amp;number=&amp;sourceID=30","")</f>
        <v/>
      </c>
      <c r="N658" s="4" t="str">
        <f>HYPERLINK("http://141.218.60.56/~jnz1568/getInfo.php?workbook=08_02.xlsx&amp;sheet=A0&amp;row=658&amp;col=14&amp;number=&amp;sourceID=30","")</f>
        <v/>
      </c>
      <c r="O658" s="4" t="str">
        <f>HYPERLINK("http://141.218.60.56/~jnz1568/getInfo.php?workbook=08_02.xlsx&amp;sheet=A0&amp;row=658&amp;col=15&amp;number=&amp;sourceID=32","")</f>
        <v/>
      </c>
      <c r="P658" s="4" t="str">
        <f>HYPERLINK("http://141.218.60.56/~jnz1568/getInfo.php?workbook=08_02.xlsx&amp;sheet=A0&amp;row=658&amp;col=16&amp;number=&amp;sourceID=32","")</f>
        <v/>
      </c>
      <c r="Q658" s="4" t="str">
        <f>HYPERLINK("http://141.218.60.56/~jnz1568/getInfo.php?workbook=08_02.xlsx&amp;sheet=A0&amp;row=658&amp;col=17&amp;number=&amp;sourceID=32","")</f>
        <v/>
      </c>
      <c r="R658" s="4" t="str">
        <f>HYPERLINK("http://141.218.60.56/~jnz1568/getInfo.php?workbook=08_02.xlsx&amp;sheet=A0&amp;row=658&amp;col=18&amp;number=&amp;sourceID=32","")</f>
        <v/>
      </c>
      <c r="S658" s="4" t="str">
        <f>HYPERLINK("http://141.218.60.56/~jnz1568/getInfo.php?workbook=08_02.xlsx&amp;sheet=A0&amp;row=658&amp;col=19&amp;number=&amp;sourceID=1","")</f>
        <v/>
      </c>
      <c r="T658" s="4" t="str">
        <f>HYPERLINK("http://141.218.60.56/~jnz1568/getInfo.php?workbook=08_02.xlsx&amp;sheet=A0&amp;row=658&amp;col=20&amp;number=&amp;sourceID=1","")</f>
        <v/>
      </c>
    </row>
    <row r="659" spans="1:20">
      <c r="A659" s="3">
        <v>8</v>
      </c>
      <c r="B659" s="3">
        <v>2</v>
      </c>
      <c r="C659" s="3">
        <v>40</v>
      </c>
      <c r="D659" s="3">
        <v>39</v>
      </c>
      <c r="E659" s="3">
        <f>((1/(INDEX(E0!J$4:J$52,C659,1)-INDEX(E0!J$4:J$52,D659,1))))*100000000</f>
        <v>0</v>
      </c>
      <c r="F659" s="4" t="str">
        <f>HYPERLINK("http://141.218.60.56/~jnz1568/getInfo.php?workbook=08_02.xlsx&amp;sheet=A0&amp;row=659&amp;col=6&amp;number=&amp;sourceID=27","")</f>
        <v/>
      </c>
      <c r="G659" s="4" t="str">
        <f>HYPERLINK("http://141.218.60.56/~jnz1568/getInfo.php?workbook=08_02.xlsx&amp;sheet=A0&amp;row=659&amp;col=7&amp;number=&amp;sourceID=34","")</f>
        <v/>
      </c>
      <c r="H659" s="4" t="str">
        <f>HYPERLINK("http://141.218.60.56/~jnz1568/getInfo.php?workbook=08_02.xlsx&amp;sheet=A0&amp;row=659&amp;col=8&amp;number=&amp;sourceID=34","")</f>
        <v/>
      </c>
      <c r="I659" s="4" t="str">
        <f>HYPERLINK("http://141.218.60.56/~jnz1568/getInfo.php?workbook=08_02.xlsx&amp;sheet=A0&amp;row=659&amp;col=9&amp;number=&amp;sourceID=34","")</f>
        <v/>
      </c>
      <c r="J659" s="4" t="str">
        <f>HYPERLINK("http://141.218.60.56/~jnz1568/getInfo.php?workbook=08_02.xlsx&amp;sheet=A0&amp;row=659&amp;col=10&amp;number=&amp;sourceID=34","")</f>
        <v/>
      </c>
      <c r="K659" s="4" t="str">
        <f>HYPERLINK("http://141.218.60.56/~jnz1568/getInfo.php?workbook=08_02.xlsx&amp;sheet=A0&amp;row=659&amp;col=11&amp;number=&amp;sourceID=30","")</f>
        <v/>
      </c>
      <c r="L659" s="4" t="str">
        <f>HYPERLINK("http://141.218.60.56/~jnz1568/getInfo.php?workbook=08_02.xlsx&amp;sheet=A0&amp;row=659&amp;col=12&amp;number=1e-15&amp;sourceID=30","1e-15")</f>
        <v>1e-15</v>
      </c>
      <c r="M659" s="4" t="str">
        <f>HYPERLINK("http://141.218.60.56/~jnz1568/getInfo.php?workbook=08_02.xlsx&amp;sheet=A0&amp;row=659&amp;col=13&amp;number=1.901e-08&amp;sourceID=30","1.901e-08")</f>
        <v>1.901e-08</v>
      </c>
      <c r="N659" s="4" t="str">
        <f>HYPERLINK("http://141.218.60.56/~jnz1568/getInfo.php?workbook=08_02.xlsx&amp;sheet=A0&amp;row=659&amp;col=14&amp;number=&amp;sourceID=30","")</f>
        <v/>
      </c>
      <c r="O659" s="4" t="str">
        <f>HYPERLINK("http://141.218.60.56/~jnz1568/getInfo.php?workbook=08_02.xlsx&amp;sheet=A0&amp;row=659&amp;col=15&amp;number=&amp;sourceID=32","")</f>
        <v/>
      </c>
      <c r="P659" s="4" t="str">
        <f>HYPERLINK("http://141.218.60.56/~jnz1568/getInfo.php?workbook=08_02.xlsx&amp;sheet=A0&amp;row=659&amp;col=16&amp;number=&amp;sourceID=32","")</f>
        <v/>
      </c>
      <c r="Q659" s="4" t="str">
        <f>HYPERLINK("http://141.218.60.56/~jnz1568/getInfo.php?workbook=08_02.xlsx&amp;sheet=A0&amp;row=659&amp;col=17&amp;number=&amp;sourceID=32","")</f>
        <v/>
      </c>
      <c r="R659" s="4" t="str">
        <f>HYPERLINK("http://141.218.60.56/~jnz1568/getInfo.php?workbook=08_02.xlsx&amp;sheet=A0&amp;row=659&amp;col=18&amp;number=&amp;sourceID=32","")</f>
        <v/>
      </c>
      <c r="S659" s="4" t="str">
        <f>HYPERLINK("http://141.218.60.56/~jnz1568/getInfo.php?workbook=08_02.xlsx&amp;sheet=A0&amp;row=659&amp;col=19&amp;number=&amp;sourceID=1","")</f>
        <v/>
      </c>
      <c r="T659" s="4" t="str">
        <f>HYPERLINK("http://141.218.60.56/~jnz1568/getInfo.php?workbook=08_02.xlsx&amp;sheet=A0&amp;row=659&amp;col=20&amp;number=&amp;sourceID=1","")</f>
        <v/>
      </c>
    </row>
    <row r="660" spans="1:20">
      <c r="A660" s="3">
        <v>8</v>
      </c>
      <c r="B660" s="3">
        <v>2</v>
      </c>
      <c r="C660" s="3">
        <v>41</v>
      </c>
      <c r="D660" s="3">
        <v>2</v>
      </c>
      <c r="E660" s="3">
        <f>((1/(INDEX(E0!J$4:J$52,C660,1)-INDEX(E0!J$4:J$52,D660,1))))*100000000</f>
        <v>0</v>
      </c>
      <c r="F660" s="4" t="str">
        <f>HYPERLINK("http://141.218.60.56/~jnz1568/getInfo.php?workbook=08_02.xlsx&amp;sheet=A0&amp;row=660&amp;col=6&amp;number=&amp;sourceID=27","")</f>
        <v/>
      </c>
      <c r="G660" s="4" t="str">
        <f>HYPERLINK("http://141.218.60.56/~jnz1568/getInfo.php?workbook=08_02.xlsx&amp;sheet=A0&amp;row=660&amp;col=7&amp;number=&amp;sourceID=34","")</f>
        <v/>
      </c>
      <c r="H660" s="4" t="str">
        <f>HYPERLINK("http://141.218.60.56/~jnz1568/getInfo.php?workbook=08_02.xlsx&amp;sheet=A0&amp;row=660&amp;col=8&amp;number=&amp;sourceID=34","")</f>
        <v/>
      </c>
      <c r="I660" s="4" t="str">
        <f>HYPERLINK("http://141.218.60.56/~jnz1568/getInfo.php?workbook=08_02.xlsx&amp;sheet=A0&amp;row=660&amp;col=9&amp;number=&amp;sourceID=34","")</f>
        <v/>
      </c>
      <c r="J660" s="4" t="str">
        <f>HYPERLINK("http://141.218.60.56/~jnz1568/getInfo.php?workbook=08_02.xlsx&amp;sheet=A0&amp;row=660&amp;col=10&amp;number=&amp;sourceID=34","")</f>
        <v/>
      </c>
      <c r="K660" s="4" t="str">
        <f>HYPERLINK("http://141.218.60.56/~jnz1568/getInfo.php?workbook=08_02.xlsx&amp;sheet=A0&amp;row=660&amp;col=11&amp;number=&amp;sourceID=30","")</f>
        <v/>
      </c>
      <c r="L660" s="4" t="str">
        <f>HYPERLINK("http://141.218.60.56/~jnz1568/getInfo.php?workbook=08_02.xlsx&amp;sheet=A0&amp;row=660&amp;col=12&amp;number=&amp;sourceID=30","")</f>
        <v/>
      </c>
      <c r="M660" s="4" t="str">
        <f>HYPERLINK("http://141.218.60.56/~jnz1568/getInfo.php?workbook=08_02.xlsx&amp;sheet=A0&amp;row=660&amp;col=13&amp;number=&amp;sourceID=30","")</f>
        <v/>
      </c>
      <c r="N660" s="4" t="str">
        <f>HYPERLINK("http://141.218.60.56/~jnz1568/getInfo.php?workbook=08_02.xlsx&amp;sheet=A0&amp;row=660&amp;col=14&amp;number=1.392e-07&amp;sourceID=30","1.392e-07")</f>
        <v>1.392e-07</v>
      </c>
      <c r="O660" s="4" t="str">
        <f>HYPERLINK("http://141.218.60.56/~jnz1568/getInfo.php?workbook=08_02.xlsx&amp;sheet=A0&amp;row=660&amp;col=15&amp;number=&amp;sourceID=32","")</f>
        <v/>
      </c>
      <c r="P660" s="4" t="str">
        <f>HYPERLINK("http://141.218.60.56/~jnz1568/getInfo.php?workbook=08_02.xlsx&amp;sheet=A0&amp;row=660&amp;col=16&amp;number=&amp;sourceID=32","")</f>
        <v/>
      </c>
      <c r="Q660" s="4" t="str">
        <f>HYPERLINK("http://141.218.60.56/~jnz1568/getInfo.php?workbook=08_02.xlsx&amp;sheet=A0&amp;row=660&amp;col=17&amp;number=&amp;sourceID=32","")</f>
        <v/>
      </c>
      <c r="R660" s="4" t="str">
        <f>HYPERLINK("http://141.218.60.56/~jnz1568/getInfo.php?workbook=08_02.xlsx&amp;sheet=A0&amp;row=660&amp;col=18&amp;number=2.124e-06&amp;sourceID=32","2.124e-06")</f>
        <v>2.124e-06</v>
      </c>
      <c r="S660" s="4" t="str">
        <f>HYPERLINK("http://141.218.60.56/~jnz1568/getInfo.php?workbook=08_02.xlsx&amp;sheet=A0&amp;row=660&amp;col=19&amp;number=&amp;sourceID=1","")</f>
        <v/>
      </c>
      <c r="T660" s="4" t="str">
        <f>HYPERLINK("http://141.218.60.56/~jnz1568/getInfo.php?workbook=08_02.xlsx&amp;sheet=A0&amp;row=660&amp;col=20&amp;number=&amp;sourceID=1","")</f>
        <v/>
      </c>
    </row>
    <row r="661" spans="1:20">
      <c r="A661" s="3">
        <v>8</v>
      </c>
      <c r="B661" s="3">
        <v>2</v>
      </c>
      <c r="C661" s="3">
        <v>41</v>
      </c>
      <c r="D661" s="3">
        <v>4</v>
      </c>
      <c r="E661" s="3">
        <f>((1/(INDEX(E0!J$4:J$52,C661,1)-INDEX(E0!J$4:J$52,D661,1))))*100000000</f>
        <v>0</v>
      </c>
      <c r="F661" s="4" t="str">
        <f>HYPERLINK("http://141.218.60.56/~jnz1568/getInfo.php?workbook=08_02.xlsx&amp;sheet=A0&amp;row=661&amp;col=6&amp;number=&amp;sourceID=27","")</f>
        <v/>
      </c>
      <c r="G661" s="4" t="str">
        <f>HYPERLINK("http://141.218.60.56/~jnz1568/getInfo.php?workbook=08_02.xlsx&amp;sheet=A0&amp;row=661&amp;col=7&amp;number=&amp;sourceID=34","")</f>
        <v/>
      </c>
      <c r="H661" s="4" t="str">
        <f>HYPERLINK("http://141.218.60.56/~jnz1568/getInfo.php?workbook=08_02.xlsx&amp;sheet=A0&amp;row=661&amp;col=8&amp;number=&amp;sourceID=34","")</f>
        <v/>
      </c>
      <c r="I661" s="4" t="str">
        <f>HYPERLINK("http://141.218.60.56/~jnz1568/getInfo.php?workbook=08_02.xlsx&amp;sheet=A0&amp;row=661&amp;col=9&amp;number=&amp;sourceID=34","")</f>
        <v/>
      </c>
      <c r="J661" s="4" t="str">
        <f>HYPERLINK("http://141.218.60.56/~jnz1568/getInfo.php?workbook=08_02.xlsx&amp;sheet=A0&amp;row=661&amp;col=10&amp;number=&amp;sourceID=34","")</f>
        <v/>
      </c>
      <c r="K661" s="4" t="str">
        <f>HYPERLINK("http://141.218.60.56/~jnz1568/getInfo.php?workbook=08_02.xlsx&amp;sheet=A0&amp;row=661&amp;col=11&amp;number=&amp;sourceID=30","")</f>
        <v/>
      </c>
      <c r="L661" s="4" t="str">
        <f>HYPERLINK("http://141.218.60.56/~jnz1568/getInfo.php?workbook=08_02.xlsx&amp;sheet=A0&amp;row=661&amp;col=12&amp;number=2407000&amp;sourceID=30","2407000")</f>
        <v>2407000</v>
      </c>
      <c r="M661" s="4" t="str">
        <f>HYPERLINK("http://141.218.60.56/~jnz1568/getInfo.php?workbook=08_02.xlsx&amp;sheet=A0&amp;row=661&amp;col=13&amp;number=&amp;sourceID=30","")</f>
        <v/>
      </c>
      <c r="N661" s="4" t="str">
        <f>HYPERLINK("http://141.218.60.56/~jnz1568/getInfo.php?workbook=08_02.xlsx&amp;sheet=A0&amp;row=661&amp;col=14&amp;number=&amp;sourceID=30","")</f>
        <v/>
      </c>
      <c r="O661" s="4" t="str">
        <f>HYPERLINK("http://141.218.60.56/~jnz1568/getInfo.php?workbook=08_02.xlsx&amp;sheet=A0&amp;row=661&amp;col=15&amp;number=&amp;sourceID=32","")</f>
        <v/>
      </c>
      <c r="P661" s="4" t="str">
        <f>HYPERLINK("http://141.218.60.56/~jnz1568/getInfo.php?workbook=08_02.xlsx&amp;sheet=A0&amp;row=661&amp;col=16&amp;number=2135000&amp;sourceID=32","2135000")</f>
        <v>2135000</v>
      </c>
      <c r="Q661" s="4" t="str">
        <f>HYPERLINK("http://141.218.60.56/~jnz1568/getInfo.php?workbook=08_02.xlsx&amp;sheet=A0&amp;row=661&amp;col=17&amp;number=&amp;sourceID=32","")</f>
        <v/>
      </c>
      <c r="R661" s="4" t="str">
        <f>HYPERLINK("http://141.218.60.56/~jnz1568/getInfo.php?workbook=08_02.xlsx&amp;sheet=A0&amp;row=661&amp;col=18&amp;number=&amp;sourceID=32","")</f>
        <v/>
      </c>
      <c r="S661" s="4" t="str">
        <f>HYPERLINK("http://141.218.60.56/~jnz1568/getInfo.php?workbook=08_02.xlsx&amp;sheet=A0&amp;row=661&amp;col=19&amp;number=&amp;sourceID=1","")</f>
        <v/>
      </c>
      <c r="T661" s="4" t="str">
        <f>HYPERLINK("http://141.218.60.56/~jnz1568/getInfo.php?workbook=08_02.xlsx&amp;sheet=A0&amp;row=661&amp;col=20&amp;number=&amp;sourceID=1","")</f>
        <v/>
      </c>
    </row>
    <row r="662" spans="1:20">
      <c r="A662" s="3">
        <v>8</v>
      </c>
      <c r="B662" s="3">
        <v>2</v>
      </c>
      <c r="C662" s="3">
        <v>41</v>
      </c>
      <c r="D662" s="3">
        <v>5</v>
      </c>
      <c r="E662" s="3">
        <f>((1/(INDEX(E0!J$4:J$52,C662,1)-INDEX(E0!J$4:J$52,D662,1))))*100000000</f>
        <v>0</v>
      </c>
      <c r="F662" s="4" t="str">
        <f>HYPERLINK("http://141.218.60.56/~jnz1568/getInfo.php?workbook=08_02.xlsx&amp;sheet=A0&amp;row=662&amp;col=6&amp;number=&amp;sourceID=27","")</f>
        <v/>
      </c>
      <c r="G662" s="4" t="str">
        <f>HYPERLINK("http://141.218.60.56/~jnz1568/getInfo.php?workbook=08_02.xlsx&amp;sheet=A0&amp;row=662&amp;col=7&amp;number=&amp;sourceID=34","")</f>
        <v/>
      </c>
      <c r="H662" s="4" t="str">
        <f>HYPERLINK("http://141.218.60.56/~jnz1568/getInfo.php?workbook=08_02.xlsx&amp;sheet=A0&amp;row=662&amp;col=8&amp;number=&amp;sourceID=34","")</f>
        <v/>
      </c>
      <c r="I662" s="4" t="str">
        <f>HYPERLINK("http://141.218.60.56/~jnz1568/getInfo.php?workbook=08_02.xlsx&amp;sheet=A0&amp;row=662&amp;col=9&amp;number=&amp;sourceID=34","")</f>
        <v/>
      </c>
      <c r="J662" s="4" t="str">
        <f>HYPERLINK("http://141.218.60.56/~jnz1568/getInfo.php?workbook=08_02.xlsx&amp;sheet=A0&amp;row=662&amp;col=10&amp;number=&amp;sourceID=34","")</f>
        <v/>
      </c>
      <c r="K662" s="4" t="str">
        <f>HYPERLINK("http://141.218.60.56/~jnz1568/getInfo.php?workbook=08_02.xlsx&amp;sheet=A0&amp;row=662&amp;col=11&amp;number=&amp;sourceID=30","")</f>
        <v/>
      </c>
      <c r="L662" s="4" t="str">
        <f>HYPERLINK("http://141.218.60.56/~jnz1568/getInfo.php?workbook=08_02.xlsx&amp;sheet=A0&amp;row=662&amp;col=12&amp;number=1183000&amp;sourceID=30","1183000")</f>
        <v>1183000</v>
      </c>
      <c r="M662" s="4" t="str">
        <f>HYPERLINK("http://141.218.60.56/~jnz1568/getInfo.php?workbook=08_02.xlsx&amp;sheet=A0&amp;row=662&amp;col=13&amp;number=0.007761&amp;sourceID=30","0.007761")</f>
        <v>0.007761</v>
      </c>
      <c r="N662" s="4" t="str">
        <f>HYPERLINK("http://141.218.60.56/~jnz1568/getInfo.php?workbook=08_02.xlsx&amp;sheet=A0&amp;row=662&amp;col=14&amp;number=&amp;sourceID=30","")</f>
        <v/>
      </c>
      <c r="O662" s="4" t="str">
        <f>HYPERLINK("http://141.218.60.56/~jnz1568/getInfo.php?workbook=08_02.xlsx&amp;sheet=A0&amp;row=662&amp;col=15&amp;number=&amp;sourceID=32","")</f>
        <v/>
      </c>
      <c r="P662" s="4" t="str">
        <f>HYPERLINK("http://141.218.60.56/~jnz1568/getInfo.php?workbook=08_02.xlsx&amp;sheet=A0&amp;row=662&amp;col=16&amp;number=1043000&amp;sourceID=32","1043000")</f>
        <v>1043000</v>
      </c>
      <c r="Q662" s="4" t="str">
        <f>HYPERLINK("http://141.218.60.56/~jnz1568/getInfo.php?workbook=08_02.xlsx&amp;sheet=A0&amp;row=662&amp;col=17&amp;number=0.01342&amp;sourceID=32","0.01342")</f>
        <v>0.01342</v>
      </c>
      <c r="R662" s="4" t="str">
        <f>HYPERLINK("http://141.218.60.56/~jnz1568/getInfo.php?workbook=08_02.xlsx&amp;sheet=A0&amp;row=662&amp;col=18&amp;number=&amp;sourceID=32","")</f>
        <v/>
      </c>
      <c r="S662" s="4" t="str">
        <f>HYPERLINK("http://141.218.60.56/~jnz1568/getInfo.php?workbook=08_02.xlsx&amp;sheet=A0&amp;row=662&amp;col=19&amp;number=&amp;sourceID=1","")</f>
        <v/>
      </c>
      <c r="T662" s="4" t="str">
        <f>HYPERLINK("http://141.218.60.56/~jnz1568/getInfo.php?workbook=08_02.xlsx&amp;sheet=A0&amp;row=662&amp;col=20&amp;number=&amp;sourceID=1","")</f>
        <v/>
      </c>
    </row>
    <row r="663" spans="1:20">
      <c r="A663" s="3">
        <v>8</v>
      </c>
      <c r="B663" s="3">
        <v>2</v>
      </c>
      <c r="C663" s="3">
        <v>41</v>
      </c>
      <c r="D663" s="3">
        <v>7</v>
      </c>
      <c r="E663" s="3">
        <f>((1/(INDEX(E0!J$4:J$52,C663,1)-INDEX(E0!J$4:J$52,D663,1))))*100000000</f>
        <v>0</v>
      </c>
      <c r="F663" s="4" t="str">
        <f>HYPERLINK("http://141.218.60.56/~jnz1568/getInfo.php?workbook=08_02.xlsx&amp;sheet=A0&amp;row=663&amp;col=6&amp;number=&amp;sourceID=27","")</f>
        <v/>
      </c>
      <c r="G663" s="4" t="str">
        <f>HYPERLINK("http://141.218.60.56/~jnz1568/getInfo.php?workbook=08_02.xlsx&amp;sheet=A0&amp;row=663&amp;col=7&amp;number=&amp;sourceID=34","")</f>
        <v/>
      </c>
      <c r="H663" s="4" t="str">
        <f>HYPERLINK("http://141.218.60.56/~jnz1568/getInfo.php?workbook=08_02.xlsx&amp;sheet=A0&amp;row=663&amp;col=8&amp;number=&amp;sourceID=34","")</f>
        <v/>
      </c>
      <c r="I663" s="4" t="str">
        <f>HYPERLINK("http://141.218.60.56/~jnz1568/getInfo.php?workbook=08_02.xlsx&amp;sheet=A0&amp;row=663&amp;col=9&amp;number=&amp;sourceID=34","")</f>
        <v/>
      </c>
      <c r="J663" s="4" t="str">
        <f>HYPERLINK("http://141.218.60.56/~jnz1568/getInfo.php?workbook=08_02.xlsx&amp;sheet=A0&amp;row=663&amp;col=10&amp;number=&amp;sourceID=34","")</f>
        <v/>
      </c>
      <c r="K663" s="4" t="str">
        <f>HYPERLINK("http://141.218.60.56/~jnz1568/getInfo.php?workbook=08_02.xlsx&amp;sheet=A0&amp;row=663&amp;col=11&amp;number=&amp;sourceID=30","")</f>
        <v/>
      </c>
      <c r="L663" s="4" t="str">
        <f>HYPERLINK("http://141.218.60.56/~jnz1568/getInfo.php?workbook=08_02.xlsx&amp;sheet=A0&amp;row=663&amp;col=12&amp;number=1176000&amp;sourceID=30","1176000")</f>
        <v>1176000</v>
      </c>
      <c r="M663" s="4" t="str">
        <f>HYPERLINK("http://141.218.60.56/~jnz1568/getInfo.php?workbook=08_02.xlsx&amp;sheet=A0&amp;row=663&amp;col=13&amp;number=&amp;sourceID=30","")</f>
        <v/>
      </c>
      <c r="N663" s="4" t="str">
        <f>HYPERLINK("http://141.218.60.56/~jnz1568/getInfo.php?workbook=08_02.xlsx&amp;sheet=A0&amp;row=663&amp;col=14&amp;number=&amp;sourceID=30","")</f>
        <v/>
      </c>
      <c r="O663" s="4" t="str">
        <f>HYPERLINK("http://141.218.60.56/~jnz1568/getInfo.php?workbook=08_02.xlsx&amp;sheet=A0&amp;row=663&amp;col=15&amp;number=&amp;sourceID=32","")</f>
        <v/>
      </c>
      <c r="P663" s="4" t="str">
        <f>HYPERLINK("http://141.218.60.56/~jnz1568/getInfo.php?workbook=08_02.xlsx&amp;sheet=A0&amp;row=663&amp;col=16&amp;number=1718000&amp;sourceID=32","1718000")</f>
        <v>1718000</v>
      </c>
      <c r="Q663" s="4" t="str">
        <f>HYPERLINK("http://141.218.60.56/~jnz1568/getInfo.php?workbook=08_02.xlsx&amp;sheet=A0&amp;row=663&amp;col=17&amp;number=&amp;sourceID=32","")</f>
        <v/>
      </c>
      <c r="R663" s="4" t="str">
        <f>HYPERLINK("http://141.218.60.56/~jnz1568/getInfo.php?workbook=08_02.xlsx&amp;sheet=A0&amp;row=663&amp;col=18&amp;number=&amp;sourceID=32","")</f>
        <v/>
      </c>
      <c r="S663" s="4" t="str">
        <f>HYPERLINK("http://141.218.60.56/~jnz1568/getInfo.php?workbook=08_02.xlsx&amp;sheet=A0&amp;row=663&amp;col=19&amp;number=&amp;sourceID=1","")</f>
        <v/>
      </c>
      <c r="T663" s="4" t="str">
        <f>HYPERLINK("http://141.218.60.56/~jnz1568/getInfo.php?workbook=08_02.xlsx&amp;sheet=A0&amp;row=663&amp;col=20&amp;number=&amp;sourceID=1","")</f>
        <v/>
      </c>
    </row>
    <row r="664" spans="1:20">
      <c r="A664" s="3">
        <v>8</v>
      </c>
      <c r="B664" s="3">
        <v>2</v>
      </c>
      <c r="C664" s="3">
        <v>41</v>
      </c>
      <c r="D664" s="3">
        <v>8</v>
      </c>
      <c r="E664" s="3">
        <f>((1/(INDEX(E0!J$4:J$52,C664,1)-INDEX(E0!J$4:J$52,D664,1))))*100000000</f>
        <v>0</v>
      </c>
      <c r="F664" s="4" t="str">
        <f>HYPERLINK("http://141.218.60.56/~jnz1568/getInfo.php?workbook=08_02.xlsx&amp;sheet=A0&amp;row=664&amp;col=6&amp;number=&amp;sourceID=27","")</f>
        <v/>
      </c>
      <c r="G664" s="4" t="str">
        <f>HYPERLINK("http://141.218.60.56/~jnz1568/getInfo.php?workbook=08_02.xlsx&amp;sheet=A0&amp;row=664&amp;col=7&amp;number=&amp;sourceID=34","")</f>
        <v/>
      </c>
      <c r="H664" s="4" t="str">
        <f>HYPERLINK("http://141.218.60.56/~jnz1568/getInfo.php?workbook=08_02.xlsx&amp;sheet=A0&amp;row=664&amp;col=8&amp;number=&amp;sourceID=34","")</f>
        <v/>
      </c>
      <c r="I664" s="4" t="str">
        <f>HYPERLINK("http://141.218.60.56/~jnz1568/getInfo.php?workbook=08_02.xlsx&amp;sheet=A0&amp;row=664&amp;col=9&amp;number=&amp;sourceID=34","")</f>
        <v/>
      </c>
      <c r="J664" s="4" t="str">
        <f>HYPERLINK("http://141.218.60.56/~jnz1568/getInfo.php?workbook=08_02.xlsx&amp;sheet=A0&amp;row=664&amp;col=10&amp;number=&amp;sourceID=34","")</f>
        <v/>
      </c>
      <c r="K664" s="4" t="str">
        <f>HYPERLINK("http://141.218.60.56/~jnz1568/getInfo.php?workbook=08_02.xlsx&amp;sheet=A0&amp;row=664&amp;col=11&amp;number=&amp;sourceID=30","")</f>
        <v/>
      </c>
      <c r="L664" s="4" t="str">
        <f>HYPERLINK("http://141.218.60.56/~jnz1568/getInfo.php?workbook=08_02.xlsx&amp;sheet=A0&amp;row=664&amp;col=12&amp;number=&amp;sourceID=30","")</f>
        <v/>
      </c>
      <c r="M664" s="4" t="str">
        <f>HYPERLINK("http://141.218.60.56/~jnz1568/getInfo.php?workbook=08_02.xlsx&amp;sheet=A0&amp;row=664&amp;col=13&amp;number=&amp;sourceID=30","")</f>
        <v/>
      </c>
      <c r="N664" s="4" t="str">
        <f>HYPERLINK("http://141.218.60.56/~jnz1568/getInfo.php?workbook=08_02.xlsx&amp;sheet=A0&amp;row=664&amp;col=14&amp;number=1.04e-09&amp;sourceID=30","1.04e-09")</f>
        <v>1.04e-09</v>
      </c>
      <c r="O664" s="4" t="str">
        <f>HYPERLINK("http://141.218.60.56/~jnz1568/getInfo.php?workbook=08_02.xlsx&amp;sheet=A0&amp;row=664&amp;col=15&amp;number=&amp;sourceID=32","")</f>
        <v/>
      </c>
      <c r="P664" s="4" t="str">
        <f>HYPERLINK("http://141.218.60.56/~jnz1568/getInfo.php?workbook=08_02.xlsx&amp;sheet=A0&amp;row=664&amp;col=16&amp;number=&amp;sourceID=32","")</f>
        <v/>
      </c>
      <c r="Q664" s="4" t="str">
        <f>HYPERLINK("http://141.218.60.56/~jnz1568/getInfo.php?workbook=08_02.xlsx&amp;sheet=A0&amp;row=664&amp;col=17&amp;number=&amp;sourceID=32","")</f>
        <v/>
      </c>
      <c r="R664" s="4" t="str">
        <f>HYPERLINK("http://141.218.60.56/~jnz1568/getInfo.php?workbook=08_02.xlsx&amp;sheet=A0&amp;row=664&amp;col=18&amp;number=1.112e-09&amp;sourceID=32","1.112e-09")</f>
        <v>1.112e-09</v>
      </c>
      <c r="S664" s="4" t="str">
        <f>HYPERLINK("http://141.218.60.56/~jnz1568/getInfo.php?workbook=08_02.xlsx&amp;sheet=A0&amp;row=664&amp;col=19&amp;number=&amp;sourceID=1","")</f>
        <v/>
      </c>
      <c r="T664" s="4" t="str">
        <f>HYPERLINK("http://141.218.60.56/~jnz1568/getInfo.php?workbook=08_02.xlsx&amp;sheet=A0&amp;row=664&amp;col=20&amp;number=&amp;sourceID=1","")</f>
        <v/>
      </c>
    </row>
    <row r="665" spans="1:20">
      <c r="A665" s="3">
        <v>8</v>
      </c>
      <c r="B665" s="3">
        <v>2</v>
      </c>
      <c r="C665" s="3">
        <v>41</v>
      </c>
      <c r="D665" s="3">
        <v>10</v>
      </c>
      <c r="E665" s="3">
        <f>((1/(INDEX(E0!J$4:J$52,C665,1)-INDEX(E0!J$4:J$52,D665,1))))*100000000</f>
        <v>0</v>
      </c>
      <c r="F665" s="4" t="str">
        <f>HYPERLINK("http://141.218.60.56/~jnz1568/getInfo.php?workbook=08_02.xlsx&amp;sheet=A0&amp;row=665&amp;col=6&amp;number=&amp;sourceID=27","")</f>
        <v/>
      </c>
      <c r="G665" s="4" t="str">
        <f>HYPERLINK("http://141.218.60.56/~jnz1568/getInfo.php?workbook=08_02.xlsx&amp;sheet=A0&amp;row=665&amp;col=7&amp;number=&amp;sourceID=34","")</f>
        <v/>
      </c>
      <c r="H665" s="4" t="str">
        <f>HYPERLINK("http://141.218.60.56/~jnz1568/getInfo.php?workbook=08_02.xlsx&amp;sheet=A0&amp;row=665&amp;col=8&amp;number=&amp;sourceID=34","")</f>
        <v/>
      </c>
      <c r="I665" s="4" t="str">
        <f>HYPERLINK("http://141.218.60.56/~jnz1568/getInfo.php?workbook=08_02.xlsx&amp;sheet=A0&amp;row=665&amp;col=9&amp;number=&amp;sourceID=34","")</f>
        <v/>
      </c>
      <c r="J665" s="4" t="str">
        <f>HYPERLINK("http://141.218.60.56/~jnz1568/getInfo.php?workbook=08_02.xlsx&amp;sheet=A0&amp;row=665&amp;col=10&amp;number=&amp;sourceID=34","")</f>
        <v/>
      </c>
      <c r="K665" s="4" t="str">
        <f>HYPERLINK("http://141.218.60.56/~jnz1568/getInfo.php?workbook=08_02.xlsx&amp;sheet=A0&amp;row=665&amp;col=11&amp;number=&amp;sourceID=30","")</f>
        <v/>
      </c>
      <c r="L665" s="4" t="str">
        <f>HYPERLINK("http://141.218.60.56/~jnz1568/getInfo.php?workbook=08_02.xlsx&amp;sheet=A0&amp;row=665&amp;col=12&amp;number=3539&amp;sourceID=30","3539")</f>
        <v>3539</v>
      </c>
      <c r="M665" s="4" t="str">
        <f>HYPERLINK("http://141.218.60.56/~jnz1568/getInfo.php?workbook=08_02.xlsx&amp;sheet=A0&amp;row=665&amp;col=13&amp;number=&amp;sourceID=30","")</f>
        <v/>
      </c>
      <c r="N665" s="4" t="str">
        <f>HYPERLINK("http://141.218.60.56/~jnz1568/getInfo.php?workbook=08_02.xlsx&amp;sheet=A0&amp;row=665&amp;col=14&amp;number=&amp;sourceID=30","")</f>
        <v/>
      </c>
      <c r="O665" s="4" t="str">
        <f>HYPERLINK("http://141.218.60.56/~jnz1568/getInfo.php?workbook=08_02.xlsx&amp;sheet=A0&amp;row=665&amp;col=15&amp;number=&amp;sourceID=32","")</f>
        <v/>
      </c>
      <c r="P665" s="4" t="str">
        <f>HYPERLINK("http://141.218.60.56/~jnz1568/getInfo.php?workbook=08_02.xlsx&amp;sheet=A0&amp;row=665&amp;col=16&amp;number=4460&amp;sourceID=32","4460")</f>
        <v>4460</v>
      </c>
      <c r="Q665" s="4" t="str">
        <f>HYPERLINK("http://141.218.60.56/~jnz1568/getInfo.php?workbook=08_02.xlsx&amp;sheet=A0&amp;row=665&amp;col=17&amp;number=&amp;sourceID=32","")</f>
        <v/>
      </c>
      <c r="R665" s="4" t="str">
        <f>HYPERLINK("http://141.218.60.56/~jnz1568/getInfo.php?workbook=08_02.xlsx&amp;sheet=A0&amp;row=665&amp;col=18&amp;number=&amp;sourceID=32","")</f>
        <v/>
      </c>
      <c r="S665" s="4" t="str">
        <f>HYPERLINK("http://141.218.60.56/~jnz1568/getInfo.php?workbook=08_02.xlsx&amp;sheet=A0&amp;row=665&amp;col=19&amp;number=&amp;sourceID=1","")</f>
        <v/>
      </c>
      <c r="T665" s="4" t="str">
        <f>HYPERLINK("http://141.218.60.56/~jnz1568/getInfo.php?workbook=08_02.xlsx&amp;sheet=A0&amp;row=665&amp;col=20&amp;number=&amp;sourceID=1","")</f>
        <v/>
      </c>
    </row>
    <row r="666" spans="1:20">
      <c r="A666" s="3">
        <v>8</v>
      </c>
      <c r="B666" s="3">
        <v>2</v>
      </c>
      <c r="C666" s="3">
        <v>41</v>
      </c>
      <c r="D666" s="3">
        <v>11</v>
      </c>
      <c r="E666" s="3">
        <f>((1/(INDEX(E0!J$4:J$52,C666,1)-INDEX(E0!J$4:J$52,D666,1))))*100000000</f>
        <v>0</v>
      </c>
      <c r="F666" s="4" t="str">
        <f>HYPERLINK("http://141.218.60.56/~jnz1568/getInfo.php?workbook=08_02.xlsx&amp;sheet=A0&amp;row=666&amp;col=6&amp;number=&amp;sourceID=27","")</f>
        <v/>
      </c>
      <c r="G666" s="4" t="str">
        <f>HYPERLINK("http://141.218.60.56/~jnz1568/getInfo.php?workbook=08_02.xlsx&amp;sheet=A0&amp;row=666&amp;col=7&amp;number=&amp;sourceID=34","")</f>
        <v/>
      </c>
      <c r="H666" s="4" t="str">
        <f>HYPERLINK("http://141.218.60.56/~jnz1568/getInfo.php?workbook=08_02.xlsx&amp;sheet=A0&amp;row=666&amp;col=8&amp;number=&amp;sourceID=34","")</f>
        <v/>
      </c>
      <c r="I666" s="4" t="str">
        <f>HYPERLINK("http://141.218.60.56/~jnz1568/getInfo.php?workbook=08_02.xlsx&amp;sheet=A0&amp;row=666&amp;col=9&amp;number=&amp;sourceID=34","")</f>
        <v/>
      </c>
      <c r="J666" s="4" t="str">
        <f>HYPERLINK("http://141.218.60.56/~jnz1568/getInfo.php?workbook=08_02.xlsx&amp;sheet=A0&amp;row=666&amp;col=10&amp;number=&amp;sourceID=34","")</f>
        <v/>
      </c>
      <c r="K666" s="4" t="str">
        <f>HYPERLINK("http://141.218.60.56/~jnz1568/getInfo.php?workbook=08_02.xlsx&amp;sheet=A0&amp;row=666&amp;col=11&amp;number=&amp;sourceID=30","")</f>
        <v/>
      </c>
      <c r="L666" s="4" t="str">
        <f>HYPERLINK("http://141.218.60.56/~jnz1568/getInfo.php?workbook=08_02.xlsx&amp;sheet=A0&amp;row=666&amp;col=12&amp;number=1679&amp;sourceID=30","1679")</f>
        <v>1679</v>
      </c>
      <c r="M666" s="4" t="str">
        <f>HYPERLINK("http://141.218.60.56/~jnz1568/getInfo.php?workbook=08_02.xlsx&amp;sheet=A0&amp;row=666&amp;col=13&amp;number=0.0002044&amp;sourceID=30","0.0002044")</f>
        <v>0.0002044</v>
      </c>
      <c r="N666" s="4" t="str">
        <f>HYPERLINK("http://141.218.60.56/~jnz1568/getInfo.php?workbook=08_02.xlsx&amp;sheet=A0&amp;row=666&amp;col=14&amp;number=&amp;sourceID=30","")</f>
        <v/>
      </c>
      <c r="O666" s="4" t="str">
        <f>HYPERLINK("http://141.218.60.56/~jnz1568/getInfo.php?workbook=08_02.xlsx&amp;sheet=A0&amp;row=666&amp;col=15&amp;number=&amp;sourceID=32","")</f>
        <v/>
      </c>
      <c r="P666" s="4" t="str">
        <f>HYPERLINK("http://141.218.60.56/~jnz1568/getInfo.php?workbook=08_02.xlsx&amp;sheet=A0&amp;row=666&amp;col=16&amp;number=2143&amp;sourceID=32","2143")</f>
        <v>2143</v>
      </c>
      <c r="Q666" s="4" t="str">
        <f>HYPERLINK("http://141.218.60.56/~jnz1568/getInfo.php?workbook=08_02.xlsx&amp;sheet=A0&amp;row=666&amp;col=17&amp;number=0.0003324&amp;sourceID=32","0.0003324")</f>
        <v>0.0003324</v>
      </c>
      <c r="R666" s="4" t="str">
        <f>HYPERLINK("http://141.218.60.56/~jnz1568/getInfo.php?workbook=08_02.xlsx&amp;sheet=A0&amp;row=666&amp;col=18&amp;number=&amp;sourceID=32","")</f>
        <v/>
      </c>
      <c r="S666" s="4" t="str">
        <f>HYPERLINK("http://141.218.60.56/~jnz1568/getInfo.php?workbook=08_02.xlsx&amp;sheet=A0&amp;row=666&amp;col=19&amp;number=&amp;sourceID=1","")</f>
        <v/>
      </c>
      <c r="T666" s="4" t="str">
        <f>HYPERLINK("http://141.218.60.56/~jnz1568/getInfo.php?workbook=08_02.xlsx&amp;sheet=A0&amp;row=666&amp;col=20&amp;number=&amp;sourceID=1","")</f>
        <v/>
      </c>
    </row>
    <row r="667" spans="1:20">
      <c r="A667" s="3">
        <v>8</v>
      </c>
      <c r="B667" s="3">
        <v>2</v>
      </c>
      <c r="C667" s="3">
        <v>41</v>
      </c>
      <c r="D667" s="3">
        <v>13</v>
      </c>
      <c r="E667" s="3">
        <f>((1/(INDEX(E0!J$4:J$52,C667,1)-INDEX(E0!J$4:J$52,D667,1))))*100000000</f>
        <v>0</v>
      </c>
      <c r="F667" s="4" t="str">
        <f>HYPERLINK("http://141.218.60.56/~jnz1568/getInfo.php?workbook=08_02.xlsx&amp;sheet=A0&amp;row=667&amp;col=6&amp;number=&amp;sourceID=27","")</f>
        <v/>
      </c>
      <c r="G667" s="4" t="str">
        <f>HYPERLINK("http://141.218.60.56/~jnz1568/getInfo.php?workbook=08_02.xlsx&amp;sheet=A0&amp;row=667&amp;col=7&amp;number=&amp;sourceID=34","")</f>
        <v/>
      </c>
      <c r="H667" s="4" t="str">
        <f>HYPERLINK("http://141.218.60.56/~jnz1568/getInfo.php?workbook=08_02.xlsx&amp;sheet=A0&amp;row=667&amp;col=8&amp;number=&amp;sourceID=34","")</f>
        <v/>
      </c>
      <c r="I667" s="4" t="str">
        <f>HYPERLINK("http://141.218.60.56/~jnz1568/getInfo.php?workbook=08_02.xlsx&amp;sheet=A0&amp;row=667&amp;col=9&amp;number=&amp;sourceID=34","")</f>
        <v/>
      </c>
      <c r="J667" s="4" t="str">
        <f>HYPERLINK("http://141.218.60.56/~jnz1568/getInfo.php?workbook=08_02.xlsx&amp;sheet=A0&amp;row=667&amp;col=10&amp;number=&amp;sourceID=34","")</f>
        <v/>
      </c>
      <c r="K667" s="4" t="str">
        <f>HYPERLINK("http://141.218.60.56/~jnz1568/getInfo.php?workbook=08_02.xlsx&amp;sheet=A0&amp;row=667&amp;col=11&amp;number=&amp;sourceID=30","")</f>
        <v/>
      </c>
      <c r="L667" s="4" t="str">
        <f>HYPERLINK("http://141.218.60.56/~jnz1568/getInfo.php?workbook=08_02.xlsx&amp;sheet=A0&amp;row=667&amp;col=12&amp;number=&amp;sourceID=30","")</f>
        <v/>
      </c>
      <c r="M667" s="4" t="str">
        <f>HYPERLINK("http://141.218.60.56/~jnz1568/getInfo.php?workbook=08_02.xlsx&amp;sheet=A0&amp;row=667&amp;col=13&amp;number=&amp;sourceID=30","")</f>
        <v/>
      </c>
      <c r="N667" s="4" t="str">
        <f>HYPERLINK("http://141.218.60.56/~jnz1568/getInfo.php?workbook=08_02.xlsx&amp;sheet=A0&amp;row=667&amp;col=14&amp;number=0.3421&amp;sourceID=30","0.3421")</f>
        <v>0.3421</v>
      </c>
      <c r="O667" s="4" t="str">
        <f>HYPERLINK("http://141.218.60.56/~jnz1568/getInfo.php?workbook=08_02.xlsx&amp;sheet=A0&amp;row=667&amp;col=15&amp;number=&amp;sourceID=32","")</f>
        <v/>
      </c>
      <c r="P667" s="4" t="str">
        <f>HYPERLINK("http://141.218.60.56/~jnz1568/getInfo.php?workbook=08_02.xlsx&amp;sheet=A0&amp;row=667&amp;col=16&amp;number=&amp;sourceID=32","")</f>
        <v/>
      </c>
      <c r="Q667" s="4" t="str">
        <f>HYPERLINK("http://141.218.60.56/~jnz1568/getInfo.php?workbook=08_02.xlsx&amp;sheet=A0&amp;row=667&amp;col=17&amp;number=&amp;sourceID=32","")</f>
        <v/>
      </c>
      <c r="R667" s="4" t="str">
        <f>HYPERLINK("http://141.218.60.56/~jnz1568/getInfo.php?workbook=08_02.xlsx&amp;sheet=A0&amp;row=667&amp;col=18&amp;number=0.3786&amp;sourceID=32","0.3786")</f>
        <v>0.3786</v>
      </c>
      <c r="S667" s="4" t="str">
        <f>HYPERLINK("http://141.218.60.56/~jnz1568/getInfo.php?workbook=08_02.xlsx&amp;sheet=A0&amp;row=667&amp;col=19&amp;number=&amp;sourceID=1","")</f>
        <v/>
      </c>
      <c r="T667" s="4" t="str">
        <f>HYPERLINK("http://141.218.60.56/~jnz1568/getInfo.php?workbook=08_02.xlsx&amp;sheet=A0&amp;row=667&amp;col=20&amp;number=&amp;sourceID=1","")</f>
        <v/>
      </c>
    </row>
    <row r="668" spans="1:20">
      <c r="A668" s="3">
        <v>8</v>
      </c>
      <c r="B668" s="3">
        <v>2</v>
      </c>
      <c r="C668" s="3">
        <v>41</v>
      </c>
      <c r="D668" s="3">
        <v>14</v>
      </c>
      <c r="E668" s="3">
        <f>((1/(INDEX(E0!J$4:J$52,C668,1)-INDEX(E0!J$4:J$52,D668,1))))*100000000</f>
        <v>0</v>
      </c>
      <c r="F668" s="4" t="str">
        <f>HYPERLINK("http://141.218.60.56/~jnz1568/getInfo.php?workbook=08_02.xlsx&amp;sheet=A0&amp;row=668&amp;col=6&amp;number=&amp;sourceID=27","")</f>
        <v/>
      </c>
      <c r="G668" s="4" t="str">
        <f>HYPERLINK("http://141.218.60.56/~jnz1568/getInfo.php?workbook=08_02.xlsx&amp;sheet=A0&amp;row=668&amp;col=7&amp;number=&amp;sourceID=34","")</f>
        <v/>
      </c>
      <c r="H668" s="4" t="str">
        <f>HYPERLINK("http://141.218.60.56/~jnz1568/getInfo.php?workbook=08_02.xlsx&amp;sheet=A0&amp;row=668&amp;col=8&amp;number=&amp;sourceID=34","")</f>
        <v/>
      </c>
      <c r="I668" s="4" t="str">
        <f>HYPERLINK("http://141.218.60.56/~jnz1568/getInfo.php?workbook=08_02.xlsx&amp;sheet=A0&amp;row=668&amp;col=9&amp;number=&amp;sourceID=34","")</f>
        <v/>
      </c>
      <c r="J668" s="4" t="str">
        <f>HYPERLINK("http://141.218.60.56/~jnz1568/getInfo.php?workbook=08_02.xlsx&amp;sheet=A0&amp;row=668&amp;col=10&amp;number=&amp;sourceID=34","")</f>
        <v/>
      </c>
      <c r="K668" s="4" t="str">
        <f>HYPERLINK("http://141.218.60.56/~jnz1568/getInfo.php?workbook=08_02.xlsx&amp;sheet=A0&amp;row=668&amp;col=11&amp;number=7371000000&amp;sourceID=30","7371000000")</f>
        <v>7371000000</v>
      </c>
      <c r="L668" s="4" t="str">
        <f>HYPERLINK("http://141.218.60.56/~jnz1568/getInfo.php?workbook=08_02.xlsx&amp;sheet=A0&amp;row=668&amp;col=12&amp;number=&amp;sourceID=30","")</f>
        <v/>
      </c>
      <c r="M668" s="4" t="str">
        <f>HYPERLINK("http://141.218.60.56/~jnz1568/getInfo.php?workbook=08_02.xlsx&amp;sheet=A0&amp;row=668&amp;col=13&amp;number=&amp;sourceID=30","")</f>
        <v/>
      </c>
      <c r="N668" s="4" t="str">
        <f>HYPERLINK("http://141.218.60.56/~jnz1568/getInfo.php?workbook=08_02.xlsx&amp;sheet=A0&amp;row=668&amp;col=14&amp;number=3.33&amp;sourceID=30","3.33")</f>
        <v>3.33</v>
      </c>
      <c r="O668" s="4" t="str">
        <f>HYPERLINK("http://141.218.60.56/~jnz1568/getInfo.php?workbook=08_02.xlsx&amp;sheet=A0&amp;row=668&amp;col=15&amp;number=7381000000&amp;sourceID=32","7381000000")</f>
        <v>7381000000</v>
      </c>
      <c r="P668" s="4" t="str">
        <f>HYPERLINK("http://141.218.60.56/~jnz1568/getInfo.php?workbook=08_02.xlsx&amp;sheet=A0&amp;row=668&amp;col=16&amp;number=&amp;sourceID=32","")</f>
        <v/>
      </c>
      <c r="Q668" s="4" t="str">
        <f>HYPERLINK("http://141.218.60.56/~jnz1568/getInfo.php?workbook=08_02.xlsx&amp;sheet=A0&amp;row=668&amp;col=17&amp;number=&amp;sourceID=32","")</f>
        <v/>
      </c>
      <c r="R668" s="4" t="str">
        <f>HYPERLINK("http://141.218.60.56/~jnz1568/getInfo.php?workbook=08_02.xlsx&amp;sheet=A0&amp;row=668&amp;col=18&amp;number=3.194&amp;sourceID=32","3.194")</f>
        <v>3.194</v>
      </c>
      <c r="S668" s="4" t="str">
        <f>HYPERLINK("http://141.218.60.56/~jnz1568/getInfo.php?workbook=08_02.xlsx&amp;sheet=A0&amp;row=668&amp;col=19&amp;number=&amp;sourceID=1","")</f>
        <v/>
      </c>
      <c r="T668" s="4" t="str">
        <f>HYPERLINK("http://141.218.60.56/~jnz1568/getInfo.php?workbook=08_02.xlsx&amp;sheet=A0&amp;row=668&amp;col=20&amp;number=&amp;sourceID=1","")</f>
        <v/>
      </c>
    </row>
    <row r="669" spans="1:20">
      <c r="A669" s="3">
        <v>8</v>
      </c>
      <c r="B669" s="3">
        <v>2</v>
      </c>
      <c r="C669" s="3">
        <v>41</v>
      </c>
      <c r="D669" s="3">
        <v>15</v>
      </c>
      <c r="E669" s="3">
        <f>((1/(INDEX(E0!J$4:J$52,C669,1)-INDEX(E0!J$4:J$52,D669,1))))*100000000</f>
        <v>0</v>
      </c>
      <c r="F669" s="4" t="str">
        <f>HYPERLINK("http://141.218.60.56/~jnz1568/getInfo.php?workbook=08_02.xlsx&amp;sheet=A0&amp;row=669&amp;col=6&amp;number=&amp;sourceID=27","")</f>
        <v/>
      </c>
      <c r="G669" s="4" t="str">
        <f>HYPERLINK("http://141.218.60.56/~jnz1568/getInfo.php?workbook=08_02.xlsx&amp;sheet=A0&amp;row=669&amp;col=7&amp;number=&amp;sourceID=34","")</f>
        <v/>
      </c>
      <c r="H669" s="4" t="str">
        <f>HYPERLINK("http://141.218.60.56/~jnz1568/getInfo.php?workbook=08_02.xlsx&amp;sheet=A0&amp;row=669&amp;col=8&amp;number=&amp;sourceID=34","")</f>
        <v/>
      </c>
      <c r="I669" s="4" t="str">
        <f>HYPERLINK("http://141.218.60.56/~jnz1568/getInfo.php?workbook=08_02.xlsx&amp;sheet=A0&amp;row=669&amp;col=9&amp;number=&amp;sourceID=34","")</f>
        <v/>
      </c>
      <c r="J669" s="4" t="str">
        <f>HYPERLINK("http://141.218.60.56/~jnz1568/getInfo.php?workbook=08_02.xlsx&amp;sheet=A0&amp;row=669&amp;col=10&amp;number=&amp;sourceID=34","")</f>
        <v/>
      </c>
      <c r="K669" s="4" t="str">
        <f>HYPERLINK("http://141.218.60.56/~jnz1568/getInfo.php?workbook=08_02.xlsx&amp;sheet=A0&amp;row=669&amp;col=11&amp;number=786800000&amp;sourceID=30","786800000")</f>
        <v>786800000</v>
      </c>
      <c r="L669" s="4" t="str">
        <f>HYPERLINK("http://141.218.60.56/~jnz1568/getInfo.php?workbook=08_02.xlsx&amp;sheet=A0&amp;row=669&amp;col=12&amp;number=&amp;sourceID=30","")</f>
        <v/>
      </c>
      <c r="M669" s="4" t="str">
        <f>HYPERLINK("http://141.218.60.56/~jnz1568/getInfo.php?workbook=08_02.xlsx&amp;sheet=A0&amp;row=669&amp;col=13&amp;number=&amp;sourceID=30","")</f>
        <v/>
      </c>
      <c r="N669" s="4" t="str">
        <f>HYPERLINK("http://141.218.60.56/~jnz1568/getInfo.php?workbook=08_02.xlsx&amp;sheet=A0&amp;row=669&amp;col=14&amp;number=0.03018&amp;sourceID=30","0.03018")</f>
        <v>0.03018</v>
      </c>
      <c r="O669" s="4" t="str">
        <f>HYPERLINK("http://141.218.60.56/~jnz1568/getInfo.php?workbook=08_02.xlsx&amp;sheet=A0&amp;row=669&amp;col=15&amp;number=771400000&amp;sourceID=32","771400000")</f>
        <v>771400000</v>
      </c>
      <c r="P669" s="4" t="str">
        <f>HYPERLINK("http://141.218.60.56/~jnz1568/getInfo.php?workbook=08_02.xlsx&amp;sheet=A0&amp;row=669&amp;col=16&amp;number=&amp;sourceID=32","")</f>
        <v/>
      </c>
      <c r="Q669" s="4" t="str">
        <f>HYPERLINK("http://141.218.60.56/~jnz1568/getInfo.php?workbook=08_02.xlsx&amp;sheet=A0&amp;row=669&amp;col=17&amp;number=&amp;sourceID=32","")</f>
        <v/>
      </c>
      <c r="R669" s="4" t="str">
        <f>HYPERLINK("http://141.218.60.56/~jnz1568/getInfo.php?workbook=08_02.xlsx&amp;sheet=A0&amp;row=669&amp;col=18&amp;number=0.02069&amp;sourceID=32","0.02069")</f>
        <v>0.02069</v>
      </c>
      <c r="S669" s="4" t="str">
        <f>HYPERLINK("http://141.218.60.56/~jnz1568/getInfo.php?workbook=08_02.xlsx&amp;sheet=A0&amp;row=669&amp;col=19&amp;number=&amp;sourceID=1","")</f>
        <v/>
      </c>
      <c r="T669" s="4" t="str">
        <f>HYPERLINK("http://141.218.60.56/~jnz1568/getInfo.php?workbook=08_02.xlsx&amp;sheet=A0&amp;row=669&amp;col=20&amp;number=&amp;sourceID=1","")</f>
        <v/>
      </c>
    </row>
    <row r="670" spans="1:20">
      <c r="A670" s="3">
        <v>8</v>
      </c>
      <c r="B670" s="3">
        <v>2</v>
      </c>
      <c r="C670" s="3">
        <v>41</v>
      </c>
      <c r="D670" s="3">
        <v>16</v>
      </c>
      <c r="E670" s="3">
        <f>((1/(INDEX(E0!J$4:J$52,C670,1)-INDEX(E0!J$4:J$52,D670,1))))*100000000</f>
        <v>0</v>
      </c>
      <c r="F670" s="4" t="str">
        <f>HYPERLINK("http://141.218.60.56/~jnz1568/getInfo.php?workbook=08_02.xlsx&amp;sheet=A0&amp;row=670&amp;col=6&amp;number=&amp;sourceID=27","")</f>
        <v/>
      </c>
      <c r="G670" s="4" t="str">
        <f>HYPERLINK("http://141.218.60.56/~jnz1568/getInfo.php?workbook=08_02.xlsx&amp;sheet=A0&amp;row=670&amp;col=7&amp;number=&amp;sourceID=34","")</f>
        <v/>
      </c>
      <c r="H670" s="4" t="str">
        <f>HYPERLINK("http://141.218.60.56/~jnz1568/getInfo.php?workbook=08_02.xlsx&amp;sheet=A0&amp;row=670&amp;col=8&amp;number=&amp;sourceID=34","")</f>
        <v/>
      </c>
      <c r="I670" s="4" t="str">
        <f>HYPERLINK("http://141.218.60.56/~jnz1568/getInfo.php?workbook=08_02.xlsx&amp;sheet=A0&amp;row=670&amp;col=9&amp;number=&amp;sourceID=34","")</f>
        <v/>
      </c>
      <c r="J670" s="4" t="str">
        <f>HYPERLINK("http://141.218.60.56/~jnz1568/getInfo.php?workbook=08_02.xlsx&amp;sheet=A0&amp;row=670&amp;col=10&amp;number=&amp;sourceID=34","")</f>
        <v/>
      </c>
      <c r="K670" s="4" t="str">
        <f>HYPERLINK("http://141.218.60.56/~jnz1568/getInfo.php?workbook=08_02.xlsx&amp;sheet=A0&amp;row=670&amp;col=11&amp;number=2776000000&amp;sourceID=30","2776000000")</f>
        <v>2776000000</v>
      </c>
      <c r="L670" s="4" t="str">
        <f>HYPERLINK("http://141.218.60.56/~jnz1568/getInfo.php?workbook=08_02.xlsx&amp;sheet=A0&amp;row=670&amp;col=12&amp;number=&amp;sourceID=30","")</f>
        <v/>
      </c>
      <c r="M670" s="4" t="str">
        <f>HYPERLINK("http://141.218.60.56/~jnz1568/getInfo.php?workbook=08_02.xlsx&amp;sheet=A0&amp;row=670&amp;col=13&amp;number=&amp;sourceID=30","")</f>
        <v/>
      </c>
      <c r="N670" s="4" t="str">
        <f>HYPERLINK("http://141.218.60.56/~jnz1568/getInfo.php?workbook=08_02.xlsx&amp;sheet=A0&amp;row=670&amp;col=14&amp;number=0.444&amp;sourceID=30","0.444")</f>
        <v>0.444</v>
      </c>
      <c r="O670" s="4" t="str">
        <f>HYPERLINK("http://141.218.60.56/~jnz1568/getInfo.php?workbook=08_02.xlsx&amp;sheet=A0&amp;row=670&amp;col=15&amp;number=2779000000&amp;sourceID=32","2779000000")</f>
        <v>2779000000</v>
      </c>
      <c r="P670" s="4" t="str">
        <f>HYPERLINK("http://141.218.60.56/~jnz1568/getInfo.php?workbook=08_02.xlsx&amp;sheet=A0&amp;row=670&amp;col=16&amp;number=&amp;sourceID=32","")</f>
        <v/>
      </c>
      <c r="Q670" s="4" t="str">
        <f>HYPERLINK("http://141.218.60.56/~jnz1568/getInfo.php?workbook=08_02.xlsx&amp;sheet=A0&amp;row=670&amp;col=17&amp;number=&amp;sourceID=32","")</f>
        <v/>
      </c>
      <c r="R670" s="4" t="str">
        <f>HYPERLINK("http://141.218.60.56/~jnz1568/getInfo.php?workbook=08_02.xlsx&amp;sheet=A0&amp;row=670&amp;col=18&amp;number=0.4877&amp;sourceID=32","0.4877")</f>
        <v>0.4877</v>
      </c>
      <c r="S670" s="4" t="str">
        <f>HYPERLINK("http://141.218.60.56/~jnz1568/getInfo.php?workbook=08_02.xlsx&amp;sheet=A0&amp;row=670&amp;col=19&amp;number=&amp;sourceID=1","")</f>
        <v/>
      </c>
      <c r="T670" s="4" t="str">
        <f>HYPERLINK("http://141.218.60.56/~jnz1568/getInfo.php?workbook=08_02.xlsx&amp;sheet=A0&amp;row=670&amp;col=20&amp;number=&amp;sourceID=1","")</f>
        <v/>
      </c>
    </row>
    <row r="671" spans="1:20">
      <c r="A671" s="3">
        <v>8</v>
      </c>
      <c r="B671" s="3">
        <v>2</v>
      </c>
      <c r="C671" s="3">
        <v>41</v>
      </c>
      <c r="D671" s="3">
        <v>17</v>
      </c>
      <c r="E671" s="3">
        <f>((1/(INDEX(E0!J$4:J$52,C671,1)-INDEX(E0!J$4:J$52,D671,1))))*100000000</f>
        <v>0</v>
      </c>
      <c r="F671" s="4" t="str">
        <f>HYPERLINK("http://141.218.60.56/~jnz1568/getInfo.php?workbook=08_02.xlsx&amp;sheet=A0&amp;row=671&amp;col=6&amp;number=&amp;sourceID=27","")</f>
        <v/>
      </c>
      <c r="G671" s="4" t="str">
        <f>HYPERLINK("http://141.218.60.56/~jnz1568/getInfo.php?workbook=08_02.xlsx&amp;sheet=A0&amp;row=671&amp;col=7&amp;number=&amp;sourceID=34","")</f>
        <v/>
      </c>
      <c r="H671" s="4" t="str">
        <f>HYPERLINK("http://141.218.60.56/~jnz1568/getInfo.php?workbook=08_02.xlsx&amp;sheet=A0&amp;row=671&amp;col=8&amp;number=&amp;sourceID=34","")</f>
        <v/>
      </c>
      <c r="I671" s="4" t="str">
        <f>HYPERLINK("http://141.218.60.56/~jnz1568/getInfo.php?workbook=08_02.xlsx&amp;sheet=A0&amp;row=671&amp;col=9&amp;number=&amp;sourceID=34","")</f>
        <v/>
      </c>
      <c r="J671" s="4" t="str">
        <f>HYPERLINK("http://141.218.60.56/~jnz1568/getInfo.php?workbook=08_02.xlsx&amp;sheet=A0&amp;row=671&amp;col=10&amp;number=&amp;sourceID=34","")</f>
        <v/>
      </c>
      <c r="K671" s="4" t="str">
        <f>HYPERLINK("http://141.218.60.56/~jnz1568/getInfo.php?workbook=08_02.xlsx&amp;sheet=A0&amp;row=671&amp;col=11&amp;number=&amp;sourceID=30","")</f>
        <v/>
      </c>
      <c r="L671" s="4" t="str">
        <f>HYPERLINK("http://141.218.60.56/~jnz1568/getInfo.php?workbook=08_02.xlsx&amp;sheet=A0&amp;row=671&amp;col=12&amp;number=1659&amp;sourceID=30","1659")</f>
        <v>1659</v>
      </c>
      <c r="M671" s="4" t="str">
        <f>HYPERLINK("http://141.218.60.56/~jnz1568/getInfo.php?workbook=08_02.xlsx&amp;sheet=A0&amp;row=671&amp;col=13&amp;number=&amp;sourceID=30","")</f>
        <v/>
      </c>
      <c r="N671" s="4" t="str">
        <f>HYPERLINK("http://141.218.60.56/~jnz1568/getInfo.php?workbook=08_02.xlsx&amp;sheet=A0&amp;row=671&amp;col=14&amp;number=&amp;sourceID=30","")</f>
        <v/>
      </c>
      <c r="O671" s="4" t="str">
        <f>HYPERLINK("http://141.218.60.56/~jnz1568/getInfo.php?workbook=08_02.xlsx&amp;sheet=A0&amp;row=671&amp;col=15&amp;number=&amp;sourceID=32","")</f>
        <v/>
      </c>
      <c r="P671" s="4" t="str">
        <f>HYPERLINK("http://141.218.60.56/~jnz1568/getInfo.php?workbook=08_02.xlsx&amp;sheet=A0&amp;row=671&amp;col=16&amp;number=597.9&amp;sourceID=32","597.9")</f>
        <v>597.9</v>
      </c>
      <c r="Q671" s="4" t="str">
        <f>HYPERLINK("http://141.218.60.56/~jnz1568/getInfo.php?workbook=08_02.xlsx&amp;sheet=A0&amp;row=671&amp;col=17&amp;number=&amp;sourceID=32","")</f>
        <v/>
      </c>
      <c r="R671" s="4" t="str">
        <f>HYPERLINK("http://141.218.60.56/~jnz1568/getInfo.php?workbook=08_02.xlsx&amp;sheet=A0&amp;row=671&amp;col=18&amp;number=&amp;sourceID=32","")</f>
        <v/>
      </c>
      <c r="S671" s="4" t="str">
        <f>HYPERLINK("http://141.218.60.56/~jnz1568/getInfo.php?workbook=08_02.xlsx&amp;sheet=A0&amp;row=671&amp;col=19&amp;number=&amp;sourceID=1","")</f>
        <v/>
      </c>
      <c r="T671" s="4" t="str">
        <f>HYPERLINK("http://141.218.60.56/~jnz1568/getInfo.php?workbook=08_02.xlsx&amp;sheet=A0&amp;row=671&amp;col=20&amp;number=&amp;sourceID=1","")</f>
        <v/>
      </c>
    </row>
    <row r="672" spans="1:20">
      <c r="A672" s="3">
        <v>8</v>
      </c>
      <c r="B672" s="3">
        <v>2</v>
      </c>
      <c r="C672" s="3">
        <v>41</v>
      </c>
      <c r="D672" s="3">
        <v>18</v>
      </c>
      <c r="E672" s="3">
        <f>((1/(INDEX(E0!J$4:J$52,C672,1)-INDEX(E0!J$4:J$52,D672,1))))*100000000</f>
        <v>0</v>
      </c>
      <c r="F672" s="4" t="str">
        <f>HYPERLINK("http://141.218.60.56/~jnz1568/getInfo.php?workbook=08_02.xlsx&amp;sheet=A0&amp;row=672&amp;col=6&amp;number=&amp;sourceID=27","")</f>
        <v/>
      </c>
      <c r="G672" s="4" t="str">
        <f>HYPERLINK("http://141.218.60.56/~jnz1568/getInfo.php?workbook=08_02.xlsx&amp;sheet=A0&amp;row=672&amp;col=7&amp;number=&amp;sourceID=34","")</f>
        <v/>
      </c>
      <c r="H672" s="4" t="str">
        <f>HYPERLINK("http://141.218.60.56/~jnz1568/getInfo.php?workbook=08_02.xlsx&amp;sheet=A0&amp;row=672&amp;col=8&amp;number=&amp;sourceID=34","")</f>
        <v/>
      </c>
      <c r="I672" s="4" t="str">
        <f>HYPERLINK("http://141.218.60.56/~jnz1568/getInfo.php?workbook=08_02.xlsx&amp;sheet=A0&amp;row=672&amp;col=9&amp;number=&amp;sourceID=34","")</f>
        <v/>
      </c>
      <c r="J672" s="4" t="str">
        <f>HYPERLINK("http://141.218.60.56/~jnz1568/getInfo.php?workbook=08_02.xlsx&amp;sheet=A0&amp;row=672&amp;col=10&amp;number=&amp;sourceID=34","")</f>
        <v/>
      </c>
      <c r="K672" s="4" t="str">
        <f>HYPERLINK("http://141.218.60.56/~jnz1568/getInfo.php?workbook=08_02.xlsx&amp;sheet=A0&amp;row=672&amp;col=11&amp;number=&amp;sourceID=30","")</f>
        <v/>
      </c>
      <c r="L672" s="4" t="str">
        <f>HYPERLINK("http://141.218.60.56/~jnz1568/getInfo.php?workbook=08_02.xlsx&amp;sheet=A0&amp;row=672&amp;col=12&amp;number=&amp;sourceID=30","")</f>
        <v/>
      </c>
      <c r="M672" s="4" t="str">
        <f>HYPERLINK("http://141.218.60.56/~jnz1568/getInfo.php?workbook=08_02.xlsx&amp;sheet=A0&amp;row=672&amp;col=13&amp;number=&amp;sourceID=30","")</f>
        <v/>
      </c>
      <c r="N672" s="4" t="str">
        <f>HYPERLINK("http://141.218.60.56/~jnz1568/getInfo.php?workbook=08_02.xlsx&amp;sheet=A0&amp;row=672&amp;col=14&amp;number=1.719e-10&amp;sourceID=30","1.719e-10")</f>
        <v>1.719e-10</v>
      </c>
      <c r="O672" s="4" t="str">
        <f>HYPERLINK("http://141.218.60.56/~jnz1568/getInfo.php?workbook=08_02.xlsx&amp;sheet=A0&amp;row=672&amp;col=15&amp;number=&amp;sourceID=32","")</f>
        <v/>
      </c>
      <c r="P672" s="4" t="str">
        <f>HYPERLINK("http://141.218.60.56/~jnz1568/getInfo.php?workbook=08_02.xlsx&amp;sheet=A0&amp;row=672&amp;col=16&amp;number=&amp;sourceID=32","")</f>
        <v/>
      </c>
      <c r="Q672" s="4" t="str">
        <f>HYPERLINK("http://141.218.60.56/~jnz1568/getInfo.php?workbook=08_02.xlsx&amp;sheet=A0&amp;row=672&amp;col=17&amp;number=&amp;sourceID=32","")</f>
        <v/>
      </c>
      <c r="R672" s="4" t="str">
        <f>HYPERLINK("http://141.218.60.56/~jnz1568/getInfo.php?workbook=08_02.xlsx&amp;sheet=A0&amp;row=672&amp;col=18&amp;number=1.493e-10&amp;sourceID=32","1.493e-10")</f>
        <v>1.493e-10</v>
      </c>
      <c r="S672" s="4" t="str">
        <f>HYPERLINK("http://141.218.60.56/~jnz1568/getInfo.php?workbook=08_02.xlsx&amp;sheet=A0&amp;row=672&amp;col=19&amp;number=&amp;sourceID=1","")</f>
        <v/>
      </c>
      <c r="T672" s="4" t="str">
        <f>HYPERLINK("http://141.218.60.56/~jnz1568/getInfo.php?workbook=08_02.xlsx&amp;sheet=A0&amp;row=672&amp;col=20&amp;number=&amp;sourceID=1","")</f>
        <v/>
      </c>
    </row>
    <row r="673" spans="1:20">
      <c r="A673" s="3">
        <v>8</v>
      </c>
      <c r="B673" s="3">
        <v>2</v>
      </c>
      <c r="C673" s="3">
        <v>41</v>
      </c>
      <c r="D673" s="3">
        <v>20</v>
      </c>
      <c r="E673" s="3">
        <f>((1/(INDEX(E0!J$4:J$52,C673,1)-INDEX(E0!J$4:J$52,D673,1))))*100000000</f>
        <v>0</v>
      </c>
      <c r="F673" s="4" t="str">
        <f>HYPERLINK("http://141.218.60.56/~jnz1568/getInfo.php?workbook=08_02.xlsx&amp;sheet=A0&amp;row=673&amp;col=6&amp;number=&amp;sourceID=27","")</f>
        <v/>
      </c>
      <c r="G673" s="4" t="str">
        <f>HYPERLINK("http://141.218.60.56/~jnz1568/getInfo.php?workbook=08_02.xlsx&amp;sheet=A0&amp;row=673&amp;col=7&amp;number=&amp;sourceID=34","")</f>
        <v/>
      </c>
      <c r="H673" s="4" t="str">
        <f>HYPERLINK("http://141.218.60.56/~jnz1568/getInfo.php?workbook=08_02.xlsx&amp;sheet=A0&amp;row=673&amp;col=8&amp;number=&amp;sourceID=34","")</f>
        <v/>
      </c>
      <c r="I673" s="4" t="str">
        <f>HYPERLINK("http://141.218.60.56/~jnz1568/getInfo.php?workbook=08_02.xlsx&amp;sheet=A0&amp;row=673&amp;col=9&amp;number=&amp;sourceID=34","")</f>
        <v/>
      </c>
      <c r="J673" s="4" t="str">
        <f>HYPERLINK("http://141.218.60.56/~jnz1568/getInfo.php?workbook=08_02.xlsx&amp;sheet=A0&amp;row=673&amp;col=10&amp;number=&amp;sourceID=34","")</f>
        <v/>
      </c>
      <c r="K673" s="4" t="str">
        <f>HYPERLINK("http://141.218.60.56/~jnz1568/getInfo.php?workbook=08_02.xlsx&amp;sheet=A0&amp;row=673&amp;col=11&amp;number=&amp;sourceID=30","")</f>
        <v/>
      </c>
      <c r="L673" s="4" t="str">
        <f>HYPERLINK("http://141.218.60.56/~jnz1568/getInfo.php?workbook=08_02.xlsx&amp;sheet=A0&amp;row=673&amp;col=12&amp;number=52590&amp;sourceID=30","52590")</f>
        <v>52590</v>
      </c>
      <c r="M673" s="4" t="str">
        <f>HYPERLINK("http://141.218.60.56/~jnz1568/getInfo.php?workbook=08_02.xlsx&amp;sheet=A0&amp;row=673&amp;col=13&amp;number=&amp;sourceID=30","")</f>
        <v/>
      </c>
      <c r="N673" s="4" t="str">
        <f>HYPERLINK("http://141.218.60.56/~jnz1568/getInfo.php?workbook=08_02.xlsx&amp;sheet=A0&amp;row=673&amp;col=14&amp;number=&amp;sourceID=30","")</f>
        <v/>
      </c>
      <c r="O673" s="4" t="str">
        <f>HYPERLINK("http://141.218.60.56/~jnz1568/getInfo.php?workbook=08_02.xlsx&amp;sheet=A0&amp;row=673&amp;col=15&amp;number=&amp;sourceID=32","")</f>
        <v/>
      </c>
      <c r="P673" s="4" t="str">
        <f>HYPERLINK("http://141.218.60.56/~jnz1568/getInfo.php?workbook=08_02.xlsx&amp;sheet=A0&amp;row=673&amp;col=16&amp;number=52040&amp;sourceID=32","52040")</f>
        <v>52040</v>
      </c>
      <c r="Q673" s="4" t="str">
        <f>HYPERLINK("http://141.218.60.56/~jnz1568/getInfo.php?workbook=08_02.xlsx&amp;sheet=A0&amp;row=673&amp;col=17&amp;number=&amp;sourceID=32","")</f>
        <v/>
      </c>
      <c r="R673" s="4" t="str">
        <f>HYPERLINK("http://141.218.60.56/~jnz1568/getInfo.php?workbook=08_02.xlsx&amp;sheet=A0&amp;row=673&amp;col=18&amp;number=&amp;sourceID=32","")</f>
        <v/>
      </c>
      <c r="S673" s="4" t="str">
        <f>HYPERLINK("http://141.218.60.56/~jnz1568/getInfo.php?workbook=08_02.xlsx&amp;sheet=A0&amp;row=673&amp;col=19&amp;number=&amp;sourceID=1","")</f>
        <v/>
      </c>
      <c r="T673" s="4" t="str">
        <f>HYPERLINK("http://141.218.60.56/~jnz1568/getInfo.php?workbook=08_02.xlsx&amp;sheet=A0&amp;row=673&amp;col=20&amp;number=&amp;sourceID=1","")</f>
        <v/>
      </c>
    </row>
    <row r="674" spans="1:20">
      <c r="A674" s="3">
        <v>8</v>
      </c>
      <c r="B674" s="3">
        <v>2</v>
      </c>
      <c r="C674" s="3">
        <v>41</v>
      </c>
      <c r="D674" s="3">
        <v>21</v>
      </c>
      <c r="E674" s="3">
        <f>((1/(INDEX(E0!J$4:J$52,C674,1)-INDEX(E0!J$4:J$52,D674,1))))*100000000</f>
        <v>0</v>
      </c>
      <c r="F674" s="4" t="str">
        <f>HYPERLINK("http://141.218.60.56/~jnz1568/getInfo.php?workbook=08_02.xlsx&amp;sheet=A0&amp;row=674&amp;col=6&amp;number=&amp;sourceID=27","")</f>
        <v/>
      </c>
      <c r="G674" s="4" t="str">
        <f>HYPERLINK("http://141.218.60.56/~jnz1568/getInfo.php?workbook=08_02.xlsx&amp;sheet=A0&amp;row=674&amp;col=7&amp;number=&amp;sourceID=34","")</f>
        <v/>
      </c>
      <c r="H674" s="4" t="str">
        <f>HYPERLINK("http://141.218.60.56/~jnz1568/getInfo.php?workbook=08_02.xlsx&amp;sheet=A0&amp;row=674&amp;col=8&amp;number=&amp;sourceID=34","")</f>
        <v/>
      </c>
      <c r="I674" s="4" t="str">
        <f>HYPERLINK("http://141.218.60.56/~jnz1568/getInfo.php?workbook=08_02.xlsx&amp;sheet=A0&amp;row=674&amp;col=9&amp;number=&amp;sourceID=34","")</f>
        <v/>
      </c>
      <c r="J674" s="4" t="str">
        <f>HYPERLINK("http://141.218.60.56/~jnz1568/getInfo.php?workbook=08_02.xlsx&amp;sheet=A0&amp;row=674&amp;col=10&amp;number=&amp;sourceID=34","")</f>
        <v/>
      </c>
      <c r="K674" s="4" t="str">
        <f>HYPERLINK("http://141.218.60.56/~jnz1568/getInfo.php?workbook=08_02.xlsx&amp;sheet=A0&amp;row=674&amp;col=11&amp;number=&amp;sourceID=30","")</f>
        <v/>
      </c>
      <c r="L674" s="4" t="str">
        <f>HYPERLINK("http://141.218.60.56/~jnz1568/getInfo.php?workbook=08_02.xlsx&amp;sheet=A0&amp;row=674&amp;col=12&amp;number=25660&amp;sourceID=30","25660")</f>
        <v>25660</v>
      </c>
      <c r="M674" s="4" t="str">
        <f>HYPERLINK("http://141.218.60.56/~jnz1568/getInfo.php?workbook=08_02.xlsx&amp;sheet=A0&amp;row=674&amp;col=13&amp;number=8.773e-06&amp;sourceID=30","8.773e-06")</f>
        <v>8.773e-06</v>
      </c>
      <c r="N674" s="4" t="str">
        <f>HYPERLINK("http://141.218.60.56/~jnz1568/getInfo.php?workbook=08_02.xlsx&amp;sheet=A0&amp;row=674&amp;col=14&amp;number=&amp;sourceID=30","")</f>
        <v/>
      </c>
      <c r="O674" s="4" t="str">
        <f>HYPERLINK("http://141.218.60.56/~jnz1568/getInfo.php?workbook=08_02.xlsx&amp;sheet=A0&amp;row=674&amp;col=15&amp;number=&amp;sourceID=32","")</f>
        <v/>
      </c>
      <c r="P674" s="4" t="str">
        <f>HYPERLINK("http://141.218.60.56/~jnz1568/getInfo.php?workbook=08_02.xlsx&amp;sheet=A0&amp;row=674&amp;col=16&amp;number=25360&amp;sourceID=32","25360")</f>
        <v>25360</v>
      </c>
      <c r="Q674" s="4" t="str">
        <f>HYPERLINK("http://141.218.60.56/~jnz1568/getInfo.php?workbook=08_02.xlsx&amp;sheet=A0&amp;row=674&amp;col=17&amp;number=1.406e-05&amp;sourceID=32","1.406e-05")</f>
        <v>1.406e-05</v>
      </c>
      <c r="R674" s="4" t="str">
        <f>HYPERLINK("http://141.218.60.56/~jnz1568/getInfo.php?workbook=08_02.xlsx&amp;sheet=A0&amp;row=674&amp;col=18&amp;number=&amp;sourceID=32","")</f>
        <v/>
      </c>
      <c r="S674" s="4" t="str">
        <f>HYPERLINK("http://141.218.60.56/~jnz1568/getInfo.php?workbook=08_02.xlsx&amp;sheet=A0&amp;row=674&amp;col=19&amp;number=&amp;sourceID=1","")</f>
        <v/>
      </c>
      <c r="T674" s="4" t="str">
        <f>HYPERLINK("http://141.218.60.56/~jnz1568/getInfo.php?workbook=08_02.xlsx&amp;sheet=A0&amp;row=674&amp;col=20&amp;number=&amp;sourceID=1","")</f>
        <v/>
      </c>
    </row>
    <row r="675" spans="1:20">
      <c r="A675" s="3">
        <v>8</v>
      </c>
      <c r="B675" s="3">
        <v>2</v>
      </c>
      <c r="C675" s="3">
        <v>41</v>
      </c>
      <c r="D675" s="3">
        <v>23</v>
      </c>
      <c r="E675" s="3">
        <f>((1/(INDEX(E0!J$4:J$52,C675,1)-INDEX(E0!J$4:J$52,D675,1))))*100000000</f>
        <v>0</v>
      </c>
      <c r="F675" s="4" t="str">
        <f>HYPERLINK("http://141.218.60.56/~jnz1568/getInfo.php?workbook=08_02.xlsx&amp;sheet=A0&amp;row=675&amp;col=6&amp;number=&amp;sourceID=27","")</f>
        <v/>
      </c>
      <c r="G675" s="4" t="str">
        <f>HYPERLINK("http://141.218.60.56/~jnz1568/getInfo.php?workbook=08_02.xlsx&amp;sheet=A0&amp;row=675&amp;col=7&amp;number=&amp;sourceID=34","")</f>
        <v/>
      </c>
      <c r="H675" s="4" t="str">
        <f>HYPERLINK("http://141.218.60.56/~jnz1568/getInfo.php?workbook=08_02.xlsx&amp;sheet=A0&amp;row=675&amp;col=8&amp;number=&amp;sourceID=34","")</f>
        <v/>
      </c>
      <c r="I675" s="4" t="str">
        <f>HYPERLINK("http://141.218.60.56/~jnz1568/getInfo.php?workbook=08_02.xlsx&amp;sheet=A0&amp;row=675&amp;col=9&amp;number=&amp;sourceID=34","")</f>
        <v/>
      </c>
      <c r="J675" s="4" t="str">
        <f>HYPERLINK("http://141.218.60.56/~jnz1568/getInfo.php?workbook=08_02.xlsx&amp;sheet=A0&amp;row=675&amp;col=10&amp;number=&amp;sourceID=34","")</f>
        <v/>
      </c>
      <c r="K675" s="4" t="str">
        <f>HYPERLINK("http://141.218.60.56/~jnz1568/getInfo.php?workbook=08_02.xlsx&amp;sheet=A0&amp;row=675&amp;col=11&amp;number=&amp;sourceID=30","")</f>
        <v/>
      </c>
      <c r="L675" s="4" t="str">
        <f>HYPERLINK("http://141.218.60.56/~jnz1568/getInfo.php?workbook=08_02.xlsx&amp;sheet=A0&amp;row=675&amp;col=12&amp;number=&amp;sourceID=30","")</f>
        <v/>
      </c>
      <c r="M675" s="4" t="str">
        <f>HYPERLINK("http://141.218.60.56/~jnz1568/getInfo.php?workbook=08_02.xlsx&amp;sheet=A0&amp;row=675&amp;col=13&amp;number=&amp;sourceID=30","")</f>
        <v/>
      </c>
      <c r="N675" s="4" t="str">
        <f>HYPERLINK("http://141.218.60.56/~jnz1568/getInfo.php?workbook=08_02.xlsx&amp;sheet=A0&amp;row=675&amp;col=14&amp;number=0.01946&amp;sourceID=30","0.01946")</f>
        <v>0.01946</v>
      </c>
      <c r="O675" s="4" t="str">
        <f>HYPERLINK("http://141.218.60.56/~jnz1568/getInfo.php?workbook=08_02.xlsx&amp;sheet=A0&amp;row=675&amp;col=15&amp;number=&amp;sourceID=32","")</f>
        <v/>
      </c>
      <c r="P675" s="4" t="str">
        <f>HYPERLINK("http://141.218.60.56/~jnz1568/getInfo.php?workbook=08_02.xlsx&amp;sheet=A0&amp;row=675&amp;col=16&amp;number=&amp;sourceID=32","")</f>
        <v/>
      </c>
      <c r="Q675" s="4" t="str">
        <f>HYPERLINK("http://141.218.60.56/~jnz1568/getInfo.php?workbook=08_02.xlsx&amp;sheet=A0&amp;row=675&amp;col=17&amp;number=&amp;sourceID=32","")</f>
        <v/>
      </c>
      <c r="R675" s="4" t="str">
        <f>HYPERLINK("http://141.218.60.56/~jnz1568/getInfo.php?workbook=08_02.xlsx&amp;sheet=A0&amp;row=675&amp;col=18&amp;number=0.02143&amp;sourceID=32","0.02143")</f>
        <v>0.02143</v>
      </c>
      <c r="S675" s="4" t="str">
        <f>HYPERLINK("http://141.218.60.56/~jnz1568/getInfo.php?workbook=08_02.xlsx&amp;sheet=A0&amp;row=675&amp;col=19&amp;number=&amp;sourceID=1","")</f>
        <v/>
      </c>
      <c r="T675" s="4" t="str">
        <f>HYPERLINK("http://141.218.60.56/~jnz1568/getInfo.php?workbook=08_02.xlsx&amp;sheet=A0&amp;row=675&amp;col=20&amp;number=&amp;sourceID=1","")</f>
        <v/>
      </c>
    </row>
    <row r="676" spans="1:20">
      <c r="A676" s="3">
        <v>8</v>
      </c>
      <c r="B676" s="3">
        <v>2</v>
      </c>
      <c r="C676" s="3">
        <v>41</v>
      </c>
      <c r="D676" s="3">
        <v>24</v>
      </c>
      <c r="E676" s="3">
        <f>((1/(INDEX(E0!J$4:J$52,C676,1)-INDEX(E0!J$4:J$52,D676,1))))*100000000</f>
        <v>0</v>
      </c>
      <c r="F676" s="4" t="str">
        <f>HYPERLINK("http://141.218.60.56/~jnz1568/getInfo.php?workbook=08_02.xlsx&amp;sheet=A0&amp;row=676&amp;col=6&amp;number=&amp;sourceID=27","")</f>
        <v/>
      </c>
      <c r="G676" s="4" t="str">
        <f>HYPERLINK("http://141.218.60.56/~jnz1568/getInfo.php?workbook=08_02.xlsx&amp;sheet=A0&amp;row=676&amp;col=7&amp;number=&amp;sourceID=34","")</f>
        <v/>
      </c>
      <c r="H676" s="4" t="str">
        <f>HYPERLINK("http://141.218.60.56/~jnz1568/getInfo.php?workbook=08_02.xlsx&amp;sheet=A0&amp;row=676&amp;col=8&amp;number=&amp;sourceID=34","")</f>
        <v/>
      </c>
      <c r="I676" s="4" t="str">
        <f>HYPERLINK("http://141.218.60.56/~jnz1568/getInfo.php?workbook=08_02.xlsx&amp;sheet=A0&amp;row=676&amp;col=9&amp;number=&amp;sourceID=34","")</f>
        <v/>
      </c>
      <c r="J676" s="4" t="str">
        <f>HYPERLINK("http://141.218.60.56/~jnz1568/getInfo.php?workbook=08_02.xlsx&amp;sheet=A0&amp;row=676&amp;col=10&amp;number=&amp;sourceID=34","")</f>
        <v/>
      </c>
      <c r="K676" s="4" t="str">
        <f>HYPERLINK("http://141.218.60.56/~jnz1568/getInfo.php?workbook=08_02.xlsx&amp;sheet=A0&amp;row=676&amp;col=11&amp;number=4054000000&amp;sourceID=30","4054000000")</f>
        <v>4054000000</v>
      </c>
      <c r="L676" s="4" t="str">
        <f>HYPERLINK("http://141.218.60.56/~jnz1568/getInfo.php?workbook=08_02.xlsx&amp;sheet=A0&amp;row=676&amp;col=12&amp;number=&amp;sourceID=30","")</f>
        <v/>
      </c>
      <c r="M676" s="4" t="str">
        <f>HYPERLINK("http://141.218.60.56/~jnz1568/getInfo.php?workbook=08_02.xlsx&amp;sheet=A0&amp;row=676&amp;col=13&amp;number=&amp;sourceID=30","")</f>
        <v/>
      </c>
      <c r="N676" s="4" t="str">
        <f>HYPERLINK("http://141.218.60.56/~jnz1568/getInfo.php?workbook=08_02.xlsx&amp;sheet=A0&amp;row=676&amp;col=14&amp;number=0.1859&amp;sourceID=30","0.1859")</f>
        <v>0.1859</v>
      </c>
      <c r="O676" s="4" t="str">
        <f>HYPERLINK("http://141.218.60.56/~jnz1568/getInfo.php?workbook=08_02.xlsx&amp;sheet=A0&amp;row=676&amp;col=15&amp;number=4046000000&amp;sourceID=32","4046000000")</f>
        <v>4046000000</v>
      </c>
      <c r="P676" s="4" t="str">
        <f>HYPERLINK("http://141.218.60.56/~jnz1568/getInfo.php?workbook=08_02.xlsx&amp;sheet=A0&amp;row=676&amp;col=16&amp;number=&amp;sourceID=32","")</f>
        <v/>
      </c>
      <c r="Q676" s="4" t="str">
        <f>HYPERLINK("http://141.218.60.56/~jnz1568/getInfo.php?workbook=08_02.xlsx&amp;sheet=A0&amp;row=676&amp;col=17&amp;number=&amp;sourceID=32","")</f>
        <v/>
      </c>
      <c r="R676" s="4" t="str">
        <f>HYPERLINK("http://141.218.60.56/~jnz1568/getInfo.php?workbook=08_02.xlsx&amp;sheet=A0&amp;row=676&amp;col=18&amp;number=0.1778&amp;sourceID=32","0.1778")</f>
        <v>0.1778</v>
      </c>
      <c r="S676" s="4" t="str">
        <f>HYPERLINK("http://141.218.60.56/~jnz1568/getInfo.php?workbook=08_02.xlsx&amp;sheet=A0&amp;row=676&amp;col=19&amp;number=&amp;sourceID=1","")</f>
        <v/>
      </c>
      <c r="T676" s="4" t="str">
        <f>HYPERLINK("http://141.218.60.56/~jnz1568/getInfo.php?workbook=08_02.xlsx&amp;sheet=A0&amp;row=676&amp;col=20&amp;number=&amp;sourceID=1","")</f>
        <v/>
      </c>
    </row>
    <row r="677" spans="1:20">
      <c r="A677" s="3">
        <v>8</v>
      </c>
      <c r="B677" s="3">
        <v>2</v>
      </c>
      <c r="C677" s="3">
        <v>41</v>
      </c>
      <c r="D677" s="3">
        <v>25</v>
      </c>
      <c r="E677" s="3">
        <f>((1/(INDEX(E0!J$4:J$52,C677,1)-INDEX(E0!J$4:J$52,D677,1))))*100000000</f>
        <v>0</v>
      </c>
      <c r="F677" s="4" t="str">
        <f>HYPERLINK("http://141.218.60.56/~jnz1568/getInfo.php?workbook=08_02.xlsx&amp;sheet=A0&amp;row=677&amp;col=6&amp;number=&amp;sourceID=27","")</f>
        <v/>
      </c>
      <c r="G677" s="4" t="str">
        <f>HYPERLINK("http://141.218.60.56/~jnz1568/getInfo.php?workbook=08_02.xlsx&amp;sheet=A0&amp;row=677&amp;col=7&amp;number=&amp;sourceID=34","")</f>
        <v/>
      </c>
      <c r="H677" s="4" t="str">
        <f>HYPERLINK("http://141.218.60.56/~jnz1568/getInfo.php?workbook=08_02.xlsx&amp;sheet=A0&amp;row=677&amp;col=8&amp;number=&amp;sourceID=34","")</f>
        <v/>
      </c>
      <c r="I677" s="4" t="str">
        <f>HYPERLINK("http://141.218.60.56/~jnz1568/getInfo.php?workbook=08_02.xlsx&amp;sheet=A0&amp;row=677&amp;col=9&amp;number=&amp;sourceID=34","")</f>
        <v/>
      </c>
      <c r="J677" s="4" t="str">
        <f>HYPERLINK("http://141.218.60.56/~jnz1568/getInfo.php?workbook=08_02.xlsx&amp;sheet=A0&amp;row=677&amp;col=10&amp;number=&amp;sourceID=34","")</f>
        <v/>
      </c>
      <c r="K677" s="4" t="str">
        <f>HYPERLINK("http://141.218.60.56/~jnz1568/getInfo.php?workbook=08_02.xlsx&amp;sheet=A0&amp;row=677&amp;col=11&amp;number=&amp;sourceID=30","")</f>
        <v/>
      </c>
      <c r="L677" s="4" t="str">
        <f>HYPERLINK("http://141.218.60.56/~jnz1568/getInfo.php?workbook=08_02.xlsx&amp;sheet=A0&amp;row=677&amp;col=12&amp;number=2602&amp;sourceID=30","2602")</f>
        <v>2602</v>
      </c>
      <c r="M677" s="4" t="str">
        <f>HYPERLINK("http://141.218.60.56/~jnz1568/getInfo.php?workbook=08_02.xlsx&amp;sheet=A0&amp;row=677&amp;col=13&amp;number=0.0003055&amp;sourceID=30","0.0003055")</f>
        <v>0.0003055</v>
      </c>
      <c r="N677" s="4" t="str">
        <f>HYPERLINK("http://141.218.60.56/~jnz1568/getInfo.php?workbook=08_02.xlsx&amp;sheet=A0&amp;row=677&amp;col=14&amp;number=&amp;sourceID=30","")</f>
        <v/>
      </c>
      <c r="O677" s="4" t="str">
        <f>HYPERLINK("http://141.218.60.56/~jnz1568/getInfo.php?workbook=08_02.xlsx&amp;sheet=A0&amp;row=677&amp;col=15&amp;number=&amp;sourceID=32","")</f>
        <v/>
      </c>
      <c r="P677" s="4" t="str">
        <f>HYPERLINK("http://141.218.60.56/~jnz1568/getInfo.php?workbook=08_02.xlsx&amp;sheet=A0&amp;row=677&amp;col=16&amp;number=&amp;sourceID=32","")</f>
        <v/>
      </c>
      <c r="Q677" s="4" t="str">
        <f>HYPERLINK("http://141.218.60.56/~jnz1568/getInfo.php?workbook=08_02.xlsx&amp;sheet=A0&amp;row=677&amp;col=17&amp;number=&amp;sourceID=32","")</f>
        <v/>
      </c>
      <c r="R677" s="4" t="str">
        <f>HYPERLINK("http://141.218.60.56/~jnz1568/getInfo.php?workbook=08_02.xlsx&amp;sheet=A0&amp;row=677&amp;col=18&amp;number=&amp;sourceID=32","")</f>
        <v/>
      </c>
      <c r="S677" s="4" t="str">
        <f>HYPERLINK("http://141.218.60.56/~jnz1568/getInfo.php?workbook=08_02.xlsx&amp;sheet=A0&amp;row=677&amp;col=19&amp;number=&amp;sourceID=1","")</f>
        <v/>
      </c>
      <c r="T677" s="4" t="str">
        <f>HYPERLINK("http://141.218.60.56/~jnz1568/getInfo.php?workbook=08_02.xlsx&amp;sheet=A0&amp;row=677&amp;col=20&amp;number=&amp;sourceID=1","")</f>
        <v/>
      </c>
    </row>
    <row r="678" spans="1:20">
      <c r="A678" s="3">
        <v>8</v>
      </c>
      <c r="B678" s="3">
        <v>2</v>
      </c>
      <c r="C678" s="3">
        <v>41</v>
      </c>
      <c r="D678" s="3">
        <v>26</v>
      </c>
      <c r="E678" s="3">
        <f>((1/(INDEX(E0!J$4:J$52,C678,1)-INDEX(E0!J$4:J$52,D678,1))))*100000000</f>
        <v>0</v>
      </c>
      <c r="F678" s="4" t="str">
        <f>HYPERLINK("http://141.218.60.56/~jnz1568/getInfo.php?workbook=08_02.xlsx&amp;sheet=A0&amp;row=678&amp;col=6&amp;number=&amp;sourceID=27","")</f>
        <v/>
      </c>
      <c r="G678" s="4" t="str">
        <f>HYPERLINK("http://141.218.60.56/~jnz1568/getInfo.php?workbook=08_02.xlsx&amp;sheet=A0&amp;row=678&amp;col=7&amp;number=&amp;sourceID=34","")</f>
        <v/>
      </c>
      <c r="H678" s="4" t="str">
        <f>HYPERLINK("http://141.218.60.56/~jnz1568/getInfo.php?workbook=08_02.xlsx&amp;sheet=A0&amp;row=678&amp;col=8&amp;number=&amp;sourceID=34","")</f>
        <v/>
      </c>
      <c r="I678" s="4" t="str">
        <f>HYPERLINK("http://141.218.60.56/~jnz1568/getInfo.php?workbook=08_02.xlsx&amp;sheet=A0&amp;row=678&amp;col=9&amp;number=&amp;sourceID=34","")</f>
        <v/>
      </c>
      <c r="J678" s="4" t="str">
        <f>HYPERLINK("http://141.218.60.56/~jnz1568/getInfo.php?workbook=08_02.xlsx&amp;sheet=A0&amp;row=678&amp;col=10&amp;number=&amp;sourceID=34","")</f>
        <v/>
      </c>
      <c r="K678" s="4" t="str">
        <f>HYPERLINK("http://141.218.60.56/~jnz1568/getInfo.php?workbook=08_02.xlsx&amp;sheet=A0&amp;row=678&amp;col=11&amp;number=446600000&amp;sourceID=30","446600000")</f>
        <v>446600000</v>
      </c>
      <c r="L678" s="4" t="str">
        <f>HYPERLINK("http://141.218.60.56/~jnz1568/getInfo.php?workbook=08_02.xlsx&amp;sheet=A0&amp;row=678&amp;col=12&amp;number=&amp;sourceID=30","")</f>
        <v/>
      </c>
      <c r="M678" s="4" t="str">
        <f>HYPERLINK("http://141.218.60.56/~jnz1568/getInfo.php?workbook=08_02.xlsx&amp;sheet=A0&amp;row=678&amp;col=13&amp;number=&amp;sourceID=30","")</f>
        <v/>
      </c>
      <c r="N678" s="4" t="str">
        <f>HYPERLINK("http://141.218.60.56/~jnz1568/getInfo.php?workbook=08_02.xlsx&amp;sheet=A0&amp;row=678&amp;col=14&amp;number=0.001718&amp;sourceID=30","0.001718")</f>
        <v>0.001718</v>
      </c>
      <c r="O678" s="4" t="str">
        <f>HYPERLINK("http://141.218.60.56/~jnz1568/getInfo.php?workbook=08_02.xlsx&amp;sheet=A0&amp;row=678&amp;col=15&amp;number=437800000&amp;sourceID=32","437800000")</f>
        <v>437800000</v>
      </c>
      <c r="P678" s="4" t="str">
        <f>HYPERLINK("http://141.218.60.56/~jnz1568/getInfo.php?workbook=08_02.xlsx&amp;sheet=A0&amp;row=678&amp;col=16&amp;number=&amp;sourceID=32","")</f>
        <v/>
      </c>
      <c r="Q678" s="4" t="str">
        <f>HYPERLINK("http://141.218.60.56/~jnz1568/getInfo.php?workbook=08_02.xlsx&amp;sheet=A0&amp;row=678&amp;col=17&amp;number=&amp;sourceID=32","")</f>
        <v/>
      </c>
      <c r="R678" s="4" t="str">
        <f>HYPERLINK("http://141.218.60.56/~jnz1568/getInfo.php?workbook=08_02.xlsx&amp;sheet=A0&amp;row=678&amp;col=18&amp;number=0.001181&amp;sourceID=32","0.001181")</f>
        <v>0.001181</v>
      </c>
      <c r="S678" s="4" t="str">
        <f>HYPERLINK("http://141.218.60.56/~jnz1568/getInfo.php?workbook=08_02.xlsx&amp;sheet=A0&amp;row=678&amp;col=19&amp;number=&amp;sourceID=1","")</f>
        <v/>
      </c>
      <c r="T678" s="4" t="str">
        <f>HYPERLINK("http://141.218.60.56/~jnz1568/getInfo.php?workbook=08_02.xlsx&amp;sheet=A0&amp;row=678&amp;col=20&amp;number=&amp;sourceID=1","")</f>
        <v/>
      </c>
    </row>
    <row r="679" spans="1:20">
      <c r="A679" s="3">
        <v>8</v>
      </c>
      <c r="B679" s="3">
        <v>2</v>
      </c>
      <c r="C679" s="3">
        <v>41</v>
      </c>
      <c r="D679" s="3">
        <v>27</v>
      </c>
      <c r="E679" s="3">
        <f>((1/(INDEX(E0!J$4:J$52,C679,1)-INDEX(E0!J$4:J$52,D679,1))))*100000000</f>
        <v>0</v>
      </c>
      <c r="F679" s="4" t="str">
        <f>HYPERLINK("http://141.218.60.56/~jnz1568/getInfo.php?workbook=08_02.xlsx&amp;sheet=A0&amp;row=679&amp;col=6&amp;number=&amp;sourceID=27","")</f>
        <v/>
      </c>
      <c r="G679" s="4" t="str">
        <f>HYPERLINK("http://141.218.60.56/~jnz1568/getInfo.php?workbook=08_02.xlsx&amp;sheet=A0&amp;row=679&amp;col=7&amp;number=&amp;sourceID=34","")</f>
        <v/>
      </c>
      <c r="H679" s="4" t="str">
        <f>HYPERLINK("http://141.218.60.56/~jnz1568/getInfo.php?workbook=08_02.xlsx&amp;sheet=A0&amp;row=679&amp;col=8&amp;number=&amp;sourceID=34","")</f>
        <v/>
      </c>
      <c r="I679" s="4" t="str">
        <f>HYPERLINK("http://141.218.60.56/~jnz1568/getInfo.php?workbook=08_02.xlsx&amp;sheet=A0&amp;row=679&amp;col=9&amp;number=&amp;sourceID=34","")</f>
        <v/>
      </c>
      <c r="J679" s="4" t="str">
        <f>HYPERLINK("http://141.218.60.56/~jnz1568/getInfo.php?workbook=08_02.xlsx&amp;sheet=A0&amp;row=679&amp;col=10&amp;number=&amp;sourceID=34","")</f>
        <v/>
      </c>
      <c r="K679" s="4" t="str">
        <f>HYPERLINK("http://141.218.60.56/~jnz1568/getInfo.php?workbook=08_02.xlsx&amp;sheet=A0&amp;row=679&amp;col=11&amp;number=&amp;sourceID=30","")</f>
        <v/>
      </c>
      <c r="L679" s="4" t="str">
        <f>HYPERLINK("http://141.218.60.56/~jnz1568/getInfo.php?workbook=08_02.xlsx&amp;sheet=A0&amp;row=679&amp;col=12&amp;number=12750&amp;sourceID=30","12750")</f>
        <v>12750</v>
      </c>
      <c r="M679" s="4" t="str">
        <f>HYPERLINK("http://141.218.60.56/~jnz1568/getInfo.php?workbook=08_02.xlsx&amp;sheet=A0&amp;row=679&amp;col=13&amp;number=0.0003446&amp;sourceID=30","0.0003446")</f>
        <v>0.0003446</v>
      </c>
      <c r="N679" s="4" t="str">
        <f>HYPERLINK("http://141.218.60.56/~jnz1568/getInfo.php?workbook=08_02.xlsx&amp;sheet=A0&amp;row=679&amp;col=14&amp;number=&amp;sourceID=30","")</f>
        <v/>
      </c>
      <c r="O679" s="4" t="str">
        <f>HYPERLINK("http://141.218.60.56/~jnz1568/getInfo.php?workbook=08_02.xlsx&amp;sheet=A0&amp;row=679&amp;col=15&amp;number=&amp;sourceID=32","")</f>
        <v/>
      </c>
      <c r="P679" s="4" t="str">
        <f>HYPERLINK("http://141.218.60.56/~jnz1568/getInfo.php?workbook=08_02.xlsx&amp;sheet=A0&amp;row=679&amp;col=16&amp;number=12840&amp;sourceID=32","12840")</f>
        <v>12840</v>
      </c>
      <c r="Q679" s="4" t="str">
        <f>HYPERLINK("http://141.218.60.56/~jnz1568/getInfo.php?workbook=08_02.xlsx&amp;sheet=A0&amp;row=679&amp;col=17&amp;number=0.0003668&amp;sourceID=32","0.0003668")</f>
        <v>0.0003668</v>
      </c>
      <c r="R679" s="4" t="str">
        <f>HYPERLINK("http://141.218.60.56/~jnz1568/getInfo.php?workbook=08_02.xlsx&amp;sheet=A0&amp;row=679&amp;col=18&amp;number=&amp;sourceID=32","")</f>
        <v/>
      </c>
      <c r="S679" s="4" t="str">
        <f>HYPERLINK("http://141.218.60.56/~jnz1568/getInfo.php?workbook=08_02.xlsx&amp;sheet=A0&amp;row=679&amp;col=19&amp;number=&amp;sourceID=1","")</f>
        <v/>
      </c>
      <c r="T679" s="4" t="str">
        <f>HYPERLINK("http://141.218.60.56/~jnz1568/getInfo.php?workbook=08_02.xlsx&amp;sheet=A0&amp;row=679&amp;col=20&amp;number=&amp;sourceID=1","")</f>
        <v/>
      </c>
    </row>
    <row r="680" spans="1:20">
      <c r="A680" s="3">
        <v>8</v>
      </c>
      <c r="B680" s="3">
        <v>2</v>
      </c>
      <c r="C680" s="3">
        <v>41</v>
      </c>
      <c r="D680" s="3">
        <v>28</v>
      </c>
      <c r="E680" s="3">
        <f>((1/(INDEX(E0!J$4:J$52,C680,1)-INDEX(E0!J$4:J$52,D680,1))))*100000000</f>
        <v>0</v>
      </c>
      <c r="F680" s="4" t="str">
        <f>HYPERLINK("http://141.218.60.56/~jnz1568/getInfo.php?workbook=08_02.xlsx&amp;sheet=A0&amp;row=680&amp;col=6&amp;number=&amp;sourceID=27","")</f>
        <v/>
      </c>
      <c r="G680" s="4" t="str">
        <f>HYPERLINK("http://141.218.60.56/~jnz1568/getInfo.php?workbook=08_02.xlsx&amp;sheet=A0&amp;row=680&amp;col=7&amp;number=&amp;sourceID=34","")</f>
        <v/>
      </c>
      <c r="H680" s="4" t="str">
        <f>HYPERLINK("http://141.218.60.56/~jnz1568/getInfo.php?workbook=08_02.xlsx&amp;sheet=A0&amp;row=680&amp;col=8&amp;number=&amp;sourceID=34","")</f>
        <v/>
      </c>
      <c r="I680" s="4" t="str">
        <f>HYPERLINK("http://141.218.60.56/~jnz1568/getInfo.php?workbook=08_02.xlsx&amp;sheet=A0&amp;row=680&amp;col=9&amp;number=&amp;sourceID=34","")</f>
        <v/>
      </c>
      <c r="J680" s="4" t="str">
        <f>HYPERLINK("http://141.218.60.56/~jnz1568/getInfo.php?workbook=08_02.xlsx&amp;sheet=A0&amp;row=680&amp;col=10&amp;number=&amp;sourceID=34","")</f>
        <v/>
      </c>
      <c r="K680" s="4" t="str">
        <f>HYPERLINK("http://141.218.60.56/~jnz1568/getInfo.php?workbook=08_02.xlsx&amp;sheet=A0&amp;row=680&amp;col=11&amp;number=&amp;sourceID=30","")</f>
        <v/>
      </c>
      <c r="L680" s="4" t="str">
        <f>HYPERLINK("http://141.218.60.56/~jnz1568/getInfo.php?workbook=08_02.xlsx&amp;sheet=A0&amp;row=680&amp;col=12&amp;number=2498&amp;sourceID=30","2498")</f>
        <v>2498</v>
      </c>
      <c r="M680" s="4" t="str">
        <f>HYPERLINK("http://141.218.60.56/~jnz1568/getInfo.php?workbook=08_02.xlsx&amp;sheet=A0&amp;row=680&amp;col=13&amp;number=1.064e-07&amp;sourceID=30","1.064e-07")</f>
        <v>1.064e-07</v>
      </c>
      <c r="N680" s="4" t="str">
        <f>HYPERLINK("http://141.218.60.56/~jnz1568/getInfo.php?workbook=08_02.xlsx&amp;sheet=A0&amp;row=680&amp;col=14&amp;number=&amp;sourceID=30","")</f>
        <v/>
      </c>
      <c r="O680" s="4" t="str">
        <f>HYPERLINK("http://141.218.60.56/~jnz1568/getInfo.php?workbook=08_02.xlsx&amp;sheet=A0&amp;row=680&amp;col=15&amp;number=&amp;sourceID=32","")</f>
        <v/>
      </c>
      <c r="P680" s="4" t="str">
        <f>HYPERLINK("http://141.218.60.56/~jnz1568/getInfo.php?workbook=08_02.xlsx&amp;sheet=A0&amp;row=680&amp;col=16&amp;number=2449&amp;sourceID=32","2449")</f>
        <v>2449</v>
      </c>
      <c r="Q680" s="4" t="str">
        <f>HYPERLINK("http://141.218.60.56/~jnz1568/getInfo.php?workbook=08_02.xlsx&amp;sheet=A0&amp;row=680&amp;col=17&amp;number=1.428e-07&amp;sourceID=32","1.428e-07")</f>
        <v>1.428e-07</v>
      </c>
      <c r="R680" s="4" t="str">
        <f>HYPERLINK("http://141.218.60.56/~jnz1568/getInfo.php?workbook=08_02.xlsx&amp;sheet=A0&amp;row=680&amp;col=18&amp;number=&amp;sourceID=32","")</f>
        <v/>
      </c>
      <c r="S680" s="4" t="str">
        <f>HYPERLINK("http://141.218.60.56/~jnz1568/getInfo.php?workbook=08_02.xlsx&amp;sheet=A0&amp;row=680&amp;col=19&amp;number=&amp;sourceID=1","")</f>
        <v/>
      </c>
      <c r="T680" s="4" t="str">
        <f>HYPERLINK("http://141.218.60.56/~jnz1568/getInfo.php?workbook=08_02.xlsx&amp;sheet=A0&amp;row=680&amp;col=20&amp;number=&amp;sourceID=1","")</f>
        <v/>
      </c>
    </row>
    <row r="681" spans="1:20">
      <c r="A681" s="3">
        <v>8</v>
      </c>
      <c r="B681" s="3">
        <v>2</v>
      </c>
      <c r="C681" s="3">
        <v>41</v>
      </c>
      <c r="D681" s="3">
        <v>29</v>
      </c>
      <c r="E681" s="3">
        <f>((1/(INDEX(E0!J$4:J$52,C681,1)-INDEX(E0!J$4:J$52,D681,1))))*100000000</f>
        <v>0</v>
      </c>
      <c r="F681" s="4" t="str">
        <f>HYPERLINK("http://141.218.60.56/~jnz1568/getInfo.php?workbook=08_02.xlsx&amp;sheet=A0&amp;row=681&amp;col=6&amp;number=&amp;sourceID=27","")</f>
        <v/>
      </c>
      <c r="G681" s="4" t="str">
        <f>HYPERLINK("http://141.218.60.56/~jnz1568/getInfo.php?workbook=08_02.xlsx&amp;sheet=A0&amp;row=681&amp;col=7&amp;number=&amp;sourceID=34","")</f>
        <v/>
      </c>
      <c r="H681" s="4" t="str">
        <f>HYPERLINK("http://141.218.60.56/~jnz1568/getInfo.php?workbook=08_02.xlsx&amp;sheet=A0&amp;row=681&amp;col=8&amp;number=&amp;sourceID=34","")</f>
        <v/>
      </c>
      <c r="I681" s="4" t="str">
        <f>HYPERLINK("http://141.218.60.56/~jnz1568/getInfo.php?workbook=08_02.xlsx&amp;sheet=A0&amp;row=681&amp;col=9&amp;number=&amp;sourceID=34","")</f>
        <v/>
      </c>
      <c r="J681" s="4" t="str">
        <f>HYPERLINK("http://141.218.60.56/~jnz1568/getInfo.php?workbook=08_02.xlsx&amp;sheet=A0&amp;row=681&amp;col=10&amp;number=&amp;sourceID=34","")</f>
        <v/>
      </c>
      <c r="K681" s="4" t="str">
        <f>HYPERLINK("http://141.218.60.56/~jnz1568/getInfo.php?workbook=08_02.xlsx&amp;sheet=A0&amp;row=681&amp;col=11&amp;number=1709000000&amp;sourceID=30","1709000000")</f>
        <v>1709000000</v>
      </c>
      <c r="L681" s="4" t="str">
        <f>HYPERLINK("http://141.218.60.56/~jnz1568/getInfo.php?workbook=08_02.xlsx&amp;sheet=A0&amp;row=681&amp;col=12&amp;number=&amp;sourceID=30","")</f>
        <v/>
      </c>
      <c r="M681" s="4" t="str">
        <f>HYPERLINK("http://141.218.60.56/~jnz1568/getInfo.php?workbook=08_02.xlsx&amp;sheet=A0&amp;row=681&amp;col=13&amp;number=&amp;sourceID=30","")</f>
        <v/>
      </c>
      <c r="N681" s="4" t="str">
        <f>HYPERLINK("http://141.218.60.56/~jnz1568/getInfo.php?workbook=08_02.xlsx&amp;sheet=A0&amp;row=681&amp;col=14&amp;number=0.02881&amp;sourceID=30","0.02881")</f>
        <v>0.02881</v>
      </c>
      <c r="O681" s="4" t="str">
        <f>HYPERLINK("http://141.218.60.56/~jnz1568/getInfo.php?workbook=08_02.xlsx&amp;sheet=A0&amp;row=681&amp;col=15&amp;number=1725000000&amp;sourceID=32","1725000000")</f>
        <v>1725000000</v>
      </c>
      <c r="P681" s="4" t="str">
        <f>HYPERLINK("http://141.218.60.56/~jnz1568/getInfo.php?workbook=08_02.xlsx&amp;sheet=A0&amp;row=681&amp;col=16&amp;number=&amp;sourceID=32","")</f>
        <v/>
      </c>
      <c r="Q681" s="4" t="str">
        <f>HYPERLINK("http://141.218.60.56/~jnz1568/getInfo.php?workbook=08_02.xlsx&amp;sheet=A0&amp;row=681&amp;col=17&amp;number=&amp;sourceID=32","")</f>
        <v/>
      </c>
      <c r="R681" s="4" t="str">
        <f>HYPERLINK("http://141.218.60.56/~jnz1568/getInfo.php?workbook=08_02.xlsx&amp;sheet=A0&amp;row=681&amp;col=18&amp;number=0.0318&amp;sourceID=32","0.0318")</f>
        <v>0.0318</v>
      </c>
      <c r="S681" s="4" t="str">
        <f>HYPERLINK("http://141.218.60.56/~jnz1568/getInfo.php?workbook=08_02.xlsx&amp;sheet=A0&amp;row=681&amp;col=19&amp;number=&amp;sourceID=1","")</f>
        <v/>
      </c>
      <c r="T681" s="4" t="str">
        <f>HYPERLINK("http://141.218.60.56/~jnz1568/getInfo.php?workbook=08_02.xlsx&amp;sheet=A0&amp;row=681&amp;col=20&amp;number=&amp;sourceID=1","")</f>
        <v/>
      </c>
    </row>
    <row r="682" spans="1:20">
      <c r="A682" s="3">
        <v>8</v>
      </c>
      <c r="B682" s="3">
        <v>2</v>
      </c>
      <c r="C682" s="3">
        <v>41</v>
      </c>
      <c r="D682" s="3">
        <v>30</v>
      </c>
      <c r="E682" s="3">
        <f>((1/(INDEX(E0!J$4:J$52,C682,1)-INDEX(E0!J$4:J$52,D682,1))))*100000000</f>
        <v>0</v>
      </c>
      <c r="F682" s="4" t="str">
        <f>HYPERLINK("http://141.218.60.56/~jnz1568/getInfo.php?workbook=08_02.xlsx&amp;sheet=A0&amp;row=682&amp;col=6&amp;number=&amp;sourceID=27","")</f>
        <v/>
      </c>
      <c r="G682" s="4" t="str">
        <f>HYPERLINK("http://141.218.60.56/~jnz1568/getInfo.php?workbook=08_02.xlsx&amp;sheet=A0&amp;row=682&amp;col=7&amp;number=&amp;sourceID=34","")</f>
        <v/>
      </c>
      <c r="H682" s="4" t="str">
        <f>HYPERLINK("http://141.218.60.56/~jnz1568/getInfo.php?workbook=08_02.xlsx&amp;sheet=A0&amp;row=682&amp;col=8&amp;number=&amp;sourceID=34","")</f>
        <v/>
      </c>
      <c r="I682" s="4" t="str">
        <f>HYPERLINK("http://141.218.60.56/~jnz1568/getInfo.php?workbook=08_02.xlsx&amp;sheet=A0&amp;row=682&amp;col=9&amp;number=&amp;sourceID=34","")</f>
        <v/>
      </c>
      <c r="J682" s="4" t="str">
        <f>HYPERLINK("http://141.218.60.56/~jnz1568/getInfo.php?workbook=08_02.xlsx&amp;sheet=A0&amp;row=682&amp;col=10&amp;number=&amp;sourceID=34","")</f>
        <v/>
      </c>
      <c r="K682" s="4" t="str">
        <f>HYPERLINK("http://141.218.60.56/~jnz1568/getInfo.php?workbook=08_02.xlsx&amp;sheet=A0&amp;row=682&amp;col=11&amp;number=&amp;sourceID=30","")</f>
        <v/>
      </c>
      <c r="L682" s="4" t="str">
        <f>HYPERLINK("http://141.218.60.56/~jnz1568/getInfo.php?workbook=08_02.xlsx&amp;sheet=A0&amp;row=682&amp;col=12&amp;number=148.4&amp;sourceID=30","148.4")</f>
        <v>148.4</v>
      </c>
      <c r="M682" s="4" t="str">
        <f>HYPERLINK("http://141.218.60.56/~jnz1568/getInfo.php?workbook=08_02.xlsx&amp;sheet=A0&amp;row=682&amp;col=13&amp;number=3.219e-05&amp;sourceID=30","3.219e-05")</f>
        <v>3.219e-05</v>
      </c>
      <c r="N682" s="4" t="str">
        <f>HYPERLINK("http://141.218.60.56/~jnz1568/getInfo.php?workbook=08_02.xlsx&amp;sheet=A0&amp;row=682&amp;col=14&amp;number=&amp;sourceID=30","")</f>
        <v/>
      </c>
      <c r="O682" s="4" t="str">
        <f>HYPERLINK("http://141.218.60.56/~jnz1568/getInfo.php?workbook=08_02.xlsx&amp;sheet=A0&amp;row=682&amp;col=15&amp;number=&amp;sourceID=32","")</f>
        <v/>
      </c>
      <c r="P682" s="4" t="str">
        <f>HYPERLINK("http://141.218.60.56/~jnz1568/getInfo.php?workbook=08_02.xlsx&amp;sheet=A0&amp;row=682&amp;col=16&amp;number=164.5&amp;sourceID=32","164.5")</f>
        <v>164.5</v>
      </c>
      <c r="Q682" s="4" t="str">
        <f>HYPERLINK("http://141.218.60.56/~jnz1568/getInfo.php?workbook=08_02.xlsx&amp;sheet=A0&amp;row=682&amp;col=17&amp;number=2.807e-05&amp;sourceID=32","2.807e-05")</f>
        <v>2.807e-05</v>
      </c>
      <c r="R682" s="4" t="str">
        <f>HYPERLINK("http://141.218.60.56/~jnz1568/getInfo.php?workbook=08_02.xlsx&amp;sheet=A0&amp;row=682&amp;col=18&amp;number=&amp;sourceID=32","")</f>
        <v/>
      </c>
      <c r="S682" s="4" t="str">
        <f>HYPERLINK("http://141.218.60.56/~jnz1568/getInfo.php?workbook=08_02.xlsx&amp;sheet=A0&amp;row=682&amp;col=19&amp;number=&amp;sourceID=1","")</f>
        <v/>
      </c>
      <c r="T682" s="4" t="str">
        <f>HYPERLINK("http://141.218.60.56/~jnz1568/getInfo.php?workbook=08_02.xlsx&amp;sheet=A0&amp;row=682&amp;col=20&amp;number=&amp;sourceID=1","")</f>
        <v/>
      </c>
    </row>
    <row r="683" spans="1:20">
      <c r="A683" s="3">
        <v>8</v>
      </c>
      <c r="B683" s="3">
        <v>2</v>
      </c>
      <c r="C683" s="3">
        <v>41</v>
      </c>
      <c r="D683" s="3">
        <v>31</v>
      </c>
      <c r="E683" s="3">
        <f>((1/(INDEX(E0!J$4:J$52,C683,1)-INDEX(E0!J$4:J$52,D683,1))))*100000000</f>
        <v>0</v>
      </c>
      <c r="F683" s="4" t="str">
        <f>HYPERLINK("http://141.218.60.56/~jnz1568/getInfo.php?workbook=08_02.xlsx&amp;sheet=A0&amp;row=683&amp;col=6&amp;number=&amp;sourceID=27","")</f>
        <v/>
      </c>
      <c r="G683" s="4" t="str">
        <f>HYPERLINK("http://141.218.60.56/~jnz1568/getInfo.php?workbook=08_02.xlsx&amp;sheet=A0&amp;row=683&amp;col=7&amp;number=&amp;sourceID=34","")</f>
        <v/>
      </c>
      <c r="H683" s="4" t="str">
        <f>HYPERLINK("http://141.218.60.56/~jnz1568/getInfo.php?workbook=08_02.xlsx&amp;sheet=A0&amp;row=683&amp;col=8&amp;number=&amp;sourceID=34","")</f>
        <v/>
      </c>
      <c r="I683" s="4" t="str">
        <f>HYPERLINK("http://141.218.60.56/~jnz1568/getInfo.php?workbook=08_02.xlsx&amp;sheet=A0&amp;row=683&amp;col=9&amp;number=&amp;sourceID=34","")</f>
        <v/>
      </c>
      <c r="J683" s="4" t="str">
        <f>HYPERLINK("http://141.218.60.56/~jnz1568/getInfo.php?workbook=08_02.xlsx&amp;sheet=A0&amp;row=683&amp;col=10&amp;number=&amp;sourceID=34","")</f>
        <v/>
      </c>
      <c r="K683" s="4" t="str">
        <f>HYPERLINK("http://141.218.60.56/~jnz1568/getInfo.php?workbook=08_02.xlsx&amp;sheet=A0&amp;row=683&amp;col=11&amp;number=&amp;sourceID=30","")</f>
        <v/>
      </c>
      <c r="L683" s="4" t="str">
        <f>HYPERLINK("http://141.218.60.56/~jnz1568/getInfo.php?workbook=08_02.xlsx&amp;sheet=A0&amp;row=683&amp;col=12&amp;number=37080&amp;sourceID=30","37080")</f>
        <v>37080</v>
      </c>
      <c r="M683" s="4" t="str">
        <f>HYPERLINK("http://141.218.60.56/~jnz1568/getInfo.php?workbook=08_02.xlsx&amp;sheet=A0&amp;row=683&amp;col=13&amp;number=&amp;sourceID=30","")</f>
        <v/>
      </c>
      <c r="N683" s="4" t="str">
        <f>HYPERLINK("http://141.218.60.56/~jnz1568/getInfo.php?workbook=08_02.xlsx&amp;sheet=A0&amp;row=683&amp;col=14&amp;number=&amp;sourceID=30","")</f>
        <v/>
      </c>
      <c r="O683" s="4" t="str">
        <f>HYPERLINK("http://141.218.60.56/~jnz1568/getInfo.php?workbook=08_02.xlsx&amp;sheet=A0&amp;row=683&amp;col=15&amp;number=&amp;sourceID=32","")</f>
        <v/>
      </c>
      <c r="P683" s="4" t="str">
        <f>HYPERLINK("http://141.218.60.56/~jnz1568/getInfo.php?workbook=08_02.xlsx&amp;sheet=A0&amp;row=683&amp;col=16&amp;number=38200&amp;sourceID=32","38200")</f>
        <v>38200</v>
      </c>
      <c r="Q683" s="4" t="str">
        <f>HYPERLINK("http://141.218.60.56/~jnz1568/getInfo.php?workbook=08_02.xlsx&amp;sheet=A0&amp;row=683&amp;col=17&amp;number=&amp;sourceID=32","")</f>
        <v/>
      </c>
      <c r="R683" s="4" t="str">
        <f>HYPERLINK("http://141.218.60.56/~jnz1568/getInfo.php?workbook=08_02.xlsx&amp;sheet=A0&amp;row=683&amp;col=18&amp;number=&amp;sourceID=32","")</f>
        <v/>
      </c>
      <c r="S683" s="4" t="str">
        <f>HYPERLINK("http://141.218.60.56/~jnz1568/getInfo.php?workbook=08_02.xlsx&amp;sheet=A0&amp;row=683&amp;col=19&amp;number=&amp;sourceID=1","")</f>
        <v/>
      </c>
      <c r="T683" s="4" t="str">
        <f>HYPERLINK("http://141.218.60.56/~jnz1568/getInfo.php?workbook=08_02.xlsx&amp;sheet=A0&amp;row=683&amp;col=20&amp;number=&amp;sourceID=1","")</f>
        <v/>
      </c>
    </row>
    <row r="684" spans="1:20">
      <c r="A684" s="3">
        <v>8</v>
      </c>
      <c r="B684" s="3">
        <v>2</v>
      </c>
      <c r="C684" s="3">
        <v>41</v>
      </c>
      <c r="D684" s="3">
        <v>32</v>
      </c>
      <c r="E684" s="3">
        <f>((1/(INDEX(E0!J$4:J$52,C684,1)-INDEX(E0!J$4:J$52,D684,1))))*100000000</f>
        <v>0</v>
      </c>
      <c r="F684" s="4" t="str">
        <f>HYPERLINK("http://141.218.60.56/~jnz1568/getInfo.php?workbook=08_02.xlsx&amp;sheet=A0&amp;row=684&amp;col=6&amp;number=&amp;sourceID=27","")</f>
        <v/>
      </c>
      <c r="G684" s="4" t="str">
        <f>HYPERLINK("http://141.218.60.56/~jnz1568/getInfo.php?workbook=08_02.xlsx&amp;sheet=A0&amp;row=684&amp;col=7&amp;number=&amp;sourceID=34","")</f>
        <v/>
      </c>
      <c r="H684" s="4" t="str">
        <f>HYPERLINK("http://141.218.60.56/~jnz1568/getInfo.php?workbook=08_02.xlsx&amp;sheet=A0&amp;row=684&amp;col=8&amp;number=&amp;sourceID=34","")</f>
        <v/>
      </c>
      <c r="I684" s="4" t="str">
        <f>HYPERLINK("http://141.218.60.56/~jnz1568/getInfo.php?workbook=08_02.xlsx&amp;sheet=A0&amp;row=684&amp;col=9&amp;number=&amp;sourceID=34","")</f>
        <v/>
      </c>
      <c r="J684" s="4" t="str">
        <f>HYPERLINK("http://141.218.60.56/~jnz1568/getInfo.php?workbook=08_02.xlsx&amp;sheet=A0&amp;row=684&amp;col=10&amp;number=&amp;sourceID=34","")</f>
        <v/>
      </c>
      <c r="K684" s="4" t="str">
        <f>HYPERLINK("http://141.218.60.56/~jnz1568/getInfo.php?workbook=08_02.xlsx&amp;sheet=A0&amp;row=684&amp;col=11&amp;number=&amp;sourceID=30","")</f>
        <v/>
      </c>
      <c r="L684" s="4" t="str">
        <f>HYPERLINK("http://141.218.60.56/~jnz1568/getInfo.php?workbook=08_02.xlsx&amp;sheet=A0&amp;row=684&amp;col=12&amp;number=&amp;sourceID=30","")</f>
        <v/>
      </c>
      <c r="M684" s="4" t="str">
        <f>HYPERLINK("http://141.218.60.56/~jnz1568/getInfo.php?workbook=08_02.xlsx&amp;sheet=A0&amp;row=684&amp;col=13&amp;number=&amp;sourceID=30","")</f>
        <v/>
      </c>
      <c r="N684" s="4" t="str">
        <f>HYPERLINK("http://141.218.60.56/~jnz1568/getInfo.php?workbook=08_02.xlsx&amp;sheet=A0&amp;row=684&amp;col=14&amp;number=0&amp;sourceID=30","0")</f>
        <v>0</v>
      </c>
      <c r="O684" s="4" t="str">
        <f>HYPERLINK("http://141.218.60.56/~jnz1568/getInfo.php?workbook=08_02.xlsx&amp;sheet=A0&amp;row=684&amp;col=15&amp;number=&amp;sourceID=32","")</f>
        <v/>
      </c>
      <c r="P684" s="4" t="str">
        <f>HYPERLINK("http://141.218.60.56/~jnz1568/getInfo.php?workbook=08_02.xlsx&amp;sheet=A0&amp;row=684&amp;col=16&amp;number=&amp;sourceID=32","")</f>
        <v/>
      </c>
      <c r="Q684" s="4" t="str">
        <f>HYPERLINK("http://141.218.60.56/~jnz1568/getInfo.php?workbook=08_02.xlsx&amp;sheet=A0&amp;row=684&amp;col=17&amp;number=&amp;sourceID=32","")</f>
        <v/>
      </c>
      <c r="R684" s="4" t="str">
        <f>HYPERLINK("http://141.218.60.56/~jnz1568/getInfo.php?workbook=08_02.xlsx&amp;sheet=A0&amp;row=684&amp;col=18&amp;number=0&amp;sourceID=32","0")</f>
        <v>0</v>
      </c>
      <c r="S684" s="4" t="str">
        <f>HYPERLINK("http://141.218.60.56/~jnz1568/getInfo.php?workbook=08_02.xlsx&amp;sheet=A0&amp;row=684&amp;col=19&amp;number=&amp;sourceID=1","")</f>
        <v/>
      </c>
      <c r="T684" s="4" t="str">
        <f>HYPERLINK("http://141.218.60.56/~jnz1568/getInfo.php?workbook=08_02.xlsx&amp;sheet=A0&amp;row=684&amp;col=20&amp;number=&amp;sourceID=1","")</f>
        <v/>
      </c>
    </row>
    <row r="685" spans="1:20">
      <c r="A685" s="3">
        <v>8</v>
      </c>
      <c r="B685" s="3">
        <v>2</v>
      </c>
      <c r="C685" s="3">
        <v>41</v>
      </c>
      <c r="D685" s="3">
        <v>35</v>
      </c>
      <c r="E685" s="3">
        <f>((1/(INDEX(E0!J$4:J$52,C685,1)-INDEX(E0!J$4:J$52,D685,1))))*100000000</f>
        <v>0</v>
      </c>
      <c r="F685" s="4" t="str">
        <f>HYPERLINK("http://141.218.60.56/~jnz1568/getInfo.php?workbook=08_02.xlsx&amp;sheet=A0&amp;row=685&amp;col=6&amp;number=&amp;sourceID=27","")</f>
        <v/>
      </c>
      <c r="G685" s="4" t="str">
        <f>HYPERLINK("http://141.218.60.56/~jnz1568/getInfo.php?workbook=08_02.xlsx&amp;sheet=A0&amp;row=685&amp;col=7&amp;number=&amp;sourceID=34","")</f>
        <v/>
      </c>
      <c r="H685" s="4" t="str">
        <f>HYPERLINK("http://141.218.60.56/~jnz1568/getInfo.php?workbook=08_02.xlsx&amp;sheet=A0&amp;row=685&amp;col=8&amp;number=&amp;sourceID=34","")</f>
        <v/>
      </c>
      <c r="I685" s="4" t="str">
        <f>HYPERLINK("http://141.218.60.56/~jnz1568/getInfo.php?workbook=08_02.xlsx&amp;sheet=A0&amp;row=685&amp;col=9&amp;number=&amp;sourceID=34","")</f>
        <v/>
      </c>
      <c r="J685" s="4" t="str">
        <f>HYPERLINK("http://141.218.60.56/~jnz1568/getInfo.php?workbook=08_02.xlsx&amp;sheet=A0&amp;row=685&amp;col=10&amp;number=&amp;sourceID=34","")</f>
        <v/>
      </c>
      <c r="K685" s="4" t="str">
        <f>HYPERLINK("http://141.218.60.56/~jnz1568/getInfo.php?workbook=08_02.xlsx&amp;sheet=A0&amp;row=685&amp;col=11&amp;number=&amp;sourceID=30","")</f>
        <v/>
      </c>
      <c r="L685" s="4" t="str">
        <f>HYPERLINK("http://141.218.60.56/~jnz1568/getInfo.php?workbook=08_02.xlsx&amp;sheet=A0&amp;row=685&amp;col=12&amp;number=0.000171&amp;sourceID=30","0.000171")</f>
        <v>0.000171</v>
      </c>
      <c r="M685" s="4" t="str">
        <f>HYPERLINK("http://141.218.60.56/~jnz1568/getInfo.php?workbook=08_02.xlsx&amp;sheet=A0&amp;row=685&amp;col=13&amp;number=&amp;sourceID=30","")</f>
        <v/>
      </c>
      <c r="N685" s="4" t="str">
        <f>HYPERLINK("http://141.218.60.56/~jnz1568/getInfo.php?workbook=08_02.xlsx&amp;sheet=A0&amp;row=685&amp;col=14&amp;number=&amp;sourceID=30","")</f>
        <v/>
      </c>
      <c r="O685" s="4" t="str">
        <f>HYPERLINK("http://141.218.60.56/~jnz1568/getInfo.php?workbook=08_02.xlsx&amp;sheet=A0&amp;row=685&amp;col=15&amp;number=&amp;sourceID=32","")</f>
        <v/>
      </c>
      <c r="P685" s="4" t="str">
        <f>HYPERLINK("http://141.218.60.56/~jnz1568/getInfo.php?workbook=08_02.xlsx&amp;sheet=A0&amp;row=685&amp;col=16&amp;number=0.0002108&amp;sourceID=32","0.0002108")</f>
        <v>0.0002108</v>
      </c>
      <c r="Q685" s="4" t="str">
        <f>HYPERLINK("http://141.218.60.56/~jnz1568/getInfo.php?workbook=08_02.xlsx&amp;sheet=A0&amp;row=685&amp;col=17&amp;number=&amp;sourceID=32","")</f>
        <v/>
      </c>
      <c r="R685" s="4" t="str">
        <f>HYPERLINK("http://141.218.60.56/~jnz1568/getInfo.php?workbook=08_02.xlsx&amp;sheet=A0&amp;row=685&amp;col=18&amp;number=&amp;sourceID=32","")</f>
        <v/>
      </c>
      <c r="S685" s="4" t="str">
        <f>HYPERLINK("http://141.218.60.56/~jnz1568/getInfo.php?workbook=08_02.xlsx&amp;sheet=A0&amp;row=685&amp;col=19&amp;number=&amp;sourceID=1","")</f>
        <v/>
      </c>
      <c r="T685" s="4" t="str">
        <f>HYPERLINK("http://141.218.60.56/~jnz1568/getInfo.php?workbook=08_02.xlsx&amp;sheet=A0&amp;row=685&amp;col=20&amp;number=&amp;sourceID=1","")</f>
        <v/>
      </c>
    </row>
    <row r="686" spans="1:20">
      <c r="A686" s="3">
        <v>8</v>
      </c>
      <c r="B686" s="3">
        <v>2</v>
      </c>
      <c r="C686" s="3">
        <v>41</v>
      </c>
      <c r="D686" s="3">
        <v>36</v>
      </c>
      <c r="E686" s="3">
        <f>((1/(INDEX(E0!J$4:J$52,C686,1)-INDEX(E0!J$4:J$52,D686,1))))*100000000</f>
        <v>0</v>
      </c>
      <c r="F686" s="4" t="str">
        <f>HYPERLINK("http://141.218.60.56/~jnz1568/getInfo.php?workbook=08_02.xlsx&amp;sheet=A0&amp;row=686&amp;col=6&amp;number=&amp;sourceID=27","")</f>
        <v/>
      </c>
      <c r="G686" s="4" t="str">
        <f>HYPERLINK("http://141.218.60.56/~jnz1568/getInfo.php?workbook=08_02.xlsx&amp;sheet=A0&amp;row=686&amp;col=7&amp;number=&amp;sourceID=34","")</f>
        <v/>
      </c>
      <c r="H686" s="4" t="str">
        <f>HYPERLINK("http://141.218.60.56/~jnz1568/getInfo.php?workbook=08_02.xlsx&amp;sheet=A0&amp;row=686&amp;col=8&amp;number=&amp;sourceID=34","")</f>
        <v/>
      </c>
      <c r="I686" s="4" t="str">
        <f>HYPERLINK("http://141.218.60.56/~jnz1568/getInfo.php?workbook=08_02.xlsx&amp;sheet=A0&amp;row=686&amp;col=9&amp;number=&amp;sourceID=34","")</f>
        <v/>
      </c>
      <c r="J686" s="4" t="str">
        <f>HYPERLINK("http://141.218.60.56/~jnz1568/getInfo.php?workbook=08_02.xlsx&amp;sheet=A0&amp;row=686&amp;col=10&amp;number=&amp;sourceID=34","")</f>
        <v/>
      </c>
      <c r="K686" s="4" t="str">
        <f>HYPERLINK("http://141.218.60.56/~jnz1568/getInfo.php?workbook=08_02.xlsx&amp;sheet=A0&amp;row=686&amp;col=11&amp;number=&amp;sourceID=30","")</f>
        <v/>
      </c>
      <c r="L686" s="4" t="str">
        <f>HYPERLINK("http://141.218.60.56/~jnz1568/getInfo.php?workbook=08_02.xlsx&amp;sheet=A0&amp;row=686&amp;col=12&amp;number=7.616e-05&amp;sourceID=30","7.616e-05")</f>
        <v>7.616e-05</v>
      </c>
      <c r="M686" s="4" t="str">
        <f>HYPERLINK("http://141.218.60.56/~jnz1568/getInfo.php?workbook=08_02.xlsx&amp;sheet=A0&amp;row=686&amp;col=13&amp;number=2.503e-10&amp;sourceID=30","2.503e-10")</f>
        <v>2.503e-10</v>
      </c>
      <c r="N686" s="4" t="str">
        <f>HYPERLINK("http://141.218.60.56/~jnz1568/getInfo.php?workbook=08_02.xlsx&amp;sheet=A0&amp;row=686&amp;col=14&amp;number=&amp;sourceID=30","")</f>
        <v/>
      </c>
      <c r="O686" s="4" t="str">
        <f>HYPERLINK("http://141.218.60.56/~jnz1568/getInfo.php?workbook=08_02.xlsx&amp;sheet=A0&amp;row=686&amp;col=15&amp;number=&amp;sourceID=32","")</f>
        <v/>
      </c>
      <c r="P686" s="4" t="str">
        <f>HYPERLINK("http://141.218.60.56/~jnz1568/getInfo.php?workbook=08_02.xlsx&amp;sheet=A0&amp;row=686&amp;col=16&amp;number=9.199e-05&amp;sourceID=32","9.199e-05")</f>
        <v>9.199e-05</v>
      </c>
      <c r="Q686" s="4" t="str">
        <f>HYPERLINK("http://141.218.60.56/~jnz1568/getInfo.php?workbook=08_02.xlsx&amp;sheet=A0&amp;row=686&amp;col=17&amp;number=3.009e-10&amp;sourceID=32","3.009e-10")</f>
        <v>3.009e-10</v>
      </c>
      <c r="R686" s="4" t="str">
        <f>HYPERLINK("http://141.218.60.56/~jnz1568/getInfo.php?workbook=08_02.xlsx&amp;sheet=A0&amp;row=686&amp;col=18&amp;number=&amp;sourceID=32","")</f>
        <v/>
      </c>
      <c r="S686" s="4" t="str">
        <f>HYPERLINK("http://141.218.60.56/~jnz1568/getInfo.php?workbook=08_02.xlsx&amp;sheet=A0&amp;row=686&amp;col=19&amp;number=&amp;sourceID=1","")</f>
        <v/>
      </c>
      <c r="T686" s="4" t="str">
        <f>HYPERLINK("http://141.218.60.56/~jnz1568/getInfo.php?workbook=08_02.xlsx&amp;sheet=A0&amp;row=686&amp;col=20&amp;number=&amp;sourceID=1","")</f>
        <v/>
      </c>
    </row>
    <row r="687" spans="1:20">
      <c r="A687" s="3">
        <v>8</v>
      </c>
      <c r="B687" s="3">
        <v>2</v>
      </c>
      <c r="C687" s="3">
        <v>41</v>
      </c>
      <c r="D687" s="3">
        <v>38</v>
      </c>
      <c r="E687" s="3">
        <f>((1/(INDEX(E0!J$4:J$52,C687,1)-INDEX(E0!J$4:J$52,D687,1))))*100000000</f>
        <v>0</v>
      </c>
      <c r="F687" s="4" t="str">
        <f>HYPERLINK("http://141.218.60.56/~jnz1568/getInfo.php?workbook=08_02.xlsx&amp;sheet=A0&amp;row=687&amp;col=6&amp;number=&amp;sourceID=27","")</f>
        <v/>
      </c>
      <c r="G687" s="4" t="str">
        <f>HYPERLINK("http://141.218.60.56/~jnz1568/getInfo.php?workbook=08_02.xlsx&amp;sheet=A0&amp;row=687&amp;col=7&amp;number=&amp;sourceID=34","")</f>
        <v/>
      </c>
      <c r="H687" s="4" t="str">
        <f>HYPERLINK("http://141.218.60.56/~jnz1568/getInfo.php?workbook=08_02.xlsx&amp;sheet=A0&amp;row=687&amp;col=8&amp;number=&amp;sourceID=34","")</f>
        <v/>
      </c>
      <c r="I687" s="4" t="str">
        <f>HYPERLINK("http://141.218.60.56/~jnz1568/getInfo.php?workbook=08_02.xlsx&amp;sheet=A0&amp;row=687&amp;col=9&amp;number=&amp;sourceID=34","")</f>
        <v/>
      </c>
      <c r="J687" s="4" t="str">
        <f>HYPERLINK("http://141.218.60.56/~jnz1568/getInfo.php?workbook=08_02.xlsx&amp;sheet=A0&amp;row=687&amp;col=10&amp;number=&amp;sourceID=34","")</f>
        <v/>
      </c>
      <c r="K687" s="4" t="str">
        <f>HYPERLINK("http://141.218.60.56/~jnz1568/getInfo.php?workbook=08_02.xlsx&amp;sheet=A0&amp;row=687&amp;col=11&amp;number=&amp;sourceID=30","")</f>
        <v/>
      </c>
      <c r="L687" s="4" t="str">
        <f>HYPERLINK("http://141.218.60.56/~jnz1568/getInfo.php?workbook=08_02.xlsx&amp;sheet=A0&amp;row=687&amp;col=12&amp;number=&amp;sourceID=30","")</f>
        <v/>
      </c>
      <c r="M687" s="4" t="str">
        <f>HYPERLINK("http://141.218.60.56/~jnz1568/getInfo.php?workbook=08_02.xlsx&amp;sheet=A0&amp;row=687&amp;col=13&amp;number=&amp;sourceID=30","")</f>
        <v/>
      </c>
      <c r="N687" s="4" t="str">
        <f>HYPERLINK("http://141.218.60.56/~jnz1568/getInfo.php?workbook=08_02.xlsx&amp;sheet=A0&amp;row=687&amp;col=14&amp;number=0&amp;sourceID=30","0")</f>
        <v>0</v>
      </c>
      <c r="O687" s="4" t="str">
        <f>HYPERLINK("http://141.218.60.56/~jnz1568/getInfo.php?workbook=08_02.xlsx&amp;sheet=A0&amp;row=687&amp;col=15&amp;number=&amp;sourceID=32","")</f>
        <v/>
      </c>
      <c r="P687" s="4" t="str">
        <f>HYPERLINK("http://141.218.60.56/~jnz1568/getInfo.php?workbook=08_02.xlsx&amp;sheet=A0&amp;row=687&amp;col=16&amp;number=&amp;sourceID=32","")</f>
        <v/>
      </c>
      <c r="Q687" s="4" t="str">
        <f>HYPERLINK("http://141.218.60.56/~jnz1568/getInfo.php?workbook=08_02.xlsx&amp;sheet=A0&amp;row=687&amp;col=17&amp;number=&amp;sourceID=32","")</f>
        <v/>
      </c>
      <c r="R687" s="4" t="str">
        <f>HYPERLINK("http://141.218.60.56/~jnz1568/getInfo.php?workbook=08_02.xlsx&amp;sheet=A0&amp;row=687&amp;col=18&amp;number=0&amp;sourceID=32","0")</f>
        <v>0</v>
      </c>
      <c r="S687" s="4" t="str">
        <f>HYPERLINK("http://141.218.60.56/~jnz1568/getInfo.php?workbook=08_02.xlsx&amp;sheet=A0&amp;row=687&amp;col=19&amp;number=&amp;sourceID=1","")</f>
        <v/>
      </c>
      <c r="T687" s="4" t="str">
        <f>HYPERLINK("http://141.218.60.56/~jnz1568/getInfo.php?workbook=08_02.xlsx&amp;sheet=A0&amp;row=687&amp;col=20&amp;number=&amp;sourceID=1","")</f>
        <v/>
      </c>
    </row>
    <row r="688" spans="1:20">
      <c r="A688" s="3">
        <v>8</v>
      </c>
      <c r="B688" s="3">
        <v>2</v>
      </c>
      <c r="C688" s="3">
        <v>41</v>
      </c>
      <c r="D688" s="3">
        <v>39</v>
      </c>
      <c r="E688" s="3">
        <f>((1/(INDEX(E0!J$4:J$52,C688,1)-INDEX(E0!J$4:J$52,D688,1))))*100000000</f>
        <v>0</v>
      </c>
      <c r="F688" s="4" t="str">
        <f>HYPERLINK("http://141.218.60.56/~jnz1568/getInfo.php?workbook=08_02.xlsx&amp;sheet=A0&amp;row=688&amp;col=6&amp;number=&amp;sourceID=27","")</f>
        <v/>
      </c>
      <c r="G688" s="4" t="str">
        <f>HYPERLINK("http://141.218.60.56/~jnz1568/getInfo.php?workbook=08_02.xlsx&amp;sheet=A0&amp;row=688&amp;col=7&amp;number=&amp;sourceID=34","")</f>
        <v/>
      </c>
      <c r="H688" s="4" t="str">
        <f>HYPERLINK("http://141.218.60.56/~jnz1568/getInfo.php?workbook=08_02.xlsx&amp;sheet=A0&amp;row=688&amp;col=8&amp;number=&amp;sourceID=34","")</f>
        <v/>
      </c>
      <c r="I688" s="4" t="str">
        <f>HYPERLINK("http://141.218.60.56/~jnz1568/getInfo.php?workbook=08_02.xlsx&amp;sheet=A0&amp;row=688&amp;col=9&amp;number=&amp;sourceID=34","")</f>
        <v/>
      </c>
      <c r="J688" s="4" t="str">
        <f>HYPERLINK("http://141.218.60.56/~jnz1568/getInfo.php?workbook=08_02.xlsx&amp;sheet=A0&amp;row=688&amp;col=10&amp;number=&amp;sourceID=34","")</f>
        <v/>
      </c>
      <c r="K688" s="4" t="str">
        <f>HYPERLINK("http://141.218.60.56/~jnz1568/getInfo.php?workbook=08_02.xlsx&amp;sheet=A0&amp;row=688&amp;col=11&amp;number=12.08&amp;sourceID=30","12.08")</f>
        <v>12.08</v>
      </c>
      <c r="L688" s="4" t="str">
        <f>HYPERLINK("http://141.218.60.56/~jnz1568/getInfo.php?workbook=08_02.xlsx&amp;sheet=A0&amp;row=688&amp;col=12&amp;number=&amp;sourceID=30","")</f>
        <v/>
      </c>
      <c r="M688" s="4" t="str">
        <f>HYPERLINK("http://141.218.60.56/~jnz1568/getInfo.php?workbook=08_02.xlsx&amp;sheet=A0&amp;row=688&amp;col=13&amp;number=&amp;sourceID=30","")</f>
        <v/>
      </c>
      <c r="N688" s="4" t="str">
        <f>HYPERLINK("http://141.218.60.56/~jnz1568/getInfo.php?workbook=08_02.xlsx&amp;sheet=A0&amp;row=688&amp;col=14&amp;number=0&amp;sourceID=30","0")</f>
        <v>0</v>
      </c>
      <c r="O688" s="4" t="str">
        <f>HYPERLINK("http://141.218.60.56/~jnz1568/getInfo.php?workbook=08_02.xlsx&amp;sheet=A0&amp;row=688&amp;col=15&amp;number=18.08&amp;sourceID=32","18.08")</f>
        <v>18.08</v>
      </c>
      <c r="P688" s="4" t="str">
        <f>HYPERLINK("http://141.218.60.56/~jnz1568/getInfo.php?workbook=08_02.xlsx&amp;sheet=A0&amp;row=688&amp;col=16&amp;number=&amp;sourceID=32","")</f>
        <v/>
      </c>
      <c r="Q688" s="4" t="str">
        <f>HYPERLINK("http://141.218.60.56/~jnz1568/getInfo.php?workbook=08_02.xlsx&amp;sheet=A0&amp;row=688&amp;col=17&amp;number=&amp;sourceID=32","")</f>
        <v/>
      </c>
      <c r="R688" s="4" t="str">
        <f>HYPERLINK("http://141.218.60.56/~jnz1568/getInfo.php?workbook=08_02.xlsx&amp;sheet=A0&amp;row=688&amp;col=18&amp;number=1e-15&amp;sourceID=32","1e-15")</f>
        <v>1e-15</v>
      </c>
      <c r="S688" s="4" t="str">
        <f>HYPERLINK("http://141.218.60.56/~jnz1568/getInfo.php?workbook=08_02.xlsx&amp;sheet=A0&amp;row=688&amp;col=19&amp;number=&amp;sourceID=1","")</f>
        <v/>
      </c>
      <c r="T688" s="4" t="str">
        <f>HYPERLINK("http://141.218.60.56/~jnz1568/getInfo.php?workbook=08_02.xlsx&amp;sheet=A0&amp;row=688&amp;col=20&amp;number=&amp;sourceID=1","")</f>
        <v/>
      </c>
    </row>
    <row r="689" spans="1:20">
      <c r="A689" s="3">
        <v>8</v>
      </c>
      <c r="B689" s="3">
        <v>2</v>
      </c>
      <c r="C689" s="3">
        <v>41</v>
      </c>
      <c r="D689" s="3">
        <v>40</v>
      </c>
      <c r="E689" s="3">
        <f>((1/(INDEX(E0!J$4:J$52,C689,1)-INDEX(E0!J$4:J$52,D689,1))))*100000000</f>
        <v>0</v>
      </c>
      <c r="F689" s="4" t="str">
        <f>HYPERLINK("http://141.218.60.56/~jnz1568/getInfo.php?workbook=08_02.xlsx&amp;sheet=A0&amp;row=689&amp;col=6&amp;number=&amp;sourceID=27","")</f>
        <v/>
      </c>
      <c r="G689" s="4" t="str">
        <f>HYPERLINK("http://141.218.60.56/~jnz1568/getInfo.php?workbook=08_02.xlsx&amp;sheet=A0&amp;row=689&amp;col=7&amp;number=&amp;sourceID=34","")</f>
        <v/>
      </c>
      <c r="H689" s="4" t="str">
        <f>HYPERLINK("http://141.218.60.56/~jnz1568/getInfo.php?workbook=08_02.xlsx&amp;sheet=A0&amp;row=689&amp;col=8&amp;number=&amp;sourceID=34","")</f>
        <v/>
      </c>
      <c r="I689" s="4" t="str">
        <f>HYPERLINK("http://141.218.60.56/~jnz1568/getInfo.php?workbook=08_02.xlsx&amp;sheet=A0&amp;row=689&amp;col=9&amp;number=&amp;sourceID=34","")</f>
        <v/>
      </c>
      <c r="J689" s="4" t="str">
        <f>HYPERLINK("http://141.218.60.56/~jnz1568/getInfo.php?workbook=08_02.xlsx&amp;sheet=A0&amp;row=689&amp;col=10&amp;number=&amp;sourceID=34","")</f>
        <v/>
      </c>
      <c r="K689" s="4" t="str">
        <f>HYPERLINK("http://141.218.60.56/~jnz1568/getInfo.php?workbook=08_02.xlsx&amp;sheet=A0&amp;row=689&amp;col=11&amp;number=0.9899&amp;sourceID=30","0.9899")</f>
        <v>0.9899</v>
      </c>
      <c r="L689" s="4" t="str">
        <f>HYPERLINK("http://141.218.60.56/~jnz1568/getInfo.php?workbook=08_02.xlsx&amp;sheet=A0&amp;row=689&amp;col=12&amp;number=&amp;sourceID=30","")</f>
        <v/>
      </c>
      <c r="M689" s="4" t="str">
        <f>HYPERLINK("http://141.218.60.56/~jnz1568/getInfo.php?workbook=08_02.xlsx&amp;sheet=A0&amp;row=689&amp;col=13&amp;number=&amp;sourceID=30","")</f>
        <v/>
      </c>
      <c r="N689" s="4" t="str">
        <f>HYPERLINK("http://141.218.60.56/~jnz1568/getInfo.php?workbook=08_02.xlsx&amp;sheet=A0&amp;row=689&amp;col=14&amp;number=0&amp;sourceID=30","0")</f>
        <v>0</v>
      </c>
      <c r="O689" s="4" t="str">
        <f>HYPERLINK("http://141.218.60.56/~jnz1568/getInfo.php?workbook=08_02.xlsx&amp;sheet=A0&amp;row=689&amp;col=15&amp;number=1.505&amp;sourceID=32","1.505")</f>
        <v>1.505</v>
      </c>
      <c r="P689" s="4" t="str">
        <f>HYPERLINK("http://141.218.60.56/~jnz1568/getInfo.php?workbook=08_02.xlsx&amp;sheet=A0&amp;row=689&amp;col=16&amp;number=&amp;sourceID=32","")</f>
        <v/>
      </c>
      <c r="Q689" s="4" t="str">
        <f>HYPERLINK("http://141.218.60.56/~jnz1568/getInfo.php?workbook=08_02.xlsx&amp;sheet=A0&amp;row=689&amp;col=17&amp;number=&amp;sourceID=32","")</f>
        <v/>
      </c>
      <c r="R689" s="4" t="str">
        <f>HYPERLINK("http://141.218.60.56/~jnz1568/getInfo.php?workbook=08_02.xlsx&amp;sheet=A0&amp;row=689&amp;col=18&amp;number=0&amp;sourceID=32","0")</f>
        <v>0</v>
      </c>
      <c r="S689" s="4" t="str">
        <f>HYPERLINK("http://141.218.60.56/~jnz1568/getInfo.php?workbook=08_02.xlsx&amp;sheet=A0&amp;row=689&amp;col=19&amp;number=&amp;sourceID=1","")</f>
        <v/>
      </c>
      <c r="T689" s="4" t="str">
        <f>HYPERLINK("http://141.218.60.56/~jnz1568/getInfo.php?workbook=08_02.xlsx&amp;sheet=A0&amp;row=689&amp;col=20&amp;number=&amp;sourceID=1","")</f>
        <v/>
      </c>
    </row>
    <row r="690" spans="1:20">
      <c r="A690" s="3">
        <v>8</v>
      </c>
      <c r="B690" s="3">
        <v>2</v>
      </c>
      <c r="C690" s="3">
        <v>41</v>
      </c>
      <c r="D690" s="3">
        <v>42</v>
      </c>
      <c r="E690" s="3">
        <f>((1/(INDEX(E0!J$4:J$52,C690,1)-INDEX(E0!J$4:J$52,D690,1))))*100000000</f>
        <v>0</v>
      </c>
      <c r="F690" s="4" t="str">
        <f>HYPERLINK("http://141.218.60.56/~jnz1568/getInfo.php?workbook=08_02.xlsx&amp;sheet=A0&amp;row=690&amp;col=6&amp;number=&amp;sourceID=27","")</f>
        <v/>
      </c>
      <c r="G690" s="4" t="str">
        <f>HYPERLINK("http://141.218.60.56/~jnz1568/getInfo.php?workbook=08_02.xlsx&amp;sheet=A0&amp;row=690&amp;col=7&amp;number=&amp;sourceID=34","")</f>
        <v/>
      </c>
      <c r="H690" s="4" t="str">
        <f>HYPERLINK("http://141.218.60.56/~jnz1568/getInfo.php?workbook=08_02.xlsx&amp;sheet=A0&amp;row=690&amp;col=8&amp;number=&amp;sourceID=34","")</f>
        <v/>
      </c>
      <c r="I690" s="4" t="str">
        <f>HYPERLINK("http://141.218.60.56/~jnz1568/getInfo.php?workbook=08_02.xlsx&amp;sheet=A0&amp;row=690&amp;col=9&amp;number=&amp;sourceID=34","")</f>
        <v/>
      </c>
      <c r="J690" s="4" t="str">
        <f>HYPERLINK("http://141.218.60.56/~jnz1568/getInfo.php?workbook=08_02.xlsx&amp;sheet=A0&amp;row=690&amp;col=10&amp;number=&amp;sourceID=34","")</f>
        <v/>
      </c>
      <c r="K690" s="4" t="str">
        <f>HYPERLINK("http://141.218.60.56/~jnz1568/getInfo.php?workbook=08_02.xlsx&amp;sheet=A0&amp;row=690&amp;col=11&amp;number=&amp;sourceID=30","")</f>
        <v/>
      </c>
      <c r="L690" s="4" t="str">
        <f>HYPERLINK("http://141.218.60.56/~jnz1568/getInfo.php?workbook=08_02.xlsx&amp;sheet=A0&amp;row=690&amp;col=12&amp;number=0&amp;sourceID=30","0")</f>
        <v>0</v>
      </c>
      <c r="M690" s="4" t="str">
        <f>HYPERLINK("http://141.218.60.56/~jnz1568/getInfo.php?workbook=08_02.xlsx&amp;sheet=A0&amp;row=690&amp;col=13&amp;number=2.515e-10&amp;sourceID=30","2.515e-10")</f>
        <v>2.515e-10</v>
      </c>
      <c r="N690" s="4" t="str">
        <f>HYPERLINK("http://141.218.60.56/~jnz1568/getInfo.php?workbook=08_02.xlsx&amp;sheet=A0&amp;row=690&amp;col=14&amp;number=&amp;sourceID=30","")</f>
        <v/>
      </c>
      <c r="O690" s="4" t="str">
        <f>HYPERLINK("http://141.218.60.56/~jnz1568/getInfo.php?workbook=08_02.xlsx&amp;sheet=A0&amp;row=690&amp;col=15&amp;number=&amp;sourceID=32","")</f>
        <v/>
      </c>
      <c r="P690" s="4" t="str">
        <f>HYPERLINK("http://141.218.60.56/~jnz1568/getInfo.php?workbook=08_02.xlsx&amp;sheet=A0&amp;row=690&amp;col=16&amp;number=&amp;sourceID=32","")</f>
        <v/>
      </c>
      <c r="Q690" s="4" t="str">
        <f>HYPERLINK("http://141.218.60.56/~jnz1568/getInfo.php?workbook=08_02.xlsx&amp;sheet=A0&amp;row=690&amp;col=17&amp;number=&amp;sourceID=32","")</f>
        <v/>
      </c>
      <c r="R690" s="4" t="str">
        <f>HYPERLINK("http://141.218.60.56/~jnz1568/getInfo.php?workbook=08_02.xlsx&amp;sheet=A0&amp;row=690&amp;col=18&amp;number=&amp;sourceID=32","")</f>
        <v/>
      </c>
      <c r="S690" s="4" t="str">
        <f>HYPERLINK("http://141.218.60.56/~jnz1568/getInfo.php?workbook=08_02.xlsx&amp;sheet=A0&amp;row=690&amp;col=19&amp;number=&amp;sourceID=1","")</f>
        <v/>
      </c>
      <c r="T690" s="4" t="str">
        <f>HYPERLINK("http://141.218.60.56/~jnz1568/getInfo.php?workbook=08_02.xlsx&amp;sheet=A0&amp;row=690&amp;col=20&amp;number=&amp;sourceID=1","")</f>
        <v/>
      </c>
    </row>
    <row r="691" spans="1:20">
      <c r="A691" s="3">
        <v>8</v>
      </c>
      <c r="B691" s="3">
        <v>2</v>
      </c>
      <c r="C691" s="3">
        <v>42</v>
      </c>
      <c r="D691" s="3">
        <v>1</v>
      </c>
      <c r="E691" s="3">
        <f>((1/(INDEX(E0!J$4:J$52,C691,1)-INDEX(E0!J$4:J$52,D691,1))))*100000000</f>
        <v>0</v>
      </c>
      <c r="F691" s="4" t="str">
        <f>HYPERLINK("http://141.218.60.56/~jnz1568/getInfo.php?workbook=08_02.xlsx&amp;sheet=A0&amp;row=691&amp;col=6&amp;number=&amp;sourceID=27","")</f>
        <v/>
      </c>
      <c r="G691" s="4" t="str">
        <f>HYPERLINK("http://141.218.60.56/~jnz1568/getInfo.php?workbook=08_02.xlsx&amp;sheet=A0&amp;row=691&amp;col=7&amp;number=&amp;sourceID=34","")</f>
        <v/>
      </c>
      <c r="H691" s="4" t="str">
        <f>HYPERLINK("http://141.218.60.56/~jnz1568/getInfo.php?workbook=08_02.xlsx&amp;sheet=A0&amp;row=691&amp;col=8&amp;number=&amp;sourceID=34","")</f>
        <v/>
      </c>
      <c r="I691" s="4" t="str">
        <f>HYPERLINK("http://141.218.60.56/~jnz1568/getInfo.php?workbook=08_02.xlsx&amp;sheet=A0&amp;row=691&amp;col=9&amp;number=&amp;sourceID=34","")</f>
        <v/>
      </c>
      <c r="J691" s="4" t="str">
        <f>HYPERLINK("http://141.218.60.56/~jnz1568/getInfo.php?workbook=08_02.xlsx&amp;sheet=A0&amp;row=691&amp;col=10&amp;number=&amp;sourceID=34","")</f>
        <v/>
      </c>
      <c r="K691" s="4" t="str">
        <f>HYPERLINK("http://141.218.60.56/~jnz1568/getInfo.php?workbook=08_02.xlsx&amp;sheet=A0&amp;row=691&amp;col=11&amp;number=&amp;sourceID=30","")</f>
        <v/>
      </c>
      <c r="L691" s="4" t="str">
        <f>HYPERLINK("http://141.218.60.56/~jnz1568/getInfo.php?workbook=08_02.xlsx&amp;sheet=A0&amp;row=691&amp;col=12&amp;number=&amp;sourceID=30","")</f>
        <v/>
      </c>
      <c r="M691" s="4" t="str">
        <f>HYPERLINK("http://141.218.60.56/~jnz1568/getInfo.php?workbook=08_02.xlsx&amp;sheet=A0&amp;row=691&amp;col=13&amp;number=&amp;sourceID=30","")</f>
        <v/>
      </c>
      <c r="N691" s="4" t="str">
        <f>HYPERLINK("http://141.218.60.56/~jnz1568/getInfo.php?workbook=08_02.xlsx&amp;sheet=A0&amp;row=691&amp;col=14&amp;number=2.335&amp;sourceID=30","2.335")</f>
        <v>2.335</v>
      </c>
      <c r="O691" s="4" t="str">
        <f>HYPERLINK("http://141.218.60.56/~jnz1568/getInfo.php?workbook=08_02.xlsx&amp;sheet=A0&amp;row=691&amp;col=15&amp;number=&amp;sourceID=32","")</f>
        <v/>
      </c>
      <c r="P691" s="4" t="str">
        <f>HYPERLINK("http://141.218.60.56/~jnz1568/getInfo.php?workbook=08_02.xlsx&amp;sheet=A0&amp;row=691&amp;col=16&amp;number=&amp;sourceID=32","")</f>
        <v/>
      </c>
      <c r="Q691" s="4" t="str">
        <f>HYPERLINK("http://141.218.60.56/~jnz1568/getInfo.php?workbook=08_02.xlsx&amp;sheet=A0&amp;row=691&amp;col=17&amp;number=&amp;sourceID=32","")</f>
        <v/>
      </c>
      <c r="R691" s="4" t="str">
        <f>HYPERLINK("http://141.218.60.56/~jnz1568/getInfo.php?workbook=08_02.xlsx&amp;sheet=A0&amp;row=691&amp;col=18&amp;number=0.0001054&amp;sourceID=32","0.0001054")</f>
        <v>0.0001054</v>
      </c>
      <c r="S691" s="4" t="str">
        <f>HYPERLINK("http://141.218.60.56/~jnz1568/getInfo.php?workbook=08_02.xlsx&amp;sheet=A0&amp;row=691&amp;col=19&amp;number=&amp;sourceID=1","")</f>
        <v/>
      </c>
      <c r="T691" s="4" t="str">
        <f>HYPERLINK("http://141.218.60.56/~jnz1568/getInfo.php?workbook=08_02.xlsx&amp;sheet=A0&amp;row=691&amp;col=20&amp;number=&amp;sourceID=1","")</f>
        <v/>
      </c>
    </row>
    <row r="692" spans="1:20">
      <c r="A692" s="3">
        <v>8</v>
      </c>
      <c r="B692" s="3">
        <v>2</v>
      </c>
      <c r="C692" s="3">
        <v>42</v>
      </c>
      <c r="D692" s="3">
        <v>2</v>
      </c>
      <c r="E692" s="3">
        <f>((1/(INDEX(E0!J$4:J$52,C692,1)-INDEX(E0!J$4:J$52,D692,1))))*100000000</f>
        <v>0</v>
      </c>
      <c r="F692" s="4" t="str">
        <f>HYPERLINK("http://141.218.60.56/~jnz1568/getInfo.php?workbook=08_02.xlsx&amp;sheet=A0&amp;row=692&amp;col=6&amp;number=&amp;sourceID=27","")</f>
        <v/>
      </c>
      <c r="G692" s="4" t="str">
        <f>HYPERLINK("http://141.218.60.56/~jnz1568/getInfo.php?workbook=08_02.xlsx&amp;sheet=A0&amp;row=692&amp;col=7&amp;number=&amp;sourceID=34","")</f>
        <v/>
      </c>
      <c r="H692" s="4" t="str">
        <f>HYPERLINK("http://141.218.60.56/~jnz1568/getInfo.php?workbook=08_02.xlsx&amp;sheet=A0&amp;row=692&amp;col=8&amp;number=&amp;sourceID=34","")</f>
        <v/>
      </c>
      <c r="I692" s="4" t="str">
        <f>HYPERLINK("http://141.218.60.56/~jnz1568/getInfo.php?workbook=08_02.xlsx&amp;sheet=A0&amp;row=692&amp;col=9&amp;number=&amp;sourceID=34","")</f>
        <v/>
      </c>
      <c r="J692" s="4" t="str">
        <f>HYPERLINK("http://141.218.60.56/~jnz1568/getInfo.php?workbook=08_02.xlsx&amp;sheet=A0&amp;row=692&amp;col=10&amp;number=&amp;sourceID=34","")</f>
        <v/>
      </c>
      <c r="K692" s="4" t="str">
        <f>HYPERLINK("http://141.218.60.56/~jnz1568/getInfo.php?workbook=08_02.xlsx&amp;sheet=A0&amp;row=692&amp;col=11&amp;number=25.96&amp;sourceID=30","25.96")</f>
        <v>25.96</v>
      </c>
      <c r="L692" s="4" t="str">
        <f>HYPERLINK("http://141.218.60.56/~jnz1568/getInfo.php?workbook=08_02.xlsx&amp;sheet=A0&amp;row=692&amp;col=12&amp;number=&amp;sourceID=30","")</f>
        <v/>
      </c>
      <c r="M692" s="4" t="str">
        <f>HYPERLINK("http://141.218.60.56/~jnz1568/getInfo.php?workbook=08_02.xlsx&amp;sheet=A0&amp;row=692&amp;col=13&amp;number=&amp;sourceID=30","")</f>
        <v/>
      </c>
      <c r="N692" s="4" t="str">
        <f>HYPERLINK("http://141.218.60.56/~jnz1568/getInfo.php?workbook=08_02.xlsx&amp;sheet=A0&amp;row=692&amp;col=14&amp;number=6.198e-07&amp;sourceID=30","6.198e-07")</f>
        <v>6.198e-07</v>
      </c>
      <c r="O692" s="4" t="str">
        <f>HYPERLINK("http://141.218.60.56/~jnz1568/getInfo.php?workbook=08_02.xlsx&amp;sheet=A0&amp;row=692&amp;col=15&amp;number=0.7114&amp;sourceID=32","0.7114")</f>
        <v>0.7114</v>
      </c>
      <c r="P692" s="4" t="str">
        <f>HYPERLINK("http://141.218.60.56/~jnz1568/getInfo.php?workbook=08_02.xlsx&amp;sheet=A0&amp;row=692&amp;col=16&amp;number=&amp;sourceID=32","")</f>
        <v/>
      </c>
      <c r="Q692" s="4" t="str">
        <f>HYPERLINK("http://141.218.60.56/~jnz1568/getInfo.php?workbook=08_02.xlsx&amp;sheet=A0&amp;row=692&amp;col=17&amp;number=&amp;sourceID=32","")</f>
        <v/>
      </c>
      <c r="R692" s="4" t="str">
        <f>HYPERLINK("http://141.218.60.56/~jnz1568/getInfo.php?workbook=08_02.xlsx&amp;sheet=A0&amp;row=692&amp;col=18&amp;number=1.409e-06&amp;sourceID=32","1.409e-06")</f>
        <v>1.409e-06</v>
      </c>
      <c r="S692" s="4" t="str">
        <f>HYPERLINK("http://141.218.60.56/~jnz1568/getInfo.php?workbook=08_02.xlsx&amp;sheet=A0&amp;row=692&amp;col=19&amp;number=&amp;sourceID=1","")</f>
        <v/>
      </c>
      <c r="T692" s="4" t="str">
        <f>HYPERLINK("http://141.218.60.56/~jnz1568/getInfo.php?workbook=08_02.xlsx&amp;sheet=A0&amp;row=692&amp;col=20&amp;number=&amp;sourceID=1","")</f>
        <v/>
      </c>
    </row>
    <row r="693" spans="1:20">
      <c r="A693" s="3">
        <v>8</v>
      </c>
      <c r="B693" s="3">
        <v>2</v>
      </c>
      <c r="C693" s="3">
        <v>42</v>
      </c>
      <c r="D693" s="3">
        <v>3</v>
      </c>
      <c r="E693" s="3">
        <f>((1/(INDEX(E0!J$4:J$52,C693,1)-INDEX(E0!J$4:J$52,D693,1))))*100000000</f>
        <v>0</v>
      </c>
      <c r="F693" s="4" t="str">
        <f>HYPERLINK("http://141.218.60.56/~jnz1568/getInfo.php?workbook=08_02.xlsx&amp;sheet=A0&amp;row=693&amp;col=6&amp;number=&amp;sourceID=27","")</f>
        <v/>
      </c>
      <c r="G693" s="4" t="str">
        <f>HYPERLINK("http://141.218.60.56/~jnz1568/getInfo.php?workbook=08_02.xlsx&amp;sheet=A0&amp;row=693&amp;col=7&amp;number=&amp;sourceID=34","")</f>
        <v/>
      </c>
      <c r="H693" s="4" t="str">
        <f>HYPERLINK("http://141.218.60.56/~jnz1568/getInfo.php?workbook=08_02.xlsx&amp;sheet=A0&amp;row=693&amp;col=8&amp;number=&amp;sourceID=34","")</f>
        <v/>
      </c>
      <c r="I693" s="4" t="str">
        <f>HYPERLINK("http://141.218.60.56/~jnz1568/getInfo.php?workbook=08_02.xlsx&amp;sheet=A0&amp;row=693&amp;col=9&amp;number=&amp;sourceID=34","")</f>
        <v/>
      </c>
      <c r="J693" s="4" t="str">
        <f>HYPERLINK("http://141.218.60.56/~jnz1568/getInfo.php?workbook=08_02.xlsx&amp;sheet=A0&amp;row=693&amp;col=10&amp;number=&amp;sourceID=34","")</f>
        <v/>
      </c>
      <c r="K693" s="4" t="str">
        <f>HYPERLINK("http://141.218.60.56/~jnz1568/getInfo.php?workbook=08_02.xlsx&amp;sheet=A0&amp;row=693&amp;col=11&amp;number=&amp;sourceID=30","")</f>
        <v/>
      </c>
      <c r="L693" s="4" t="str">
        <f>HYPERLINK("http://141.218.60.56/~jnz1568/getInfo.php?workbook=08_02.xlsx&amp;sheet=A0&amp;row=693&amp;col=12&amp;number=2550000&amp;sourceID=30","2550000")</f>
        <v>2550000</v>
      </c>
      <c r="M693" s="4" t="str">
        <f>HYPERLINK("http://141.218.60.56/~jnz1568/getInfo.php?workbook=08_02.xlsx&amp;sheet=A0&amp;row=693&amp;col=13&amp;number=&amp;sourceID=30","")</f>
        <v/>
      </c>
      <c r="N693" s="4" t="str">
        <f>HYPERLINK("http://141.218.60.56/~jnz1568/getInfo.php?workbook=08_02.xlsx&amp;sheet=A0&amp;row=693&amp;col=14&amp;number=&amp;sourceID=30","")</f>
        <v/>
      </c>
      <c r="O693" s="4" t="str">
        <f>HYPERLINK("http://141.218.60.56/~jnz1568/getInfo.php?workbook=08_02.xlsx&amp;sheet=A0&amp;row=693&amp;col=15&amp;number=&amp;sourceID=32","")</f>
        <v/>
      </c>
      <c r="P693" s="4" t="str">
        <f>HYPERLINK("http://141.218.60.56/~jnz1568/getInfo.php?workbook=08_02.xlsx&amp;sheet=A0&amp;row=693&amp;col=16&amp;number=2301000&amp;sourceID=32","2301000")</f>
        <v>2301000</v>
      </c>
      <c r="Q693" s="4" t="str">
        <f>HYPERLINK("http://141.218.60.56/~jnz1568/getInfo.php?workbook=08_02.xlsx&amp;sheet=A0&amp;row=693&amp;col=17&amp;number=&amp;sourceID=32","")</f>
        <v/>
      </c>
      <c r="R693" s="4" t="str">
        <f>HYPERLINK("http://141.218.60.56/~jnz1568/getInfo.php?workbook=08_02.xlsx&amp;sheet=A0&amp;row=693&amp;col=18&amp;number=&amp;sourceID=32","")</f>
        <v/>
      </c>
      <c r="S693" s="4" t="str">
        <f>HYPERLINK("http://141.218.60.56/~jnz1568/getInfo.php?workbook=08_02.xlsx&amp;sheet=A0&amp;row=693&amp;col=19&amp;number=&amp;sourceID=1","")</f>
        <v/>
      </c>
      <c r="T693" s="4" t="str">
        <f>HYPERLINK("http://141.218.60.56/~jnz1568/getInfo.php?workbook=08_02.xlsx&amp;sheet=A0&amp;row=693&amp;col=20&amp;number=&amp;sourceID=1","")</f>
        <v/>
      </c>
    </row>
    <row r="694" spans="1:20">
      <c r="A694" s="3">
        <v>8</v>
      </c>
      <c r="B694" s="3">
        <v>2</v>
      </c>
      <c r="C694" s="3">
        <v>42</v>
      </c>
      <c r="D694" s="3">
        <v>4</v>
      </c>
      <c r="E694" s="3">
        <f>((1/(INDEX(E0!J$4:J$52,C694,1)-INDEX(E0!J$4:J$52,D694,1))))*100000000</f>
        <v>0</v>
      </c>
      <c r="F694" s="4" t="str">
        <f>HYPERLINK("http://141.218.60.56/~jnz1568/getInfo.php?workbook=08_02.xlsx&amp;sheet=A0&amp;row=694&amp;col=6&amp;number=&amp;sourceID=27","")</f>
        <v/>
      </c>
      <c r="G694" s="4" t="str">
        <f>HYPERLINK("http://141.218.60.56/~jnz1568/getInfo.php?workbook=08_02.xlsx&amp;sheet=A0&amp;row=694&amp;col=7&amp;number=&amp;sourceID=34","")</f>
        <v/>
      </c>
      <c r="H694" s="4" t="str">
        <f>HYPERLINK("http://141.218.60.56/~jnz1568/getInfo.php?workbook=08_02.xlsx&amp;sheet=A0&amp;row=694&amp;col=8&amp;number=&amp;sourceID=34","")</f>
        <v/>
      </c>
      <c r="I694" s="4" t="str">
        <f>HYPERLINK("http://141.218.60.56/~jnz1568/getInfo.php?workbook=08_02.xlsx&amp;sheet=A0&amp;row=694&amp;col=9&amp;number=&amp;sourceID=34","")</f>
        <v/>
      </c>
      <c r="J694" s="4" t="str">
        <f>HYPERLINK("http://141.218.60.56/~jnz1568/getInfo.php?workbook=08_02.xlsx&amp;sheet=A0&amp;row=694&amp;col=10&amp;number=&amp;sourceID=34","")</f>
        <v/>
      </c>
      <c r="K694" s="4" t="str">
        <f>HYPERLINK("http://141.218.60.56/~jnz1568/getInfo.php?workbook=08_02.xlsx&amp;sheet=A0&amp;row=694&amp;col=11&amp;number=&amp;sourceID=30","")</f>
        <v/>
      </c>
      <c r="L694" s="4" t="str">
        <f>HYPERLINK("http://141.218.60.56/~jnz1568/getInfo.php?workbook=08_02.xlsx&amp;sheet=A0&amp;row=694&amp;col=12&amp;number=2556000&amp;sourceID=30","2556000")</f>
        <v>2556000</v>
      </c>
      <c r="M694" s="4" t="str">
        <f>HYPERLINK("http://141.218.60.56/~jnz1568/getInfo.php?workbook=08_02.xlsx&amp;sheet=A0&amp;row=694&amp;col=13&amp;number=0.003515&amp;sourceID=30","0.003515")</f>
        <v>0.003515</v>
      </c>
      <c r="N694" s="4" t="str">
        <f>HYPERLINK("http://141.218.60.56/~jnz1568/getInfo.php?workbook=08_02.xlsx&amp;sheet=A0&amp;row=694&amp;col=14&amp;number=&amp;sourceID=30","")</f>
        <v/>
      </c>
      <c r="O694" s="4" t="str">
        <f>HYPERLINK("http://141.218.60.56/~jnz1568/getInfo.php?workbook=08_02.xlsx&amp;sheet=A0&amp;row=694&amp;col=15&amp;number=&amp;sourceID=32","")</f>
        <v/>
      </c>
      <c r="P694" s="4" t="str">
        <f>HYPERLINK("http://141.218.60.56/~jnz1568/getInfo.php?workbook=08_02.xlsx&amp;sheet=A0&amp;row=694&amp;col=16&amp;number=2300000&amp;sourceID=32","2300000")</f>
        <v>2300000</v>
      </c>
      <c r="Q694" s="4" t="str">
        <f>HYPERLINK("http://141.218.60.56/~jnz1568/getInfo.php?workbook=08_02.xlsx&amp;sheet=A0&amp;row=694&amp;col=17&amp;number=0.005486&amp;sourceID=32","0.005486")</f>
        <v>0.005486</v>
      </c>
      <c r="R694" s="4" t="str">
        <f>HYPERLINK("http://141.218.60.56/~jnz1568/getInfo.php?workbook=08_02.xlsx&amp;sheet=A0&amp;row=694&amp;col=18&amp;number=&amp;sourceID=32","")</f>
        <v/>
      </c>
      <c r="S694" s="4" t="str">
        <f>HYPERLINK("http://141.218.60.56/~jnz1568/getInfo.php?workbook=08_02.xlsx&amp;sheet=A0&amp;row=694&amp;col=19&amp;number=&amp;sourceID=1","")</f>
        <v/>
      </c>
      <c r="T694" s="4" t="str">
        <f>HYPERLINK("http://141.218.60.56/~jnz1568/getInfo.php?workbook=08_02.xlsx&amp;sheet=A0&amp;row=694&amp;col=20&amp;number=&amp;sourceID=1","")</f>
        <v/>
      </c>
    </row>
    <row r="695" spans="1:20">
      <c r="A695" s="3">
        <v>8</v>
      </c>
      <c r="B695" s="3">
        <v>2</v>
      </c>
      <c r="C695" s="3">
        <v>42</v>
      </c>
      <c r="D695" s="3">
        <v>5</v>
      </c>
      <c r="E695" s="3">
        <f>((1/(INDEX(E0!J$4:J$52,C695,1)-INDEX(E0!J$4:J$52,D695,1))))*100000000</f>
        <v>0</v>
      </c>
      <c r="F695" s="4" t="str">
        <f>HYPERLINK("http://141.218.60.56/~jnz1568/getInfo.php?workbook=08_02.xlsx&amp;sheet=A0&amp;row=695&amp;col=6&amp;number=&amp;sourceID=27","")</f>
        <v/>
      </c>
      <c r="G695" s="4" t="str">
        <f>HYPERLINK("http://141.218.60.56/~jnz1568/getInfo.php?workbook=08_02.xlsx&amp;sheet=A0&amp;row=695&amp;col=7&amp;number=&amp;sourceID=34","")</f>
        <v/>
      </c>
      <c r="H695" s="4" t="str">
        <f>HYPERLINK("http://141.218.60.56/~jnz1568/getInfo.php?workbook=08_02.xlsx&amp;sheet=A0&amp;row=695&amp;col=8&amp;number=&amp;sourceID=34","")</f>
        <v/>
      </c>
      <c r="I695" s="4" t="str">
        <f>HYPERLINK("http://141.218.60.56/~jnz1568/getInfo.php?workbook=08_02.xlsx&amp;sheet=A0&amp;row=695&amp;col=9&amp;number=&amp;sourceID=34","")</f>
        <v/>
      </c>
      <c r="J695" s="4" t="str">
        <f>HYPERLINK("http://141.218.60.56/~jnz1568/getInfo.php?workbook=08_02.xlsx&amp;sheet=A0&amp;row=695&amp;col=10&amp;number=&amp;sourceID=34","")</f>
        <v/>
      </c>
      <c r="K695" s="4" t="str">
        <f>HYPERLINK("http://141.218.60.56/~jnz1568/getInfo.php?workbook=08_02.xlsx&amp;sheet=A0&amp;row=695&amp;col=11&amp;number=&amp;sourceID=30","")</f>
        <v/>
      </c>
      <c r="L695" s="4" t="str">
        <f>HYPERLINK("http://141.218.60.56/~jnz1568/getInfo.php?workbook=08_02.xlsx&amp;sheet=A0&amp;row=695&amp;col=12&amp;number=365200&amp;sourceID=30","365200")</f>
        <v>365200</v>
      </c>
      <c r="M695" s="4" t="str">
        <f>HYPERLINK("http://141.218.60.56/~jnz1568/getInfo.php?workbook=08_02.xlsx&amp;sheet=A0&amp;row=695&amp;col=13&amp;number=0.002734&amp;sourceID=30","0.002734")</f>
        <v>0.002734</v>
      </c>
      <c r="N695" s="4" t="str">
        <f>HYPERLINK("http://141.218.60.56/~jnz1568/getInfo.php?workbook=08_02.xlsx&amp;sheet=A0&amp;row=695&amp;col=14&amp;number=&amp;sourceID=30","")</f>
        <v/>
      </c>
      <c r="O695" s="4" t="str">
        <f>HYPERLINK("http://141.218.60.56/~jnz1568/getInfo.php?workbook=08_02.xlsx&amp;sheet=A0&amp;row=695&amp;col=15&amp;number=&amp;sourceID=32","")</f>
        <v/>
      </c>
      <c r="P695" s="4" t="str">
        <f>HYPERLINK("http://141.218.60.56/~jnz1568/getInfo.php?workbook=08_02.xlsx&amp;sheet=A0&amp;row=695&amp;col=16&amp;number=328600&amp;sourceID=32","328600")</f>
        <v>328600</v>
      </c>
      <c r="Q695" s="4" t="str">
        <f>HYPERLINK("http://141.218.60.56/~jnz1568/getInfo.php?workbook=08_02.xlsx&amp;sheet=A0&amp;row=695&amp;col=17&amp;number=0.003679&amp;sourceID=32","0.003679")</f>
        <v>0.003679</v>
      </c>
      <c r="R695" s="4" t="str">
        <f>HYPERLINK("http://141.218.60.56/~jnz1568/getInfo.php?workbook=08_02.xlsx&amp;sheet=A0&amp;row=695&amp;col=18&amp;number=&amp;sourceID=32","")</f>
        <v/>
      </c>
      <c r="S695" s="4" t="str">
        <f>HYPERLINK("http://141.218.60.56/~jnz1568/getInfo.php?workbook=08_02.xlsx&amp;sheet=A0&amp;row=695&amp;col=19&amp;number=&amp;sourceID=1","")</f>
        <v/>
      </c>
      <c r="T695" s="4" t="str">
        <f>HYPERLINK("http://141.218.60.56/~jnz1568/getInfo.php?workbook=08_02.xlsx&amp;sheet=A0&amp;row=695&amp;col=20&amp;number=&amp;sourceID=1","")</f>
        <v/>
      </c>
    </row>
    <row r="696" spans="1:20">
      <c r="A696" s="3">
        <v>8</v>
      </c>
      <c r="B696" s="3">
        <v>2</v>
      </c>
      <c r="C696" s="3">
        <v>42</v>
      </c>
      <c r="D696" s="3">
        <v>6</v>
      </c>
      <c r="E696" s="3">
        <f>((1/(INDEX(E0!J$4:J$52,C696,1)-INDEX(E0!J$4:J$52,D696,1))))*100000000</f>
        <v>0</v>
      </c>
      <c r="F696" s="4" t="str">
        <f>HYPERLINK("http://141.218.60.56/~jnz1568/getInfo.php?workbook=08_02.xlsx&amp;sheet=A0&amp;row=696&amp;col=6&amp;number=&amp;sourceID=27","")</f>
        <v/>
      </c>
      <c r="G696" s="4" t="str">
        <f>HYPERLINK("http://141.218.60.56/~jnz1568/getInfo.php?workbook=08_02.xlsx&amp;sheet=A0&amp;row=696&amp;col=7&amp;number=&amp;sourceID=34","")</f>
        <v/>
      </c>
      <c r="H696" s="4" t="str">
        <f>HYPERLINK("http://141.218.60.56/~jnz1568/getInfo.php?workbook=08_02.xlsx&amp;sheet=A0&amp;row=696&amp;col=8&amp;number=&amp;sourceID=34","")</f>
        <v/>
      </c>
      <c r="I696" s="4" t="str">
        <f>HYPERLINK("http://141.218.60.56/~jnz1568/getInfo.php?workbook=08_02.xlsx&amp;sheet=A0&amp;row=696&amp;col=9&amp;number=&amp;sourceID=34","")</f>
        <v/>
      </c>
      <c r="J696" s="4" t="str">
        <f>HYPERLINK("http://141.218.60.56/~jnz1568/getInfo.php?workbook=08_02.xlsx&amp;sheet=A0&amp;row=696&amp;col=10&amp;number=&amp;sourceID=34","")</f>
        <v/>
      </c>
      <c r="K696" s="4" t="str">
        <f>HYPERLINK("http://141.218.60.56/~jnz1568/getInfo.php?workbook=08_02.xlsx&amp;sheet=A0&amp;row=696&amp;col=11&amp;number=&amp;sourceID=30","")</f>
        <v/>
      </c>
      <c r="L696" s="4" t="str">
        <f>HYPERLINK("http://141.218.60.56/~jnz1568/getInfo.php?workbook=08_02.xlsx&amp;sheet=A0&amp;row=696&amp;col=12&amp;number=&amp;sourceID=30","")</f>
        <v/>
      </c>
      <c r="M696" s="4" t="str">
        <f>HYPERLINK("http://141.218.60.56/~jnz1568/getInfo.php?workbook=08_02.xlsx&amp;sheet=A0&amp;row=696&amp;col=13&amp;number=&amp;sourceID=30","")</f>
        <v/>
      </c>
      <c r="N696" s="4" t="str">
        <f>HYPERLINK("http://141.218.60.56/~jnz1568/getInfo.php?workbook=08_02.xlsx&amp;sheet=A0&amp;row=696&amp;col=14&amp;number=3.711e-06&amp;sourceID=30","3.711e-06")</f>
        <v>3.711e-06</v>
      </c>
      <c r="O696" s="4" t="str">
        <f>HYPERLINK("http://141.218.60.56/~jnz1568/getInfo.php?workbook=08_02.xlsx&amp;sheet=A0&amp;row=696&amp;col=15&amp;number=&amp;sourceID=32","")</f>
        <v/>
      </c>
      <c r="P696" s="4" t="str">
        <f>HYPERLINK("http://141.218.60.56/~jnz1568/getInfo.php?workbook=08_02.xlsx&amp;sheet=A0&amp;row=696&amp;col=16&amp;number=&amp;sourceID=32","")</f>
        <v/>
      </c>
      <c r="Q696" s="4" t="str">
        <f>HYPERLINK("http://141.218.60.56/~jnz1568/getInfo.php?workbook=08_02.xlsx&amp;sheet=A0&amp;row=696&amp;col=17&amp;number=&amp;sourceID=32","")</f>
        <v/>
      </c>
      <c r="R696" s="4" t="str">
        <f>HYPERLINK("http://141.218.60.56/~jnz1568/getInfo.php?workbook=08_02.xlsx&amp;sheet=A0&amp;row=696&amp;col=18&amp;number=2.204e-07&amp;sourceID=32","2.204e-07")</f>
        <v>2.204e-07</v>
      </c>
      <c r="S696" s="4" t="str">
        <f>HYPERLINK("http://141.218.60.56/~jnz1568/getInfo.php?workbook=08_02.xlsx&amp;sheet=A0&amp;row=696&amp;col=19&amp;number=&amp;sourceID=1","")</f>
        <v/>
      </c>
      <c r="T696" s="4" t="str">
        <f>HYPERLINK("http://141.218.60.56/~jnz1568/getInfo.php?workbook=08_02.xlsx&amp;sheet=A0&amp;row=696&amp;col=20&amp;number=&amp;sourceID=1","")</f>
        <v/>
      </c>
    </row>
    <row r="697" spans="1:20">
      <c r="A697" s="3">
        <v>8</v>
      </c>
      <c r="B697" s="3">
        <v>2</v>
      </c>
      <c r="C697" s="3">
        <v>42</v>
      </c>
      <c r="D697" s="3">
        <v>7</v>
      </c>
      <c r="E697" s="3">
        <f>((1/(INDEX(E0!J$4:J$52,C697,1)-INDEX(E0!J$4:J$52,D697,1))))*100000000</f>
        <v>0</v>
      </c>
      <c r="F697" s="4" t="str">
        <f>HYPERLINK("http://141.218.60.56/~jnz1568/getInfo.php?workbook=08_02.xlsx&amp;sheet=A0&amp;row=697&amp;col=6&amp;number=&amp;sourceID=27","")</f>
        <v/>
      </c>
      <c r="G697" s="4" t="str">
        <f>HYPERLINK("http://141.218.60.56/~jnz1568/getInfo.php?workbook=08_02.xlsx&amp;sheet=A0&amp;row=697&amp;col=7&amp;number=&amp;sourceID=34","")</f>
        <v/>
      </c>
      <c r="H697" s="4" t="str">
        <f>HYPERLINK("http://141.218.60.56/~jnz1568/getInfo.php?workbook=08_02.xlsx&amp;sheet=A0&amp;row=697&amp;col=8&amp;number=&amp;sourceID=34","")</f>
        <v/>
      </c>
      <c r="I697" s="4" t="str">
        <f>HYPERLINK("http://141.218.60.56/~jnz1568/getInfo.php?workbook=08_02.xlsx&amp;sheet=A0&amp;row=697&amp;col=9&amp;number=&amp;sourceID=34","")</f>
        <v/>
      </c>
      <c r="J697" s="4" t="str">
        <f>HYPERLINK("http://141.218.60.56/~jnz1568/getInfo.php?workbook=08_02.xlsx&amp;sheet=A0&amp;row=697&amp;col=10&amp;number=&amp;sourceID=34","")</f>
        <v/>
      </c>
      <c r="K697" s="4" t="str">
        <f>HYPERLINK("http://141.218.60.56/~jnz1568/getInfo.php?workbook=08_02.xlsx&amp;sheet=A0&amp;row=697&amp;col=11&amp;number=&amp;sourceID=30","")</f>
        <v/>
      </c>
      <c r="L697" s="4" t="str">
        <f>HYPERLINK("http://141.218.60.56/~jnz1568/getInfo.php?workbook=08_02.xlsx&amp;sheet=A0&amp;row=697&amp;col=12&amp;number=353.9&amp;sourceID=30","353.9")</f>
        <v>353.9</v>
      </c>
      <c r="M697" s="4" t="str">
        <f>HYPERLINK("http://141.218.60.56/~jnz1568/getInfo.php?workbook=08_02.xlsx&amp;sheet=A0&amp;row=697&amp;col=13&amp;number=0.01014&amp;sourceID=30","0.01014")</f>
        <v>0.01014</v>
      </c>
      <c r="N697" s="4" t="str">
        <f>HYPERLINK("http://141.218.60.56/~jnz1568/getInfo.php?workbook=08_02.xlsx&amp;sheet=A0&amp;row=697&amp;col=14&amp;number=&amp;sourceID=30","")</f>
        <v/>
      </c>
      <c r="O697" s="4" t="str">
        <f>HYPERLINK("http://141.218.60.56/~jnz1568/getInfo.php?workbook=08_02.xlsx&amp;sheet=A0&amp;row=697&amp;col=15&amp;number=&amp;sourceID=32","")</f>
        <v/>
      </c>
      <c r="P697" s="4" t="str">
        <f>HYPERLINK("http://141.218.60.56/~jnz1568/getInfo.php?workbook=08_02.xlsx&amp;sheet=A0&amp;row=697&amp;col=16&amp;number=345.7&amp;sourceID=32","345.7")</f>
        <v>345.7</v>
      </c>
      <c r="Q697" s="4" t="str">
        <f>HYPERLINK("http://141.218.60.56/~jnz1568/getInfo.php?workbook=08_02.xlsx&amp;sheet=A0&amp;row=697&amp;col=17&amp;number=0.009099&amp;sourceID=32","0.009099")</f>
        <v>0.009099</v>
      </c>
      <c r="R697" s="4" t="str">
        <f>HYPERLINK("http://141.218.60.56/~jnz1568/getInfo.php?workbook=08_02.xlsx&amp;sheet=A0&amp;row=697&amp;col=18&amp;number=&amp;sourceID=32","")</f>
        <v/>
      </c>
      <c r="S697" s="4" t="str">
        <f>HYPERLINK("http://141.218.60.56/~jnz1568/getInfo.php?workbook=08_02.xlsx&amp;sheet=A0&amp;row=697&amp;col=19&amp;number=&amp;sourceID=1","")</f>
        <v/>
      </c>
      <c r="T697" s="4" t="str">
        <f>HYPERLINK("http://141.218.60.56/~jnz1568/getInfo.php?workbook=08_02.xlsx&amp;sheet=A0&amp;row=697&amp;col=20&amp;number=&amp;sourceID=1","")</f>
        <v/>
      </c>
    </row>
    <row r="698" spans="1:20">
      <c r="A698" s="3">
        <v>8</v>
      </c>
      <c r="B698" s="3">
        <v>2</v>
      </c>
      <c r="C698" s="3">
        <v>42</v>
      </c>
      <c r="D698" s="3">
        <v>8</v>
      </c>
      <c r="E698" s="3">
        <f>((1/(INDEX(E0!J$4:J$52,C698,1)-INDEX(E0!J$4:J$52,D698,1))))*100000000</f>
        <v>0</v>
      </c>
      <c r="F698" s="4" t="str">
        <f>HYPERLINK("http://141.218.60.56/~jnz1568/getInfo.php?workbook=08_02.xlsx&amp;sheet=A0&amp;row=698&amp;col=6&amp;number=&amp;sourceID=27","")</f>
        <v/>
      </c>
      <c r="G698" s="4" t="str">
        <f>HYPERLINK("http://141.218.60.56/~jnz1568/getInfo.php?workbook=08_02.xlsx&amp;sheet=A0&amp;row=698&amp;col=7&amp;number=&amp;sourceID=34","")</f>
        <v/>
      </c>
      <c r="H698" s="4" t="str">
        <f>HYPERLINK("http://141.218.60.56/~jnz1568/getInfo.php?workbook=08_02.xlsx&amp;sheet=A0&amp;row=698&amp;col=8&amp;number=&amp;sourceID=34","")</f>
        <v/>
      </c>
      <c r="I698" s="4" t="str">
        <f>HYPERLINK("http://141.218.60.56/~jnz1568/getInfo.php?workbook=08_02.xlsx&amp;sheet=A0&amp;row=698&amp;col=9&amp;number=&amp;sourceID=34","")</f>
        <v/>
      </c>
      <c r="J698" s="4" t="str">
        <f>HYPERLINK("http://141.218.60.56/~jnz1568/getInfo.php?workbook=08_02.xlsx&amp;sheet=A0&amp;row=698&amp;col=10&amp;number=&amp;sourceID=34","")</f>
        <v/>
      </c>
      <c r="K698" s="4" t="str">
        <f>HYPERLINK("http://141.218.60.56/~jnz1568/getInfo.php?workbook=08_02.xlsx&amp;sheet=A0&amp;row=698&amp;col=11&amp;number=136.8&amp;sourceID=30","136.8")</f>
        <v>136.8</v>
      </c>
      <c r="L698" s="4" t="str">
        <f>HYPERLINK("http://141.218.60.56/~jnz1568/getInfo.php?workbook=08_02.xlsx&amp;sheet=A0&amp;row=698&amp;col=12&amp;number=&amp;sourceID=30","")</f>
        <v/>
      </c>
      <c r="M698" s="4" t="str">
        <f>HYPERLINK("http://141.218.60.56/~jnz1568/getInfo.php?workbook=08_02.xlsx&amp;sheet=A0&amp;row=698&amp;col=13&amp;number=&amp;sourceID=30","")</f>
        <v/>
      </c>
      <c r="N698" s="4" t="str">
        <f>HYPERLINK("http://141.218.60.56/~jnz1568/getInfo.php?workbook=08_02.xlsx&amp;sheet=A0&amp;row=698&amp;col=14&amp;number=4.811e-08&amp;sourceID=30","4.811e-08")</f>
        <v>4.811e-08</v>
      </c>
      <c r="O698" s="4" t="str">
        <f>HYPERLINK("http://141.218.60.56/~jnz1568/getInfo.php?workbook=08_02.xlsx&amp;sheet=A0&amp;row=698&amp;col=15&amp;number=160.8&amp;sourceID=32","160.8")</f>
        <v>160.8</v>
      </c>
      <c r="P698" s="4" t="str">
        <f>HYPERLINK("http://141.218.60.56/~jnz1568/getInfo.php?workbook=08_02.xlsx&amp;sheet=A0&amp;row=698&amp;col=16&amp;number=&amp;sourceID=32","")</f>
        <v/>
      </c>
      <c r="Q698" s="4" t="str">
        <f>HYPERLINK("http://141.218.60.56/~jnz1568/getInfo.php?workbook=08_02.xlsx&amp;sheet=A0&amp;row=698&amp;col=17&amp;number=&amp;sourceID=32","")</f>
        <v/>
      </c>
      <c r="R698" s="4" t="str">
        <f>HYPERLINK("http://141.218.60.56/~jnz1568/getInfo.php?workbook=08_02.xlsx&amp;sheet=A0&amp;row=698&amp;col=18&amp;number=5.955e-08&amp;sourceID=32","5.955e-08")</f>
        <v>5.955e-08</v>
      </c>
      <c r="S698" s="4" t="str">
        <f>HYPERLINK("http://141.218.60.56/~jnz1568/getInfo.php?workbook=08_02.xlsx&amp;sheet=A0&amp;row=698&amp;col=19&amp;number=&amp;sourceID=1","")</f>
        <v/>
      </c>
      <c r="T698" s="4" t="str">
        <f>HYPERLINK("http://141.218.60.56/~jnz1568/getInfo.php?workbook=08_02.xlsx&amp;sheet=A0&amp;row=698&amp;col=20&amp;number=&amp;sourceID=1","")</f>
        <v/>
      </c>
    </row>
    <row r="699" spans="1:20">
      <c r="A699" s="3">
        <v>8</v>
      </c>
      <c r="B699" s="3">
        <v>2</v>
      </c>
      <c r="C699" s="3">
        <v>42</v>
      </c>
      <c r="D699" s="3">
        <v>9</v>
      </c>
      <c r="E699" s="3">
        <f>((1/(INDEX(E0!J$4:J$52,C699,1)-INDEX(E0!J$4:J$52,D699,1))))*100000000</f>
        <v>0</v>
      </c>
      <c r="F699" s="4" t="str">
        <f>HYPERLINK("http://141.218.60.56/~jnz1568/getInfo.php?workbook=08_02.xlsx&amp;sheet=A0&amp;row=699&amp;col=6&amp;number=&amp;sourceID=27","")</f>
        <v/>
      </c>
      <c r="G699" s="4" t="str">
        <f>HYPERLINK("http://141.218.60.56/~jnz1568/getInfo.php?workbook=08_02.xlsx&amp;sheet=A0&amp;row=699&amp;col=7&amp;number=&amp;sourceID=34","")</f>
        <v/>
      </c>
      <c r="H699" s="4" t="str">
        <f>HYPERLINK("http://141.218.60.56/~jnz1568/getInfo.php?workbook=08_02.xlsx&amp;sheet=A0&amp;row=699&amp;col=8&amp;number=&amp;sourceID=34","")</f>
        <v/>
      </c>
      <c r="I699" s="4" t="str">
        <f>HYPERLINK("http://141.218.60.56/~jnz1568/getInfo.php?workbook=08_02.xlsx&amp;sheet=A0&amp;row=699&amp;col=9&amp;number=&amp;sourceID=34","")</f>
        <v/>
      </c>
      <c r="J699" s="4" t="str">
        <f>HYPERLINK("http://141.218.60.56/~jnz1568/getInfo.php?workbook=08_02.xlsx&amp;sheet=A0&amp;row=699&amp;col=10&amp;number=&amp;sourceID=34","")</f>
        <v/>
      </c>
      <c r="K699" s="4" t="str">
        <f>HYPERLINK("http://141.218.60.56/~jnz1568/getInfo.php?workbook=08_02.xlsx&amp;sheet=A0&amp;row=699&amp;col=11&amp;number=&amp;sourceID=30","")</f>
        <v/>
      </c>
      <c r="L699" s="4" t="str">
        <f>HYPERLINK("http://141.218.60.56/~jnz1568/getInfo.php?workbook=08_02.xlsx&amp;sheet=A0&amp;row=699&amp;col=12&amp;number=3737&amp;sourceID=30","3737")</f>
        <v>3737</v>
      </c>
      <c r="M699" s="4" t="str">
        <f>HYPERLINK("http://141.218.60.56/~jnz1568/getInfo.php?workbook=08_02.xlsx&amp;sheet=A0&amp;row=699&amp;col=13&amp;number=&amp;sourceID=30","")</f>
        <v/>
      </c>
      <c r="N699" s="4" t="str">
        <f>HYPERLINK("http://141.218.60.56/~jnz1568/getInfo.php?workbook=08_02.xlsx&amp;sheet=A0&amp;row=699&amp;col=14&amp;number=&amp;sourceID=30","")</f>
        <v/>
      </c>
      <c r="O699" s="4" t="str">
        <f>HYPERLINK("http://141.218.60.56/~jnz1568/getInfo.php?workbook=08_02.xlsx&amp;sheet=A0&amp;row=699&amp;col=15&amp;number=&amp;sourceID=32","")</f>
        <v/>
      </c>
      <c r="P699" s="4" t="str">
        <f>HYPERLINK("http://141.218.60.56/~jnz1568/getInfo.php?workbook=08_02.xlsx&amp;sheet=A0&amp;row=699&amp;col=16&amp;number=4818&amp;sourceID=32","4818")</f>
        <v>4818</v>
      </c>
      <c r="Q699" s="4" t="str">
        <f>HYPERLINK("http://141.218.60.56/~jnz1568/getInfo.php?workbook=08_02.xlsx&amp;sheet=A0&amp;row=699&amp;col=17&amp;number=&amp;sourceID=32","")</f>
        <v/>
      </c>
      <c r="R699" s="4" t="str">
        <f>HYPERLINK("http://141.218.60.56/~jnz1568/getInfo.php?workbook=08_02.xlsx&amp;sheet=A0&amp;row=699&amp;col=18&amp;number=&amp;sourceID=32","")</f>
        <v/>
      </c>
      <c r="S699" s="4" t="str">
        <f>HYPERLINK("http://141.218.60.56/~jnz1568/getInfo.php?workbook=08_02.xlsx&amp;sheet=A0&amp;row=699&amp;col=19&amp;number=&amp;sourceID=1","")</f>
        <v/>
      </c>
      <c r="T699" s="4" t="str">
        <f>HYPERLINK("http://141.218.60.56/~jnz1568/getInfo.php?workbook=08_02.xlsx&amp;sheet=A0&amp;row=699&amp;col=20&amp;number=&amp;sourceID=1","")</f>
        <v/>
      </c>
    </row>
    <row r="700" spans="1:20">
      <c r="A700" s="3">
        <v>8</v>
      </c>
      <c r="B700" s="3">
        <v>2</v>
      </c>
      <c r="C700" s="3">
        <v>42</v>
      </c>
      <c r="D700" s="3">
        <v>10</v>
      </c>
      <c r="E700" s="3">
        <f>((1/(INDEX(E0!J$4:J$52,C700,1)-INDEX(E0!J$4:J$52,D700,1))))*100000000</f>
        <v>0</v>
      </c>
      <c r="F700" s="4" t="str">
        <f>HYPERLINK("http://141.218.60.56/~jnz1568/getInfo.php?workbook=08_02.xlsx&amp;sheet=A0&amp;row=700&amp;col=6&amp;number=&amp;sourceID=27","")</f>
        <v/>
      </c>
      <c r="G700" s="4" t="str">
        <f>HYPERLINK("http://141.218.60.56/~jnz1568/getInfo.php?workbook=08_02.xlsx&amp;sheet=A0&amp;row=700&amp;col=7&amp;number=&amp;sourceID=34","")</f>
        <v/>
      </c>
      <c r="H700" s="4" t="str">
        <f>HYPERLINK("http://141.218.60.56/~jnz1568/getInfo.php?workbook=08_02.xlsx&amp;sheet=A0&amp;row=700&amp;col=8&amp;number=&amp;sourceID=34","")</f>
        <v/>
      </c>
      <c r="I700" s="4" t="str">
        <f>HYPERLINK("http://141.218.60.56/~jnz1568/getInfo.php?workbook=08_02.xlsx&amp;sheet=A0&amp;row=700&amp;col=9&amp;number=&amp;sourceID=34","")</f>
        <v/>
      </c>
      <c r="J700" s="4" t="str">
        <f>HYPERLINK("http://141.218.60.56/~jnz1568/getInfo.php?workbook=08_02.xlsx&amp;sheet=A0&amp;row=700&amp;col=10&amp;number=&amp;sourceID=34","")</f>
        <v/>
      </c>
      <c r="K700" s="4" t="str">
        <f>HYPERLINK("http://141.218.60.56/~jnz1568/getInfo.php?workbook=08_02.xlsx&amp;sheet=A0&amp;row=700&amp;col=11&amp;number=&amp;sourceID=30","")</f>
        <v/>
      </c>
      <c r="L700" s="4" t="str">
        <f>HYPERLINK("http://141.218.60.56/~jnz1568/getInfo.php?workbook=08_02.xlsx&amp;sheet=A0&amp;row=700&amp;col=12&amp;number=3709&amp;sourceID=30","3709")</f>
        <v>3709</v>
      </c>
      <c r="M700" s="4" t="str">
        <f>HYPERLINK("http://141.218.60.56/~jnz1568/getInfo.php?workbook=08_02.xlsx&amp;sheet=A0&amp;row=700&amp;col=13&amp;number=8.563e-05&amp;sourceID=30","8.563e-05")</f>
        <v>8.563e-05</v>
      </c>
      <c r="N700" s="4" t="str">
        <f>HYPERLINK("http://141.218.60.56/~jnz1568/getInfo.php?workbook=08_02.xlsx&amp;sheet=A0&amp;row=700&amp;col=14&amp;number=&amp;sourceID=30","")</f>
        <v/>
      </c>
      <c r="O700" s="4" t="str">
        <f>HYPERLINK("http://141.218.60.56/~jnz1568/getInfo.php?workbook=08_02.xlsx&amp;sheet=A0&amp;row=700&amp;col=15&amp;number=&amp;sourceID=32","")</f>
        <v/>
      </c>
      <c r="P700" s="4" t="str">
        <f>HYPERLINK("http://141.218.60.56/~jnz1568/getInfo.php?workbook=08_02.xlsx&amp;sheet=A0&amp;row=700&amp;col=16&amp;number=4809&amp;sourceID=32","4809")</f>
        <v>4809</v>
      </c>
      <c r="Q700" s="4" t="str">
        <f>HYPERLINK("http://141.218.60.56/~jnz1568/getInfo.php?workbook=08_02.xlsx&amp;sheet=A0&amp;row=700&amp;col=17&amp;number=0.0001292&amp;sourceID=32","0.0001292")</f>
        <v>0.0001292</v>
      </c>
      <c r="R700" s="4" t="str">
        <f>HYPERLINK("http://141.218.60.56/~jnz1568/getInfo.php?workbook=08_02.xlsx&amp;sheet=A0&amp;row=700&amp;col=18&amp;number=&amp;sourceID=32","")</f>
        <v/>
      </c>
      <c r="S700" s="4" t="str">
        <f>HYPERLINK("http://141.218.60.56/~jnz1568/getInfo.php?workbook=08_02.xlsx&amp;sheet=A0&amp;row=700&amp;col=19&amp;number=&amp;sourceID=1","")</f>
        <v/>
      </c>
      <c r="T700" s="4" t="str">
        <f>HYPERLINK("http://141.218.60.56/~jnz1568/getInfo.php?workbook=08_02.xlsx&amp;sheet=A0&amp;row=700&amp;col=20&amp;number=&amp;sourceID=1","")</f>
        <v/>
      </c>
    </row>
    <row r="701" spans="1:20">
      <c r="A701" s="3">
        <v>8</v>
      </c>
      <c r="B701" s="3">
        <v>2</v>
      </c>
      <c r="C701" s="3">
        <v>42</v>
      </c>
      <c r="D701" s="3">
        <v>11</v>
      </c>
      <c r="E701" s="3">
        <f>((1/(INDEX(E0!J$4:J$52,C701,1)-INDEX(E0!J$4:J$52,D701,1))))*100000000</f>
        <v>0</v>
      </c>
      <c r="F701" s="4" t="str">
        <f>HYPERLINK("http://141.218.60.56/~jnz1568/getInfo.php?workbook=08_02.xlsx&amp;sheet=A0&amp;row=701&amp;col=6&amp;number=&amp;sourceID=27","")</f>
        <v/>
      </c>
      <c r="G701" s="4" t="str">
        <f>HYPERLINK("http://141.218.60.56/~jnz1568/getInfo.php?workbook=08_02.xlsx&amp;sheet=A0&amp;row=701&amp;col=7&amp;number=&amp;sourceID=34","")</f>
        <v/>
      </c>
      <c r="H701" s="4" t="str">
        <f>HYPERLINK("http://141.218.60.56/~jnz1568/getInfo.php?workbook=08_02.xlsx&amp;sheet=A0&amp;row=701&amp;col=8&amp;number=&amp;sourceID=34","")</f>
        <v/>
      </c>
      <c r="I701" s="4" t="str">
        <f>HYPERLINK("http://141.218.60.56/~jnz1568/getInfo.php?workbook=08_02.xlsx&amp;sheet=A0&amp;row=701&amp;col=9&amp;number=&amp;sourceID=34","")</f>
        <v/>
      </c>
      <c r="J701" s="4" t="str">
        <f>HYPERLINK("http://141.218.60.56/~jnz1568/getInfo.php?workbook=08_02.xlsx&amp;sheet=A0&amp;row=701&amp;col=10&amp;number=&amp;sourceID=34","")</f>
        <v/>
      </c>
      <c r="K701" s="4" t="str">
        <f>HYPERLINK("http://141.218.60.56/~jnz1568/getInfo.php?workbook=08_02.xlsx&amp;sheet=A0&amp;row=701&amp;col=11&amp;number=&amp;sourceID=30","")</f>
        <v/>
      </c>
      <c r="L701" s="4" t="str">
        <f>HYPERLINK("http://141.218.60.56/~jnz1568/getInfo.php?workbook=08_02.xlsx&amp;sheet=A0&amp;row=701&amp;col=12&amp;number=518.3&amp;sourceID=30","518.3")</f>
        <v>518.3</v>
      </c>
      <c r="M701" s="4" t="str">
        <f>HYPERLINK("http://141.218.60.56/~jnz1568/getInfo.php?workbook=08_02.xlsx&amp;sheet=A0&amp;row=701&amp;col=13&amp;number=5.762e-05&amp;sourceID=30","5.762e-05")</f>
        <v>5.762e-05</v>
      </c>
      <c r="N701" s="4" t="str">
        <f>HYPERLINK("http://141.218.60.56/~jnz1568/getInfo.php?workbook=08_02.xlsx&amp;sheet=A0&amp;row=701&amp;col=14&amp;number=&amp;sourceID=30","")</f>
        <v/>
      </c>
      <c r="O701" s="4" t="str">
        <f>HYPERLINK("http://141.218.60.56/~jnz1568/getInfo.php?workbook=08_02.xlsx&amp;sheet=A0&amp;row=701&amp;col=15&amp;number=&amp;sourceID=32","")</f>
        <v/>
      </c>
      <c r="P701" s="4" t="str">
        <f>HYPERLINK("http://141.218.60.56/~jnz1568/getInfo.php?workbook=08_02.xlsx&amp;sheet=A0&amp;row=701&amp;col=16&amp;number=675.4&amp;sourceID=32","675.4")</f>
        <v>675.4</v>
      </c>
      <c r="Q701" s="4" t="str">
        <f>HYPERLINK("http://141.218.60.56/~jnz1568/getInfo.php?workbook=08_02.xlsx&amp;sheet=A0&amp;row=701&amp;col=17&amp;number=7.892e-05&amp;sourceID=32","7.892e-05")</f>
        <v>7.892e-05</v>
      </c>
      <c r="R701" s="4" t="str">
        <f>HYPERLINK("http://141.218.60.56/~jnz1568/getInfo.php?workbook=08_02.xlsx&amp;sheet=A0&amp;row=701&amp;col=18&amp;number=&amp;sourceID=32","")</f>
        <v/>
      </c>
      <c r="S701" s="4" t="str">
        <f>HYPERLINK("http://141.218.60.56/~jnz1568/getInfo.php?workbook=08_02.xlsx&amp;sheet=A0&amp;row=701&amp;col=19&amp;number=&amp;sourceID=1","")</f>
        <v/>
      </c>
      <c r="T701" s="4" t="str">
        <f>HYPERLINK("http://141.218.60.56/~jnz1568/getInfo.php?workbook=08_02.xlsx&amp;sheet=A0&amp;row=701&amp;col=20&amp;number=&amp;sourceID=1","")</f>
        <v/>
      </c>
    </row>
    <row r="702" spans="1:20">
      <c r="A702" s="3">
        <v>8</v>
      </c>
      <c r="B702" s="3">
        <v>2</v>
      </c>
      <c r="C702" s="3">
        <v>42</v>
      </c>
      <c r="D702" s="3">
        <v>12</v>
      </c>
      <c r="E702" s="3">
        <f>((1/(INDEX(E0!J$4:J$52,C702,1)-INDEX(E0!J$4:J$52,D702,1))))*100000000</f>
        <v>0</v>
      </c>
      <c r="F702" s="4" t="str">
        <f>HYPERLINK("http://141.218.60.56/~jnz1568/getInfo.php?workbook=08_02.xlsx&amp;sheet=A0&amp;row=702&amp;col=6&amp;number=&amp;sourceID=27","")</f>
        <v/>
      </c>
      <c r="G702" s="4" t="str">
        <f>HYPERLINK("http://141.218.60.56/~jnz1568/getInfo.php?workbook=08_02.xlsx&amp;sheet=A0&amp;row=702&amp;col=7&amp;number=&amp;sourceID=34","")</f>
        <v/>
      </c>
      <c r="H702" s="4" t="str">
        <f>HYPERLINK("http://141.218.60.56/~jnz1568/getInfo.php?workbook=08_02.xlsx&amp;sheet=A0&amp;row=702&amp;col=8&amp;number=&amp;sourceID=34","")</f>
        <v/>
      </c>
      <c r="I702" s="4" t="str">
        <f>HYPERLINK("http://141.218.60.56/~jnz1568/getInfo.php?workbook=08_02.xlsx&amp;sheet=A0&amp;row=702&amp;col=9&amp;number=&amp;sourceID=34","")</f>
        <v/>
      </c>
      <c r="J702" s="4" t="str">
        <f>HYPERLINK("http://141.218.60.56/~jnz1568/getInfo.php?workbook=08_02.xlsx&amp;sheet=A0&amp;row=702&amp;col=10&amp;number=&amp;sourceID=34","")</f>
        <v/>
      </c>
      <c r="K702" s="4" t="str">
        <f>HYPERLINK("http://141.218.60.56/~jnz1568/getInfo.php?workbook=08_02.xlsx&amp;sheet=A0&amp;row=702&amp;col=11&amp;number=&amp;sourceID=30","")</f>
        <v/>
      </c>
      <c r="L702" s="4" t="str">
        <f>HYPERLINK("http://141.218.60.56/~jnz1568/getInfo.php?workbook=08_02.xlsx&amp;sheet=A0&amp;row=702&amp;col=12&amp;number=&amp;sourceID=30","")</f>
        <v/>
      </c>
      <c r="M702" s="4" t="str">
        <f>HYPERLINK("http://141.218.60.56/~jnz1568/getInfo.php?workbook=08_02.xlsx&amp;sheet=A0&amp;row=702&amp;col=13&amp;number=&amp;sourceID=30","")</f>
        <v/>
      </c>
      <c r="N702" s="4" t="str">
        <f>HYPERLINK("http://141.218.60.56/~jnz1568/getInfo.php?workbook=08_02.xlsx&amp;sheet=A0&amp;row=702&amp;col=14&amp;number=7.009e-09&amp;sourceID=30","7.009e-09")</f>
        <v>7.009e-09</v>
      </c>
      <c r="O702" s="4" t="str">
        <f>HYPERLINK("http://141.218.60.56/~jnz1568/getInfo.php?workbook=08_02.xlsx&amp;sheet=A0&amp;row=702&amp;col=15&amp;number=&amp;sourceID=32","")</f>
        <v/>
      </c>
      <c r="P702" s="4" t="str">
        <f>HYPERLINK("http://141.218.60.56/~jnz1568/getInfo.php?workbook=08_02.xlsx&amp;sheet=A0&amp;row=702&amp;col=16&amp;number=&amp;sourceID=32","")</f>
        <v/>
      </c>
      <c r="Q702" s="4" t="str">
        <f>HYPERLINK("http://141.218.60.56/~jnz1568/getInfo.php?workbook=08_02.xlsx&amp;sheet=A0&amp;row=702&amp;col=17&amp;number=&amp;sourceID=32","")</f>
        <v/>
      </c>
      <c r="R702" s="4" t="str">
        <f>HYPERLINK("http://141.218.60.56/~jnz1568/getInfo.php?workbook=08_02.xlsx&amp;sheet=A0&amp;row=702&amp;col=18&amp;number=1.138e-08&amp;sourceID=32","1.138e-08")</f>
        <v>1.138e-08</v>
      </c>
      <c r="S702" s="4" t="str">
        <f>HYPERLINK("http://141.218.60.56/~jnz1568/getInfo.php?workbook=08_02.xlsx&amp;sheet=A0&amp;row=702&amp;col=19&amp;number=&amp;sourceID=1","")</f>
        <v/>
      </c>
      <c r="T702" s="4" t="str">
        <f>HYPERLINK("http://141.218.60.56/~jnz1568/getInfo.php?workbook=08_02.xlsx&amp;sheet=A0&amp;row=702&amp;col=20&amp;number=&amp;sourceID=1","")</f>
        <v/>
      </c>
    </row>
    <row r="703" spans="1:20">
      <c r="A703" s="3">
        <v>8</v>
      </c>
      <c r="B703" s="3">
        <v>2</v>
      </c>
      <c r="C703" s="3">
        <v>42</v>
      </c>
      <c r="D703" s="3">
        <v>13</v>
      </c>
      <c r="E703" s="3">
        <f>((1/(INDEX(E0!J$4:J$52,C703,1)-INDEX(E0!J$4:J$52,D703,1))))*100000000</f>
        <v>0</v>
      </c>
      <c r="F703" s="4" t="str">
        <f>HYPERLINK("http://141.218.60.56/~jnz1568/getInfo.php?workbook=08_02.xlsx&amp;sheet=A0&amp;row=703&amp;col=6&amp;number=&amp;sourceID=27","")</f>
        <v/>
      </c>
      <c r="G703" s="4" t="str">
        <f>HYPERLINK("http://141.218.60.56/~jnz1568/getInfo.php?workbook=08_02.xlsx&amp;sheet=A0&amp;row=703&amp;col=7&amp;number=&amp;sourceID=34","")</f>
        <v/>
      </c>
      <c r="H703" s="4" t="str">
        <f>HYPERLINK("http://141.218.60.56/~jnz1568/getInfo.php?workbook=08_02.xlsx&amp;sheet=A0&amp;row=703&amp;col=8&amp;number=&amp;sourceID=34","")</f>
        <v/>
      </c>
      <c r="I703" s="4" t="str">
        <f>HYPERLINK("http://141.218.60.56/~jnz1568/getInfo.php?workbook=08_02.xlsx&amp;sheet=A0&amp;row=703&amp;col=9&amp;number=&amp;sourceID=34","")</f>
        <v/>
      </c>
      <c r="J703" s="4" t="str">
        <f>HYPERLINK("http://141.218.60.56/~jnz1568/getInfo.php?workbook=08_02.xlsx&amp;sheet=A0&amp;row=703&amp;col=10&amp;number=&amp;sourceID=34","")</f>
        <v/>
      </c>
      <c r="K703" s="4" t="str">
        <f>HYPERLINK("http://141.218.60.56/~jnz1568/getInfo.php?workbook=08_02.xlsx&amp;sheet=A0&amp;row=703&amp;col=11&amp;number=9192000000&amp;sourceID=30","9192000000")</f>
        <v>9192000000</v>
      </c>
      <c r="L703" s="4" t="str">
        <f>HYPERLINK("http://141.218.60.56/~jnz1568/getInfo.php?workbook=08_02.xlsx&amp;sheet=A0&amp;row=703&amp;col=12&amp;number=&amp;sourceID=30","")</f>
        <v/>
      </c>
      <c r="M703" s="4" t="str">
        <f>HYPERLINK("http://141.218.60.56/~jnz1568/getInfo.php?workbook=08_02.xlsx&amp;sheet=A0&amp;row=703&amp;col=13&amp;number=&amp;sourceID=30","")</f>
        <v/>
      </c>
      <c r="N703" s="4" t="str">
        <f>HYPERLINK("http://141.218.60.56/~jnz1568/getInfo.php?workbook=08_02.xlsx&amp;sheet=A0&amp;row=703&amp;col=14&amp;number=2.752&amp;sourceID=30","2.752")</f>
        <v>2.752</v>
      </c>
      <c r="O703" s="4" t="str">
        <f>HYPERLINK("http://141.218.60.56/~jnz1568/getInfo.php?workbook=08_02.xlsx&amp;sheet=A0&amp;row=703&amp;col=15&amp;number=9194000000&amp;sourceID=32","9194000000")</f>
        <v>9194000000</v>
      </c>
      <c r="P703" s="4" t="str">
        <f>HYPERLINK("http://141.218.60.56/~jnz1568/getInfo.php?workbook=08_02.xlsx&amp;sheet=A0&amp;row=703&amp;col=16&amp;number=&amp;sourceID=32","")</f>
        <v/>
      </c>
      <c r="Q703" s="4" t="str">
        <f>HYPERLINK("http://141.218.60.56/~jnz1568/getInfo.php?workbook=08_02.xlsx&amp;sheet=A0&amp;row=703&amp;col=17&amp;number=&amp;sourceID=32","")</f>
        <v/>
      </c>
      <c r="R703" s="4" t="str">
        <f>HYPERLINK("http://141.218.60.56/~jnz1568/getInfo.php?workbook=08_02.xlsx&amp;sheet=A0&amp;row=703&amp;col=18&amp;number=2.758&amp;sourceID=32","2.758")</f>
        <v>2.758</v>
      </c>
      <c r="S703" s="4" t="str">
        <f>HYPERLINK("http://141.218.60.56/~jnz1568/getInfo.php?workbook=08_02.xlsx&amp;sheet=A0&amp;row=703&amp;col=19&amp;number=&amp;sourceID=1","")</f>
        <v/>
      </c>
      <c r="T703" s="4" t="str">
        <f>HYPERLINK("http://141.218.60.56/~jnz1568/getInfo.php?workbook=08_02.xlsx&amp;sheet=A0&amp;row=703&amp;col=20&amp;number=&amp;sourceID=1","")</f>
        <v/>
      </c>
    </row>
    <row r="704" spans="1:20">
      <c r="A704" s="3">
        <v>8</v>
      </c>
      <c r="B704" s="3">
        <v>2</v>
      </c>
      <c r="C704" s="3">
        <v>42</v>
      </c>
      <c r="D704" s="3">
        <v>14</v>
      </c>
      <c r="E704" s="3">
        <f>((1/(INDEX(E0!J$4:J$52,C704,1)-INDEX(E0!J$4:J$52,D704,1))))*100000000</f>
        <v>0</v>
      </c>
      <c r="F704" s="4" t="str">
        <f>HYPERLINK("http://141.218.60.56/~jnz1568/getInfo.php?workbook=08_02.xlsx&amp;sheet=A0&amp;row=704&amp;col=6&amp;number=&amp;sourceID=27","")</f>
        <v/>
      </c>
      <c r="G704" s="4" t="str">
        <f>HYPERLINK("http://141.218.60.56/~jnz1568/getInfo.php?workbook=08_02.xlsx&amp;sheet=A0&amp;row=704&amp;col=7&amp;number=&amp;sourceID=34","")</f>
        <v/>
      </c>
      <c r="H704" s="4" t="str">
        <f>HYPERLINK("http://141.218.60.56/~jnz1568/getInfo.php?workbook=08_02.xlsx&amp;sheet=A0&amp;row=704&amp;col=8&amp;number=&amp;sourceID=34","")</f>
        <v/>
      </c>
      <c r="I704" s="4" t="str">
        <f>HYPERLINK("http://141.218.60.56/~jnz1568/getInfo.php?workbook=08_02.xlsx&amp;sheet=A0&amp;row=704&amp;col=9&amp;number=&amp;sourceID=34","")</f>
        <v/>
      </c>
      <c r="J704" s="4" t="str">
        <f>HYPERLINK("http://141.218.60.56/~jnz1568/getInfo.php?workbook=08_02.xlsx&amp;sheet=A0&amp;row=704&amp;col=10&amp;number=&amp;sourceID=34","")</f>
        <v/>
      </c>
      <c r="K704" s="4" t="str">
        <f>HYPERLINK("http://141.218.60.56/~jnz1568/getInfo.php?workbook=08_02.xlsx&amp;sheet=A0&amp;row=704&amp;col=11&amp;number=1680000000&amp;sourceID=30","1680000000")</f>
        <v>1680000000</v>
      </c>
      <c r="L704" s="4" t="str">
        <f>HYPERLINK("http://141.218.60.56/~jnz1568/getInfo.php?workbook=08_02.xlsx&amp;sheet=A0&amp;row=704&amp;col=12&amp;number=&amp;sourceID=30","")</f>
        <v/>
      </c>
      <c r="M704" s="4" t="str">
        <f>HYPERLINK("http://141.218.60.56/~jnz1568/getInfo.php?workbook=08_02.xlsx&amp;sheet=A0&amp;row=704&amp;col=13&amp;number=&amp;sourceID=30","")</f>
        <v/>
      </c>
      <c r="N704" s="4" t="str">
        <f>HYPERLINK("http://141.218.60.56/~jnz1568/getInfo.php?workbook=08_02.xlsx&amp;sheet=A0&amp;row=704&amp;col=14&amp;number=0.834&amp;sourceID=30","0.834")</f>
        <v>0.834</v>
      </c>
      <c r="O704" s="4" t="str">
        <f>HYPERLINK("http://141.218.60.56/~jnz1568/getInfo.php?workbook=08_02.xlsx&amp;sheet=A0&amp;row=704&amp;col=15&amp;number=1675000000&amp;sourceID=32","1675000000")</f>
        <v>1675000000</v>
      </c>
      <c r="P704" s="4" t="str">
        <f>HYPERLINK("http://141.218.60.56/~jnz1568/getInfo.php?workbook=08_02.xlsx&amp;sheet=A0&amp;row=704&amp;col=16&amp;number=&amp;sourceID=32","")</f>
        <v/>
      </c>
      <c r="Q704" s="4" t="str">
        <f>HYPERLINK("http://141.218.60.56/~jnz1568/getInfo.php?workbook=08_02.xlsx&amp;sheet=A0&amp;row=704&amp;col=17&amp;number=&amp;sourceID=32","")</f>
        <v/>
      </c>
      <c r="R704" s="4" t="str">
        <f>HYPERLINK("http://141.218.60.56/~jnz1568/getInfo.php?workbook=08_02.xlsx&amp;sheet=A0&amp;row=704&amp;col=18&amp;number=0.8507&amp;sourceID=32","0.8507")</f>
        <v>0.8507</v>
      </c>
      <c r="S704" s="4" t="str">
        <f>HYPERLINK("http://141.218.60.56/~jnz1568/getInfo.php?workbook=08_02.xlsx&amp;sheet=A0&amp;row=704&amp;col=19&amp;number=&amp;sourceID=1","")</f>
        <v/>
      </c>
      <c r="T704" s="4" t="str">
        <f>HYPERLINK("http://141.218.60.56/~jnz1568/getInfo.php?workbook=08_02.xlsx&amp;sheet=A0&amp;row=704&amp;col=20&amp;number=&amp;sourceID=1","")</f>
        <v/>
      </c>
    </row>
    <row r="705" spans="1:20">
      <c r="A705" s="3">
        <v>8</v>
      </c>
      <c r="B705" s="3">
        <v>2</v>
      </c>
      <c r="C705" s="3">
        <v>42</v>
      </c>
      <c r="D705" s="3">
        <v>15</v>
      </c>
      <c r="E705" s="3">
        <f>((1/(INDEX(E0!J$4:J$52,C705,1)-INDEX(E0!J$4:J$52,D705,1))))*100000000</f>
        <v>0</v>
      </c>
      <c r="F705" s="4" t="str">
        <f>HYPERLINK("http://141.218.60.56/~jnz1568/getInfo.php?workbook=08_02.xlsx&amp;sheet=A0&amp;row=705&amp;col=6&amp;number=&amp;sourceID=27","")</f>
        <v/>
      </c>
      <c r="G705" s="4" t="str">
        <f>HYPERLINK("http://141.218.60.56/~jnz1568/getInfo.php?workbook=08_02.xlsx&amp;sheet=A0&amp;row=705&amp;col=7&amp;number=&amp;sourceID=34","")</f>
        <v/>
      </c>
      <c r="H705" s="4" t="str">
        <f>HYPERLINK("http://141.218.60.56/~jnz1568/getInfo.php?workbook=08_02.xlsx&amp;sheet=A0&amp;row=705&amp;col=8&amp;number=&amp;sourceID=34","")</f>
        <v/>
      </c>
      <c r="I705" s="4" t="str">
        <f>HYPERLINK("http://141.218.60.56/~jnz1568/getInfo.php?workbook=08_02.xlsx&amp;sheet=A0&amp;row=705&amp;col=9&amp;number=&amp;sourceID=34","")</f>
        <v/>
      </c>
      <c r="J705" s="4" t="str">
        <f>HYPERLINK("http://141.218.60.56/~jnz1568/getInfo.php?workbook=08_02.xlsx&amp;sheet=A0&amp;row=705&amp;col=10&amp;number=&amp;sourceID=34","")</f>
        <v/>
      </c>
      <c r="K705" s="4" t="str">
        <f>HYPERLINK("http://141.218.60.56/~jnz1568/getInfo.php?workbook=08_02.xlsx&amp;sheet=A0&amp;row=705&amp;col=11&amp;number=48610000&amp;sourceID=30","48610000")</f>
        <v>48610000</v>
      </c>
      <c r="L705" s="4" t="str">
        <f>HYPERLINK("http://141.218.60.56/~jnz1568/getInfo.php?workbook=08_02.xlsx&amp;sheet=A0&amp;row=705&amp;col=12&amp;number=&amp;sourceID=30","")</f>
        <v/>
      </c>
      <c r="M705" s="4" t="str">
        <f>HYPERLINK("http://141.218.60.56/~jnz1568/getInfo.php?workbook=08_02.xlsx&amp;sheet=A0&amp;row=705&amp;col=13&amp;number=&amp;sourceID=30","")</f>
        <v/>
      </c>
      <c r="N705" s="4" t="str">
        <f>HYPERLINK("http://141.218.60.56/~jnz1568/getInfo.php?workbook=08_02.xlsx&amp;sheet=A0&amp;row=705&amp;col=14&amp;number=3.797e-10&amp;sourceID=30","3.797e-10")</f>
        <v>3.797e-10</v>
      </c>
      <c r="O705" s="4" t="str">
        <f>HYPERLINK("http://141.218.60.56/~jnz1568/getInfo.php?workbook=08_02.xlsx&amp;sheet=A0&amp;row=705&amp;col=15&amp;number=48600000&amp;sourceID=32","48600000")</f>
        <v>48600000</v>
      </c>
      <c r="P705" s="4" t="str">
        <f>HYPERLINK("http://141.218.60.56/~jnz1568/getInfo.php?workbook=08_02.xlsx&amp;sheet=A0&amp;row=705&amp;col=16&amp;number=&amp;sourceID=32","")</f>
        <v/>
      </c>
      <c r="Q705" s="4" t="str">
        <f>HYPERLINK("http://141.218.60.56/~jnz1568/getInfo.php?workbook=08_02.xlsx&amp;sheet=A0&amp;row=705&amp;col=17&amp;number=&amp;sourceID=32","")</f>
        <v/>
      </c>
      <c r="R705" s="4" t="str">
        <f>HYPERLINK("http://141.218.60.56/~jnz1568/getInfo.php?workbook=08_02.xlsx&amp;sheet=A0&amp;row=705&amp;col=18&amp;number=9.13e-08&amp;sourceID=32","9.13e-08")</f>
        <v>9.13e-08</v>
      </c>
      <c r="S705" s="4" t="str">
        <f>HYPERLINK("http://141.218.60.56/~jnz1568/getInfo.php?workbook=08_02.xlsx&amp;sheet=A0&amp;row=705&amp;col=19&amp;number=&amp;sourceID=1","")</f>
        <v/>
      </c>
      <c r="T705" s="4" t="str">
        <f>HYPERLINK("http://141.218.60.56/~jnz1568/getInfo.php?workbook=08_02.xlsx&amp;sheet=A0&amp;row=705&amp;col=20&amp;number=&amp;sourceID=1","")</f>
        <v/>
      </c>
    </row>
    <row r="706" spans="1:20">
      <c r="A706" s="3">
        <v>8</v>
      </c>
      <c r="B706" s="3">
        <v>2</v>
      </c>
      <c r="C706" s="3">
        <v>42</v>
      </c>
      <c r="D706" s="3">
        <v>16</v>
      </c>
      <c r="E706" s="3">
        <f>((1/(INDEX(E0!J$4:J$52,C706,1)-INDEX(E0!J$4:J$52,D706,1))))*100000000</f>
        <v>0</v>
      </c>
      <c r="F706" s="4" t="str">
        <f>HYPERLINK("http://141.218.60.56/~jnz1568/getInfo.php?workbook=08_02.xlsx&amp;sheet=A0&amp;row=706&amp;col=6&amp;number=&amp;sourceID=27","")</f>
        <v/>
      </c>
      <c r="G706" s="4" t="str">
        <f>HYPERLINK("http://141.218.60.56/~jnz1568/getInfo.php?workbook=08_02.xlsx&amp;sheet=A0&amp;row=706&amp;col=7&amp;number=&amp;sourceID=34","")</f>
        <v/>
      </c>
      <c r="H706" s="4" t="str">
        <f>HYPERLINK("http://141.218.60.56/~jnz1568/getInfo.php?workbook=08_02.xlsx&amp;sheet=A0&amp;row=706&amp;col=8&amp;number=&amp;sourceID=34","")</f>
        <v/>
      </c>
      <c r="I706" s="4" t="str">
        <f>HYPERLINK("http://141.218.60.56/~jnz1568/getInfo.php?workbook=08_02.xlsx&amp;sheet=A0&amp;row=706&amp;col=9&amp;number=&amp;sourceID=34","")</f>
        <v/>
      </c>
      <c r="J706" s="4" t="str">
        <f>HYPERLINK("http://141.218.60.56/~jnz1568/getInfo.php?workbook=08_02.xlsx&amp;sheet=A0&amp;row=706&amp;col=10&amp;number=&amp;sourceID=34","")</f>
        <v/>
      </c>
      <c r="K706" s="4" t="str">
        <f>HYPERLINK("http://141.218.60.56/~jnz1568/getInfo.php?workbook=08_02.xlsx&amp;sheet=A0&amp;row=706&amp;col=11&amp;number=21510000&amp;sourceID=30","21510000")</f>
        <v>21510000</v>
      </c>
      <c r="L706" s="4" t="str">
        <f>HYPERLINK("http://141.218.60.56/~jnz1568/getInfo.php?workbook=08_02.xlsx&amp;sheet=A0&amp;row=706&amp;col=12&amp;number=&amp;sourceID=30","")</f>
        <v/>
      </c>
      <c r="M706" s="4" t="str">
        <f>HYPERLINK("http://141.218.60.56/~jnz1568/getInfo.php?workbook=08_02.xlsx&amp;sheet=A0&amp;row=706&amp;col=13&amp;number=&amp;sourceID=30","")</f>
        <v/>
      </c>
      <c r="N706" s="4" t="str">
        <f>HYPERLINK("http://141.218.60.56/~jnz1568/getInfo.php?workbook=08_02.xlsx&amp;sheet=A0&amp;row=706&amp;col=14&amp;number=0.3435&amp;sourceID=30","0.3435")</f>
        <v>0.3435</v>
      </c>
      <c r="O706" s="4" t="str">
        <f>HYPERLINK("http://141.218.60.56/~jnz1568/getInfo.php?workbook=08_02.xlsx&amp;sheet=A0&amp;row=706&amp;col=15&amp;number=26860000&amp;sourceID=32","26860000")</f>
        <v>26860000</v>
      </c>
      <c r="P706" s="4" t="str">
        <f>HYPERLINK("http://141.218.60.56/~jnz1568/getInfo.php?workbook=08_02.xlsx&amp;sheet=A0&amp;row=706&amp;col=16&amp;number=&amp;sourceID=32","")</f>
        <v/>
      </c>
      <c r="Q706" s="4" t="str">
        <f>HYPERLINK("http://141.218.60.56/~jnz1568/getInfo.php?workbook=08_02.xlsx&amp;sheet=A0&amp;row=706&amp;col=17&amp;number=&amp;sourceID=32","")</f>
        <v/>
      </c>
      <c r="R706" s="4" t="str">
        <f>HYPERLINK("http://141.218.60.56/~jnz1568/getInfo.php?workbook=08_02.xlsx&amp;sheet=A0&amp;row=706&amp;col=18&amp;number=0.3299&amp;sourceID=32","0.3299")</f>
        <v>0.3299</v>
      </c>
      <c r="S706" s="4" t="str">
        <f>HYPERLINK("http://141.218.60.56/~jnz1568/getInfo.php?workbook=08_02.xlsx&amp;sheet=A0&amp;row=706&amp;col=19&amp;number=&amp;sourceID=1","")</f>
        <v/>
      </c>
      <c r="T706" s="4" t="str">
        <f>HYPERLINK("http://141.218.60.56/~jnz1568/getInfo.php?workbook=08_02.xlsx&amp;sheet=A0&amp;row=706&amp;col=20&amp;number=&amp;sourceID=1","")</f>
        <v/>
      </c>
    </row>
    <row r="707" spans="1:20">
      <c r="A707" s="3">
        <v>8</v>
      </c>
      <c r="B707" s="3">
        <v>2</v>
      </c>
      <c r="C707" s="3">
        <v>42</v>
      </c>
      <c r="D707" s="3">
        <v>17</v>
      </c>
      <c r="E707" s="3">
        <f>((1/(INDEX(E0!J$4:J$52,C707,1)-INDEX(E0!J$4:J$52,D707,1))))*100000000</f>
        <v>0</v>
      </c>
      <c r="F707" s="4" t="str">
        <f>HYPERLINK("http://141.218.60.56/~jnz1568/getInfo.php?workbook=08_02.xlsx&amp;sheet=A0&amp;row=707&amp;col=6&amp;number=&amp;sourceID=27","")</f>
        <v/>
      </c>
      <c r="G707" s="4" t="str">
        <f>HYPERLINK("http://141.218.60.56/~jnz1568/getInfo.php?workbook=08_02.xlsx&amp;sheet=A0&amp;row=707&amp;col=7&amp;number=&amp;sourceID=34","")</f>
        <v/>
      </c>
      <c r="H707" s="4" t="str">
        <f>HYPERLINK("http://141.218.60.56/~jnz1568/getInfo.php?workbook=08_02.xlsx&amp;sheet=A0&amp;row=707&amp;col=8&amp;number=&amp;sourceID=34","")</f>
        <v/>
      </c>
      <c r="I707" s="4" t="str">
        <f>HYPERLINK("http://141.218.60.56/~jnz1568/getInfo.php?workbook=08_02.xlsx&amp;sheet=A0&amp;row=707&amp;col=9&amp;number=&amp;sourceID=34","")</f>
        <v/>
      </c>
      <c r="J707" s="4" t="str">
        <f>HYPERLINK("http://141.218.60.56/~jnz1568/getInfo.php?workbook=08_02.xlsx&amp;sheet=A0&amp;row=707&amp;col=10&amp;number=&amp;sourceID=34","")</f>
        <v/>
      </c>
      <c r="K707" s="4" t="str">
        <f>HYPERLINK("http://141.218.60.56/~jnz1568/getInfo.php?workbook=08_02.xlsx&amp;sheet=A0&amp;row=707&amp;col=11&amp;number=&amp;sourceID=30","")</f>
        <v/>
      </c>
      <c r="L707" s="4" t="str">
        <f>HYPERLINK("http://141.218.60.56/~jnz1568/getInfo.php?workbook=08_02.xlsx&amp;sheet=A0&amp;row=707&amp;col=12&amp;number=0.07226&amp;sourceID=30","0.07226")</f>
        <v>0.07226</v>
      </c>
      <c r="M707" s="4" t="str">
        <f>HYPERLINK("http://141.218.60.56/~jnz1568/getInfo.php?workbook=08_02.xlsx&amp;sheet=A0&amp;row=707&amp;col=13&amp;number=9.692e-05&amp;sourceID=30","9.692e-05")</f>
        <v>9.692e-05</v>
      </c>
      <c r="N707" s="4" t="str">
        <f>HYPERLINK("http://141.218.60.56/~jnz1568/getInfo.php?workbook=08_02.xlsx&amp;sheet=A0&amp;row=707&amp;col=14&amp;number=&amp;sourceID=30","")</f>
        <v/>
      </c>
      <c r="O707" s="4" t="str">
        <f>HYPERLINK("http://141.218.60.56/~jnz1568/getInfo.php?workbook=08_02.xlsx&amp;sheet=A0&amp;row=707&amp;col=15&amp;number=&amp;sourceID=32","")</f>
        <v/>
      </c>
      <c r="P707" s="4" t="str">
        <f>HYPERLINK("http://141.218.60.56/~jnz1568/getInfo.php?workbook=08_02.xlsx&amp;sheet=A0&amp;row=707&amp;col=16&amp;number=0.1392&amp;sourceID=32","0.1392")</f>
        <v>0.1392</v>
      </c>
      <c r="Q707" s="4" t="str">
        <f>HYPERLINK("http://141.218.60.56/~jnz1568/getInfo.php?workbook=08_02.xlsx&amp;sheet=A0&amp;row=707&amp;col=17&amp;number=0.0001827&amp;sourceID=32","0.0001827")</f>
        <v>0.0001827</v>
      </c>
      <c r="R707" s="4" t="str">
        <f>HYPERLINK("http://141.218.60.56/~jnz1568/getInfo.php?workbook=08_02.xlsx&amp;sheet=A0&amp;row=707&amp;col=18&amp;number=&amp;sourceID=32","")</f>
        <v/>
      </c>
      <c r="S707" s="4" t="str">
        <f>HYPERLINK("http://141.218.60.56/~jnz1568/getInfo.php?workbook=08_02.xlsx&amp;sheet=A0&amp;row=707&amp;col=19&amp;number=&amp;sourceID=1","")</f>
        <v/>
      </c>
      <c r="T707" s="4" t="str">
        <f>HYPERLINK("http://141.218.60.56/~jnz1568/getInfo.php?workbook=08_02.xlsx&amp;sheet=A0&amp;row=707&amp;col=20&amp;number=&amp;sourceID=1","")</f>
        <v/>
      </c>
    </row>
    <row r="708" spans="1:20">
      <c r="A708" s="3">
        <v>8</v>
      </c>
      <c r="B708" s="3">
        <v>2</v>
      </c>
      <c r="C708" s="3">
        <v>42</v>
      </c>
      <c r="D708" s="3">
        <v>18</v>
      </c>
      <c r="E708" s="3">
        <f>((1/(INDEX(E0!J$4:J$52,C708,1)-INDEX(E0!J$4:J$52,D708,1))))*100000000</f>
        <v>0</v>
      </c>
      <c r="F708" s="4" t="str">
        <f>HYPERLINK("http://141.218.60.56/~jnz1568/getInfo.php?workbook=08_02.xlsx&amp;sheet=A0&amp;row=708&amp;col=6&amp;number=&amp;sourceID=27","")</f>
        <v/>
      </c>
      <c r="G708" s="4" t="str">
        <f>HYPERLINK("http://141.218.60.56/~jnz1568/getInfo.php?workbook=08_02.xlsx&amp;sheet=A0&amp;row=708&amp;col=7&amp;number=&amp;sourceID=34","")</f>
        <v/>
      </c>
      <c r="H708" s="4" t="str">
        <f>HYPERLINK("http://141.218.60.56/~jnz1568/getInfo.php?workbook=08_02.xlsx&amp;sheet=A0&amp;row=708&amp;col=8&amp;number=&amp;sourceID=34","")</f>
        <v/>
      </c>
      <c r="I708" s="4" t="str">
        <f>HYPERLINK("http://141.218.60.56/~jnz1568/getInfo.php?workbook=08_02.xlsx&amp;sheet=A0&amp;row=708&amp;col=9&amp;number=&amp;sourceID=34","")</f>
        <v/>
      </c>
      <c r="J708" s="4" t="str">
        <f>HYPERLINK("http://141.218.60.56/~jnz1568/getInfo.php?workbook=08_02.xlsx&amp;sheet=A0&amp;row=708&amp;col=10&amp;number=&amp;sourceID=34","")</f>
        <v/>
      </c>
      <c r="K708" s="4" t="str">
        <f>HYPERLINK("http://141.218.60.56/~jnz1568/getInfo.php?workbook=08_02.xlsx&amp;sheet=A0&amp;row=708&amp;col=11&amp;number=103.4&amp;sourceID=30","103.4")</f>
        <v>103.4</v>
      </c>
      <c r="L708" s="4" t="str">
        <f>HYPERLINK("http://141.218.60.56/~jnz1568/getInfo.php?workbook=08_02.xlsx&amp;sheet=A0&amp;row=708&amp;col=12&amp;number=&amp;sourceID=30","")</f>
        <v/>
      </c>
      <c r="M708" s="4" t="str">
        <f>HYPERLINK("http://141.218.60.56/~jnz1568/getInfo.php?workbook=08_02.xlsx&amp;sheet=A0&amp;row=708&amp;col=13&amp;number=&amp;sourceID=30","")</f>
        <v/>
      </c>
      <c r="N708" s="4" t="str">
        <f>HYPERLINK("http://141.218.60.56/~jnz1568/getInfo.php?workbook=08_02.xlsx&amp;sheet=A0&amp;row=708&amp;col=14&amp;number=3.718e-09&amp;sourceID=30","3.718e-09")</f>
        <v>3.718e-09</v>
      </c>
      <c r="O708" s="4" t="str">
        <f>HYPERLINK("http://141.218.60.56/~jnz1568/getInfo.php?workbook=08_02.xlsx&amp;sheet=A0&amp;row=708&amp;col=15&amp;number=110.4&amp;sourceID=32","110.4")</f>
        <v>110.4</v>
      </c>
      <c r="P708" s="4" t="str">
        <f>HYPERLINK("http://141.218.60.56/~jnz1568/getInfo.php?workbook=08_02.xlsx&amp;sheet=A0&amp;row=708&amp;col=16&amp;number=&amp;sourceID=32","")</f>
        <v/>
      </c>
      <c r="Q708" s="4" t="str">
        <f>HYPERLINK("http://141.218.60.56/~jnz1568/getInfo.php?workbook=08_02.xlsx&amp;sheet=A0&amp;row=708&amp;col=17&amp;number=&amp;sourceID=32","")</f>
        <v/>
      </c>
      <c r="R708" s="4" t="str">
        <f>HYPERLINK("http://141.218.60.56/~jnz1568/getInfo.php?workbook=08_02.xlsx&amp;sheet=A0&amp;row=708&amp;col=18&amp;number=4.199e-09&amp;sourceID=32","4.199e-09")</f>
        <v>4.199e-09</v>
      </c>
      <c r="S708" s="4" t="str">
        <f>HYPERLINK("http://141.218.60.56/~jnz1568/getInfo.php?workbook=08_02.xlsx&amp;sheet=A0&amp;row=708&amp;col=19&amp;number=&amp;sourceID=1","")</f>
        <v/>
      </c>
      <c r="T708" s="4" t="str">
        <f>HYPERLINK("http://141.218.60.56/~jnz1568/getInfo.php?workbook=08_02.xlsx&amp;sheet=A0&amp;row=708&amp;col=20&amp;number=&amp;sourceID=1","")</f>
        <v/>
      </c>
    </row>
    <row r="709" spans="1:20">
      <c r="A709" s="3">
        <v>8</v>
      </c>
      <c r="B709" s="3">
        <v>2</v>
      </c>
      <c r="C709" s="3">
        <v>42</v>
      </c>
      <c r="D709" s="3">
        <v>19</v>
      </c>
      <c r="E709" s="3">
        <f>((1/(INDEX(E0!J$4:J$52,C709,1)-INDEX(E0!J$4:J$52,D709,1))))*100000000</f>
        <v>0</v>
      </c>
      <c r="F709" s="4" t="str">
        <f>HYPERLINK("http://141.218.60.56/~jnz1568/getInfo.php?workbook=08_02.xlsx&amp;sheet=A0&amp;row=709&amp;col=6&amp;number=&amp;sourceID=27","")</f>
        <v/>
      </c>
      <c r="G709" s="4" t="str">
        <f>HYPERLINK("http://141.218.60.56/~jnz1568/getInfo.php?workbook=08_02.xlsx&amp;sheet=A0&amp;row=709&amp;col=7&amp;number=&amp;sourceID=34","")</f>
        <v/>
      </c>
      <c r="H709" s="4" t="str">
        <f>HYPERLINK("http://141.218.60.56/~jnz1568/getInfo.php?workbook=08_02.xlsx&amp;sheet=A0&amp;row=709&amp;col=8&amp;number=&amp;sourceID=34","")</f>
        <v/>
      </c>
      <c r="I709" s="4" t="str">
        <f>HYPERLINK("http://141.218.60.56/~jnz1568/getInfo.php?workbook=08_02.xlsx&amp;sheet=A0&amp;row=709&amp;col=9&amp;number=&amp;sourceID=34","")</f>
        <v/>
      </c>
      <c r="J709" s="4" t="str">
        <f>HYPERLINK("http://141.218.60.56/~jnz1568/getInfo.php?workbook=08_02.xlsx&amp;sheet=A0&amp;row=709&amp;col=10&amp;number=&amp;sourceID=34","")</f>
        <v/>
      </c>
      <c r="K709" s="4" t="str">
        <f>HYPERLINK("http://141.218.60.56/~jnz1568/getInfo.php?workbook=08_02.xlsx&amp;sheet=A0&amp;row=709&amp;col=11&amp;number=&amp;sourceID=30","")</f>
        <v/>
      </c>
      <c r="L709" s="4" t="str">
        <f>HYPERLINK("http://141.218.60.56/~jnz1568/getInfo.php?workbook=08_02.xlsx&amp;sheet=A0&amp;row=709&amp;col=12&amp;number=55570&amp;sourceID=30","55570")</f>
        <v>55570</v>
      </c>
      <c r="M709" s="4" t="str">
        <f>HYPERLINK("http://141.218.60.56/~jnz1568/getInfo.php?workbook=08_02.xlsx&amp;sheet=A0&amp;row=709&amp;col=13&amp;number=&amp;sourceID=30","")</f>
        <v/>
      </c>
      <c r="N709" s="4" t="str">
        <f>HYPERLINK("http://141.218.60.56/~jnz1568/getInfo.php?workbook=08_02.xlsx&amp;sheet=A0&amp;row=709&amp;col=14&amp;number=&amp;sourceID=30","")</f>
        <v/>
      </c>
      <c r="O709" s="4" t="str">
        <f>HYPERLINK("http://141.218.60.56/~jnz1568/getInfo.php?workbook=08_02.xlsx&amp;sheet=A0&amp;row=709&amp;col=15&amp;number=&amp;sourceID=32","")</f>
        <v/>
      </c>
      <c r="P709" s="4" t="str">
        <f>HYPERLINK("http://141.218.60.56/~jnz1568/getInfo.php?workbook=08_02.xlsx&amp;sheet=A0&amp;row=709&amp;col=16&amp;number=56020&amp;sourceID=32","56020")</f>
        <v>56020</v>
      </c>
      <c r="Q709" s="4" t="str">
        <f>HYPERLINK("http://141.218.60.56/~jnz1568/getInfo.php?workbook=08_02.xlsx&amp;sheet=A0&amp;row=709&amp;col=17&amp;number=&amp;sourceID=32","")</f>
        <v/>
      </c>
      <c r="R709" s="4" t="str">
        <f>HYPERLINK("http://141.218.60.56/~jnz1568/getInfo.php?workbook=08_02.xlsx&amp;sheet=A0&amp;row=709&amp;col=18&amp;number=&amp;sourceID=32","")</f>
        <v/>
      </c>
      <c r="S709" s="4" t="str">
        <f>HYPERLINK("http://141.218.60.56/~jnz1568/getInfo.php?workbook=08_02.xlsx&amp;sheet=A0&amp;row=709&amp;col=19&amp;number=&amp;sourceID=1","")</f>
        <v/>
      </c>
      <c r="T709" s="4" t="str">
        <f>HYPERLINK("http://141.218.60.56/~jnz1568/getInfo.php?workbook=08_02.xlsx&amp;sheet=A0&amp;row=709&amp;col=20&amp;number=&amp;sourceID=1","")</f>
        <v/>
      </c>
    </row>
    <row r="710" spans="1:20">
      <c r="A710" s="3">
        <v>8</v>
      </c>
      <c r="B710" s="3">
        <v>2</v>
      </c>
      <c r="C710" s="3">
        <v>42</v>
      </c>
      <c r="D710" s="3">
        <v>20</v>
      </c>
      <c r="E710" s="3">
        <f>((1/(INDEX(E0!J$4:J$52,C710,1)-INDEX(E0!J$4:J$52,D710,1))))*100000000</f>
        <v>0</v>
      </c>
      <c r="F710" s="4" t="str">
        <f>HYPERLINK("http://141.218.60.56/~jnz1568/getInfo.php?workbook=08_02.xlsx&amp;sheet=A0&amp;row=710&amp;col=6&amp;number=&amp;sourceID=27","")</f>
        <v/>
      </c>
      <c r="G710" s="4" t="str">
        <f>HYPERLINK("http://141.218.60.56/~jnz1568/getInfo.php?workbook=08_02.xlsx&amp;sheet=A0&amp;row=710&amp;col=7&amp;number=&amp;sourceID=34","")</f>
        <v/>
      </c>
      <c r="H710" s="4" t="str">
        <f>HYPERLINK("http://141.218.60.56/~jnz1568/getInfo.php?workbook=08_02.xlsx&amp;sheet=A0&amp;row=710&amp;col=8&amp;number=&amp;sourceID=34","")</f>
        <v/>
      </c>
      <c r="I710" s="4" t="str">
        <f>HYPERLINK("http://141.218.60.56/~jnz1568/getInfo.php?workbook=08_02.xlsx&amp;sheet=A0&amp;row=710&amp;col=9&amp;number=&amp;sourceID=34","")</f>
        <v/>
      </c>
      <c r="J710" s="4" t="str">
        <f>HYPERLINK("http://141.218.60.56/~jnz1568/getInfo.php?workbook=08_02.xlsx&amp;sheet=A0&amp;row=710&amp;col=10&amp;number=&amp;sourceID=34","")</f>
        <v/>
      </c>
      <c r="K710" s="4" t="str">
        <f>HYPERLINK("http://141.218.60.56/~jnz1568/getInfo.php?workbook=08_02.xlsx&amp;sheet=A0&amp;row=710&amp;col=11&amp;number=&amp;sourceID=30","")</f>
        <v/>
      </c>
      <c r="L710" s="4" t="str">
        <f>HYPERLINK("http://141.218.60.56/~jnz1568/getInfo.php?workbook=08_02.xlsx&amp;sheet=A0&amp;row=710&amp;col=12&amp;number=55550&amp;sourceID=30","55550")</f>
        <v>55550</v>
      </c>
      <c r="M710" s="4" t="str">
        <f>HYPERLINK("http://141.218.60.56/~jnz1568/getInfo.php?workbook=08_02.xlsx&amp;sheet=A0&amp;row=710&amp;col=13&amp;number=4.58e-06&amp;sourceID=30","4.58e-06")</f>
        <v>4.58e-06</v>
      </c>
      <c r="N710" s="4" t="str">
        <f>HYPERLINK("http://141.218.60.56/~jnz1568/getInfo.php?workbook=08_02.xlsx&amp;sheet=A0&amp;row=710&amp;col=14&amp;number=&amp;sourceID=30","")</f>
        <v/>
      </c>
      <c r="O710" s="4" t="str">
        <f>HYPERLINK("http://141.218.60.56/~jnz1568/getInfo.php?workbook=08_02.xlsx&amp;sheet=A0&amp;row=710&amp;col=15&amp;number=&amp;sourceID=32","")</f>
        <v/>
      </c>
      <c r="P710" s="4" t="str">
        <f>HYPERLINK("http://141.218.60.56/~jnz1568/getInfo.php?workbook=08_02.xlsx&amp;sheet=A0&amp;row=710&amp;col=16&amp;number=56000&amp;sourceID=32","56000")</f>
        <v>56000</v>
      </c>
      <c r="Q710" s="4" t="str">
        <f>HYPERLINK("http://141.218.60.56/~jnz1568/getInfo.php?workbook=08_02.xlsx&amp;sheet=A0&amp;row=710&amp;col=17&amp;number=6.592e-06&amp;sourceID=32","6.592e-06")</f>
        <v>6.592e-06</v>
      </c>
      <c r="R710" s="4" t="str">
        <f>HYPERLINK("http://141.218.60.56/~jnz1568/getInfo.php?workbook=08_02.xlsx&amp;sheet=A0&amp;row=710&amp;col=18&amp;number=&amp;sourceID=32","")</f>
        <v/>
      </c>
      <c r="S710" s="4" t="str">
        <f>HYPERLINK("http://141.218.60.56/~jnz1568/getInfo.php?workbook=08_02.xlsx&amp;sheet=A0&amp;row=710&amp;col=19&amp;number=&amp;sourceID=1","")</f>
        <v/>
      </c>
      <c r="T710" s="4" t="str">
        <f>HYPERLINK("http://141.218.60.56/~jnz1568/getInfo.php?workbook=08_02.xlsx&amp;sheet=A0&amp;row=710&amp;col=20&amp;number=&amp;sourceID=1","")</f>
        <v/>
      </c>
    </row>
    <row r="711" spans="1:20">
      <c r="A711" s="3">
        <v>8</v>
      </c>
      <c r="B711" s="3">
        <v>2</v>
      </c>
      <c r="C711" s="3">
        <v>42</v>
      </c>
      <c r="D711" s="3">
        <v>21</v>
      </c>
      <c r="E711" s="3">
        <f>((1/(INDEX(E0!J$4:J$52,C711,1)-INDEX(E0!J$4:J$52,D711,1))))*100000000</f>
        <v>0</v>
      </c>
      <c r="F711" s="4" t="str">
        <f>HYPERLINK("http://141.218.60.56/~jnz1568/getInfo.php?workbook=08_02.xlsx&amp;sheet=A0&amp;row=711&amp;col=6&amp;number=&amp;sourceID=27","")</f>
        <v/>
      </c>
      <c r="G711" s="4" t="str">
        <f>HYPERLINK("http://141.218.60.56/~jnz1568/getInfo.php?workbook=08_02.xlsx&amp;sheet=A0&amp;row=711&amp;col=7&amp;number=&amp;sourceID=34","")</f>
        <v/>
      </c>
      <c r="H711" s="4" t="str">
        <f>HYPERLINK("http://141.218.60.56/~jnz1568/getInfo.php?workbook=08_02.xlsx&amp;sheet=A0&amp;row=711&amp;col=8&amp;number=&amp;sourceID=34","")</f>
        <v/>
      </c>
      <c r="I711" s="4" t="str">
        <f>HYPERLINK("http://141.218.60.56/~jnz1568/getInfo.php?workbook=08_02.xlsx&amp;sheet=A0&amp;row=711&amp;col=9&amp;number=&amp;sourceID=34","")</f>
        <v/>
      </c>
      <c r="J711" s="4" t="str">
        <f>HYPERLINK("http://141.218.60.56/~jnz1568/getInfo.php?workbook=08_02.xlsx&amp;sheet=A0&amp;row=711&amp;col=10&amp;number=&amp;sourceID=34","")</f>
        <v/>
      </c>
      <c r="K711" s="4" t="str">
        <f>HYPERLINK("http://141.218.60.56/~jnz1568/getInfo.php?workbook=08_02.xlsx&amp;sheet=A0&amp;row=711&amp;col=11&amp;number=&amp;sourceID=30","")</f>
        <v/>
      </c>
      <c r="L711" s="4" t="str">
        <f>HYPERLINK("http://141.218.60.56/~jnz1568/getInfo.php?workbook=08_02.xlsx&amp;sheet=A0&amp;row=711&amp;col=12&amp;number=7924&amp;sourceID=30","7924")</f>
        <v>7924</v>
      </c>
      <c r="M711" s="4" t="str">
        <f>HYPERLINK("http://141.218.60.56/~jnz1568/getInfo.php?workbook=08_02.xlsx&amp;sheet=A0&amp;row=711&amp;col=13&amp;number=4.121e-06&amp;sourceID=30","4.121e-06")</f>
        <v>4.121e-06</v>
      </c>
      <c r="N711" s="4" t="str">
        <f>HYPERLINK("http://141.218.60.56/~jnz1568/getInfo.php?workbook=08_02.xlsx&amp;sheet=A0&amp;row=711&amp;col=14&amp;number=&amp;sourceID=30","")</f>
        <v/>
      </c>
      <c r="O711" s="4" t="str">
        <f>HYPERLINK("http://141.218.60.56/~jnz1568/getInfo.php?workbook=08_02.xlsx&amp;sheet=A0&amp;row=711&amp;col=15&amp;number=&amp;sourceID=32","")</f>
        <v/>
      </c>
      <c r="P711" s="4" t="str">
        <f>HYPERLINK("http://141.218.60.56/~jnz1568/getInfo.php?workbook=08_02.xlsx&amp;sheet=A0&amp;row=711&amp;col=16&amp;number=7989&amp;sourceID=32","7989")</f>
        <v>7989</v>
      </c>
      <c r="Q711" s="4" t="str">
        <f>HYPERLINK("http://141.218.60.56/~jnz1568/getInfo.php?workbook=08_02.xlsx&amp;sheet=A0&amp;row=711&amp;col=17&amp;number=5.278e-06&amp;sourceID=32","5.278e-06")</f>
        <v>5.278e-06</v>
      </c>
      <c r="R711" s="4" t="str">
        <f>HYPERLINK("http://141.218.60.56/~jnz1568/getInfo.php?workbook=08_02.xlsx&amp;sheet=A0&amp;row=711&amp;col=18&amp;number=&amp;sourceID=32","")</f>
        <v/>
      </c>
      <c r="S711" s="4" t="str">
        <f>HYPERLINK("http://141.218.60.56/~jnz1568/getInfo.php?workbook=08_02.xlsx&amp;sheet=A0&amp;row=711&amp;col=19&amp;number=&amp;sourceID=1","")</f>
        <v/>
      </c>
      <c r="T711" s="4" t="str">
        <f>HYPERLINK("http://141.218.60.56/~jnz1568/getInfo.php?workbook=08_02.xlsx&amp;sheet=A0&amp;row=711&amp;col=20&amp;number=&amp;sourceID=1","")</f>
        <v/>
      </c>
    </row>
    <row r="712" spans="1:20">
      <c r="A712" s="3">
        <v>8</v>
      </c>
      <c r="B712" s="3">
        <v>2</v>
      </c>
      <c r="C712" s="3">
        <v>42</v>
      </c>
      <c r="D712" s="3">
        <v>22</v>
      </c>
      <c r="E712" s="3">
        <f>((1/(INDEX(E0!J$4:J$52,C712,1)-INDEX(E0!J$4:J$52,D712,1))))*100000000</f>
        <v>0</v>
      </c>
      <c r="F712" s="4" t="str">
        <f>HYPERLINK("http://141.218.60.56/~jnz1568/getInfo.php?workbook=08_02.xlsx&amp;sheet=A0&amp;row=712&amp;col=6&amp;number=&amp;sourceID=27","")</f>
        <v/>
      </c>
      <c r="G712" s="4" t="str">
        <f>HYPERLINK("http://141.218.60.56/~jnz1568/getInfo.php?workbook=08_02.xlsx&amp;sheet=A0&amp;row=712&amp;col=7&amp;number=&amp;sourceID=34","")</f>
        <v/>
      </c>
      <c r="H712" s="4" t="str">
        <f>HYPERLINK("http://141.218.60.56/~jnz1568/getInfo.php?workbook=08_02.xlsx&amp;sheet=A0&amp;row=712&amp;col=8&amp;number=&amp;sourceID=34","")</f>
        <v/>
      </c>
      <c r="I712" s="4" t="str">
        <f>HYPERLINK("http://141.218.60.56/~jnz1568/getInfo.php?workbook=08_02.xlsx&amp;sheet=A0&amp;row=712&amp;col=9&amp;number=&amp;sourceID=34","")</f>
        <v/>
      </c>
      <c r="J712" s="4" t="str">
        <f>HYPERLINK("http://141.218.60.56/~jnz1568/getInfo.php?workbook=08_02.xlsx&amp;sheet=A0&amp;row=712&amp;col=10&amp;number=&amp;sourceID=34","")</f>
        <v/>
      </c>
      <c r="K712" s="4" t="str">
        <f>HYPERLINK("http://141.218.60.56/~jnz1568/getInfo.php?workbook=08_02.xlsx&amp;sheet=A0&amp;row=712&amp;col=11&amp;number=&amp;sourceID=30","")</f>
        <v/>
      </c>
      <c r="L712" s="4" t="str">
        <f>HYPERLINK("http://141.218.60.56/~jnz1568/getInfo.php?workbook=08_02.xlsx&amp;sheet=A0&amp;row=712&amp;col=12&amp;number=&amp;sourceID=30","")</f>
        <v/>
      </c>
      <c r="M712" s="4" t="str">
        <f>HYPERLINK("http://141.218.60.56/~jnz1568/getInfo.php?workbook=08_02.xlsx&amp;sheet=A0&amp;row=712&amp;col=13&amp;number=&amp;sourceID=30","")</f>
        <v/>
      </c>
      <c r="N712" s="4" t="str">
        <f>HYPERLINK("http://141.218.60.56/~jnz1568/getInfo.php?workbook=08_02.xlsx&amp;sheet=A0&amp;row=712&amp;col=14&amp;number=4.379e-10&amp;sourceID=30","4.379e-10")</f>
        <v>4.379e-10</v>
      </c>
      <c r="O712" s="4" t="str">
        <f>HYPERLINK("http://141.218.60.56/~jnz1568/getInfo.php?workbook=08_02.xlsx&amp;sheet=A0&amp;row=712&amp;col=15&amp;number=&amp;sourceID=32","")</f>
        <v/>
      </c>
      <c r="P712" s="4" t="str">
        <f>HYPERLINK("http://141.218.60.56/~jnz1568/getInfo.php?workbook=08_02.xlsx&amp;sheet=A0&amp;row=712&amp;col=16&amp;number=&amp;sourceID=32","")</f>
        <v/>
      </c>
      <c r="Q712" s="4" t="str">
        <f>HYPERLINK("http://141.218.60.56/~jnz1568/getInfo.php?workbook=08_02.xlsx&amp;sheet=A0&amp;row=712&amp;col=17&amp;number=&amp;sourceID=32","")</f>
        <v/>
      </c>
      <c r="R712" s="4" t="str">
        <f>HYPERLINK("http://141.218.60.56/~jnz1568/getInfo.php?workbook=08_02.xlsx&amp;sheet=A0&amp;row=712&amp;col=18&amp;number=5.148e-10&amp;sourceID=32","5.148e-10")</f>
        <v>5.148e-10</v>
      </c>
      <c r="S712" s="4" t="str">
        <f>HYPERLINK("http://141.218.60.56/~jnz1568/getInfo.php?workbook=08_02.xlsx&amp;sheet=A0&amp;row=712&amp;col=19&amp;number=&amp;sourceID=1","")</f>
        <v/>
      </c>
      <c r="T712" s="4" t="str">
        <f>HYPERLINK("http://141.218.60.56/~jnz1568/getInfo.php?workbook=08_02.xlsx&amp;sheet=A0&amp;row=712&amp;col=20&amp;number=&amp;sourceID=1","")</f>
        <v/>
      </c>
    </row>
    <row r="713" spans="1:20">
      <c r="A713" s="3">
        <v>8</v>
      </c>
      <c r="B713" s="3">
        <v>2</v>
      </c>
      <c r="C713" s="3">
        <v>42</v>
      </c>
      <c r="D713" s="3">
        <v>23</v>
      </c>
      <c r="E713" s="3">
        <f>((1/(INDEX(E0!J$4:J$52,C713,1)-INDEX(E0!J$4:J$52,D713,1))))*100000000</f>
        <v>0</v>
      </c>
      <c r="F713" s="4" t="str">
        <f>HYPERLINK("http://141.218.60.56/~jnz1568/getInfo.php?workbook=08_02.xlsx&amp;sheet=A0&amp;row=713&amp;col=6&amp;number=&amp;sourceID=27","")</f>
        <v/>
      </c>
      <c r="G713" s="4" t="str">
        <f>HYPERLINK("http://141.218.60.56/~jnz1568/getInfo.php?workbook=08_02.xlsx&amp;sheet=A0&amp;row=713&amp;col=7&amp;number=&amp;sourceID=34","")</f>
        <v/>
      </c>
      <c r="H713" s="4" t="str">
        <f>HYPERLINK("http://141.218.60.56/~jnz1568/getInfo.php?workbook=08_02.xlsx&amp;sheet=A0&amp;row=713&amp;col=8&amp;number=&amp;sourceID=34","")</f>
        <v/>
      </c>
      <c r="I713" s="4" t="str">
        <f>HYPERLINK("http://141.218.60.56/~jnz1568/getInfo.php?workbook=08_02.xlsx&amp;sheet=A0&amp;row=713&amp;col=9&amp;number=&amp;sourceID=34","")</f>
        <v/>
      </c>
      <c r="J713" s="4" t="str">
        <f>HYPERLINK("http://141.218.60.56/~jnz1568/getInfo.php?workbook=08_02.xlsx&amp;sheet=A0&amp;row=713&amp;col=10&amp;number=&amp;sourceID=34","")</f>
        <v/>
      </c>
      <c r="K713" s="4" t="str">
        <f>HYPERLINK("http://141.218.60.56/~jnz1568/getInfo.php?workbook=08_02.xlsx&amp;sheet=A0&amp;row=713&amp;col=11&amp;number=5214000000&amp;sourceID=30","5214000000")</f>
        <v>5214000000</v>
      </c>
      <c r="L713" s="4" t="str">
        <f>HYPERLINK("http://141.218.60.56/~jnz1568/getInfo.php?workbook=08_02.xlsx&amp;sheet=A0&amp;row=713&amp;col=12&amp;number=&amp;sourceID=30","")</f>
        <v/>
      </c>
      <c r="M713" s="4" t="str">
        <f>HYPERLINK("http://141.218.60.56/~jnz1568/getInfo.php?workbook=08_02.xlsx&amp;sheet=A0&amp;row=713&amp;col=13&amp;number=&amp;sourceID=30","")</f>
        <v/>
      </c>
      <c r="N713" s="4" t="str">
        <f>HYPERLINK("http://141.218.60.56/~jnz1568/getInfo.php?workbook=08_02.xlsx&amp;sheet=A0&amp;row=713&amp;col=14&amp;number=0.1565&amp;sourceID=30","0.1565")</f>
        <v>0.1565</v>
      </c>
      <c r="O713" s="4" t="str">
        <f>HYPERLINK("http://141.218.60.56/~jnz1568/getInfo.php?workbook=08_02.xlsx&amp;sheet=A0&amp;row=713&amp;col=15&amp;number=5215000000&amp;sourceID=32","5215000000")</f>
        <v>5215000000</v>
      </c>
      <c r="P713" s="4" t="str">
        <f>HYPERLINK("http://141.218.60.56/~jnz1568/getInfo.php?workbook=08_02.xlsx&amp;sheet=A0&amp;row=713&amp;col=16&amp;number=&amp;sourceID=32","")</f>
        <v/>
      </c>
      <c r="Q713" s="4" t="str">
        <f>HYPERLINK("http://141.218.60.56/~jnz1568/getInfo.php?workbook=08_02.xlsx&amp;sheet=A0&amp;row=713&amp;col=17&amp;number=&amp;sourceID=32","")</f>
        <v/>
      </c>
      <c r="R713" s="4" t="str">
        <f>HYPERLINK("http://141.218.60.56/~jnz1568/getInfo.php?workbook=08_02.xlsx&amp;sheet=A0&amp;row=713&amp;col=18&amp;number=0.1567&amp;sourceID=32","0.1567")</f>
        <v>0.1567</v>
      </c>
      <c r="S713" s="4" t="str">
        <f>HYPERLINK("http://141.218.60.56/~jnz1568/getInfo.php?workbook=08_02.xlsx&amp;sheet=A0&amp;row=713&amp;col=19&amp;number=&amp;sourceID=1","")</f>
        <v/>
      </c>
      <c r="T713" s="4" t="str">
        <f>HYPERLINK("http://141.218.60.56/~jnz1568/getInfo.php?workbook=08_02.xlsx&amp;sheet=A0&amp;row=713&amp;col=20&amp;number=&amp;sourceID=1","")</f>
        <v/>
      </c>
    </row>
    <row r="714" spans="1:20">
      <c r="A714" s="3">
        <v>8</v>
      </c>
      <c r="B714" s="3">
        <v>2</v>
      </c>
      <c r="C714" s="3">
        <v>42</v>
      </c>
      <c r="D714" s="3">
        <v>24</v>
      </c>
      <c r="E714" s="3">
        <f>((1/(INDEX(E0!J$4:J$52,C714,1)-INDEX(E0!J$4:J$52,D714,1))))*100000000</f>
        <v>0</v>
      </c>
      <c r="F714" s="4" t="str">
        <f>HYPERLINK("http://141.218.60.56/~jnz1568/getInfo.php?workbook=08_02.xlsx&amp;sheet=A0&amp;row=714&amp;col=6&amp;number=&amp;sourceID=27","")</f>
        <v/>
      </c>
      <c r="G714" s="4" t="str">
        <f>HYPERLINK("http://141.218.60.56/~jnz1568/getInfo.php?workbook=08_02.xlsx&amp;sheet=A0&amp;row=714&amp;col=7&amp;number=&amp;sourceID=34","")</f>
        <v/>
      </c>
      <c r="H714" s="4" t="str">
        <f>HYPERLINK("http://141.218.60.56/~jnz1568/getInfo.php?workbook=08_02.xlsx&amp;sheet=A0&amp;row=714&amp;col=8&amp;number=&amp;sourceID=34","")</f>
        <v/>
      </c>
      <c r="I714" s="4" t="str">
        <f>HYPERLINK("http://141.218.60.56/~jnz1568/getInfo.php?workbook=08_02.xlsx&amp;sheet=A0&amp;row=714&amp;col=9&amp;number=&amp;sourceID=34","")</f>
        <v/>
      </c>
      <c r="J714" s="4" t="str">
        <f>HYPERLINK("http://141.218.60.56/~jnz1568/getInfo.php?workbook=08_02.xlsx&amp;sheet=A0&amp;row=714&amp;col=10&amp;number=&amp;sourceID=34","")</f>
        <v/>
      </c>
      <c r="K714" s="4" t="str">
        <f>HYPERLINK("http://141.218.60.56/~jnz1568/getInfo.php?workbook=08_02.xlsx&amp;sheet=A0&amp;row=714&amp;col=11&amp;number=958000000&amp;sourceID=30","958000000")</f>
        <v>958000000</v>
      </c>
      <c r="L714" s="4" t="str">
        <f>HYPERLINK("http://141.218.60.56/~jnz1568/getInfo.php?workbook=08_02.xlsx&amp;sheet=A0&amp;row=714&amp;col=12&amp;number=&amp;sourceID=30","")</f>
        <v/>
      </c>
      <c r="M714" s="4" t="str">
        <f>HYPERLINK("http://141.218.60.56/~jnz1568/getInfo.php?workbook=08_02.xlsx&amp;sheet=A0&amp;row=714&amp;col=13&amp;number=&amp;sourceID=30","")</f>
        <v/>
      </c>
      <c r="N714" s="4" t="str">
        <f>HYPERLINK("http://141.218.60.56/~jnz1568/getInfo.php?workbook=08_02.xlsx&amp;sheet=A0&amp;row=714&amp;col=14&amp;number=0.04592&amp;sourceID=30","0.04592")</f>
        <v>0.04592</v>
      </c>
      <c r="O714" s="4" t="str">
        <f>HYPERLINK("http://141.218.60.56/~jnz1568/getInfo.php?workbook=08_02.xlsx&amp;sheet=A0&amp;row=714&amp;col=15&amp;number=956200000&amp;sourceID=32","956200000")</f>
        <v>956200000</v>
      </c>
      <c r="P714" s="4" t="str">
        <f>HYPERLINK("http://141.218.60.56/~jnz1568/getInfo.php?workbook=08_02.xlsx&amp;sheet=A0&amp;row=714&amp;col=16&amp;number=&amp;sourceID=32","")</f>
        <v/>
      </c>
      <c r="Q714" s="4" t="str">
        <f>HYPERLINK("http://141.218.60.56/~jnz1568/getInfo.php?workbook=08_02.xlsx&amp;sheet=A0&amp;row=714&amp;col=17&amp;number=&amp;sourceID=32","")</f>
        <v/>
      </c>
      <c r="R714" s="4" t="str">
        <f>HYPERLINK("http://141.218.60.56/~jnz1568/getInfo.php?workbook=08_02.xlsx&amp;sheet=A0&amp;row=714&amp;col=18&amp;number=0.04663&amp;sourceID=32","0.04663")</f>
        <v>0.04663</v>
      </c>
      <c r="S714" s="4" t="str">
        <f>HYPERLINK("http://141.218.60.56/~jnz1568/getInfo.php?workbook=08_02.xlsx&amp;sheet=A0&amp;row=714&amp;col=19&amp;number=&amp;sourceID=1","")</f>
        <v/>
      </c>
      <c r="T714" s="4" t="str">
        <f>HYPERLINK("http://141.218.60.56/~jnz1568/getInfo.php?workbook=08_02.xlsx&amp;sheet=A0&amp;row=714&amp;col=20&amp;number=&amp;sourceID=1","")</f>
        <v/>
      </c>
    </row>
    <row r="715" spans="1:20">
      <c r="A715" s="3">
        <v>8</v>
      </c>
      <c r="B715" s="3">
        <v>2</v>
      </c>
      <c r="C715" s="3">
        <v>42</v>
      </c>
      <c r="D715" s="3">
        <v>25</v>
      </c>
      <c r="E715" s="3">
        <f>((1/(INDEX(E0!J$4:J$52,C715,1)-INDEX(E0!J$4:J$52,D715,1))))*100000000</f>
        <v>0</v>
      </c>
      <c r="F715" s="4" t="str">
        <f>HYPERLINK("http://141.218.60.56/~jnz1568/getInfo.php?workbook=08_02.xlsx&amp;sheet=A0&amp;row=715&amp;col=6&amp;number=&amp;sourceID=27","")</f>
        <v/>
      </c>
      <c r="G715" s="4" t="str">
        <f>HYPERLINK("http://141.218.60.56/~jnz1568/getInfo.php?workbook=08_02.xlsx&amp;sheet=A0&amp;row=715&amp;col=7&amp;number=&amp;sourceID=34","")</f>
        <v/>
      </c>
      <c r="H715" s="4" t="str">
        <f>HYPERLINK("http://141.218.60.56/~jnz1568/getInfo.php?workbook=08_02.xlsx&amp;sheet=A0&amp;row=715&amp;col=8&amp;number=&amp;sourceID=34","")</f>
        <v/>
      </c>
      <c r="I715" s="4" t="str">
        <f>HYPERLINK("http://141.218.60.56/~jnz1568/getInfo.php?workbook=08_02.xlsx&amp;sheet=A0&amp;row=715&amp;col=9&amp;number=&amp;sourceID=34","")</f>
        <v/>
      </c>
      <c r="J715" s="4" t="str">
        <f>HYPERLINK("http://141.218.60.56/~jnz1568/getInfo.php?workbook=08_02.xlsx&amp;sheet=A0&amp;row=715&amp;col=10&amp;number=&amp;sourceID=34","")</f>
        <v/>
      </c>
      <c r="K715" s="4" t="str">
        <f>HYPERLINK("http://141.218.60.56/~jnz1568/getInfo.php?workbook=08_02.xlsx&amp;sheet=A0&amp;row=715&amp;col=11&amp;number=&amp;sourceID=30","")</f>
        <v/>
      </c>
      <c r="L715" s="4" t="str">
        <f>HYPERLINK("http://141.218.60.56/~jnz1568/getInfo.php?workbook=08_02.xlsx&amp;sheet=A0&amp;row=715&amp;col=12&amp;number=257&amp;sourceID=30","257")</f>
        <v>257</v>
      </c>
      <c r="M715" s="4" t="str">
        <f>HYPERLINK("http://141.218.60.56/~jnz1568/getInfo.php?workbook=08_02.xlsx&amp;sheet=A0&amp;row=715&amp;col=13&amp;number=&amp;sourceID=30","")</f>
        <v/>
      </c>
      <c r="N715" s="4" t="str">
        <f>HYPERLINK("http://141.218.60.56/~jnz1568/getInfo.php?workbook=08_02.xlsx&amp;sheet=A0&amp;row=715&amp;col=14&amp;number=&amp;sourceID=30","")</f>
        <v/>
      </c>
      <c r="O715" s="4" t="str">
        <f>HYPERLINK("http://141.218.60.56/~jnz1568/getInfo.php?workbook=08_02.xlsx&amp;sheet=A0&amp;row=715&amp;col=15&amp;number=&amp;sourceID=32","")</f>
        <v/>
      </c>
      <c r="P715" s="4" t="str">
        <f>HYPERLINK("http://141.218.60.56/~jnz1568/getInfo.php?workbook=08_02.xlsx&amp;sheet=A0&amp;row=715&amp;col=16&amp;number=&amp;sourceID=32","")</f>
        <v/>
      </c>
      <c r="Q715" s="4" t="str">
        <f>HYPERLINK("http://141.218.60.56/~jnz1568/getInfo.php?workbook=08_02.xlsx&amp;sheet=A0&amp;row=715&amp;col=17&amp;number=&amp;sourceID=32","")</f>
        <v/>
      </c>
      <c r="R715" s="4" t="str">
        <f>HYPERLINK("http://141.218.60.56/~jnz1568/getInfo.php?workbook=08_02.xlsx&amp;sheet=A0&amp;row=715&amp;col=18&amp;number=&amp;sourceID=32","")</f>
        <v/>
      </c>
      <c r="S715" s="4" t="str">
        <f>HYPERLINK("http://141.218.60.56/~jnz1568/getInfo.php?workbook=08_02.xlsx&amp;sheet=A0&amp;row=715&amp;col=19&amp;number=&amp;sourceID=1","")</f>
        <v/>
      </c>
      <c r="T715" s="4" t="str">
        <f>HYPERLINK("http://141.218.60.56/~jnz1568/getInfo.php?workbook=08_02.xlsx&amp;sheet=A0&amp;row=715&amp;col=20&amp;number=&amp;sourceID=1","")</f>
        <v/>
      </c>
    </row>
    <row r="716" spans="1:20">
      <c r="A716" s="3">
        <v>8</v>
      </c>
      <c r="B716" s="3">
        <v>2</v>
      </c>
      <c r="C716" s="3">
        <v>42</v>
      </c>
      <c r="D716" s="3">
        <v>26</v>
      </c>
      <c r="E716" s="3">
        <f>((1/(INDEX(E0!J$4:J$52,C716,1)-INDEX(E0!J$4:J$52,D716,1))))*100000000</f>
        <v>0</v>
      </c>
      <c r="F716" s="4" t="str">
        <f>HYPERLINK("http://141.218.60.56/~jnz1568/getInfo.php?workbook=08_02.xlsx&amp;sheet=A0&amp;row=716&amp;col=6&amp;number=&amp;sourceID=27","")</f>
        <v/>
      </c>
      <c r="G716" s="4" t="str">
        <f>HYPERLINK("http://141.218.60.56/~jnz1568/getInfo.php?workbook=08_02.xlsx&amp;sheet=A0&amp;row=716&amp;col=7&amp;number=&amp;sourceID=34","")</f>
        <v/>
      </c>
      <c r="H716" s="4" t="str">
        <f>HYPERLINK("http://141.218.60.56/~jnz1568/getInfo.php?workbook=08_02.xlsx&amp;sheet=A0&amp;row=716&amp;col=8&amp;number=&amp;sourceID=34","")</f>
        <v/>
      </c>
      <c r="I716" s="4" t="str">
        <f>HYPERLINK("http://141.218.60.56/~jnz1568/getInfo.php?workbook=08_02.xlsx&amp;sheet=A0&amp;row=716&amp;col=9&amp;number=&amp;sourceID=34","")</f>
        <v/>
      </c>
      <c r="J716" s="4" t="str">
        <f>HYPERLINK("http://141.218.60.56/~jnz1568/getInfo.php?workbook=08_02.xlsx&amp;sheet=A0&amp;row=716&amp;col=10&amp;number=&amp;sourceID=34","")</f>
        <v/>
      </c>
      <c r="K716" s="4" t="str">
        <f>HYPERLINK("http://141.218.60.56/~jnz1568/getInfo.php?workbook=08_02.xlsx&amp;sheet=A0&amp;row=716&amp;col=11&amp;number=27580000&amp;sourceID=30","27580000")</f>
        <v>27580000</v>
      </c>
      <c r="L716" s="4" t="str">
        <f>HYPERLINK("http://141.218.60.56/~jnz1568/getInfo.php?workbook=08_02.xlsx&amp;sheet=A0&amp;row=716&amp;col=12&amp;number=&amp;sourceID=30","")</f>
        <v/>
      </c>
      <c r="M716" s="4" t="str">
        <f>HYPERLINK("http://141.218.60.56/~jnz1568/getInfo.php?workbook=08_02.xlsx&amp;sheet=A0&amp;row=716&amp;col=13&amp;number=&amp;sourceID=30","")</f>
        <v/>
      </c>
      <c r="N716" s="4" t="str">
        <f>HYPERLINK("http://141.218.60.56/~jnz1568/getInfo.php?workbook=08_02.xlsx&amp;sheet=A0&amp;row=716&amp;col=14&amp;number=1.011e-10&amp;sourceID=30","1.011e-10")</f>
        <v>1.011e-10</v>
      </c>
      <c r="O716" s="4" t="str">
        <f>HYPERLINK("http://141.218.60.56/~jnz1568/getInfo.php?workbook=08_02.xlsx&amp;sheet=A0&amp;row=716&amp;col=15&amp;number=27580000&amp;sourceID=32","27580000")</f>
        <v>27580000</v>
      </c>
      <c r="P716" s="4" t="str">
        <f>HYPERLINK("http://141.218.60.56/~jnz1568/getInfo.php?workbook=08_02.xlsx&amp;sheet=A0&amp;row=716&amp;col=16&amp;number=&amp;sourceID=32","")</f>
        <v/>
      </c>
      <c r="Q716" s="4" t="str">
        <f>HYPERLINK("http://141.218.60.56/~jnz1568/getInfo.php?workbook=08_02.xlsx&amp;sheet=A0&amp;row=716&amp;col=17&amp;number=&amp;sourceID=32","")</f>
        <v/>
      </c>
      <c r="R716" s="4" t="str">
        <f>HYPERLINK("http://141.218.60.56/~jnz1568/getInfo.php?workbook=08_02.xlsx&amp;sheet=A0&amp;row=716&amp;col=18&amp;number=7.118e-12&amp;sourceID=32","7.118e-12")</f>
        <v>7.118e-12</v>
      </c>
      <c r="S716" s="4" t="str">
        <f>HYPERLINK("http://141.218.60.56/~jnz1568/getInfo.php?workbook=08_02.xlsx&amp;sheet=A0&amp;row=716&amp;col=19&amp;number=&amp;sourceID=1","")</f>
        <v/>
      </c>
      <c r="T716" s="4" t="str">
        <f>HYPERLINK("http://141.218.60.56/~jnz1568/getInfo.php?workbook=08_02.xlsx&amp;sheet=A0&amp;row=716&amp;col=20&amp;number=&amp;sourceID=1","")</f>
        <v/>
      </c>
    </row>
    <row r="717" spans="1:20">
      <c r="A717" s="3">
        <v>8</v>
      </c>
      <c r="B717" s="3">
        <v>2</v>
      </c>
      <c r="C717" s="3">
        <v>42</v>
      </c>
      <c r="D717" s="3">
        <v>27</v>
      </c>
      <c r="E717" s="3">
        <f>((1/(INDEX(E0!J$4:J$52,C717,1)-INDEX(E0!J$4:J$52,D717,1))))*100000000</f>
        <v>0</v>
      </c>
      <c r="F717" s="4" t="str">
        <f>HYPERLINK("http://141.218.60.56/~jnz1568/getInfo.php?workbook=08_02.xlsx&amp;sheet=A0&amp;row=717&amp;col=6&amp;number=&amp;sourceID=27","")</f>
        <v/>
      </c>
      <c r="G717" s="4" t="str">
        <f>HYPERLINK("http://141.218.60.56/~jnz1568/getInfo.php?workbook=08_02.xlsx&amp;sheet=A0&amp;row=717&amp;col=7&amp;number=&amp;sourceID=34","")</f>
        <v/>
      </c>
      <c r="H717" s="4" t="str">
        <f>HYPERLINK("http://141.218.60.56/~jnz1568/getInfo.php?workbook=08_02.xlsx&amp;sheet=A0&amp;row=717&amp;col=8&amp;number=&amp;sourceID=34","")</f>
        <v/>
      </c>
      <c r="I717" s="4" t="str">
        <f>HYPERLINK("http://141.218.60.56/~jnz1568/getInfo.php?workbook=08_02.xlsx&amp;sheet=A0&amp;row=717&amp;col=9&amp;number=&amp;sourceID=34","")</f>
        <v/>
      </c>
      <c r="J717" s="4" t="str">
        <f>HYPERLINK("http://141.218.60.56/~jnz1568/getInfo.php?workbook=08_02.xlsx&amp;sheet=A0&amp;row=717&amp;col=10&amp;number=&amp;sourceID=34","")</f>
        <v/>
      </c>
      <c r="K717" s="4" t="str">
        <f>HYPERLINK("http://141.218.60.56/~jnz1568/getInfo.php?workbook=08_02.xlsx&amp;sheet=A0&amp;row=717&amp;col=11&amp;number=&amp;sourceID=30","")</f>
        <v/>
      </c>
      <c r="L717" s="4" t="str">
        <f>HYPERLINK("http://141.218.60.56/~jnz1568/getInfo.php?workbook=08_02.xlsx&amp;sheet=A0&amp;row=717&amp;col=12&amp;number=3320&amp;sourceID=30","3320")</f>
        <v>3320</v>
      </c>
      <c r="M717" s="4" t="str">
        <f>HYPERLINK("http://141.218.60.56/~jnz1568/getInfo.php?workbook=08_02.xlsx&amp;sheet=A0&amp;row=717&amp;col=13&amp;number=8.906e-05&amp;sourceID=30","8.906e-05")</f>
        <v>8.906e-05</v>
      </c>
      <c r="N717" s="4" t="str">
        <f>HYPERLINK("http://141.218.60.56/~jnz1568/getInfo.php?workbook=08_02.xlsx&amp;sheet=A0&amp;row=717&amp;col=14&amp;number=&amp;sourceID=30","")</f>
        <v/>
      </c>
      <c r="O717" s="4" t="str">
        <f>HYPERLINK("http://141.218.60.56/~jnz1568/getInfo.php?workbook=08_02.xlsx&amp;sheet=A0&amp;row=717&amp;col=15&amp;number=&amp;sourceID=32","")</f>
        <v/>
      </c>
      <c r="P717" s="4" t="str">
        <f>HYPERLINK("http://141.218.60.56/~jnz1568/getInfo.php?workbook=08_02.xlsx&amp;sheet=A0&amp;row=717&amp;col=16&amp;number=3274&amp;sourceID=32","3274")</f>
        <v>3274</v>
      </c>
      <c r="Q717" s="4" t="str">
        <f>HYPERLINK("http://141.218.60.56/~jnz1568/getInfo.php?workbook=08_02.xlsx&amp;sheet=A0&amp;row=717&amp;col=17&amp;number=9.551e-05&amp;sourceID=32","9.551e-05")</f>
        <v>9.551e-05</v>
      </c>
      <c r="R717" s="4" t="str">
        <f>HYPERLINK("http://141.218.60.56/~jnz1568/getInfo.php?workbook=08_02.xlsx&amp;sheet=A0&amp;row=717&amp;col=18&amp;number=&amp;sourceID=32","")</f>
        <v/>
      </c>
      <c r="S717" s="4" t="str">
        <f>HYPERLINK("http://141.218.60.56/~jnz1568/getInfo.php?workbook=08_02.xlsx&amp;sheet=A0&amp;row=717&amp;col=19&amp;number=&amp;sourceID=1","")</f>
        <v/>
      </c>
      <c r="T717" s="4" t="str">
        <f>HYPERLINK("http://141.218.60.56/~jnz1568/getInfo.php?workbook=08_02.xlsx&amp;sheet=A0&amp;row=717&amp;col=20&amp;number=&amp;sourceID=1","")</f>
        <v/>
      </c>
    </row>
    <row r="718" spans="1:20">
      <c r="A718" s="3">
        <v>8</v>
      </c>
      <c r="B718" s="3">
        <v>2</v>
      </c>
      <c r="C718" s="3">
        <v>42</v>
      </c>
      <c r="D718" s="3">
        <v>28</v>
      </c>
      <c r="E718" s="3">
        <f>((1/(INDEX(E0!J$4:J$52,C718,1)-INDEX(E0!J$4:J$52,D718,1))))*100000000</f>
        <v>0</v>
      </c>
      <c r="F718" s="4" t="str">
        <f>HYPERLINK("http://141.218.60.56/~jnz1568/getInfo.php?workbook=08_02.xlsx&amp;sheet=A0&amp;row=718&amp;col=6&amp;number=&amp;sourceID=27","")</f>
        <v/>
      </c>
      <c r="G718" s="4" t="str">
        <f>HYPERLINK("http://141.218.60.56/~jnz1568/getInfo.php?workbook=08_02.xlsx&amp;sheet=A0&amp;row=718&amp;col=7&amp;number=&amp;sourceID=34","")</f>
        <v/>
      </c>
      <c r="H718" s="4" t="str">
        <f>HYPERLINK("http://141.218.60.56/~jnz1568/getInfo.php?workbook=08_02.xlsx&amp;sheet=A0&amp;row=718&amp;col=8&amp;number=&amp;sourceID=34","")</f>
        <v/>
      </c>
      <c r="I718" s="4" t="str">
        <f>HYPERLINK("http://141.218.60.56/~jnz1568/getInfo.php?workbook=08_02.xlsx&amp;sheet=A0&amp;row=718&amp;col=9&amp;number=&amp;sourceID=34","")</f>
        <v/>
      </c>
      <c r="J718" s="4" t="str">
        <f>HYPERLINK("http://141.218.60.56/~jnz1568/getInfo.php?workbook=08_02.xlsx&amp;sheet=A0&amp;row=718&amp;col=10&amp;number=&amp;sourceID=34","")</f>
        <v/>
      </c>
      <c r="K718" s="4" t="str">
        <f>HYPERLINK("http://141.218.60.56/~jnz1568/getInfo.php?workbook=08_02.xlsx&amp;sheet=A0&amp;row=718&amp;col=11&amp;number=&amp;sourceID=30","")</f>
        <v/>
      </c>
      <c r="L718" s="4" t="str">
        <f>HYPERLINK("http://141.218.60.56/~jnz1568/getInfo.php?workbook=08_02.xlsx&amp;sheet=A0&amp;row=718&amp;col=12&amp;number=12340&amp;sourceID=30","12340")</f>
        <v>12340</v>
      </c>
      <c r="M718" s="4" t="str">
        <f>HYPERLINK("http://141.218.60.56/~jnz1568/getInfo.php?workbook=08_02.xlsx&amp;sheet=A0&amp;row=718&amp;col=13&amp;number=0.000338&amp;sourceID=30","0.000338")</f>
        <v>0.000338</v>
      </c>
      <c r="N718" s="4" t="str">
        <f>HYPERLINK("http://141.218.60.56/~jnz1568/getInfo.php?workbook=08_02.xlsx&amp;sheet=A0&amp;row=718&amp;col=14&amp;number=&amp;sourceID=30","")</f>
        <v/>
      </c>
      <c r="O718" s="4" t="str">
        <f>HYPERLINK("http://141.218.60.56/~jnz1568/getInfo.php?workbook=08_02.xlsx&amp;sheet=A0&amp;row=718&amp;col=15&amp;number=&amp;sourceID=32","")</f>
        <v/>
      </c>
      <c r="P718" s="4" t="str">
        <f>HYPERLINK("http://141.218.60.56/~jnz1568/getInfo.php?workbook=08_02.xlsx&amp;sheet=A0&amp;row=718&amp;col=16&amp;number=12340&amp;sourceID=32","12340")</f>
        <v>12340</v>
      </c>
      <c r="Q718" s="4" t="str">
        <f>HYPERLINK("http://141.218.60.56/~jnz1568/getInfo.php?workbook=08_02.xlsx&amp;sheet=A0&amp;row=718&amp;col=17&amp;number=0.0003603&amp;sourceID=32","0.0003603")</f>
        <v>0.0003603</v>
      </c>
      <c r="R718" s="4" t="str">
        <f>HYPERLINK("http://141.218.60.56/~jnz1568/getInfo.php?workbook=08_02.xlsx&amp;sheet=A0&amp;row=718&amp;col=18&amp;number=&amp;sourceID=32","")</f>
        <v/>
      </c>
      <c r="S718" s="4" t="str">
        <f>HYPERLINK("http://141.218.60.56/~jnz1568/getInfo.php?workbook=08_02.xlsx&amp;sheet=A0&amp;row=718&amp;col=19&amp;number=&amp;sourceID=1","")</f>
        <v/>
      </c>
      <c r="T718" s="4" t="str">
        <f>HYPERLINK("http://141.218.60.56/~jnz1568/getInfo.php?workbook=08_02.xlsx&amp;sheet=A0&amp;row=718&amp;col=20&amp;number=&amp;sourceID=1","")</f>
        <v/>
      </c>
    </row>
    <row r="719" spans="1:20">
      <c r="A719" s="3">
        <v>8</v>
      </c>
      <c r="B719" s="3">
        <v>2</v>
      </c>
      <c r="C719" s="3">
        <v>42</v>
      </c>
      <c r="D719" s="3">
        <v>29</v>
      </c>
      <c r="E719" s="3">
        <f>((1/(INDEX(E0!J$4:J$52,C719,1)-INDEX(E0!J$4:J$52,D719,1))))*100000000</f>
        <v>0</v>
      </c>
      <c r="F719" s="4" t="str">
        <f>HYPERLINK("http://141.218.60.56/~jnz1568/getInfo.php?workbook=08_02.xlsx&amp;sheet=A0&amp;row=719&amp;col=6&amp;number=&amp;sourceID=27","")</f>
        <v/>
      </c>
      <c r="G719" s="4" t="str">
        <f>HYPERLINK("http://141.218.60.56/~jnz1568/getInfo.php?workbook=08_02.xlsx&amp;sheet=A0&amp;row=719&amp;col=7&amp;number=&amp;sourceID=34","")</f>
        <v/>
      </c>
      <c r="H719" s="4" t="str">
        <f>HYPERLINK("http://141.218.60.56/~jnz1568/getInfo.php?workbook=08_02.xlsx&amp;sheet=A0&amp;row=719&amp;col=8&amp;number=&amp;sourceID=34","")</f>
        <v/>
      </c>
      <c r="I719" s="4" t="str">
        <f>HYPERLINK("http://141.218.60.56/~jnz1568/getInfo.php?workbook=08_02.xlsx&amp;sheet=A0&amp;row=719&amp;col=9&amp;number=&amp;sourceID=34","")</f>
        <v/>
      </c>
      <c r="J719" s="4" t="str">
        <f>HYPERLINK("http://141.218.60.56/~jnz1568/getInfo.php?workbook=08_02.xlsx&amp;sheet=A0&amp;row=719&amp;col=10&amp;number=&amp;sourceID=34","")</f>
        <v/>
      </c>
      <c r="K719" s="4" t="str">
        <f>HYPERLINK("http://141.218.60.56/~jnz1568/getInfo.php?workbook=08_02.xlsx&amp;sheet=A0&amp;row=719&amp;col=11&amp;number=7508000&amp;sourceID=30","7508000")</f>
        <v>7508000</v>
      </c>
      <c r="L719" s="4" t="str">
        <f>HYPERLINK("http://141.218.60.56/~jnz1568/getInfo.php?workbook=08_02.xlsx&amp;sheet=A0&amp;row=719&amp;col=12&amp;number=&amp;sourceID=30","")</f>
        <v/>
      </c>
      <c r="M719" s="4" t="str">
        <f>HYPERLINK("http://141.218.60.56/~jnz1568/getInfo.php?workbook=08_02.xlsx&amp;sheet=A0&amp;row=719&amp;col=13&amp;number=&amp;sourceID=30","")</f>
        <v/>
      </c>
      <c r="N719" s="4" t="str">
        <f>HYPERLINK("http://141.218.60.56/~jnz1568/getInfo.php?workbook=08_02.xlsx&amp;sheet=A0&amp;row=719&amp;col=14&amp;number=0.02109&amp;sourceID=30","0.02109")</f>
        <v>0.02109</v>
      </c>
      <c r="O719" s="4" t="str">
        <f>HYPERLINK("http://141.218.60.56/~jnz1568/getInfo.php?workbook=08_02.xlsx&amp;sheet=A0&amp;row=719&amp;col=15&amp;number=9448000&amp;sourceID=32","9448000")</f>
        <v>9448000</v>
      </c>
      <c r="P719" s="4" t="str">
        <f>HYPERLINK("http://141.218.60.56/~jnz1568/getInfo.php?workbook=08_02.xlsx&amp;sheet=A0&amp;row=719&amp;col=16&amp;number=&amp;sourceID=32","")</f>
        <v/>
      </c>
      <c r="Q719" s="4" t="str">
        <f>HYPERLINK("http://141.218.60.56/~jnz1568/getInfo.php?workbook=08_02.xlsx&amp;sheet=A0&amp;row=719&amp;col=17&amp;number=&amp;sourceID=32","")</f>
        <v/>
      </c>
      <c r="R719" s="4" t="str">
        <f>HYPERLINK("http://141.218.60.56/~jnz1568/getInfo.php?workbook=08_02.xlsx&amp;sheet=A0&amp;row=719&amp;col=18&amp;number=0.02044&amp;sourceID=32","0.02044")</f>
        <v>0.02044</v>
      </c>
      <c r="S719" s="4" t="str">
        <f>HYPERLINK("http://141.218.60.56/~jnz1568/getInfo.php?workbook=08_02.xlsx&amp;sheet=A0&amp;row=719&amp;col=19&amp;number=&amp;sourceID=1","")</f>
        <v/>
      </c>
      <c r="T719" s="4" t="str">
        <f>HYPERLINK("http://141.218.60.56/~jnz1568/getInfo.php?workbook=08_02.xlsx&amp;sheet=A0&amp;row=719&amp;col=20&amp;number=&amp;sourceID=1","")</f>
        <v/>
      </c>
    </row>
    <row r="720" spans="1:20">
      <c r="A720" s="3">
        <v>8</v>
      </c>
      <c r="B720" s="3">
        <v>2</v>
      </c>
      <c r="C720" s="3">
        <v>42</v>
      </c>
      <c r="D720" s="3">
        <v>30</v>
      </c>
      <c r="E720" s="3">
        <f>((1/(INDEX(E0!J$4:J$52,C720,1)-INDEX(E0!J$4:J$52,D720,1))))*100000000</f>
        <v>0</v>
      </c>
      <c r="F720" s="4" t="str">
        <f>HYPERLINK("http://141.218.60.56/~jnz1568/getInfo.php?workbook=08_02.xlsx&amp;sheet=A0&amp;row=720&amp;col=6&amp;number=&amp;sourceID=27","")</f>
        <v/>
      </c>
      <c r="G720" s="4" t="str">
        <f>HYPERLINK("http://141.218.60.56/~jnz1568/getInfo.php?workbook=08_02.xlsx&amp;sheet=A0&amp;row=720&amp;col=7&amp;number=&amp;sourceID=34","")</f>
        <v/>
      </c>
      <c r="H720" s="4" t="str">
        <f>HYPERLINK("http://141.218.60.56/~jnz1568/getInfo.php?workbook=08_02.xlsx&amp;sheet=A0&amp;row=720&amp;col=8&amp;number=&amp;sourceID=34","")</f>
        <v/>
      </c>
      <c r="I720" s="4" t="str">
        <f>HYPERLINK("http://141.218.60.56/~jnz1568/getInfo.php?workbook=08_02.xlsx&amp;sheet=A0&amp;row=720&amp;col=9&amp;number=&amp;sourceID=34","")</f>
        <v/>
      </c>
      <c r="J720" s="4" t="str">
        <f>HYPERLINK("http://141.218.60.56/~jnz1568/getInfo.php?workbook=08_02.xlsx&amp;sheet=A0&amp;row=720&amp;col=10&amp;number=&amp;sourceID=34","")</f>
        <v/>
      </c>
      <c r="K720" s="4" t="str">
        <f>HYPERLINK("http://141.218.60.56/~jnz1568/getInfo.php?workbook=08_02.xlsx&amp;sheet=A0&amp;row=720&amp;col=11&amp;number=&amp;sourceID=30","")</f>
        <v/>
      </c>
      <c r="L720" s="4" t="str">
        <f>HYPERLINK("http://141.218.60.56/~jnz1568/getInfo.php?workbook=08_02.xlsx&amp;sheet=A0&amp;row=720&amp;col=12&amp;number=2080&amp;sourceID=30","2080")</f>
        <v>2080</v>
      </c>
      <c r="M720" s="4" t="str">
        <f>HYPERLINK("http://141.218.60.56/~jnz1568/getInfo.php?workbook=08_02.xlsx&amp;sheet=A0&amp;row=720&amp;col=13&amp;number=0.0003361&amp;sourceID=30","0.0003361")</f>
        <v>0.0003361</v>
      </c>
      <c r="N720" s="4" t="str">
        <f>HYPERLINK("http://141.218.60.56/~jnz1568/getInfo.php?workbook=08_02.xlsx&amp;sheet=A0&amp;row=720&amp;col=14&amp;number=&amp;sourceID=30","")</f>
        <v/>
      </c>
      <c r="O720" s="4" t="str">
        <f>HYPERLINK("http://141.218.60.56/~jnz1568/getInfo.php?workbook=08_02.xlsx&amp;sheet=A0&amp;row=720&amp;col=15&amp;number=&amp;sourceID=32","")</f>
        <v/>
      </c>
      <c r="P720" s="4" t="str">
        <f>HYPERLINK("http://141.218.60.56/~jnz1568/getInfo.php?workbook=08_02.xlsx&amp;sheet=A0&amp;row=720&amp;col=16&amp;number=2126&amp;sourceID=32","2126")</f>
        <v>2126</v>
      </c>
      <c r="Q720" s="4" t="str">
        <f>HYPERLINK("http://141.218.60.56/~jnz1568/getInfo.php?workbook=08_02.xlsx&amp;sheet=A0&amp;row=720&amp;col=17&amp;number=0.0003154&amp;sourceID=32","0.0003154")</f>
        <v>0.0003154</v>
      </c>
      <c r="R720" s="4" t="str">
        <f>HYPERLINK("http://141.218.60.56/~jnz1568/getInfo.php?workbook=08_02.xlsx&amp;sheet=A0&amp;row=720&amp;col=18&amp;number=&amp;sourceID=32","")</f>
        <v/>
      </c>
      <c r="S720" s="4" t="str">
        <f>HYPERLINK("http://141.218.60.56/~jnz1568/getInfo.php?workbook=08_02.xlsx&amp;sheet=A0&amp;row=720&amp;col=19&amp;number=&amp;sourceID=1","")</f>
        <v/>
      </c>
      <c r="T720" s="4" t="str">
        <f>HYPERLINK("http://141.218.60.56/~jnz1568/getInfo.php?workbook=08_02.xlsx&amp;sheet=A0&amp;row=720&amp;col=20&amp;number=&amp;sourceID=1","")</f>
        <v/>
      </c>
    </row>
    <row r="721" spans="1:20">
      <c r="A721" s="3">
        <v>8</v>
      </c>
      <c r="B721" s="3">
        <v>2</v>
      </c>
      <c r="C721" s="3">
        <v>42</v>
      </c>
      <c r="D721" s="3">
        <v>31</v>
      </c>
      <c r="E721" s="3">
        <f>((1/(INDEX(E0!J$4:J$52,C721,1)-INDEX(E0!J$4:J$52,D721,1))))*100000000</f>
        <v>0</v>
      </c>
      <c r="F721" s="4" t="str">
        <f>HYPERLINK("http://141.218.60.56/~jnz1568/getInfo.php?workbook=08_02.xlsx&amp;sheet=A0&amp;row=721&amp;col=6&amp;number=&amp;sourceID=27","")</f>
        <v/>
      </c>
      <c r="G721" s="4" t="str">
        <f>HYPERLINK("http://141.218.60.56/~jnz1568/getInfo.php?workbook=08_02.xlsx&amp;sheet=A0&amp;row=721&amp;col=7&amp;number=&amp;sourceID=34","")</f>
        <v/>
      </c>
      <c r="H721" s="4" t="str">
        <f>HYPERLINK("http://141.218.60.56/~jnz1568/getInfo.php?workbook=08_02.xlsx&amp;sheet=A0&amp;row=721&amp;col=8&amp;number=&amp;sourceID=34","")</f>
        <v/>
      </c>
      <c r="I721" s="4" t="str">
        <f>HYPERLINK("http://141.218.60.56/~jnz1568/getInfo.php?workbook=08_02.xlsx&amp;sheet=A0&amp;row=721&amp;col=9&amp;number=&amp;sourceID=34","")</f>
        <v/>
      </c>
      <c r="J721" s="4" t="str">
        <f>HYPERLINK("http://141.218.60.56/~jnz1568/getInfo.php?workbook=08_02.xlsx&amp;sheet=A0&amp;row=721&amp;col=10&amp;number=&amp;sourceID=34","")</f>
        <v/>
      </c>
      <c r="K721" s="4" t="str">
        <f>HYPERLINK("http://141.218.60.56/~jnz1568/getInfo.php?workbook=08_02.xlsx&amp;sheet=A0&amp;row=721&amp;col=11&amp;number=&amp;sourceID=30","")</f>
        <v/>
      </c>
      <c r="L721" s="4" t="str">
        <f>HYPERLINK("http://141.218.60.56/~jnz1568/getInfo.php?workbook=08_02.xlsx&amp;sheet=A0&amp;row=721&amp;col=12&amp;number=8.036&amp;sourceID=30","8.036")</f>
        <v>8.036</v>
      </c>
      <c r="M721" s="4" t="str">
        <f>HYPERLINK("http://141.218.60.56/~jnz1568/getInfo.php?workbook=08_02.xlsx&amp;sheet=A0&amp;row=721&amp;col=13&amp;number=6.226e-06&amp;sourceID=30","6.226e-06")</f>
        <v>6.226e-06</v>
      </c>
      <c r="N721" s="4" t="str">
        <f>HYPERLINK("http://141.218.60.56/~jnz1568/getInfo.php?workbook=08_02.xlsx&amp;sheet=A0&amp;row=721&amp;col=14&amp;number=&amp;sourceID=30","")</f>
        <v/>
      </c>
      <c r="O721" s="4" t="str">
        <f>HYPERLINK("http://141.218.60.56/~jnz1568/getInfo.php?workbook=08_02.xlsx&amp;sheet=A0&amp;row=721&amp;col=15&amp;number=&amp;sourceID=32","")</f>
        <v/>
      </c>
      <c r="P721" s="4" t="str">
        <f>HYPERLINK("http://141.218.60.56/~jnz1568/getInfo.php?workbook=08_02.xlsx&amp;sheet=A0&amp;row=721&amp;col=16&amp;number=8.925&amp;sourceID=32","8.925")</f>
        <v>8.925</v>
      </c>
      <c r="Q721" s="4" t="str">
        <f>HYPERLINK("http://141.218.60.56/~jnz1568/getInfo.php?workbook=08_02.xlsx&amp;sheet=A0&amp;row=721&amp;col=17&amp;number=9.689e-06&amp;sourceID=32","9.689e-06")</f>
        <v>9.689e-06</v>
      </c>
      <c r="R721" s="4" t="str">
        <f>HYPERLINK("http://141.218.60.56/~jnz1568/getInfo.php?workbook=08_02.xlsx&amp;sheet=A0&amp;row=721&amp;col=18&amp;number=&amp;sourceID=32","")</f>
        <v/>
      </c>
      <c r="S721" s="4" t="str">
        <f>HYPERLINK("http://141.218.60.56/~jnz1568/getInfo.php?workbook=08_02.xlsx&amp;sheet=A0&amp;row=721&amp;col=19&amp;number=&amp;sourceID=1","")</f>
        <v/>
      </c>
      <c r="T721" s="4" t="str">
        <f>HYPERLINK("http://141.218.60.56/~jnz1568/getInfo.php?workbook=08_02.xlsx&amp;sheet=A0&amp;row=721&amp;col=20&amp;number=&amp;sourceID=1","")</f>
        <v/>
      </c>
    </row>
    <row r="722" spans="1:20">
      <c r="A722" s="3">
        <v>8</v>
      </c>
      <c r="B722" s="3">
        <v>2</v>
      </c>
      <c r="C722" s="3">
        <v>42</v>
      </c>
      <c r="D722" s="3">
        <v>32</v>
      </c>
      <c r="E722" s="3">
        <f>((1/(INDEX(E0!J$4:J$52,C722,1)-INDEX(E0!J$4:J$52,D722,1))))*100000000</f>
        <v>0</v>
      </c>
      <c r="F722" s="4" t="str">
        <f>HYPERLINK("http://141.218.60.56/~jnz1568/getInfo.php?workbook=08_02.xlsx&amp;sheet=A0&amp;row=722&amp;col=6&amp;number=&amp;sourceID=27","")</f>
        <v/>
      </c>
      <c r="G722" s="4" t="str">
        <f>HYPERLINK("http://141.218.60.56/~jnz1568/getInfo.php?workbook=08_02.xlsx&amp;sheet=A0&amp;row=722&amp;col=7&amp;number=&amp;sourceID=34","")</f>
        <v/>
      </c>
      <c r="H722" s="4" t="str">
        <f>HYPERLINK("http://141.218.60.56/~jnz1568/getInfo.php?workbook=08_02.xlsx&amp;sheet=A0&amp;row=722&amp;col=8&amp;number=&amp;sourceID=34","")</f>
        <v/>
      </c>
      <c r="I722" s="4" t="str">
        <f>HYPERLINK("http://141.218.60.56/~jnz1568/getInfo.php?workbook=08_02.xlsx&amp;sheet=A0&amp;row=722&amp;col=9&amp;number=&amp;sourceID=34","")</f>
        <v/>
      </c>
      <c r="J722" s="4" t="str">
        <f>HYPERLINK("http://141.218.60.56/~jnz1568/getInfo.php?workbook=08_02.xlsx&amp;sheet=A0&amp;row=722&amp;col=10&amp;number=&amp;sourceID=34","")</f>
        <v/>
      </c>
      <c r="K722" s="4" t="str">
        <f>HYPERLINK("http://141.218.60.56/~jnz1568/getInfo.php?workbook=08_02.xlsx&amp;sheet=A0&amp;row=722&amp;col=11&amp;number=0.03779&amp;sourceID=30","0.03779")</f>
        <v>0.03779</v>
      </c>
      <c r="L722" s="4" t="str">
        <f>HYPERLINK("http://141.218.60.56/~jnz1568/getInfo.php?workbook=08_02.xlsx&amp;sheet=A0&amp;row=722&amp;col=12&amp;number=&amp;sourceID=30","")</f>
        <v/>
      </c>
      <c r="M722" s="4" t="str">
        <f>HYPERLINK("http://141.218.60.56/~jnz1568/getInfo.php?workbook=08_02.xlsx&amp;sheet=A0&amp;row=722&amp;col=13&amp;number=&amp;sourceID=30","")</f>
        <v/>
      </c>
      <c r="N722" s="4" t="str">
        <f>HYPERLINK("http://141.218.60.56/~jnz1568/getInfo.php?workbook=08_02.xlsx&amp;sheet=A0&amp;row=722&amp;col=14&amp;number=1e-15&amp;sourceID=30","1e-15")</f>
        <v>1e-15</v>
      </c>
      <c r="O722" s="4" t="str">
        <f>HYPERLINK("http://141.218.60.56/~jnz1568/getInfo.php?workbook=08_02.xlsx&amp;sheet=A0&amp;row=722&amp;col=15&amp;number=0.04008&amp;sourceID=32","0.04008")</f>
        <v>0.04008</v>
      </c>
      <c r="P722" s="4" t="str">
        <f>HYPERLINK("http://141.218.60.56/~jnz1568/getInfo.php?workbook=08_02.xlsx&amp;sheet=A0&amp;row=722&amp;col=16&amp;number=&amp;sourceID=32","")</f>
        <v/>
      </c>
      <c r="Q722" s="4" t="str">
        <f>HYPERLINK("http://141.218.60.56/~jnz1568/getInfo.php?workbook=08_02.xlsx&amp;sheet=A0&amp;row=722&amp;col=17&amp;number=&amp;sourceID=32","")</f>
        <v/>
      </c>
      <c r="R722" s="4" t="str">
        <f>HYPERLINK("http://141.218.60.56/~jnz1568/getInfo.php?workbook=08_02.xlsx&amp;sheet=A0&amp;row=722&amp;col=18&amp;number=1e-15&amp;sourceID=32","1e-15")</f>
        <v>1e-15</v>
      </c>
      <c r="S722" s="4" t="str">
        <f>HYPERLINK("http://141.218.60.56/~jnz1568/getInfo.php?workbook=08_02.xlsx&amp;sheet=A0&amp;row=722&amp;col=19&amp;number=&amp;sourceID=1","")</f>
        <v/>
      </c>
      <c r="T722" s="4" t="str">
        <f>HYPERLINK("http://141.218.60.56/~jnz1568/getInfo.php?workbook=08_02.xlsx&amp;sheet=A0&amp;row=722&amp;col=20&amp;number=&amp;sourceID=1","")</f>
        <v/>
      </c>
    </row>
    <row r="723" spans="1:20">
      <c r="A723" s="3">
        <v>8</v>
      </c>
      <c r="B723" s="3">
        <v>2</v>
      </c>
      <c r="C723" s="3">
        <v>42</v>
      </c>
      <c r="D723" s="3">
        <v>33</v>
      </c>
      <c r="E723" s="3">
        <f>((1/(INDEX(E0!J$4:J$52,C723,1)-INDEX(E0!J$4:J$52,D723,1))))*100000000</f>
        <v>0</v>
      </c>
      <c r="F723" s="4" t="str">
        <f>HYPERLINK("http://141.218.60.56/~jnz1568/getInfo.php?workbook=08_02.xlsx&amp;sheet=A0&amp;row=723&amp;col=6&amp;number=&amp;sourceID=27","")</f>
        <v/>
      </c>
      <c r="G723" s="4" t="str">
        <f>HYPERLINK("http://141.218.60.56/~jnz1568/getInfo.php?workbook=08_02.xlsx&amp;sheet=A0&amp;row=723&amp;col=7&amp;number=&amp;sourceID=34","")</f>
        <v/>
      </c>
      <c r="H723" s="4" t="str">
        <f>HYPERLINK("http://141.218.60.56/~jnz1568/getInfo.php?workbook=08_02.xlsx&amp;sheet=A0&amp;row=723&amp;col=8&amp;number=&amp;sourceID=34","")</f>
        <v/>
      </c>
      <c r="I723" s="4" t="str">
        <f>HYPERLINK("http://141.218.60.56/~jnz1568/getInfo.php?workbook=08_02.xlsx&amp;sheet=A0&amp;row=723&amp;col=9&amp;number=&amp;sourceID=34","")</f>
        <v/>
      </c>
      <c r="J723" s="4" t="str">
        <f>HYPERLINK("http://141.218.60.56/~jnz1568/getInfo.php?workbook=08_02.xlsx&amp;sheet=A0&amp;row=723&amp;col=10&amp;number=&amp;sourceID=34","")</f>
        <v/>
      </c>
      <c r="K723" s="4" t="str">
        <f>HYPERLINK("http://141.218.60.56/~jnz1568/getInfo.php?workbook=08_02.xlsx&amp;sheet=A0&amp;row=723&amp;col=11&amp;number=&amp;sourceID=30","")</f>
        <v/>
      </c>
      <c r="L723" s="4" t="str">
        <f>HYPERLINK("http://141.218.60.56/~jnz1568/getInfo.php?workbook=08_02.xlsx&amp;sheet=A0&amp;row=723&amp;col=12&amp;number=&amp;sourceID=30","")</f>
        <v/>
      </c>
      <c r="M723" s="4" t="str">
        <f>HYPERLINK("http://141.218.60.56/~jnz1568/getInfo.php?workbook=08_02.xlsx&amp;sheet=A0&amp;row=723&amp;col=13&amp;number=&amp;sourceID=30","")</f>
        <v/>
      </c>
      <c r="N723" s="4" t="str">
        <f>HYPERLINK("http://141.218.60.56/~jnz1568/getInfo.php?workbook=08_02.xlsx&amp;sheet=A0&amp;row=723&amp;col=14&amp;number=0&amp;sourceID=30","0")</f>
        <v>0</v>
      </c>
      <c r="O723" s="4" t="str">
        <f>HYPERLINK("http://141.218.60.56/~jnz1568/getInfo.php?workbook=08_02.xlsx&amp;sheet=A0&amp;row=723&amp;col=15&amp;number=&amp;sourceID=32","")</f>
        <v/>
      </c>
      <c r="P723" s="4" t="str">
        <f>HYPERLINK("http://141.218.60.56/~jnz1568/getInfo.php?workbook=08_02.xlsx&amp;sheet=A0&amp;row=723&amp;col=16&amp;number=&amp;sourceID=32","")</f>
        <v/>
      </c>
      <c r="Q723" s="4" t="str">
        <f>HYPERLINK("http://141.218.60.56/~jnz1568/getInfo.php?workbook=08_02.xlsx&amp;sheet=A0&amp;row=723&amp;col=17&amp;number=&amp;sourceID=32","")</f>
        <v/>
      </c>
      <c r="R723" s="4" t="str">
        <f>HYPERLINK("http://141.218.60.56/~jnz1568/getInfo.php?workbook=08_02.xlsx&amp;sheet=A0&amp;row=723&amp;col=18&amp;number=0&amp;sourceID=32","0")</f>
        <v>0</v>
      </c>
      <c r="S723" s="4" t="str">
        <f>HYPERLINK("http://141.218.60.56/~jnz1568/getInfo.php?workbook=08_02.xlsx&amp;sheet=A0&amp;row=723&amp;col=19&amp;number=&amp;sourceID=1","")</f>
        <v/>
      </c>
      <c r="T723" s="4" t="str">
        <f>HYPERLINK("http://141.218.60.56/~jnz1568/getInfo.php?workbook=08_02.xlsx&amp;sheet=A0&amp;row=723&amp;col=20&amp;number=&amp;sourceID=1","")</f>
        <v/>
      </c>
    </row>
    <row r="724" spans="1:20">
      <c r="A724" s="3">
        <v>8</v>
      </c>
      <c r="B724" s="3">
        <v>2</v>
      </c>
      <c r="C724" s="3">
        <v>42</v>
      </c>
      <c r="D724" s="3">
        <v>34</v>
      </c>
      <c r="E724" s="3">
        <f>((1/(INDEX(E0!J$4:J$52,C724,1)-INDEX(E0!J$4:J$52,D724,1))))*100000000</f>
        <v>0</v>
      </c>
      <c r="F724" s="4" t="str">
        <f>HYPERLINK("http://141.218.60.56/~jnz1568/getInfo.php?workbook=08_02.xlsx&amp;sheet=A0&amp;row=724&amp;col=6&amp;number=&amp;sourceID=27","")</f>
        <v/>
      </c>
      <c r="G724" s="4" t="str">
        <f>HYPERLINK("http://141.218.60.56/~jnz1568/getInfo.php?workbook=08_02.xlsx&amp;sheet=A0&amp;row=724&amp;col=7&amp;number=&amp;sourceID=34","")</f>
        <v/>
      </c>
      <c r="H724" s="4" t="str">
        <f>HYPERLINK("http://141.218.60.56/~jnz1568/getInfo.php?workbook=08_02.xlsx&amp;sheet=A0&amp;row=724&amp;col=8&amp;number=&amp;sourceID=34","")</f>
        <v/>
      </c>
      <c r="I724" s="4" t="str">
        <f>HYPERLINK("http://141.218.60.56/~jnz1568/getInfo.php?workbook=08_02.xlsx&amp;sheet=A0&amp;row=724&amp;col=9&amp;number=&amp;sourceID=34","")</f>
        <v/>
      </c>
      <c r="J724" s="4" t="str">
        <f>HYPERLINK("http://141.218.60.56/~jnz1568/getInfo.php?workbook=08_02.xlsx&amp;sheet=A0&amp;row=724&amp;col=10&amp;number=&amp;sourceID=34","")</f>
        <v/>
      </c>
      <c r="K724" s="4" t="str">
        <f>HYPERLINK("http://141.218.60.56/~jnz1568/getInfo.php?workbook=08_02.xlsx&amp;sheet=A0&amp;row=724&amp;col=11&amp;number=&amp;sourceID=30","")</f>
        <v/>
      </c>
      <c r="L724" s="4" t="str">
        <f>HYPERLINK("http://141.218.60.56/~jnz1568/getInfo.php?workbook=08_02.xlsx&amp;sheet=A0&amp;row=724&amp;col=12&amp;number=0.0001846&amp;sourceID=30","0.0001846")</f>
        <v>0.0001846</v>
      </c>
      <c r="M724" s="4" t="str">
        <f>HYPERLINK("http://141.218.60.56/~jnz1568/getInfo.php?workbook=08_02.xlsx&amp;sheet=A0&amp;row=724&amp;col=13&amp;number=&amp;sourceID=30","")</f>
        <v/>
      </c>
      <c r="N724" s="4" t="str">
        <f>HYPERLINK("http://141.218.60.56/~jnz1568/getInfo.php?workbook=08_02.xlsx&amp;sheet=A0&amp;row=724&amp;col=14&amp;number=&amp;sourceID=30","")</f>
        <v/>
      </c>
      <c r="O724" s="4" t="str">
        <f>HYPERLINK("http://141.218.60.56/~jnz1568/getInfo.php?workbook=08_02.xlsx&amp;sheet=A0&amp;row=724&amp;col=15&amp;number=&amp;sourceID=32","")</f>
        <v/>
      </c>
      <c r="P724" s="4" t="str">
        <f>HYPERLINK("http://141.218.60.56/~jnz1568/getInfo.php?workbook=08_02.xlsx&amp;sheet=A0&amp;row=724&amp;col=16&amp;number=0.0002338&amp;sourceID=32","0.0002338")</f>
        <v>0.0002338</v>
      </c>
      <c r="Q724" s="4" t="str">
        <f>HYPERLINK("http://141.218.60.56/~jnz1568/getInfo.php?workbook=08_02.xlsx&amp;sheet=A0&amp;row=724&amp;col=17&amp;number=&amp;sourceID=32","")</f>
        <v/>
      </c>
      <c r="R724" s="4" t="str">
        <f>HYPERLINK("http://141.218.60.56/~jnz1568/getInfo.php?workbook=08_02.xlsx&amp;sheet=A0&amp;row=724&amp;col=18&amp;number=&amp;sourceID=32","")</f>
        <v/>
      </c>
      <c r="S724" s="4" t="str">
        <f>HYPERLINK("http://141.218.60.56/~jnz1568/getInfo.php?workbook=08_02.xlsx&amp;sheet=A0&amp;row=724&amp;col=19&amp;number=&amp;sourceID=1","")</f>
        <v/>
      </c>
      <c r="T724" s="4" t="str">
        <f>HYPERLINK("http://141.218.60.56/~jnz1568/getInfo.php?workbook=08_02.xlsx&amp;sheet=A0&amp;row=724&amp;col=20&amp;number=&amp;sourceID=1","")</f>
        <v/>
      </c>
    </row>
    <row r="725" spans="1:20">
      <c r="A725" s="3">
        <v>8</v>
      </c>
      <c r="B725" s="3">
        <v>2</v>
      </c>
      <c r="C725" s="3">
        <v>42</v>
      </c>
      <c r="D725" s="3">
        <v>35</v>
      </c>
      <c r="E725" s="3">
        <f>((1/(INDEX(E0!J$4:J$52,C725,1)-INDEX(E0!J$4:J$52,D725,1))))*100000000</f>
        <v>0</v>
      </c>
      <c r="F725" s="4" t="str">
        <f>HYPERLINK("http://141.218.60.56/~jnz1568/getInfo.php?workbook=08_02.xlsx&amp;sheet=A0&amp;row=725&amp;col=6&amp;number=&amp;sourceID=27","")</f>
        <v/>
      </c>
      <c r="G725" s="4" t="str">
        <f>HYPERLINK("http://141.218.60.56/~jnz1568/getInfo.php?workbook=08_02.xlsx&amp;sheet=A0&amp;row=725&amp;col=7&amp;number=&amp;sourceID=34","")</f>
        <v/>
      </c>
      <c r="H725" s="4" t="str">
        <f>HYPERLINK("http://141.218.60.56/~jnz1568/getInfo.php?workbook=08_02.xlsx&amp;sheet=A0&amp;row=725&amp;col=8&amp;number=&amp;sourceID=34","")</f>
        <v/>
      </c>
      <c r="I725" s="4" t="str">
        <f>HYPERLINK("http://141.218.60.56/~jnz1568/getInfo.php?workbook=08_02.xlsx&amp;sheet=A0&amp;row=725&amp;col=9&amp;number=&amp;sourceID=34","")</f>
        <v/>
      </c>
      <c r="J725" s="4" t="str">
        <f>HYPERLINK("http://141.218.60.56/~jnz1568/getInfo.php?workbook=08_02.xlsx&amp;sheet=A0&amp;row=725&amp;col=10&amp;number=&amp;sourceID=34","")</f>
        <v/>
      </c>
      <c r="K725" s="4" t="str">
        <f>HYPERLINK("http://141.218.60.56/~jnz1568/getInfo.php?workbook=08_02.xlsx&amp;sheet=A0&amp;row=725&amp;col=11&amp;number=&amp;sourceID=30","")</f>
        <v/>
      </c>
      <c r="L725" s="4" t="str">
        <f>HYPERLINK("http://141.218.60.56/~jnz1568/getInfo.php?workbook=08_02.xlsx&amp;sheet=A0&amp;row=725&amp;col=12&amp;number=0.0001818&amp;sourceID=30","0.0001818")</f>
        <v>0.0001818</v>
      </c>
      <c r="M725" s="4" t="str">
        <f>HYPERLINK("http://141.218.60.56/~jnz1568/getInfo.php?workbook=08_02.xlsx&amp;sheet=A0&amp;row=725&amp;col=13&amp;number=1.239e-10&amp;sourceID=30","1.239e-10")</f>
        <v>1.239e-10</v>
      </c>
      <c r="N725" s="4" t="str">
        <f>HYPERLINK("http://141.218.60.56/~jnz1568/getInfo.php?workbook=08_02.xlsx&amp;sheet=A0&amp;row=725&amp;col=14&amp;number=&amp;sourceID=30","")</f>
        <v/>
      </c>
      <c r="O725" s="4" t="str">
        <f>HYPERLINK("http://141.218.60.56/~jnz1568/getInfo.php?workbook=08_02.xlsx&amp;sheet=A0&amp;row=725&amp;col=15&amp;number=&amp;sourceID=32","")</f>
        <v/>
      </c>
      <c r="P725" s="4" t="str">
        <f>HYPERLINK("http://141.218.60.56/~jnz1568/getInfo.php?workbook=08_02.xlsx&amp;sheet=A0&amp;row=725&amp;col=16&amp;number=0.0002282&amp;sourceID=32","0.0002282")</f>
        <v>0.0002282</v>
      </c>
      <c r="Q725" s="4" t="str">
        <f>HYPERLINK("http://141.218.60.56/~jnz1568/getInfo.php?workbook=08_02.xlsx&amp;sheet=A0&amp;row=725&amp;col=17&amp;number=1.401e-10&amp;sourceID=32","1.401e-10")</f>
        <v>1.401e-10</v>
      </c>
      <c r="R725" s="4" t="str">
        <f>HYPERLINK("http://141.218.60.56/~jnz1568/getInfo.php?workbook=08_02.xlsx&amp;sheet=A0&amp;row=725&amp;col=18&amp;number=&amp;sourceID=32","")</f>
        <v/>
      </c>
      <c r="S725" s="4" t="str">
        <f>HYPERLINK("http://141.218.60.56/~jnz1568/getInfo.php?workbook=08_02.xlsx&amp;sheet=A0&amp;row=725&amp;col=19&amp;number=&amp;sourceID=1","")</f>
        <v/>
      </c>
      <c r="T725" s="4" t="str">
        <f>HYPERLINK("http://141.218.60.56/~jnz1568/getInfo.php?workbook=08_02.xlsx&amp;sheet=A0&amp;row=725&amp;col=20&amp;number=&amp;sourceID=1","")</f>
        <v/>
      </c>
    </row>
    <row r="726" spans="1:20">
      <c r="A726" s="3">
        <v>8</v>
      </c>
      <c r="B726" s="3">
        <v>2</v>
      </c>
      <c r="C726" s="3">
        <v>42</v>
      </c>
      <c r="D726" s="3">
        <v>36</v>
      </c>
      <c r="E726" s="3">
        <f>((1/(INDEX(E0!J$4:J$52,C726,1)-INDEX(E0!J$4:J$52,D726,1))))*100000000</f>
        <v>0</v>
      </c>
      <c r="F726" s="4" t="str">
        <f>HYPERLINK("http://141.218.60.56/~jnz1568/getInfo.php?workbook=08_02.xlsx&amp;sheet=A0&amp;row=726&amp;col=6&amp;number=&amp;sourceID=27","")</f>
        <v/>
      </c>
      <c r="G726" s="4" t="str">
        <f>HYPERLINK("http://141.218.60.56/~jnz1568/getInfo.php?workbook=08_02.xlsx&amp;sheet=A0&amp;row=726&amp;col=7&amp;number=&amp;sourceID=34","")</f>
        <v/>
      </c>
      <c r="H726" s="4" t="str">
        <f>HYPERLINK("http://141.218.60.56/~jnz1568/getInfo.php?workbook=08_02.xlsx&amp;sheet=A0&amp;row=726&amp;col=8&amp;number=&amp;sourceID=34","")</f>
        <v/>
      </c>
      <c r="I726" s="4" t="str">
        <f>HYPERLINK("http://141.218.60.56/~jnz1568/getInfo.php?workbook=08_02.xlsx&amp;sheet=A0&amp;row=726&amp;col=9&amp;number=&amp;sourceID=34","")</f>
        <v/>
      </c>
      <c r="J726" s="4" t="str">
        <f>HYPERLINK("http://141.218.60.56/~jnz1568/getInfo.php?workbook=08_02.xlsx&amp;sheet=A0&amp;row=726&amp;col=10&amp;number=&amp;sourceID=34","")</f>
        <v/>
      </c>
      <c r="K726" s="4" t="str">
        <f>HYPERLINK("http://141.218.60.56/~jnz1568/getInfo.php?workbook=08_02.xlsx&amp;sheet=A0&amp;row=726&amp;col=11&amp;number=&amp;sourceID=30","")</f>
        <v/>
      </c>
      <c r="L726" s="4" t="str">
        <f>HYPERLINK("http://141.218.60.56/~jnz1568/getInfo.php?workbook=08_02.xlsx&amp;sheet=A0&amp;row=726&amp;col=12&amp;number=2.366e-05&amp;sourceID=30","2.366e-05")</f>
        <v>2.366e-05</v>
      </c>
      <c r="M726" s="4" t="str">
        <f>HYPERLINK("http://141.218.60.56/~jnz1568/getInfo.php?workbook=08_02.xlsx&amp;sheet=A0&amp;row=726&amp;col=13&amp;number=1.172e-09&amp;sourceID=30","1.172e-09")</f>
        <v>1.172e-09</v>
      </c>
      <c r="N726" s="4" t="str">
        <f>HYPERLINK("http://141.218.60.56/~jnz1568/getInfo.php?workbook=08_02.xlsx&amp;sheet=A0&amp;row=726&amp;col=14&amp;number=&amp;sourceID=30","")</f>
        <v/>
      </c>
      <c r="O726" s="4" t="str">
        <f>HYPERLINK("http://141.218.60.56/~jnz1568/getInfo.php?workbook=08_02.xlsx&amp;sheet=A0&amp;row=726&amp;col=15&amp;number=&amp;sourceID=32","")</f>
        <v/>
      </c>
      <c r="P726" s="4" t="str">
        <f>HYPERLINK("http://141.218.60.56/~jnz1568/getInfo.php?workbook=08_02.xlsx&amp;sheet=A0&amp;row=726&amp;col=16&amp;number=2.917e-05&amp;sourceID=32","2.917e-05")</f>
        <v>2.917e-05</v>
      </c>
      <c r="Q726" s="4" t="str">
        <f>HYPERLINK("http://141.218.60.56/~jnz1568/getInfo.php?workbook=08_02.xlsx&amp;sheet=A0&amp;row=726&amp;col=17&amp;number=1.353e-09&amp;sourceID=32","1.353e-09")</f>
        <v>1.353e-09</v>
      </c>
      <c r="R726" s="4" t="str">
        <f>HYPERLINK("http://141.218.60.56/~jnz1568/getInfo.php?workbook=08_02.xlsx&amp;sheet=A0&amp;row=726&amp;col=18&amp;number=&amp;sourceID=32","")</f>
        <v/>
      </c>
      <c r="S726" s="4" t="str">
        <f>HYPERLINK("http://141.218.60.56/~jnz1568/getInfo.php?workbook=08_02.xlsx&amp;sheet=A0&amp;row=726&amp;col=19&amp;number=&amp;sourceID=1","")</f>
        <v/>
      </c>
      <c r="T726" s="4" t="str">
        <f>HYPERLINK("http://141.218.60.56/~jnz1568/getInfo.php?workbook=08_02.xlsx&amp;sheet=A0&amp;row=726&amp;col=20&amp;number=&amp;sourceID=1","")</f>
        <v/>
      </c>
    </row>
    <row r="727" spans="1:20">
      <c r="A727" s="3">
        <v>8</v>
      </c>
      <c r="B727" s="3">
        <v>2</v>
      </c>
      <c r="C727" s="3">
        <v>42</v>
      </c>
      <c r="D727" s="3">
        <v>38</v>
      </c>
      <c r="E727" s="3">
        <f>((1/(INDEX(E0!J$4:J$52,C727,1)-INDEX(E0!J$4:J$52,D727,1))))*100000000</f>
        <v>0</v>
      </c>
      <c r="F727" s="4" t="str">
        <f>HYPERLINK("http://141.218.60.56/~jnz1568/getInfo.php?workbook=08_02.xlsx&amp;sheet=A0&amp;row=727&amp;col=6&amp;number=&amp;sourceID=27","")</f>
        <v/>
      </c>
      <c r="G727" s="4" t="str">
        <f>HYPERLINK("http://141.218.60.56/~jnz1568/getInfo.php?workbook=08_02.xlsx&amp;sheet=A0&amp;row=727&amp;col=7&amp;number=&amp;sourceID=34","")</f>
        <v/>
      </c>
      <c r="H727" s="4" t="str">
        <f>HYPERLINK("http://141.218.60.56/~jnz1568/getInfo.php?workbook=08_02.xlsx&amp;sheet=A0&amp;row=727&amp;col=8&amp;number=&amp;sourceID=34","")</f>
        <v/>
      </c>
      <c r="I727" s="4" t="str">
        <f>HYPERLINK("http://141.218.60.56/~jnz1568/getInfo.php?workbook=08_02.xlsx&amp;sheet=A0&amp;row=727&amp;col=9&amp;number=&amp;sourceID=34","")</f>
        <v/>
      </c>
      <c r="J727" s="4" t="str">
        <f>HYPERLINK("http://141.218.60.56/~jnz1568/getInfo.php?workbook=08_02.xlsx&amp;sheet=A0&amp;row=727&amp;col=10&amp;number=&amp;sourceID=34","")</f>
        <v/>
      </c>
      <c r="K727" s="4" t="str">
        <f>HYPERLINK("http://141.218.60.56/~jnz1568/getInfo.php?workbook=08_02.xlsx&amp;sheet=A0&amp;row=727&amp;col=11&amp;number=17.78&amp;sourceID=30","17.78")</f>
        <v>17.78</v>
      </c>
      <c r="L727" s="4" t="str">
        <f>HYPERLINK("http://141.218.60.56/~jnz1568/getInfo.php?workbook=08_02.xlsx&amp;sheet=A0&amp;row=727&amp;col=12&amp;number=&amp;sourceID=30","")</f>
        <v/>
      </c>
      <c r="M727" s="4" t="str">
        <f>HYPERLINK("http://141.218.60.56/~jnz1568/getInfo.php?workbook=08_02.xlsx&amp;sheet=A0&amp;row=727&amp;col=13&amp;number=&amp;sourceID=30","")</f>
        <v/>
      </c>
      <c r="N727" s="4" t="str">
        <f>HYPERLINK("http://141.218.60.56/~jnz1568/getInfo.php?workbook=08_02.xlsx&amp;sheet=A0&amp;row=727&amp;col=14&amp;number=0&amp;sourceID=30","0")</f>
        <v>0</v>
      </c>
      <c r="O727" s="4" t="str">
        <f>HYPERLINK("http://141.218.60.56/~jnz1568/getInfo.php?workbook=08_02.xlsx&amp;sheet=A0&amp;row=727&amp;col=15&amp;number=26.38&amp;sourceID=32","26.38")</f>
        <v>26.38</v>
      </c>
      <c r="P727" s="4" t="str">
        <f>HYPERLINK("http://141.218.60.56/~jnz1568/getInfo.php?workbook=08_02.xlsx&amp;sheet=A0&amp;row=727&amp;col=16&amp;number=&amp;sourceID=32","")</f>
        <v/>
      </c>
      <c r="Q727" s="4" t="str">
        <f>HYPERLINK("http://141.218.60.56/~jnz1568/getInfo.php?workbook=08_02.xlsx&amp;sheet=A0&amp;row=727&amp;col=17&amp;number=&amp;sourceID=32","")</f>
        <v/>
      </c>
      <c r="R727" s="4" t="str">
        <f>HYPERLINK("http://141.218.60.56/~jnz1568/getInfo.php?workbook=08_02.xlsx&amp;sheet=A0&amp;row=727&amp;col=18&amp;number=1e-15&amp;sourceID=32","1e-15")</f>
        <v>1e-15</v>
      </c>
      <c r="S727" s="4" t="str">
        <f>HYPERLINK("http://141.218.60.56/~jnz1568/getInfo.php?workbook=08_02.xlsx&amp;sheet=A0&amp;row=727&amp;col=19&amp;number=&amp;sourceID=1","")</f>
        <v/>
      </c>
      <c r="T727" s="4" t="str">
        <f>HYPERLINK("http://141.218.60.56/~jnz1568/getInfo.php?workbook=08_02.xlsx&amp;sheet=A0&amp;row=727&amp;col=20&amp;number=&amp;sourceID=1","")</f>
        <v/>
      </c>
    </row>
    <row r="728" spans="1:20">
      <c r="A728" s="3">
        <v>8</v>
      </c>
      <c r="B728" s="3">
        <v>2</v>
      </c>
      <c r="C728" s="3">
        <v>42</v>
      </c>
      <c r="D728" s="3">
        <v>39</v>
      </c>
      <c r="E728" s="3">
        <f>((1/(INDEX(E0!J$4:J$52,C728,1)-INDEX(E0!J$4:J$52,D728,1))))*100000000</f>
        <v>0</v>
      </c>
      <c r="F728" s="4" t="str">
        <f>HYPERLINK("http://141.218.60.56/~jnz1568/getInfo.php?workbook=08_02.xlsx&amp;sheet=A0&amp;row=728&amp;col=6&amp;number=&amp;sourceID=27","")</f>
        <v/>
      </c>
      <c r="G728" s="4" t="str">
        <f>HYPERLINK("http://141.218.60.56/~jnz1568/getInfo.php?workbook=08_02.xlsx&amp;sheet=A0&amp;row=728&amp;col=7&amp;number=&amp;sourceID=34","")</f>
        <v/>
      </c>
      <c r="H728" s="4" t="str">
        <f>HYPERLINK("http://141.218.60.56/~jnz1568/getInfo.php?workbook=08_02.xlsx&amp;sheet=A0&amp;row=728&amp;col=8&amp;number=&amp;sourceID=34","")</f>
        <v/>
      </c>
      <c r="I728" s="4" t="str">
        <f>HYPERLINK("http://141.218.60.56/~jnz1568/getInfo.php?workbook=08_02.xlsx&amp;sheet=A0&amp;row=728&amp;col=9&amp;number=&amp;sourceID=34","")</f>
        <v/>
      </c>
      <c r="J728" s="4" t="str">
        <f>HYPERLINK("http://141.218.60.56/~jnz1568/getInfo.php?workbook=08_02.xlsx&amp;sheet=A0&amp;row=728&amp;col=10&amp;number=&amp;sourceID=34","")</f>
        <v/>
      </c>
      <c r="K728" s="4" t="str">
        <f>HYPERLINK("http://141.218.60.56/~jnz1568/getInfo.php?workbook=08_02.xlsx&amp;sheet=A0&amp;row=728&amp;col=11&amp;number=3.073&amp;sourceID=30","3.073")</f>
        <v>3.073</v>
      </c>
      <c r="L728" s="4" t="str">
        <f>HYPERLINK("http://141.218.60.56/~jnz1568/getInfo.php?workbook=08_02.xlsx&amp;sheet=A0&amp;row=728&amp;col=12&amp;number=&amp;sourceID=30","")</f>
        <v/>
      </c>
      <c r="M728" s="4" t="str">
        <f>HYPERLINK("http://141.218.60.56/~jnz1568/getInfo.php?workbook=08_02.xlsx&amp;sheet=A0&amp;row=728&amp;col=13&amp;number=&amp;sourceID=30","")</f>
        <v/>
      </c>
      <c r="N728" s="4" t="str">
        <f>HYPERLINK("http://141.218.60.56/~jnz1568/getInfo.php?workbook=08_02.xlsx&amp;sheet=A0&amp;row=728&amp;col=14&amp;number=0&amp;sourceID=30","0")</f>
        <v>0</v>
      </c>
      <c r="O728" s="4" t="str">
        <f>HYPERLINK("http://141.218.60.56/~jnz1568/getInfo.php?workbook=08_02.xlsx&amp;sheet=A0&amp;row=728&amp;col=15&amp;number=4.596&amp;sourceID=32","4.596")</f>
        <v>4.596</v>
      </c>
      <c r="P728" s="4" t="str">
        <f>HYPERLINK("http://141.218.60.56/~jnz1568/getInfo.php?workbook=08_02.xlsx&amp;sheet=A0&amp;row=728&amp;col=16&amp;number=&amp;sourceID=32","")</f>
        <v/>
      </c>
      <c r="Q728" s="4" t="str">
        <f>HYPERLINK("http://141.218.60.56/~jnz1568/getInfo.php?workbook=08_02.xlsx&amp;sheet=A0&amp;row=728&amp;col=17&amp;number=&amp;sourceID=32","")</f>
        <v/>
      </c>
      <c r="R728" s="4" t="str">
        <f>HYPERLINK("http://141.218.60.56/~jnz1568/getInfo.php?workbook=08_02.xlsx&amp;sheet=A0&amp;row=728&amp;col=18&amp;number=0&amp;sourceID=32","0")</f>
        <v>0</v>
      </c>
      <c r="S728" s="4" t="str">
        <f>HYPERLINK("http://141.218.60.56/~jnz1568/getInfo.php?workbook=08_02.xlsx&amp;sheet=A0&amp;row=728&amp;col=19&amp;number=&amp;sourceID=1","")</f>
        <v/>
      </c>
      <c r="T728" s="4" t="str">
        <f>HYPERLINK("http://141.218.60.56/~jnz1568/getInfo.php?workbook=08_02.xlsx&amp;sheet=A0&amp;row=728&amp;col=20&amp;number=&amp;sourceID=1","")</f>
        <v/>
      </c>
    </row>
    <row r="729" spans="1:20">
      <c r="A729" s="3">
        <v>8</v>
      </c>
      <c r="B729" s="3">
        <v>2</v>
      </c>
      <c r="C729" s="3">
        <v>42</v>
      </c>
      <c r="D729" s="3">
        <v>40</v>
      </c>
      <c r="E729" s="3">
        <f>((1/(INDEX(E0!J$4:J$52,C729,1)-INDEX(E0!J$4:J$52,D729,1))))*100000000</f>
        <v>0</v>
      </c>
      <c r="F729" s="4" t="str">
        <f>HYPERLINK("http://141.218.60.56/~jnz1568/getInfo.php?workbook=08_02.xlsx&amp;sheet=A0&amp;row=729&amp;col=6&amp;number=&amp;sourceID=27","")</f>
        <v/>
      </c>
      <c r="G729" s="4" t="str">
        <f>HYPERLINK("http://141.218.60.56/~jnz1568/getInfo.php?workbook=08_02.xlsx&amp;sheet=A0&amp;row=729&amp;col=7&amp;number=&amp;sourceID=34","")</f>
        <v/>
      </c>
      <c r="H729" s="4" t="str">
        <f>HYPERLINK("http://141.218.60.56/~jnz1568/getInfo.php?workbook=08_02.xlsx&amp;sheet=A0&amp;row=729&amp;col=8&amp;number=&amp;sourceID=34","")</f>
        <v/>
      </c>
      <c r="I729" s="4" t="str">
        <f>HYPERLINK("http://141.218.60.56/~jnz1568/getInfo.php?workbook=08_02.xlsx&amp;sheet=A0&amp;row=729&amp;col=9&amp;number=&amp;sourceID=34","")</f>
        <v/>
      </c>
      <c r="J729" s="4" t="str">
        <f>HYPERLINK("http://141.218.60.56/~jnz1568/getInfo.php?workbook=08_02.xlsx&amp;sheet=A0&amp;row=729&amp;col=10&amp;number=&amp;sourceID=34","")</f>
        <v/>
      </c>
      <c r="K729" s="4" t="str">
        <f>HYPERLINK("http://141.218.60.56/~jnz1568/getInfo.php?workbook=08_02.xlsx&amp;sheet=A0&amp;row=729&amp;col=11&amp;number=0.06542&amp;sourceID=30","0.06542")</f>
        <v>0.06542</v>
      </c>
      <c r="L729" s="4" t="str">
        <f>HYPERLINK("http://141.218.60.56/~jnz1568/getInfo.php?workbook=08_02.xlsx&amp;sheet=A0&amp;row=729&amp;col=12&amp;number=&amp;sourceID=30","")</f>
        <v/>
      </c>
      <c r="M729" s="4" t="str">
        <f>HYPERLINK("http://141.218.60.56/~jnz1568/getInfo.php?workbook=08_02.xlsx&amp;sheet=A0&amp;row=729&amp;col=13&amp;number=&amp;sourceID=30","")</f>
        <v/>
      </c>
      <c r="N729" s="4" t="str">
        <f>HYPERLINK("http://141.218.60.56/~jnz1568/getInfo.php?workbook=08_02.xlsx&amp;sheet=A0&amp;row=729&amp;col=14&amp;number=0&amp;sourceID=30","0")</f>
        <v>0</v>
      </c>
      <c r="O729" s="4" t="str">
        <f>HYPERLINK("http://141.218.60.56/~jnz1568/getInfo.php?workbook=08_02.xlsx&amp;sheet=A0&amp;row=729&amp;col=15&amp;number=0.1011&amp;sourceID=32","0.1011")</f>
        <v>0.1011</v>
      </c>
      <c r="P729" s="4" t="str">
        <f>HYPERLINK("http://141.218.60.56/~jnz1568/getInfo.php?workbook=08_02.xlsx&amp;sheet=A0&amp;row=729&amp;col=16&amp;number=&amp;sourceID=32","")</f>
        <v/>
      </c>
      <c r="Q729" s="4" t="str">
        <f>HYPERLINK("http://141.218.60.56/~jnz1568/getInfo.php?workbook=08_02.xlsx&amp;sheet=A0&amp;row=729&amp;col=17&amp;number=&amp;sourceID=32","")</f>
        <v/>
      </c>
      <c r="R729" s="4" t="str">
        <f>HYPERLINK("http://141.218.60.56/~jnz1568/getInfo.php?workbook=08_02.xlsx&amp;sheet=A0&amp;row=729&amp;col=18&amp;number=0&amp;sourceID=32","0")</f>
        <v>0</v>
      </c>
      <c r="S729" s="4" t="str">
        <f>HYPERLINK("http://141.218.60.56/~jnz1568/getInfo.php?workbook=08_02.xlsx&amp;sheet=A0&amp;row=729&amp;col=19&amp;number=&amp;sourceID=1","")</f>
        <v/>
      </c>
      <c r="T729" s="4" t="str">
        <f>HYPERLINK("http://141.218.60.56/~jnz1568/getInfo.php?workbook=08_02.xlsx&amp;sheet=A0&amp;row=729&amp;col=20&amp;number=&amp;sourceID=1","")</f>
        <v/>
      </c>
    </row>
    <row r="730" spans="1:20">
      <c r="A730" s="3">
        <v>8</v>
      </c>
      <c r="B730" s="3">
        <v>2</v>
      </c>
      <c r="C730" s="3">
        <v>43</v>
      </c>
      <c r="D730" s="3">
        <v>2</v>
      </c>
      <c r="E730" s="3">
        <f>((1/(INDEX(E0!J$4:J$52,C730,1)-INDEX(E0!J$4:J$52,D730,1))))*100000000</f>
        <v>0</v>
      </c>
      <c r="F730" s="4" t="str">
        <f>HYPERLINK("http://141.218.60.56/~jnz1568/getInfo.php?workbook=08_02.xlsx&amp;sheet=A0&amp;row=730&amp;col=6&amp;number=&amp;sourceID=27","")</f>
        <v/>
      </c>
      <c r="G730" s="4" t="str">
        <f>HYPERLINK("http://141.218.60.56/~jnz1568/getInfo.php?workbook=08_02.xlsx&amp;sheet=A0&amp;row=730&amp;col=7&amp;number=&amp;sourceID=34","")</f>
        <v/>
      </c>
      <c r="H730" s="4" t="str">
        <f>HYPERLINK("http://141.218.60.56/~jnz1568/getInfo.php?workbook=08_02.xlsx&amp;sheet=A0&amp;row=730&amp;col=8&amp;number=&amp;sourceID=34","")</f>
        <v/>
      </c>
      <c r="I730" s="4" t="str">
        <f>HYPERLINK("http://141.218.60.56/~jnz1568/getInfo.php?workbook=08_02.xlsx&amp;sheet=A0&amp;row=730&amp;col=9&amp;number=&amp;sourceID=34","")</f>
        <v/>
      </c>
      <c r="J730" s="4" t="str">
        <f>HYPERLINK("http://141.218.60.56/~jnz1568/getInfo.php?workbook=08_02.xlsx&amp;sheet=A0&amp;row=730&amp;col=10&amp;number=&amp;sourceID=34","")</f>
        <v/>
      </c>
      <c r="K730" s="4" t="str">
        <f>HYPERLINK("http://141.218.60.56/~jnz1568/getInfo.php?workbook=08_02.xlsx&amp;sheet=A0&amp;row=730&amp;col=11&amp;number=&amp;sourceID=30","")</f>
        <v/>
      </c>
      <c r="L730" s="4" t="str">
        <f>HYPERLINK("http://141.218.60.56/~jnz1568/getInfo.php?workbook=08_02.xlsx&amp;sheet=A0&amp;row=730&amp;col=12&amp;number=&amp;sourceID=30","")</f>
        <v/>
      </c>
      <c r="M730" s="4" t="str">
        <f>HYPERLINK("http://141.218.60.56/~jnz1568/getInfo.php?workbook=08_02.xlsx&amp;sheet=A0&amp;row=730&amp;col=13&amp;number=&amp;sourceID=30","")</f>
        <v/>
      </c>
      <c r="N730" s="4" t="str">
        <f>HYPERLINK("http://141.218.60.56/~jnz1568/getInfo.php?workbook=08_02.xlsx&amp;sheet=A0&amp;row=730&amp;col=14&amp;number=1.321e-08&amp;sourceID=30","1.321e-08")</f>
        <v>1.321e-08</v>
      </c>
      <c r="O730" s="4" t="str">
        <f>HYPERLINK("http://141.218.60.56/~jnz1568/getInfo.php?workbook=08_02.xlsx&amp;sheet=A0&amp;row=730&amp;col=15&amp;number=&amp;sourceID=32","")</f>
        <v/>
      </c>
      <c r="P730" s="4" t="str">
        <f>HYPERLINK("http://141.218.60.56/~jnz1568/getInfo.php?workbook=08_02.xlsx&amp;sheet=A0&amp;row=730&amp;col=16&amp;number=&amp;sourceID=32","")</f>
        <v/>
      </c>
      <c r="Q730" s="4" t="str">
        <f>HYPERLINK("http://141.218.60.56/~jnz1568/getInfo.php?workbook=08_02.xlsx&amp;sheet=A0&amp;row=730&amp;col=17&amp;number=&amp;sourceID=32","")</f>
        <v/>
      </c>
      <c r="R730" s="4" t="str">
        <f>HYPERLINK("http://141.218.60.56/~jnz1568/getInfo.php?workbook=08_02.xlsx&amp;sheet=A0&amp;row=730&amp;col=18&amp;number=2.345e-07&amp;sourceID=32","2.345e-07")</f>
        <v>2.345e-07</v>
      </c>
      <c r="S730" s="4" t="str">
        <f>HYPERLINK("http://141.218.60.56/~jnz1568/getInfo.php?workbook=08_02.xlsx&amp;sheet=A0&amp;row=730&amp;col=19&amp;number=&amp;sourceID=1","")</f>
        <v/>
      </c>
      <c r="T730" s="4" t="str">
        <f>HYPERLINK("http://141.218.60.56/~jnz1568/getInfo.php?workbook=08_02.xlsx&amp;sheet=A0&amp;row=730&amp;col=20&amp;number=&amp;sourceID=1","")</f>
        <v/>
      </c>
    </row>
    <row r="731" spans="1:20">
      <c r="A731" s="3">
        <v>8</v>
      </c>
      <c r="B731" s="3">
        <v>2</v>
      </c>
      <c r="C731" s="3">
        <v>43</v>
      </c>
      <c r="D731" s="3">
        <v>4</v>
      </c>
      <c r="E731" s="3">
        <f>((1/(INDEX(E0!J$4:J$52,C731,1)-INDEX(E0!J$4:J$52,D731,1))))*100000000</f>
        <v>0</v>
      </c>
      <c r="F731" s="4" t="str">
        <f>HYPERLINK("http://141.218.60.56/~jnz1568/getInfo.php?workbook=08_02.xlsx&amp;sheet=A0&amp;row=731&amp;col=6&amp;number=&amp;sourceID=27","")</f>
        <v/>
      </c>
      <c r="G731" s="4" t="str">
        <f>HYPERLINK("http://141.218.60.56/~jnz1568/getInfo.php?workbook=08_02.xlsx&amp;sheet=A0&amp;row=731&amp;col=7&amp;number=&amp;sourceID=34","")</f>
        <v/>
      </c>
      <c r="H731" s="4" t="str">
        <f>HYPERLINK("http://141.218.60.56/~jnz1568/getInfo.php?workbook=08_02.xlsx&amp;sheet=A0&amp;row=731&amp;col=8&amp;number=&amp;sourceID=34","")</f>
        <v/>
      </c>
      <c r="I731" s="4" t="str">
        <f>HYPERLINK("http://141.218.60.56/~jnz1568/getInfo.php?workbook=08_02.xlsx&amp;sheet=A0&amp;row=731&amp;col=9&amp;number=&amp;sourceID=34","")</f>
        <v/>
      </c>
      <c r="J731" s="4" t="str">
        <f>HYPERLINK("http://141.218.60.56/~jnz1568/getInfo.php?workbook=08_02.xlsx&amp;sheet=A0&amp;row=731&amp;col=10&amp;number=&amp;sourceID=34","")</f>
        <v/>
      </c>
      <c r="K731" s="4" t="str">
        <f>HYPERLINK("http://141.218.60.56/~jnz1568/getInfo.php?workbook=08_02.xlsx&amp;sheet=A0&amp;row=731&amp;col=11&amp;number=&amp;sourceID=30","")</f>
        <v/>
      </c>
      <c r="L731" s="4" t="str">
        <f>HYPERLINK("http://141.218.60.56/~jnz1568/getInfo.php?workbook=08_02.xlsx&amp;sheet=A0&amp;row=731&amp;col=12&amp;number=1244000&amp;sourceID=30","1244000")</f>
        <v>1244000</v>
      </c>
      <c r="M731" s="4" t="str">
        <f>HYPERLINK("http://141.218.60.56/~jnz1568/getInfo.php?workbook=08_02.xlsx&amp;sheet=A0&amp;row=731&amp;col=13&amp;number=&amp;sourceID=30","")</f>
        <v/>
      </c>
      <c r="N731" s="4" t="str">
        <f>HYPERLINK("http://141.218.60.56/~jnz1568/getInfo.php?workbook=08_02.xlsx&amp;sheet=A0&amp;row=731&amp;col=14&amp;number=&amp;sourceID=30","")</f>
        <v/>
      </c>
      <c r="O731" s="4" t="str">
        <f>HYPERLINK("http://141.218.60.56/~jnz1568/getInfo.php?workbook=08_02.xlsx&amp;sheet=A0&amp;row=731&amp;col=15&amp;number=&amp;sourceID=32","")</f>
        <v/>
      </c>
      <c r="P731" s="4" t="str">
        <f>HYPERLINK("http://141.218.60.56/~jnz1568/getInfo.php?workbook=08_02.xlsx&amp;sheet=A0&amp;row=731&amp;col=16&amp;number=1152000&amp;sourceID=32","1152000")</f>
        <v>1152000</v>
      </c>
      <c r="Q731" s="4" t="str">
        <f>HYPERLINK("http://141.218.60.56/~jnz1568/getInfo.php?workbook=08_02.xlsx&amp;sheet=A0&amp;row=731&amp;col=17&amp;number=&amp;sourceID=32","")</f>
        <v/>
      </c>
      <c r="R731" s="4" t="str">
        <f>HYPERLINK("http://141.218.60.56/~jnz1568/getInfo.php?workbook=08_02.xlsx&amp;sheet=A0&amp;row=731&amp;col=18&amp;number=&amp;sourceID=32","")</f>
        <v/>
      </c>
      <c r="S731" s="4" t="str">
        <f>HYPERLINK("http://141.218.60.56/~jnz1568/getInfo.php?workbook=08_02.xlsx&amp;sheet=A0&amp;row=731&amp;col=19&amp;number=&amp;sourceID=1","")</f>
        <v/>
      </c>
      <c r="T731" s="4" t="str">
        <f>HYPERLINK("http://141.218.60.56/~jnz1568/getInfo.php?workbook=08_02.xlsx&amp;sheet=A0&amp;row=731&amp;col=20&amp;number=&amp;sourceID=1","")</f>
        <v/>
      </c>
    </row>
    <row r="732" spans="1:20">
      <c r="A732" s="3">
        <v>8</v>
      </c>
      <c r="B732" s="3">
        <v>2</v>
      </c>
      <c r="C732" s="3">
        <v>43</v>
      </c>
      <c r="D732" s="3">
        <v>5</v>
      </c>
      <c r="E732" s="3">
        <f>((1/(INDEX(E0!J$4:J$52,C732,1)-INDEX(E0!J$4:J$52,D732,1))))*100000000</f>
        <v>0</v>
      </c>
      <c r="F732" s="4" t="str">
        <f>HYPERLINK("http://141.218.60.56/~jnz1568/getInfo.php?workbook=08_02.xlsx&amp;sheet=A0&amp;row=732&amp;col=6&amp;number=&amp;sourceID=27","")</f>
        <v/>
      </c>
      <c r="G732" s="4" t="str">
        <f>HYPERLINK("http://141.218.60.56/~jnz1568/getInfo.php?workbook=08_02.xlsx&amp;sheet=A0&amp;row=732&amp;col=7&amp;number=&amp;sourceID=34","")</f>
        <v/>
      </c>
      <c r="H732" s="4" t="str">
        <f>HYPERLINK("http://141.218.60.56/~jnz1568/getInfo.php?workbook=08_02.xlsx&amp;sheet=A0&amp;row=732&amp;col=8&amp;number=&amp;sourceID=34","")</f>
        <v/>
      </c>
      <c r="I732" s="4" t="str">
        <f>HYPERLINK("http://141.218.60.56/~jnz1568/getInfo.php?workbook=08_02.xlsx&amp;sheet=A0&amp;row=732&amp;col=9&amp;number=&amp;sourceID=34","")</f>
        <v/>
      </c>
      <c r="J732" s="4" t="str">
        <f>HYPERLINK("http://141.218.60.56/~jnz1568/getInfo.php?workbook=08_02.xlsx&amp;sheet=A0&amp;row=732&amp;col=10&amp;number=&amp;sourceID=34","")</f>
        <v/>
      </c>
      <c r="K732" s="4" t="str">
        <f>HYPERLINK("http://141.218.60.56/~jnz1568/getInfo.php?workbook=08_02.xlsx&amp;sheet=A0&amp;row=732&amp;col=11&amp;number=&amp;sourceID=30","")</f>
        <v/>
      </c>
      <c r="L732" s="4" t="str">
        <f>HYPERLINK("http://141.218.60.56/~jnz1568/getInfo.php?workbook=08_02.xlsx&amp;sheet=A0&amp;row=732&amp;col=12&amp;number=643800&amp;sourceID=30","643800")</f>
        <v>643800</v>
      </c>
      <c r="M732" s="4" t="str">
        <f>HYPERLINK("http://141.218.60.56/~jnz1568/getInfo.php?workbook=08_02.xlsx&amp;sheet=A0&amp;row=732&amp;col=13&amp;number=0.0001869&amp;sourceID=30","0.0001869")</f>
        <v>0.0001869</v>
      </c>
      <c r="N732" s="4" t="str">
        <f>HYPERLINK("http://141.218.60.56/~jnz1568/getInfo.php?workbook=08_02.xlsx&amp;sheet=A0&amp;row=732&amp;col=14&amp;number=&amp;sourceID=30","")</f>
        <v/>
      </c>
      <c r="O732" s="4" t="str">
        <f>HYPERLINK("http://141.218.60.56/~jnz1568/getInfo.php?workbook=08_02.xlsx&amp;sheet=A0&amp;row=732&amp;col=15&amp;number=&amp;sourceID=32","")</f>
        <v/>
      </c>
      <c r="P732" s="4" t="str">
        <f>HYPERLINK("http://141.218.60.56/~jnz1568/getInfo.php?workbook=08_02.xlsx&amp;sheet=A0&amp;row=732&amp;col=16&amp;number=600000&amp;sourceID=32","600000")</f>
        <v>600000</v>
      </c>
      <c r="Q732" s="4" t="str">
        <f>HYPERLINK("http://141.218.60.56/~jnz1568/getInfo.php?workbook=08_02.xlsx&amp;sheet=A0&amp;row=732&amp;col=17&amp;number=0.0002174&amp;sourceID=32","0.0002174")</f>
        <v>0.0002174</v>
      </c>
      <c r="R732" s="4" t="str">
        <f>HYPERLINK("http://141.218.60.56/~jnz1568/getInfo.php?workbook=08_02.xlsx&amp;sheet=A0&amp;row=732&amp;col=18&amp;number=&amp;sourceID=32","")</f>
        <v/>
      </c>
      <c r="S732" s="4" t="str">
        <f>HYPERLINK("http://141.218.60.56/~jnz1568/getInfo.php?workbook=08_02.xlsx&amp;sheet=A0&amp;row=732&amp;col=19&amp;number=&amp;sourceID=1","")</f>
        <v/>
      </c>
      <c r="T732" s="4" t="str">
        <f>HYPERLINK("http://141.218.60.56/~jnz1568/getInfo.php?workbook=08_02.xlsx&amp;sheet=A0&amp;row=732&amp;col=20&amp;number=&amp;sourceID=1","")</f>
        <v/>
      </c>
    </row>
    <row r="733" spans="1:20">
      <c r="A733" s="3">
        <v>8</v>
      </c>
      <c r="B733" s="3">
        <v>2</v>
      </c>
      <c r="C733" s="3">
        <v>43</v>
      </c>
      <c r="D733" s="3">
        <v>7</v>
      </c>
      <c r="E733" s="3">
        <f>((1/(INDEX(E0!J$4:J$52,C733,1)-INDEX(E0!J$4:J$52,D733,1))))*100000000</f>
        <v>0</v>
      </c>
      <c r="F733" s="4" t="str">
        <f>HYPERLINK("http://141.218.60.56/~jnz1568/getInfo.php?workbook=08_02.xlsx&amp;sheet=A0&amp;row=733&amp;col=6&amp;number=&amp;sourceID=27","")</f>
        <v/>
      </c>
      <c r="G733" s="4" t="str">
        <f>HYPERLINK("http://141.218.60.56/~jnz1568/getInfo.php?workbook=08_02.xlsx&amp;sheet=A0&amp;row=733&amp;col=7&amp;number=&amp;sourceID=34","")</f>
        <v/>
      </c>
      <c r="H733" s="4" t="str">
        <f>HYPERLINK("http://141.218.60.56/~jnz1568/getInfo.php?workbook=08_02.xlsx&amp;sheet=A0&amp;row=733&amp;col=8&amp;number=&amp;sourceID=34","")</f>
        <v/>
      </c>
      <c r="I733" s="4" t="str">
        <f>HYPERLINK("http://141.218.60.56/~jnz1568/getInfo.php?workbook=08_02.xlsx&amp;sheet=A0&amp;row=733&amp;col=9&amp;number=&amp;sourceID=34","")</f>
        <v/>
      </c>
      <c r="J733" s="4" t="str">
        <f>HYPERLINK("http://141.218.60.56/~jnz1568/getInfo.php?workbook=08_02.xlsx&amp;sheet=A0&amp;row=733&amp;col=10&amp;number=&amp;sourceID=34","")</f>
        <v/>
      </c>
      <c r="K733" s="4" t="str">
        <f>HYPERLINK("http://141.218.60.56/~jnz1568/getInfo.php?workbook=08_02.xlsx&amp;sheet=A0&amp;row=733&amp;col=11&amp;number=&amp;sourceID=30","")</f>
        <v/>
      </c>
      <c r="L733" s="4" t="str">
        <f>HYPERLINK("http://141.218.60.56/~jnz1568/getInfo.php?workbook=08_02.xlsx&amp;sheet=A0&amp;row=733&amp;col=12&amp;number=2275000&amp;sourceID=30","2275000")</f>
        <v>2275000</v>
      </c>
      <c r="M733" s="4" t="str">
        <f>HYPERLINK("http://141.218.60.56/~jnz1568/getInfo.php?workbook=08_02.xlsx&amp;sheet=A0&amp;row=733&amp;col=13&amp;number=&amp;sourceID=30","")</f>
        <v/>
      </c>
      <c r="N733" s="4" t="str">
        <f>HYPERLINK("http://141.218.60.56/~jnz1568/getInfo.php?workbook=08_02.xlsx&amp;sheet=A0&amp;row=733&amp;col=14&amp;number=&amp;sourceID=30","")</f>
        <v/>
      </c>
      <c r="O733" s="4" t="str">
        <f>HYPERLINK("http://141.218.60.56/~jnz1568/getInfo.php?workbook=08_02.xlsx&amp;sheet=A0&amp;row=733&amp;col=15&amp;number=&amp;sourceID=32","")</f>
        <v/>
      </c>
      <c r="P733" s="4" t="str">
        <f>HYPERLINK("http://141.218.60.56/~jnz1568/getInfo.php?workbook=08_02.xlsx&amp;sheet=A0&amp;row=733&amp;col=16&amp;number=3113000&amp;sourceID=32","3113000")</f>
        <v>3113000</v>
      </c>
      <c r="Q733" s="4" t="str">
        <f>HYPERLINK("http://141.218.60.56/~jnz1568/getInfo.php?workbook=08_02.xlsx&amp;sheet=A0&amp;row=733&amp;col=17&amp;number=&amp;sourceID=32","")</f>
        <v/>
      </c>
      <c r="R733" s="4" t="str">
        <f>HYPERLINK("http://141.218.60.56/~jnz1568/getInfo.php?workbook=08_02.xlsx&amp;sheet=A0&amp;row=733&amp;col=18&amp;number=&amp;sourceID=32","")</f>
        <v/>
      </c>
      <c r="S733" s="4" t="str">
        <f>HYPERLINK("http://141.218.60.56/~jnz1568/getInfo.php?workbook=08_02.xlsx&amp;sheet=A0&amp;row=733&amp;col=19&amp;number=&amp;sourceID=1","")</f>
        <v/>
      </c>
      <c r="T733" s="4" t="str">
        <f>HYPERLINK("http://141.218.60.56/~jnz1568/getInfo.php?workbook=08_02.xlsx&amp;sheet=A0&amp;row=733&amp;col=20&amp;number=&amp;sourceID=1","")</f>
        <v/>
      </c>
    </row>
    <row r="734" spans="1:20">
      <c r="A734" s="3">
        <v>8</v>
      </c>
      <c r="B734" s="3">
        <v>2</v>
      </c>
      <c r="C734" s="3">
        <v>43</v>
      </c>
      <c r="D734" s="3">
        <v>8</v>
      </c>
      <c r="E734" s="3">
        <f>((1/(INDEX(E0!J$4:J$52,C734,1)-INDEX(E0!J$4:J$52,D734,1))))*100000000</f>
        <v>0</v>
      </c>
      <c r="F734" s="4" t="str">
        <f>HYPERLINK("http://141.218.60.56/~jnz1568/getInfo.php?workbook=08_02.xlsx&amp;sheet=A0&amp;row=734&amp;col=6&amp;number=&amp;sourceID=27","")</f>
        <v/>
      </c>
      <c r="G734" s="4" t="str">
        <f>HYPERLINK("http://141.218.60.56/~jnz1568/getInfo.php?workbook=08_02.xlsx&amp;sheet=A0&amp;row=734&amp;col=7&amp;number=&amp;sourceID=34","")</f>
        <v/>
      </c>
      <c r="H734" s="4" t="str">
        <f>HYPERLINK("http://141.218.60.56/~jnz1568/getInfo.php?workbook=08_02.xlsx&amp;sheet=A0&amp;row=734&amp;col=8&amp;number=&amp;sourceID=34","")</f>
        <v/>
      </c>
      <c r="I734" s="4" t="str">
        <f>HYPERLINK("http://141.218.60.56/~jnz1568/getInfo.php?workbook=08_02.xlsx&amp;sheet=A0&amp;row=734&amp;col=9&amp;number=&amp;sourceID=34","")</f>
        <v/>
      </c>
      <c r="J734" s="4" t="str">
        <f>HYPERLINK("http://141.218.60.56/~jnz1568/getInfo.php?workbook=08_02.xlsx&amp;sheet=A0&amp;row=734&amp;col=10&amp;number=&amp;sourceID=34","")</f>
        <v/>
      </c>
      <c r="K734" s="4" t="str">
        <f>HYPERLINK("http://141.218.60.56/~jnz1568/getInfo.php?workbook=08_02.xlsx&amp;sheet=A0&amp;row=734&amp;col=11&amp;number=&amp;sourceID=30","")</f>
        <v/>
      </c>
      <c r="L734" s="4" t="str">
        <f>HYPERLINK("http://141.218.60.56/~jnz1568/getInfo.php?workbook=08_02.xlsx&amp;sheet=A0&amp;row=734&amp;col=12&amp;number=&amp;sourceID=30","")</f>
        <v/>
      </c>
      <c r="M734" s="4" t="str">
        <f>HYPERLINK("http://141.218.60.56/~jnz1568/getInfo.php?workbook=08_02.xlsx&amp;sheet=A0&amp;row=734&amp;col=13&amp;number=&amp;sourceID=30","")</f>
        <v/>
      </c>
      <c r="N734" s="4" t="str">
        <f>HYPERLINK("http://141.218.60.56/~jnz1568/getInfo.php?workbook=08_02.xlsx&amp;sheet=A0&amp;row=734&amp;col=14&amp;number=1.064e-07&amp;sourceID=30","1.064e-07")</f>
        <v>1.064e-07</v>
      </c>
      <c r="O734" s="4" t="str">
        <f>HYPERLINK("http://141.218.60.56/~jnz1568/getInfo.php?workbook=08_02.xlsx&amp;sheet=A0&amp;row=734&amp;col=15&amp;number=&amp;sourceID=32","")</f>
        <v/>
      </c>
      <c r="P734" s="4" t="str">
        <f>HYPERLINK("http://141.218.60.56/~jnz1568/getInfo.php?workbook=08_02.xlsx&amp;sheet=A0&amp;row=734&amp;col=16&amp;number=&amp;sourceID=32","")</f>
        <v/>
      </c>
      <c r="Q734" s="4" t="str">
        <f>HYPERLINK("http://141.218.60.56/~jnz1568/getInfo.php?workbook=08_02.xlsx&amp;sheet=A0&amp;row=734&amp;col=17&amp;number=&amp;sourceID=32","")</f>
        <v/>
      </c>
      <c r="R734" s="4" t="str">
        <f>HYPERLINK("http://141.218.60.56/~jnz1568/getInfo.php?workbook=08_02.xlsx&amp;sheet=A0&amp;row=734&amp;col=18&amp;number=1.223e-07&amp;sourceID=32","1.223e-07")</f>
        <v>1.223e-07</v>
      </c>
      <c r="S734" s="4" t="str">
        <f>HYPERLINK("http://141.218.60.56/~jnz1568/getInfo.php?workbook=08_02.xlsx&amp;sheet=A0&amp;row=734&amp;col=19&amp;number=&amp;sourceID=1","")</f>
        <v/>
      </c>
      <c r="T734" s="4" t="str">
        <f>HYPERLINK("http://141.218.60.56/~jnz1568/getInfo.php?workbook=08_02.xlsx&amp;sheet=A0&amp;row=734&amp;col=20&amp;number=&amp;sourceID=1","")</f>
        <v/>
      </c>
    </row>
    <row r="735" spans="1:20">
      <c r="A735" s="3">
        <v>8</v>
      </c>
      <c r="B735" s="3">
        <v>2</v>
      </c>
      <c r="C735" s="3">
        <v>43</v>
      </c>
      <c r="D735" s="3">
        <v>10</v>
      </c>
      <c r="E735" s="3">
        <f>((1/(INDEX(E0!J$4:J$52,C735,1)-INDEX(E0!J$4:J$52,D735,1))))*100000000</f>
        <v>0</v>
      </c>
      <c r="F735" s="4" t="str">
        <f>HYPERLINK("http://141.218.60.56/~jnz1568/getInfo.php?workbook=08_02.xlsx&amp;sheet=A0&amp;row=735&amp;col=6&amp;number=&amp;sourceID=27","")</f>
        <v/>
      </c>
      <c r="G735" s="4" t="str">
        <f>HYPERLINK("http://141.218.60.56/~jnz1568/getInfo.php?workbook=08_02.xlsx&amp;sheet=A0&amp;row=735&amp;col=7&amp;number=&amp;sourceID=34","")</f>
        <v/>
      </c>
      <c r="H735" s="4" t="str">
        <f>HYPERLINK("http://141.218.60.56/~jnz1568/getInfo.php?workbook=08_02.xlsx&amp;sheet=A0&amp;row=735&amp;col=8&amp;number=&amp;sourceID=34","")</f>
        <v/>
      </c>
      <c r="I735" s="4" t="str">
        <f>HYPERLINK("http://141.218.60.56/~jnz1568/getInfo.php?workbook=08_02.xlsx&amp;sheet=A0&amp;row=735&amp;col=9&amp;number=&amp;sourceID=34","")</f>
        <v/>
      </c>
      <c r="J735" s="4" t="str">
        <f>HYPERLINK("http://141.218.60.56/~jnz1568/getInfo.php?workbook=08_02.xlsx&amp;sheet=A0&amp;row=735&amp;col=10&amp;number=&amp;sourceID=34","")</f>
        <v/>
      </c>
      <c r="K735" s="4" t="str">
        <f>HYPERLINK("http://141.218.60.56/~jnz1568/getInfo.php?workbook=08_02.xlsx&amp;sheet=A0&amp;row=735&amp;col=11&amp;number=&amp;sourceID=30","")</f>
        <v/>
      </c>
      <c r="L735" s="4" t="str">
        <f>HYPERLINK("http://141.218.60.56/~jnz1568/getInfo.php?workbook=08_02.xlsx&amp;sheet=A0&amp;row=735&amp;col=12&amp;number=1766&amp;sourceID=30","1766")</f>
        <v>1766</v>
      </c>
      <c r="M735" s="4" t="str">
        <f>HYPERLINK("http://141.218.60.56/~jnz1568/getInfo.php?workbook=08_02.xlsx&amp;sheet=A0&amp;row=735&amp;col=13&amp;number=&amp;sourceID=30","")</f>
        <v/>
      </c>
      <c r="N735" s="4" t="str">
        <f>HYPERLINK("http://141.218.60.56/~jnz1568/getInfo.php?workbook=08_02.xlsx&amp;sheet=A0&amp;row=735&amp;col=14&amp;number=&amp;sourceID=30","")</f>
        <v/>
      </c>
      <c r="O735" s="4" t="str">
        <f>HYPERLINK("http://141.218.60.56/~jnz1568/getInfo.php?workbook=08_02.xlsx&amp;sheet=A0&amp;row=735&amp;col=15&amp;number=&amp;sourceID=32","")</f>
        <v/>
      </c>
      <c r="P735" s="4" t="str">
        <f>HYPERLINK("http://141.218.60.56/~jnz1568/getInfo.php?workbook=08_02.xlsx&amp;sheet=A0&amp;row=735&amp;col=16&amp;number=2416&amp;sourceID=32","2416")</f>
        <v>2416</v>
      </c>
      <c r="Q735" s="4" t="str">
        <f>HYPERLINK("http://141.218.60.56/~jnz1568/getInfo.php?workbook=08_02.xlsx&amp;sheet=A0&amp;row=735&amp;col=17&amp;number=&amp;sourceID=32","")</f>
        <v/>
      </c>
      <c r="R735" s="4" t="str">
        <f>HYPERLINK("http://141.218.60.56/~jnz1568/getInfo.php?workbook=08_02.xlsx&amp;sheet=A0&amp;row=735&amp;col=18&amp;number=&amp;sourceID=32","")</f>
        <v/>
      </c>
      <c r="S735" s="4" t="str">
        <f>HYPERLINK("http://141.218.60.56/~jnz1568/getInfo.php?workbook=08_02.xlsx&amp;sheet=A0&amp;row=735&amp;col=19&amp;number=&amp;sourceID=1","")</f>
        <v/>
      </c>
      <c r="T735" s="4" t="str">
        <f>HYPERLINK("http://141.218.60.56/~jnz1568/getInfo.php?workbook=08_02.xlsx&amp;sheet=A0&amp;row=735&amp;col=20&amp;number=&amp;sourceID=1","")</f>
        <v/>
      </c>
    </row>
    <row r="736" spans="1:20">
      <c r="A736" s="3">
        <v>8</v>
      </c>
      <c r="B736" s="3">
        <v>2</v>
      </c>
      <c r="C736" s="3">
        <v>43</v>
      </c>
      <c r="D736" s="3">
        <v>11</v>
      </c>
      <c r="E736" s="3">
        <f>((1/(INDEX(E0!J$4:J$52,C736,1)-INDEX(E0!J$4:J$52,D736,1))))*100000000</f>
        <v>0</v>
      </c>
      <c r="F736" s="4" t="str">
        <f>HYPERLINK("http://141.218.60.56/~jnz1568/getInfo.php?workbook=08_02.xlsx&amp;sheet=A0&amp;row=736&amp;col=6&amp;number=&amp;sourceID=27","")</f>
        <v/>
      </c>
      <c r="G736" s="4" t="str">
        <f>HYPERLINK("http://141.218.60.56/~jnz1568/getInfo.php?workbook=08_02.xlsx&amp;sheet=A0&amp;row=736&amp;col=7&amp;number=&amp;sourceID=34","")</f>
        <v/>
      </c>
      <c r="H736" s="4" t="str">
        <f>HYPERLINK("http://141.218.60.56/~jnz1568/getInfo.php?workbook=08_02.xlsx&amp;sheet=A0&amp;row=736&amp;col=8&amp;number=&amp;sourceID=34","")</f>
        <v/>
      </c>
      <c r="I736" s="4" t="str">
        <f>HYPERLINK("http://141.218.60.56/~jnz1568/getInfo.php?workbook=08_02.xlsx&amp;sheet=A0&amp;row=736&amp;col=9&amp;number=&amp;sourceID=34","")</f>
        <v/>
      </c>
      <c r="J736" s="4" t="str">
        <f>HYPERLINK("http://141.218.60.56/~jnz1568/getInfo.php?workbook=08_02.xlsx&amp;sheet=A0&amp;row=736&amp;col=10&amp;number=&amp;sourceID=34","")</f>
        <v/>
      </c>
      <c r="K736" s="4" t="str">
        <f>HYPERLINK("http://141.218.60.56/~jnz1568/getInfo.php?workbook=08_02.xlsx&amp;sheet=A0&amp;row=736&amp;col=11&amp;number=&amp;sourceID=30","")</f>
        <v/>
      </c>
      <c r="L736" s="4" t="str">
        <f>HYPERLINK("http://141.218.60.56/~jnz1568/getInfo.php?workbook=08_02.xlsx&amp;sheet=A0&amp;row=736&amp;col=12&amp;number=919.5&amp;sourceID=30","919.5")</f>
        <v>919.5</v>
      </c>
      <c r="M736" s="4" t="str">
        <f>HYPERLINK("http://141.218.60.56/~jnz1568/getInfo.php?workbook=08_02.xlsx&amp;sheet=A0&amp;row=736&amp;col=13&amp;number=3.91e-06&amp;sourceID=30","3.91e-06")</f>
        <v>3.91e-06</v>
      </c>
      <c r="N736" s="4" t="str">
        <f>HYPERLINK("http://141.218.60.56/~jnz1568/getInfo.php?workbook=08_02.xlsx&amp;sheet=A0&amp;row=736&amp;col=14&amp;number=&amp;sourceID=30","")</f>
        <v/>
      </c>
      <c r="O736" s="4" t="str">
        <f>HYPERLINK("http://141.218.60.56/~jnz1568/getInfo.php?workbook=08_02.xlsx&amp;sheet=A0&amp;row=736&amp;col=15&amp;number=&amp;sourceID=32","")</f>
        <v/>
      </c>
      <c r="P736" s="4" t="str">
        <f>HYPERLINK("http://141.218.60.56/~jnz1568/getInfo.php?workbook=08_02.xlsx&amp;sheet=A0&amp;row=736&amp;col=16&amp;number=1241&amp;sourceID=32","1241")</f>
        <v>1241</v>
      </c>
      <c r="Q736" s="4" t="str">
        <f>HYPERLINK("http://141.218.60.56/~jnz1568/getInfo.php?workbook=08_02.xlsx&amp;sheet=A0&amp;row=736&amp;col=17&amp;number=4.37e-06&amp;sourceID=32","4.37e-06")</f>
        <v>4.37e-06</v>
      </c>
      <c r="R736" s="4" t="str">
        <f>HYPERLINK("http://141.218.60.56/~jnz1568/getInfo.php?workbook=08_02.xlsx&amp;sheet=A0&amp;row=736&amp;col=18&amp;number=&amp;sourceID=32","")</f>
        <v/>
      </c>
      <c r="S736" s="4" t="str">
        <f>HYPERLINK("http://141.218.60.56/~jnz1568/getInfo.php?workbook=08_02.xlsx&amp;sheet=A0&amp;row=736&amp;col=19&amp;number=&amp;sourceID=1","")</f>
        <v/>
      </c>
      <c r="T736" s="4" t="str">
        <f>HYPERLINK("http://141.218.60.56/~jnz1568/getInfo.php?workbook=08_02.xlsx&amp;sheet=A0&amp;row=736&amp;col=20&amp;number=&amp;sourceID=1","")</f>
        <v/>
      </c>
    </row>
    <row r="737" spans="1:20">
      <c r="A737" s="3">
        <v>8</v>
      </c>
      <c r="B737" s="3">
        <v>2</v>
      </c>
      <c r="C737" s="3">
        <v>43</v>
      </c>
      <c r="D737" s="3">
        <v>13</v>
      </c>
      <c r="E737" s="3">
        <f>((1/(INDEX(E0!J$4:J$52,C737,1)-INDEX(E0!J$4:J$52,D737,1))))*100000000</f>
        <v>0</v>
      </c>
      <c r="F737" s="4" t="str">
        <f>HYPERLINK("http://141.218.60.56/~jnz1568/getInfo.php?workbook=08_02.xlsx&amp;sheet=A0&amp;row=737&amp;col=6&amp;number=&amp;sourceID=27","")</f>
        <v/>
      </c>
      <c r="G737" s="4" t="str">
        <f>HYPERLINK("http://141.218.60.56/~jnz1568/getInfo.php?workbook=08_02.xlsx&amp;sheet=A0&amp;row=737&amp;col=7&amp;number=&amp;sourceID=34","")</f>
        <v/>
      </c>
      <c r="H737" s="4" t="str">
        <f>HYPERLINK("http://141.218.60.56/~jnz1568/getInfo.php?workbook=08_02.xlsx&amp;sheet=A0&amp;row=737&amp;col=8&amp;number=&amp;sourceID=34","")</f>
        <v/>
      </c>
      <c r="I737" s="4" t="str">
        <f>HYPERLINK("http://141.218.60.56/~jnz1568/getInfo.php?workbook=08_02.xlsx&amp;sheet=A0&amp;row=737&amp;col=9&amp;number=&amp;sourceID=34","")</f>
        <v/>
      </c>
      <c r="J737" s="4" t="str">
        <f>HYPERLINK("http://141.218.60.56/~jnz1568/getInfo.php?workbook=08_02.xlsx&amp;sheet=A0&amp;row=737&amp;col=10&amp;number=&amp;sourceID=34","")</f>
        <v/>
      </c>
      <c r="K737" s="4" t="str">
        <f>HYPERLINK("http://141.218.60.56/~jnz1568/getInfo.php?workbook=08_02.xlsx&amp;sheet=A0&amp;row=737&amp;col=11&amp;number=&amp;sourceID=30","")</f>
        <v/>
      </c>
      <c r="L737" s="4" t="str">
        <f>HYPERLINK("http://141.218.60.56/~jnz1568/getInfo.php?workbook=08_02.xlsx&amp;sheet=A0&amp;row=737&amp;col=12&amp;number=&amp;sourceID=30","")</f>
        <v/>
      </c>
      <c r="M737" s="4" t="str">
        <f>HYPERLINK("http://141.218.60.56/~jnz1568/getInfo.php?workbook=08_02.xlsx&amp;sheet=A0&amp;row=737&amp;col=13&amp;number=&amp;sourceID=30","")</f>
        <v/>
      </c>
      <c r="N737" s="4" t="str">
        <f>HYPERLINK("http://141.218.60.56/~jnz1568/getInfo.php?workbook=08_02.xlsx&amp;sheet=A0&amp;row=737&amp;col=14&amp;number=4.535&amp;sourceID=30","4.535")</f>
        <v>4.535</v>
      </c>
      <c r="O737" s="4" t="str">
        <f>HYPERLINK("http://141.218.60.56/~jnz1568/getInfo.php?workbook=08_02.xlsx&amp;sheet=A0&amp;row=737&amp;col=15&amp;number=&amp;sourceID=32","")</f>
        <v/>
      </c>
      <c r="P737" s="4" t="str">
        <f>HYPERLINK("http://141.218.60.56/~jnz1568/getInfo.php?workbook=08_02.xlsx&amp;sheet=A0&amp;row=737&amp;col=16&amp;number=&amp;sourceID=32","")</f>
        <v/>
      </c>
      <c r="Q737" s="4" t="str">
        <f>HYPERLINK("http://141.218.60.56/~jnz1568/getInfo.php?workbook=08_02.xlsx&amp;sheet=A0&amp;row=737&amp;col=17&amp;number=&amp;sourceID=32","")</f>
        <v/>
      </c>
      <c r="R737" s="4" t="str">
        <f>HYPERLINK("http://141.218.60.56/~jnz1568/getInfo.php?workbook=08_02.xlsx&amp;sheet=A0&amp;row=737&amp;col=18&amp;number=4.508&amp;sourceID=32","4.508")</f>
        <v>4.508</v>
      </c>
      <c r="S737" s="4" t="str">
        <f>HYPERLINK("http://141.218.60.56/~jnz1568/getInfo.php?workbook=08_02.xlsx&amp;sheet=A0&amp;row=737&amp;col=19&amp;number=&amp;sourceID=1","")</f>
        <v/>
      </c>
      <c r="T737" s="4" t="str">
        <f>HYPERLINK("http://141.218.60.56/~jnz1568/getInfo.php?workbook=08_02.xlsx&amp;sheet=A0&amp;row=737&amp;col=20&amp;number=&amp;sourceID=1","")</f>
        <v/>
      </c>
    </row>
    <row r="738" spans="1:20">
      <c r="A738" s="3">
        <v>8</v>
      </c>
      <c r="B738" s="3">
        <v>2</v>
      </c>
      <c r="C738" s="3">
        <v>43</v>
      </c>
      <c r="D738" s="3">
        <v>14</v>
      </c>
      <c r="E738" s="3">
        <f>((1/(INDEX(E0!J$4:J$52,C738,1)-INDEX(E0!J$4:J$52,D738,1))))*100000000</f>
        <v>0</v>
      </c>
      <c r="F738" s="4" t="str">
        <f>HYPERLINK("http://141.218.60.56/~jnz1568/getInfo.php?workbook=08_02.xlsx&amp;sheet=A0&amp;row=738&amp;col=6&amp;number=&amp;sourceID=27","")</f>
        <v/>
      </c>
      <c r="G738" s="4" t="str">
        <f>HYPERLINK("http://141.218.60.56/~jnz1568/getInfo.php?workbook=08_02.xlsx&amp;sheet=A0&amp;row=738&amp;col=7&amp;number=&amp;sourceID=34","")</f>
        <v/>
      </c>
      <c r="H738" s="4" t="str">
        <f>HYPERLINK("http://141.218.60.56/~jnz1568/getInfo.php?workbook=08_02.xlsx&amp;sheet=A0&amp;row=738&amp;col=8&amp;number=&amp;sourceID=34","")</f>
        <v/>
      </c>
      <c r="I738" s="4" t="str">
        <f>HYPERLINK("http://141.218.60.56/~jnz1568/getInfo.php?workbook=08_02.xlsx&amp;sheet=A0&amp;row=738&amp;col=9&amp;number=&amp;sourceID=34","")</f>
        <v/>
      </c>
      <c r="J738" s="4" t="str">
        <f>HYPERLINK("http://141.218.60.56/~jnz1568/getInfo.php?workbook=08_02.xlsx&amp;sheet=A0&amp;row=738&amp;col=10&amp;number=&amp;sourceID=34","")</f>
        <v/>
      </c>
      <c r="K738" s="4" t="str">
        <f>HYPERLINK("http://141.218.60.56/~jnz1568/getInfo.php?workbook=08_02.xlsx&amp;sheet=A0&amp;row=738&amp;col=11&amp;number=2370000000&amp;sourceID=30","2370000000")</f>
        <v>2370000000</v>
      </c>
      <c r="L738" s="4" t="str">
        <f>HYPERLINK("http://141.218.60.56/~jnz1568/getInfo.php?workbook=08_02.xlsx&amp;sheet=A0&amp;row=738&amp;col=12&amp;number=&amp;sourceID=30","")</f>
        <v/>
      </c>
      <c r="M738" s="4" t="str">
        <f>HYPERLINK("http://141.218.60.56/~jnz1568/getInfo.php?workbook=08_02.xlsx&amp;sheet=A0&amp;row=738&amp;col=13&amp;number=&amp;sourceID=30","")</f>
        <v/>
      </c>
      <c r="N738" s="4" t="str">
        <f>HYPERLINK("http://141.218.60.56/~jnz1568/getInfo.php?workbook=08_02.xlsx&amp;sheet=A0&amp;row=738&amp;col=14&amp;number=12.47&amp;sourceID=30","12.47")</f>
        <v>12.47</v>
      </c>
      <c r="O738" s="4" t="str">
        <f>HYPERLINK("http://141.218.60.56/~jnz1568/getInfo.php?workbook=08_02.xlsx&amp;sheet=A0&amp;row=738&amp;col=15&amp;number=2367000000&amp;sourceID=32","2367000000")</f>
        <v>2367000000</v>
      </c>
      <c r="P738" s="4" t="str">
        <f>HYPERLINK("http://141.218.60.56/~jnz1568/getInfo.php?workbook=08_02.xlsx&amp;sheet=A0&amp;row=738&amp;col=16&amp;number=&amp;sourceID=32","")</f>
        <v/>
      </c>
      <c r="Q738" s="4" t="str">
        <f>HYPERLINK("http://141.218.60.56/~jnz1568/getInfo.php?workbook=08_02.xlsx&amp;sheet=A0&amp;row=738&amp;col=17&amp;number=&amp;sourceID=32","")</f>
        <v/>
      </c>
      <c r="R738" s="4" t="str">
        <f>HYPERLINK("http://141.218.60.56/~jnz1568/getInfo.php?workbook=08_02.xlsx&amp;sheet=A0&amp;row=738&amp;col=18&amp;number=12.27&amp;sourceID=32","12.27")</f>
        <v>12.27</v>
      </c>
      <c r="S738" s="4" t="str">
        <f>HYPERLINK("http://141.218.60.56/~jnz1568/getInfo.php?workbook=08_02.xlsx&amp;sheet=A0&amp;row=738&amp;col=19&amp;number=&amp;sourceID=1","")</f>
        <v/>
      </c>
      <c r="T738" s="4" t="str">
        <f>HYPERLINK("http://141.218.60.56/~jnz1568/getInfo.php?workbook=08_02.xlsx&amp;sheet=A0&amp;row=738&amp;col=20&amp;number=&amp;sourceID=1","")</f>
        <v/>
      </c>
    </row>
    <row r="739" spans="1:20">
      <c r="A739" s="3">
        <v>8</v>
      </c>
      <c r="B739" s="3">
        <v>2</v>
      </c>
      <c r="C739" s="3">
        <v>43</v>
      </c>
      <c r="D739" s="3">
        <v>15</v>
      </c>
      <c r="E739" s="3">
        <f>((1/(INDEX(E0!J$4:J$52,C739,1)-INDEX(E0!J$4:J$52,D739,1))))*100000000</f>
        <v>0</v>
      </c>
      <c r="F739" s="4" t="str">
        <f>HYPERLINK("http://141.218.60.56/~jnz1568/getInfo.php?workbook=08_02.xlsx&amp;sheet=A0&amp;row=739&amp;col=6&amp;number=&amp;sourceID=27","")</f>
        <v/>
      </c>
      <c r="G739" s="4" t="str">
        <f>HYPERLINK("http://141.218.60.56/~jnz1568/getInfo.php?workbook=08_02.xlsx&amp;sheet=A0&amp;row=739&amp;col=7&amp;number=&amp;sourceID=34","")</f>
        <v/>
      </c>
      <c r="H739" s="4" t="str">
        <f>HYPERLINK("http://141.218.60.56/~jnz1568/getInfo.php?workbook=08_02.xlsx&amp;sheet=A0&amp;row=739&amp;col=8&amp;number=&amp;sourceID=34","")</f>
        <v/>
      </c>
      <c r="I739" s="4" t="str">
        <f>HYPERLINK("http://141.218.60.56/~jnz1568/getInfo.php?workbook=08_02.xlsx&amp;sheet=A0&amp;row=739&amp;col=9&amp;number=&amp;sourceID=34","")</f>
        <v/>
      </c>
      <c r="J739" s="4" t="str">
        <f>HYPERLINK("http://141.218.60.56/~jnz1568/getInfo.php?workbook=08_02.xlsx&amp;sheet=A0&amp;row=739&amp;col=10&amp;number=&amp;sourceID=34","")</f>
        <v/>
      </c>
      <c r="K739" s="4" t="str">
        <f>HYPERLINK("http://141.218.60.56/~jnz1568/getInfo.php?workbook=08_02.xlsx&amp;sheet=A0&amp;row=739&amp;col=11&amp;number=428300000&amp;sourceID=30","428300000")</f>
        <v>428300000</v>
      </c>
      <c r="L739" s="4" t="str">
        <f>HYPERLINK("http://141.218.60.56/~jnz1568/getInfo.php?workbook=08_02.xlsx&amp;sheet=A0&amp;row=739&amp;col=12&amp;number=&amp;sourceID=30","")</f>
        <v/>
      </c>
      <c r="M739" s="4" t="str">
        <f>HYPERLINK("http://141.218.60.56/~jnz1568/getInfo.php?workbook=08_02.xlsx&amp;sheet=A0&amp;row=739&amp;col=13&amp;number=&amp;sourceID=30","")</f>
        <v/>
      </c>
      <c r="N739" s="4" t="str">
        <f>HYPERLINK("http://141.218.60.56/~jnz1568/getInfo.php?workbook=08_02.xlsx&amp;sheet=A0&amp;row=739&amp;col=14&amp;number=4.921&amp;sourceID=30","4.921")</f>
        <v>4.921</v>
      </c>
      <c r="O739" s="4" t="str">
        <f>HYPERLINK("http://141.218.60.56/~jnz1568/getInfo.php?workbook=08_02.xlsx&amp;sheet=A0&amp;row=739&amp;col=15&amp;number=444100000&amp;sourceID=32","444100000")</f>
        <v>444100000</v>
      </c>
      <c r="P739" s="4" t="str">
        <f>HYPERLINK("http://141.218.60.56/~jnz1568/getInfo.php?workbook=08_02.xlsx&amp;sheet=A0&amp;row=739&amp;col=16&amp;number=&amp;sourceID=32","")</f>
        <v/>
      </c>
      <c r="Q739" s="4" t="str">
        <f>HYPERLINK("http://141.218.60.56/~jnz1568/getInfo.php?workbook=08_02.xlsx&amp;sheet=A0&amp;row=739&amp;col=17&amp;number=&amp;sourceID=32","")</f>
        <v/>
      </c>
      <c r="R739" s="4" t="str">
        <f>HYPERLINK("http://141.218.60.56/~jnz1568/getInfo.php?workbook=08_02.xlsx&amp;sheet=A0&amp;row=739&amp;col=18&amp;number=4.942&amp;sourceID=32","4.942")</f>
        <v>4.942</v>
      </c>
      <c r="S739" s="4" t="str">
        <f>HYPERLINK("http://141.218.60.56/~jnz1568/getInfo.php?workbook=08_02.xlsx&amp;sheet=A0&amp;row=739&amp;col=19&amp;number=&amp;sourceID=1","")</f>
        <v/>
      </c>
      <c r="T739" s="4" t="str">
        <f>HYPERLINK("http://141.218.60.56/~jnz1568/getInfo.php?workbook=08_02.xlsx&amp;sheet=A0&amp;row=739&amp;col=20&amp;number=&amp;sourceID=1","")</f>
        <v/>
      </c>
    </row>
    <row r="740" spans="1:20">
      <c r="A740" s="3">
        <v>8</v>
      </c>
      <c r="B740" s="3">
        <v>2</v>
      </c>
      <c r="C740" s="3">
        <v>43</v>
      </c>
      <c r="D740" s="3">
        <v>16</v>
      </c>
      <c r="E740" s="3">
        <f>((1/(INDEX(E0!J$4:J$52,C740,1)-INDEX(E0!J$4:J$52,D740,1))))*100000000</f>
        <v>0</v>
      </c>
      <c r="F740" s="4" t="str">
        <f>HYPERLINK("http://141.218.60.56/~jnz1568/getInfo.php?workbook=08_02.xlsx&amp;sheet=A0&amp;row=740&amp;col=6&amp;number=&amp;sourceID=27","")</f>
        <v/>
      </c>
      <c r="G740" s="4" t="str">
        <f>HYPERLINK("http://141.218.60.56/~jnz1568/getInfo.php?workbook=08_02.xlsx&amp;sheet=A0&amp;row=740&amp;col=7&amp;number=&amp;sourceID=34","")</f>
        <v/>
      </c>
      <c r="H740" s="4" t="str">
        <f>HYPERLINK("http://141.218.60.56/~jnz1568/getInfo.php?workbook=08_02.xlsx&amp;sheet=A0&amp;row=740&amp;col=8&amp;number=&amp;sourceID=34","")</f>
        <v/>
      </c>
      <c r="I740" s="4" t="str">
        <f>HYPERLINK("http://141.218.60.56/~jnz1568/getInfo.php?workbook=08_02.xlsx&amp;sheet=A0&amp;row=740&amp;col=9&amp;number=&amp;sourceID=34","")</f>
        <v/>
      </c>
      <c r="J740" s="4" t="str">
        <f>HYPERLINK("http://141.218.60.56/~jnz1568/getInfo.php?workbook=08_02.xlsx&amp;sheet=A0&amp;row=740&amp;col=10&amp;number=&amp;sourceID=34","")</f>
        <v/>
      </c>
      <c r="K740" s="4" t="str">
        <f>HYPERLINK("http://141.218.60.56/~jnz1568/getInfo.php?workbook=08_02.xlsx&amp;sheet=A0&amp;row=740&amp;col=11&amp;number=8122000000&amp;sourceID=30","8122000000")</f>
        <v>8122000000</v>
      </c>
      <c r="L740" s="4" t="str">
        <f>HYPERLINK("http://141.218.60.56/~jnz1568/getInfo.php?workbook=08_02.xlsx&amp;sheet=A0&amp;row=740&amp;col=12&amp;number=&amp;sourceID=30","")</f>
        <v/>
      </c>
      <c r="M740" s="4" t="str">
        <f>HYPERLINK("http://141.218.60.56/~jnz1568/getInfo.php?workbook=08_02.xlsx&amp;sheet=A0&amp;row=740&amp;col=13&amp;number=&amp;sourceID=30","")</f>
        <v/>
      </c>
      <c r="N740" s="4" t="str">
        <f>HYPERLINK("http://141.218.60.56/~jnz1568/getInfo.php?workbook=08_02.xlsx&amp;sheet=A0&amp;row=740&amp;col=14&amp;number=17.47&amp;sourceID=30","17.47")</f>
        <v>17.47</v>
      </c>
      <c r="O740" s="4" t="str">
        <f>HYPERLINK("http://141.218.60.56/~jnz1568/getInfo.php?workbook=08_02.xlsx&amp;sheet=A0&amp;row=740&amp;col=15&amp;number=8103000000&amp;sourceID=32","8103000000")</f>
        <v>8103000000</v>
      </c>
      <c r="P740" s="4" t="str">
        <f>HYPERLINK("http://141.218.60.56/~jnz1568/getInfo.php?workbook=08_02.xlsx&amp;sheet=A0&amp;row=740&amp;col=16&amp;number=&amp;sourceID=32","")</f>
        <v/>
      </c>
      <c r="Q740" s="4" t="str">
        <f>HYPERLINK("http://141.218.60.56/~jnz1568/getInfo.php?workbook=08_02.xlsx&amp;sheet=A0&amp;row=740&amp;col=17&amp;number=&amp;sourceID=32","")</f>
        <v/>
      </c>
      <c r="R740" s="4" t="str">
        <f>HYPERLINK("http://141.218.60.56/~jnz1568/getInfo.php?workbook=08_02.xlsx&amp;sheet=A0&amp;row=740&amp;col=18&amp;number=17.8&amp;sourceID=32","17.8")</f>
        <v>17.8</v>
      </c>
      <c r="S740" s="4" t="str">
        <f>HYPERLINK("http://141.218.60.56/~jnz1568/getInfo.php?workbook=08_02.xlsx&amp;sheet=A0&amp;row=740&amp;col=19&amp;number=&amp;sourceID=1","")</f>
        <v/>
      </c>
      <c r="T740" s="4" t="str">
        <f>HYPERLINK("http://141.218.60.56/~jnz1568/getInfo.php?workbook=08_02.xlsx&amp;sheet=A0&amp;row=740&amp;col=20&amp;number=&amp;sourceID=1","")</f>
        <v/>
      </c>
    </row>
    <row r="741" spans="1:20">
      <c r="A741" s="3">
        <v>8</v>
      </c>
      <c r="B741" s="3">
        <v>2</v>
      </c>
      <c r="C741" s="3">
        <v>43</v>
      </c>
      <c r="D741" s="3">
        <v>17</v>
      </c>
      <c r="E741" s="3">
        <f>((1/(INDEX(E0!J$4:J$52,C741,1)-INDEX(E0!J$4:J$52,D741,1))))*100000000</f>
        <v>0</v>
      </c>
      <c r="F741" s="4" t="str">
        <f>HYPERLINK("http://141.218.60.56/~jnz1568/getInfo.php?workbook=08_02.xlsx&amp;sheet=A0&amp;row=741&amp;col=6&amp;number=&amp;sourceID=27","")</f>
        <v/>
      </c>
      <c r="G741" s="4" t="str">
        <f>HYPERLINK("http://141.218.60.56/~jnz1568/getInfo.php?workbook=08_02.xlsx&amp;sheet=A0&amp;row=741&amp;col=7&amp;number=&amp;sourceID=34","")</f>
        <v/>
      </c>
      <c r="H741" s="4" t="str">
        <f>HYPERLINK("http://141.218.60.56/~jnz1568/getInfo.php?workbook=08_02.xlsx&amp;sheet=A0&amp;row=741&amp;col=8&amp;number=&amp;sourceID=34","")</f>
        <v/>
      </c>
      <c r="I741" s="4" t="str">
        <f>HYPERLINK("http://141.218.60.56/~jnz1568/getInfo.php?workbook=08_02.xlsx&amp;sheet=A0&amp;row=741&amp;col=9&amp;number=&amp;sourceID=34","")</f>
        <v/>
      </c>
      <c r="J741" s="4" t="str">
        <f>HYPERLINK("http://141.218.60.56/~jnz1568/getInfo.php?workbook=08_02.xlsx&amp;sheet=A0&amp;row=741&amp;col=10&amp;number=&amp;sourceID=34","")</f>
        <v/>
      </c>
      <c r="K741" s="4" t="str">
        <f>HYPERLINK("http://141.218.60.56/~jnz1568/getInfo.php?workbook=08_02.xlsx&amp;sheet=A0&amp;row=741&amp;col=11&amp;number=&amp;sourceID=30","")</f>
        <v/>
      </c>
      <c r="L741" s="4" t="str">
        <f>HYPERLINK("http://141.218.60.56/~jnz1568/getInfo.php?workbook=08_02.xlsx&amp;sheet=A0&amp;row=741&amp;col=12&amp;number=3136&amp;sourceID=30","3136")</f>
        <v>3136</v>
      </c>
      <c r="M741" s="4" t="str">
        <f>HYPERLINK("http://141.218.60.56/~jnz1568/getInfo.php?workbook=08_02.xlsx&amp;sheet=A0&amp;row=741&amp;col=13&amp;number=&amp;sourceID=30","")</f>
        <v/>
      </c>
      <c r="N741" s="4" t="str">
        <f>HYPERLINK("http://141.218.60.56/~jnz1568/getInfo.php?workbook=08_02.xlsx&amp;sheet=A0&amp;row=741&amp;col=14&amp;number=&amp;sourceID=30","")</f>
        <v/>
      </c>
      <c r="O741" s="4" t="str">
        <f>HYPERLINK("http://141.218.60.56/~jnz1568/getInfo.php?workbook=08_02.xlsx&amp;sheet=A0&amp;row=741&amp;col=15&amp;number=&amp;sourceID=32","")</f>
        <v/>
      </c>
      <c r="P741" s="4" t="str">
        <f>HYPERLINK("http://141.218.60.56/~jnz1568/getInfo.php?workbook=08_02.xlsx&amp;sheet=A0&amp;row=741&amp;col=16&amp;number=1103&amp;sourceID=32","1103")</f>
        <v>1103</v>
      </c>
      <c r="Q741" s="4" t="str">
        <f>HYPERLINK("http://141.218.60.56/~jnz1568/getInfo.php?workbook=08_02.xlsx&amp;sheet=A0&amp;row=741&amp;col=17&amp;number=&amp;sourceID=32","")</f>
        <v/>
      </c>
      <c r="R741" s="4" t="str">
        <f>HYPERLINK("http://141.218.60.56/~jnz1568/getInfo.php?workbook=08_02.xlsx&amp;sheet=A0&amp;row=741&amp;col=18&amp;number=&amp;sourceID=32","")</f>
        <v/>
      </c>
      <c r="S741" s="4" t="str">
        <f>HYPERLINK("http://141.218.60.56/~jnz1568/getInfo.php?workbook=08_02.xlsx&amp;sheet=A0&amp;row=741&amp;col=19&amp;number=&amp;sourceID=1","")</f>
        <v/>
      </c>
      <c r="T741" s="4" t="str">
        <f>HYPERLINK("http://141.218.60.56/~jnz1568/getInfo.php?workbook=08_02.xlsx&amp;sheet=A0&amp;row=741&amp;col=20&amp;number=&amp;sourceID=1","")</f>
        <v/>
      </c>
    </row>
    <row r="742" spans="1:20">
      <c r="A742" s="3">
        <v>8</v>
      </c>
      <c r="B742" s="3">
        <v>2</v>
      </c>
      <c r="C742" s="3">
        <v>43</v>
      </c>
      <c r="D742" s="3">
        <v>18</v>
      </c>
      <c r="E742" s="3">
        <f>((1/(INDEX(E0!J$4:J$52,C742,1)-INDEX(E0!J$4:J$52,D742,1))))*100000000</f>
        <v>0</v>
      </c>
      <c r="F742" s="4" t="str">
        <f>HYPERLINK("http://141.218.60.56/~jnz1568/getInfo.php?workbook=08_02.xlsx&amp;sheet=A0&amp;row=742&amp;col=6&amp;number=&amp;sourceID=27","")</f>
        <v/>
      </c>
      <c r="G742" s="4" t="str">
        <f>HYPERLINK("http://141.218.60.56/~jnz1568/getInfo.php?workbook=08_02.xlsx&amp;sheet=A0&amp;row=742&amp;col=7&amp;number=&amp;sourceID=34","")</f>
        <v/>
      </c>
      <c r="H742" s="4" t="str">
        <f>HYPERLINK("http://141.218.60.56/~jnz1568/getInfo.php?workbook=08_02.xlsx&amp;sheet=A0&amp;row=742&amp;col=8&amp;number=&amp;sourceID=34","")</f>
        <v/>
      </c>
      <c r="I742" s="4" t="str">
        <f>HYPERLINK("http://141.218.60.56/~jnz1568/getInfo.php?workbook=08_02.xlsx&amp;sheet=A0&amp;row=742&amp;col=9&amp;number=&amp;sourceID=34","")</f>
        <v/>
      </c>
      <c r="J742" s="4" t="str">
        <f>HYPERLINK("http://141.218.60.56/~jnz1568/getInfo.php?workbook=08_02.xlsx&amp;sheet=A0&amp;row=742&amp;col=10&amp;number=&amp;sourceID=34","")</f>
        <v/>
      </c>
      <c r="K742" s="4" t="str">
        <f>HYPERLINK("http://141.218.60.56/~jnz1568/getInfo.php?workbook=08_02.xlsx&amp;sheet=A0&amp;row=742&amp;col=11&amp;number=&amp;sourceID=30","")</f>
        <v/>
      </c>
      <c r="L742" s="4" t="str">
        <f>HYPERLINK("http://141.218.60.56/~jnz1568/getInfo.php?workbook=08_02.xlsx&amp;sheet=A0&amp;row=742&amp;col=12&amp;number=&amp;sourceID=30","")</f>
        <v/>
      </c>
      <c r="M742" s="4" t="str">
        <f>HYPERLINK("http://141.218.60.56/~jnz1568/getInfo.php?workbook=08_02.xlsx&amp;sheet=A0&amp;row=742&amp;col=13&amp;number=&amp;sourceID=30","")</f>
        <v/>
      </c>
      <c r="N742" s="4" t="str">
        <f>HYPERLINK("http://141.218.60.56/~jnz1568/getInfo.php?workbook=08_02.xlsx&amp;sheet=A0&amp;row=742&amp;col=14&amp;number=7.613e-09&amp;sourceID=30","7.613e-09")</f>
        <v>7.613e-09</v>
      </c>
      <c r="O742" s="4" t="str">
        <f>HYPERLINK("http://141.218.60.56/~jnz1568/getInfo.php?workbook=08_02.xlsx&amp;sheet=A0&amp;row=742&amp;col=15&amp;number=&amp;sourceID=32","")</f>
        <v/>
      </c>
      <c r="P742" s="4" t="str">
        <f>HYPERLINK("http://141.218.60.56/~jnz1568/getInfo.php?workbook=08_02.xlsx&amp;sheet=A0&amp;row=742&amp;col=16&amp;number=&amp;sourceID=32","")</f>
        <v/>
      </c>
      <c r="Q742" s="4" t="str">
        <f>HYPERLINK("http://141.218.60.56/~jnz1568/getInfo.php?workbook=08_02.xlsx&amp;sheet=A0&amp;row=742&amp;col=17&amp;number=&amp;sourceID=32","")</f>
        <v/>
      </c>
      <c r="R742" s="4" t="str">
        <f>HYPERLINK("http://141.218.60.56/~jnz1568/getInfo.php?workbook=08_02.xlsx&amp;sheet=A0&amp;row=742&amp;col=18&amp;number=8.039e-09&amp;sourceID=32","8.039e-09")</f>
        <v>8.039e-09</v>
      </c>
      <c r="S742" s="4" t="str">
        <f>HYPERLINK("http://141.218.60.56/~jnz1568/getInfo.php?workbook=08_02.xlsx&amp;sheet=A0&amp;row=742&amp;col=19&amp;number=&amp;sourceID=1","")</f>
        <v/>
      </c>
      <c r="T742" s="4" t="str">
        <f>HYPERLINK("http://141.218.60.56/~jnz1568/getInfo.php?workbook=08_02.xlsx&amp;sheet=A0&amp;row=742&amp;col=20&amp;number=&amp;sourceID=1","")</f>
        <v/>
      </c>
    </row>
    <row r="743" spans="1:20">
      <c r="A743" s="3">
        <v>8</v>
      </c>
      <c r="B743" s="3">
        <v>2</v>
      </c>
      <c r="C743" s="3">
        <v>43</v>
      </c>
      <c r="D743" s="3">
        <v>20</v>
      </c>
      <c r="E743" s="3">
        <f>((1/(INDEX(E0!J$4:J$52,C743,1)-INDEX(E0!J$4:J$52,D743,1))))*100000000</f>
        <v>0</v>
      </c>
      <c r="F743" s="4" t="str">
        <f>HYPERLINK("http://141.218.60.56/~jnz1568/getInfo.php?workbook=08_02.xlsx&amp;sheet=A0&amp;row=743&amp;col=6&amp;number=&amp;sourceID=27","")</f>
        <v/>
      </c>
      <c r="G743" s="4" t="str">
        <f>HYPERLINK("http://141.218.60.56/~jnz1568/getInfo.php?workbook=08_02.xlsx&amp;sheet=A0&amp;row=743&amp;col=7&amp;number=&amp;sourceID=34","")</f>
        <v/>
      </c>
      <c r="H743" s="4" t="str">
        <f>HYPERLINK("http://141.218.60.56/~jnz1568/getInfo.php?workbook=08_02.xlsx&amp;sheet=A0&amp;row=743&amp;col=8&amp;number=&amp;sourceID=34","")</f>
        <v/>
      </c>
      <c r="I743" s="4" t="str">
        <f>HYPERLINK("http://141.218.60.56/~jnz1568/getInfo.php?workbook=08_02.xlsx&amp;sheet=A0&amp;row=743&amp;col=9&amp;number=&amp;sourceID=34","")</f>
        <v/>
      </c>
      <c r="J743" s="4" t="str">
        <f>HYPERLINK("http://141.218.60.56/~jnz1568/getInfo.php?workbook=08_02.xlsx&amp;sheet=A0&amp;row=743&amp;col=10&amp;number=&amp;sourceID=34","")</f>
        <v/>
      </c>
      <c r="K743" s="4" t="str">
        <f>HYPERLINK("http://141.218.60.56/~jnz1568/getInfo.php?workbook=08_02.xlsx&amp;sheet=A0&amp;row=743&amp;col=11&amp;number=&amp;sourceID=30","")</f>
        <v/>
      </c>
      <c r="L743" s="4" t="str">
        <f>HYPERLINK("http://141.218.60.56/~jnz1568/getInfo.php?workbook=08_02.xlsx&amp;sheet=A0&amp;row=743&amp;col=12&amp;number=26790&amp;sourceID=30","26790")</f>
        <v>26790</v>
      </c>
      <c r="M743" s="4" t="str">
        <f>HYPERLINK("http://141.218.60.56/~jnz1568/getInfo.php?workbook=08_02.xlsx&amp;sheet=A0&amp;row=743&amp;col=13&amp;number=&amp;sourceID=30","")</f>
        <v/>
      </c>
      <c r="N743" s="4" t="str">
        <f>HYPERLINK("http://141.218.60.56/~jnz1568/getInfo.php?workbook=08_02.xlsx&amp;sheet=A0&amp;row=743&amp;col=14&amp;number=&amp;sourceID=30","")</f>
        <v/>
      </c>
      <c r="O743" s="4" t="str">
        <f>HYPERLINK("http://141.218.60.56/~jnz1568/getInfo.php?workbook=08_02.xlsx&amp;sheet=A0&amp;row=743&amp;col=15&amp;number=&amp;sourceID=32","")</f>
        <v/>
      </c>
      <c r="P743" s="4" t="str">
        <f>HYPERLINK("http://141.218.60.56/~jnz1568/getInfo.php?workbook=08_02.xlsx&amp;sheet=A0&amp;row=743&amp;col=16&amp;number=27980&amp;sourceID=32","27980")</f>
        <v>27980</v>
      </c>
      <c r="Q743" s="4" t="str">
        <f>HYPERLINK("http://141.218.60.56/~jnz1568/getInfo.php?workbook=08_02.xlsx&amp;sheet=A0&amp;row=743&amp;col=17&amp;number=&amp;sourceID=32","")</f>
        <v/>
      </c>
      <c r="R743" s="4" t="str">
        <f>HYPERLINK("http://141.218.60.56/~jnz1568/getInfo.php?workbook=08_02.xlsx&amp;sheet=A0&amp;row=743&amp;col=18&amp;number=&amp;sourceID=32","")</f>
        <v/>
      </c>
      <c r="S743" s="4" t="str">
        <f>HYPERLINK("http://141.218.60.56/~jnz1568/getInfo.php?workbook=08_02.xlsx&amp;sheet=A0&amp;row=743&amp;col=19&amp;number=&amp;sourceID=1","")</f>
        <v/>
      </c>
      <c r="T743" s="4" t="str">
        <f>HYPERLINK("http://141.218.60.56/~jnz1568/getInfo.php?workbook=08_02.xlsx&amp;sheet=A0&amp;row=743&amp;col=20&amp;number=&amp;sourceID=1","")</f>
        <v/>
      </c>
    </row>
    <row r="744" spans="1:20">
      <c r="A744" s="3">
        <v>8</v>
      </c>
      <c r="B744" s="3">
        <v>2</v>
      </c>
      <c r="C744" s="3">
        <v>43</v>
      </c>
      <c r="D744" s="3">
        <v>21</v>
      </c>
      <c r="E744" s="3">
        <f>((1/(INDEX(E0!J$4:J$52,C744,1)-INDEX(E0!J$4:J$52,D744,1))))*100000000</f>
        <v>0</v>
      </c>
      <c r="F744" s="4" t="str">
        <f>HYPERLINK("http://141.218.60.56/~jnz1568/getInfo.php?workbook=08_02.xlsx&amp;sheet=A0&amp;row=744&amp;col=6&amp;number=&amp;sourceID=27","")</f>
        <v/>
      </c>
      <c r="G744" s="4" t="str">
        <f>HYPERLINK("http://141.218.60.56/~jnz1568/getInfo.php?workbook=08_02.xlsx&amp;sheet=A0&amp;row=744&amp;col=7&amp;number=&amp;sourceID=34","")</f>
        <v/>
      </c>
      <c r="H744" s="4" t="str">
        <f>HYPERLINK("http://141.218.60.56/~jnz1568/getInfo.php?workbook=08_02.xlsx&amp;sheet=A0&amp;row=744&amp;col=8&amp;number=&amp;sourceID=34","")</f>
        <v/>
      </c>
      <c r="I744" s="4" t="str">
        <f>HYPERLINK("http://141.218.60.56/~jnz1568/getInfo.php?workbook=08_02.xlsx&amp;sheet=A0&amp;row=744&amp;col=9&amp;number=&amp;sourceID=34","")</f>
        <v/>
      </c>
      <c r="J744" s="4" t="str">
        <f>HYPERLINK("http://141.218.60.56/~jnz1568/getInfo.php?workbook=08_02.xlsx&amp;sheet=A0&amp;row=744&amp;col=10&amp;number=&amp;sourceID=34","")</f>
        <v/>
      </c>
      <c r="K744" s="4" t="str">
        <f>HYPERLINK("http://141.218.60.56/~jnz1568/getInfo.php?workbook=08_02.xlsx&amp;sheet=A0&amp;row=744&amp;col=11&amp;number=&amp;sourceID=30","")</f>
        <v/>
      </c>
      <c r="L744" s="4" t="str">
        <f>HYPERLINK("http://141.218.60.56/~jnz1568/getInfo.php?workbook=08_02.xlsx&amp;sheet=A0&amp;row=744&amp;col=12&amp;number=13960&amp;sourceID=30","13960")</f>
        <v>13960</v>
      </c>
      <c r="M744" s="4" t="str">
        <f>HYPERLINK("http://141.218.60.56/~jnz1568/getInfo.php?workbook=08_02.xlsx&amp;sheet=A0&amp;row=744&amp;col=13&amp;number=2.893e-07&amp;sourceID=30","2.893e-07")</f>
        <v>2.893e-07</v>
      </c>
      <c r="N744" s="4" t="str">
        <f>HYPERLINK("http://141.218.60.56/~jnz1568/getInfo.php?workbook=08_02.xlsx&amp;sheet=A0&amp;row=744&amp;col=14&amp;number=&amp;sourceID=30","")</f>
        <v/>
      </c>
      <c r="O744" s="4" t="str">
        <f>HYPERLINK("http://141.218.60.56/~jnz1568/getInfo.php?workbook=08_02.xlsx&amp;sheet=A0&amp;row=744&amp;col=15&amp;number=&amp;sourceID=32","")</f>
        <v/>
      </c>
      <c r="P744" s="4" t="str">
        <f>HYPERLINK("http://141.218.60.56/~jnz1568/getInfo.php?workbook=08_02.xlsx&amp;sheet=A0&amp;row=744&amp;col=16&amp;number=14590&amp;sourceID=32","14590")</f>
        <v>14590</v>
      </c>
      <c r="Q744" s="4" t="str">
        <f>HYPERLINK("http://141.218.60.56/~jnz1568/getInfo.php?workbook=08_02.xlsx&amp;sheet=A0&amp;row=744&amp;col=17&amp;number=3.118e-07&amp;sourceID=32","3.118e-07")</f>
        <v>3.118e-07</v>
      </c>
      <c r="R744" s="4" t="str">
        <f>HYPERLINK("http://141.218.60.56/~jnz1568/getInfo.php?workbook=08_02.xlsx&amp;sheet=A0&amp;row=744&amp;col=18&amp;number=&amp;sourceID=32","")</f>
        <v/>
      </c>
      <c r="S744" s="4" t="str">
        <f>HYPERLINK("http://141.218.60.56/~jnz1568/getInfo.php?workbook=08_02.xlsx&amp;sheet=A0&amp;row=744&amp;col=19&amp;number=&amp;sourceID=1","")</f>
        <v/>
      </c>
      <c r="T744" s="4" t="str">
        <f>HYPERLINK("http://141.218.60.56/~jnz1568/getInfo.php?workbook=08_02.xlsx&amp;sheet=A0&amp;row=744&amp;col=20&amp;number=&amp;sourceID=1","")</f>
        <v/>
      </c>
    </row>
    <row r="745" spans="1:20">
      <c r="A745" s="3">
        <v>8</v>
      </c>
      <c r="B745" s="3">
        <v>2</v>
      </c>
      <c r="C745" s="3">
        <v>43</v>
      </c>
      <c r="D745" s="3">
        <v>23</v>
      </c>
      <c r="E745" s="3">
        <f>((1/(INDEX(E0!J$4:J$52,C745,1)-INDEX(E0!J$4:J$52,D745,1))))*100000000</f>
        <v>0</v>
      </c>
      <c r="F745" s="4" t="str">
        <f>HYPERLINK("http://141.218.60.56/~jnz1568/getInfo.php?workbook=08_02.xlsx&amp;sheet=A0&amp;row=745&amp;col=6&amp;number=&amp;sourceID=27","")</f>
        <v/>
      </c>
      <c r="G745" s="4" t="str">
        <f>HYPERLINK("http://141.218.60.56/~jnz1568/getInfo.php?workbook=08_02.xlsx&amp;sheet=A0&amp;row=745&amp;col=7&amp;number=&amp;sourceID=34","")</f>
        <v/>
      </c>
      <c r="H745" s="4" t="str">
        <f>HYPERLINK("http://141.218.60.56/~jnz1568/getInfo.php?workbook=08_02.xlsx&amp;sheet=A0&amp;row=745&amp;col=8&amp;number=&amp;sourceID=34","")</f>
        <v/>
      </c>
      <c r="I745" s="4" t="str">
        <f>HYPERLINK("http://141.218.60.56/~jnz1568/getInfo.php?workbook=08_02.xlsx&amp;sheet=A0&amp;row=745&amp;col=9&amp;number=&amp;sourceID=34","")</f>
        <v/>
      </c>
      <c r="J745" s="4" t="str">
        <f>HYPERLINK("http://141.218.60.56/~jnz1568/getInfo.php?workbook=08_02.xlsx&amp;sheet=A0&amp;row=745&amp;col=10&amp;number=&amp;sourceID=34","")</f>
        <v/>
      </c>
      <c r="K745" s="4" t="str">
        <f>HYPERLINK("http://141.218.60.56/~jnz1568/getInfo.php?workbook=08_02.xlsx&amp;sheet=A0&amp;row=745&amp;col=11&amp;number=&amp;sourceID=30","")</f>
        <v/>
      </c>
      <c r="L745" s="4" t="str">
        <f>HYPERLINK("http://141.218.60.56/~jnz1568/getInfo.php?workbook=08_02.xlsx&amp;sheet=A0&amp;row=745&amp;col=12&amp;number=&amp;sourceID=30","")</f>
        <v/>
      </c>
      <c r="M745" s="4" t="str">
        <f>HYPERLINK("http://141.218.60.56/~jnz1568/getInfo.php?workbook=08_02.xlsx&amp;sheet=A0&amp;row=745&amp;col=13&amp;number=&amp;sourceID=30","")</f>
        <v/>
      </c>
      <c r="N745" s="4" t="str">
        <f>HYPERLINK("http://141.218.60.56/~jnz1568/getInfo.php?workbook=08_02.xlsx&amp;sheet=A0&amp;row=745&amp;col=14&amp;number=0.2578&amp;sourceID=30","0.2578")</f>
        <v>0.2578</v>
      </c>
      <c r="O745" s="4" t="str">
        <f>HYPERLINK("http://141.218.60.56/~jnz1568/getInfo.php?workbook=08_02.xlsx&amp;sheet=A0&amp;row=745&amp;col=15&amp;number=&amp;sourceID=32","")</f>
        <v/>
      </c>
      <c r="P745" s="4" t="str">
        <f>HYPERLINK("http://141.218.60.56/~jnz1568/getInfo.php?workbook=08_02.xlsx&amp;sheet=A0&amp;row=745&amp;col=16&amp;number=&amp;sourceID=32","")</f>
        <v/>
      </c>
      <c r="Q745" s="4" t="str">
        <f>HYPERLINK("http://141.218.60.56/~jnz1568/getInfo.php?workbook=08_02.xlsx&amp;sheet=A0&amp;row=745&amp;col=17&amp;number=&amp;sourceID=32","")</f>
        <v/>
      </c>
      <c r="R745" s="4" t="str">
        <f>HYPERLINK("http://141.218.60.56/~jnz1568/getInfo.php?workbook=08_02.xlsx&amp;sheet=A0&amp;row=745&amp;col=18&amp;number=0.2561&amp;sourceID=32","0.2561")</f>
        <v>0.2561</v>
      </c>
      <c r="S745" s="4" t="str">
        <f>HYPERLINK("http://141.218.60.56/~jnz1568/getInfo.php?workbook=08_02.xlsx&amp;sheet=A0&amp;row=745&amp;col=19&amp;number=&amp;sourceID=1","")</f>
        <v/>
      </c>
      <c r="T745" s="4" t="str">
        <f>HYPERLINK("http://141.218.60.56/~jnz1568/getInfo.php?workbook=08_02.xlsx&amp;sheet=A0&amp;row=745&amp;col=20&amp;number=&amp;sourceID=1","")</f>
        <v/>
      </c>
    </row>
    <row r="746" spans="1:20">
      <c r="A746" s="3">
        <v>8</v>
      </c>
      <c r="B746" s="3">
        <v>2</v>
      </c>
      <c r="C746" s="3">
        <v>43</v>
      </c>
      <c r="D746" s="3">
        <v>24</v>
      </c>
      <c r="E746" s="3">
        <f>((1/(INDEX(E0!J$4:J$52,C746,1)-INDEX(E0!J$4:J$52,D746,1))))*100000000</f>
        <v>0</v>
      </c>
      <c r="F746" s="4" t="str">
        <f>HYPERLINK("http://141.218.60.56/~jnz1568/getInfo.php?workbook=08_02.xlsx&amp;sheet=A0&amp;row=746&amp;col=6&amp;number=&amp;sourceID=27","")</f>
        <v/>
      </c>
      <c r="G746" s="4" t="str">
        <f>HYPERLINK("http://141.218.60.56/~jnz1568/getInfo.php?workbook=08_02.xlsx&amp;sheet=A0&amp;row=746&amp;col=7&amp;number=&amp;sourceID=34","")</f>
        <v/>
      </c>
      <c r="H746" s="4" t="str">
        <f>HYPERLINK("http://141.218.60.56/~jnz1568/getInfo.php?workbook=08_02.xlsx&amp;sheet=A0&amp;row=746&amp;col=8&amp;number=&amp;sourceID=34","")</f>
        <v/>
      </c>
      <c r="I746" s="4" t="str">
        <f>HYPERLINK("http://141.218.60.56/~jnz1568/getInfo.php?workbook=08_02.xlsx&amp;sheet=A0&amp;row=746&amp;col=9&amp;number=&amp;sourceID=34","")</f>
        <v/>
      </c>
      <c r="J746" s="4" t="str">
        <f>HYPERLINK("http://141.218.60.56/~jnz1568/getInfo.php?workbook=08_02.xlsx&amp;sheet=A0&amp;row=746&amp;col=10&amp;number=&amp;sourceID=34","")</f>
        <v/>
      </c>
      <c r="K746" s="4" t="str">
        <f>HYPERLINK("http://141.218.60.56/~jnz1568/getInfo.php?workbook=08_02.xlsx&amp;sheet=A0&amp;row=746&amp;col=11&amp;number=1469000000&amp;sourceID=30","1469000000")</f>
        <v>1469000000</v>
      </c>
      <c r="L746" s="4" t="str">
        <f>HYPERLINK("http://141.218.60.56/~jnz1568/getInfo.php?workbook=08_02.xlsx&amp;sheet=A0&amp;row=746&amp;col=12&amp;number=&amp;sourceID=30","")</f>
        <v/>
      </c>
      <c r="M746" s="4" t="str">
        <f>HYPERLINK("http://141.218.60.56/~jnz1568/getInfo.php?workbook=08_02.xlsx&amp;sheet=A0&amp;row=746&amp;col=13&amp;number=&amp;sourceID=30","")</f>
        <v/>
      </c>
      <c r="N746" s="4" t="str">
        <f>HYPERLINK("http://141.218.60.56/~jnz1568/getInfo.php?workbook=08_02.xlsx&amp;sheet=A0&amp;row=746&amp;col=14&amp;number=0.7509&amp;sourceID=30","0.7509")</f>
        <v>0.7509</v>
      </c>
      <c r="O746" s="4" t="str">
        <f>HYPERLINK("http://141.218.60.56/~jnz1568/getInfo.php?workbook=08_02.xlsx&amp;sheet=A0&amp;row=746&amp;col=15&amp;number=1479000000&amp;sourceID=32","1479000000")</f>
        <v>1479000000</v>
      </c>
      <c r="P746" s="4" t="str">
        <f>HYPERLINK("http://141.218.60.56/~jnz1568/getInfo.php?workbook=08_02.xlsx&amp;sheet=A0&amp;row=746&amp;col=16&amp;number=&amp;sourceID=32","")</f>
        <v/>
      </c>
      <c r="Q746" s="4" t="str">
        <f>HYPERLINK("http://141.218.60.56/~jnz1568/getInfo.php?workbook=08_02.xlsx&amp;sheet=A0&amp;row=746&amp;col=17&amp;number=&amp;sourceID=32","")</f>
        <v/>
      </c>
      <c r="R746" s="4" t="str">
        <f>HYPERLINK("http://141.218.60.56/~jnz1568/getInfo.php?workbook=08_02.xlsx&amp;sheet=A0&amp;row=746&amp;col=18&amp;number=0.7431&amp;sourceID=32","0.7431")</f>
        <v>0.7431</v>
      </c>
      <c r="S746" s="4" t="str">
        <f>HYPERLINK("http://141.218.60.56/~jnz1568/getInfo.php?workbook=08_02.xlsx&amp;sheet=A0&amp;row=746&amp;col=19&amp;number=&amp;sourceID=1","")</f>
        <v/>
      </c>
      <c r="T746" s="4" t="str">
        <f>HYPERLINK("http://141.218.60.56/~jnz1568/getInfo.php?workbook=08_02.xlsx&amp;sheet=A0&amp;row=746&amp;col=20&amp;number=&amp;sourceID=1","")</f>
        <v/>
      </c>
    </row>
    <row r="747" spans="1:20">
      <c r="A747" s="3">
        <v>8</v>
      </c>
      <c r="B747" s="3">
        <v>2</v>
      </c>
      <c r="C747" s="3">
        <v>43</v>
      </c>
      <c r="D747" s="3">
        <v>25</v>
      </c>
      <c r="E747" s="3">
        <f>((1/(INDEX(E0!J$4:J$52,C747,1)-INDEX(E0!J$4:J$52,D747,1))))*100000000</f>
        <v>0</v>
      </c>
      <c r="F747" s="4" t="str">
        <f>HYPERLINK("http://141.218.60.56/~jnz1568/getInfo.php?workbook=08_02.xlsx&amp;sheet=A0&amp;row=747&amp;col=6&amp;number=&amp;sourceID=27","")</f>
        <v/>
      </c>
      <c r="G747" s="4" t="str">
        <f>HYPERLINK("http://141.218.60.56/~jnz1568/getInfo.php?workbook=08_02.xlsx&amp;sheet=A0&amp;row=747&amp;col=7&amp;number=&amp;sourceID=34","")</f>
        <v/>
      </c>
      <c r="H747" s="4" t="str">
        <f>HYPERLINK("http://141.218.60.56/~jnz1568/getInfo.php?workbook=08_02.xlsx&amp;sheet=A0&amp;row=747&amp;col=8&amp;number=&amp;sourceID=34","")</f>
        <v/>
      </c>
      <c r="I747" s="4" t="str">
        <f>HYPERLINK("http://141.218.60.56/~jnz1568/getInfo.php?workbook=08_02.xlsx&amp;sheet=A0&amp;row=747&amp;col=9&amp;number=&amp;sourceID=34","")</f>
        <v/>
      </c>
      <c r="J747" s="4" t="str">
        <f>HYPERLINK("http://141.218.60.56/~jnz1568/getInfo.php?workbook=08_02.xlsx&amp;sheet=A0&amp;row=747&amp;col=10&amp;number=&amp;sourceID=34","")</f>
        <v/>
      </c>
      <c r="K747" s="4" t="str">
        <f>HYPERLINK("http://141.218.60.56/~jnz1568/getInfo.php?workbook=08_02.xlsx&amp;sheet=A0&amp;row=747&amp;col=11&amp;number=&amp;sourceID=30","")</f>
        <v/>
      </c>
      <c r="L747" s="4" t="str">
        <f>HYPERLINK("http://141.218.60.56/~jnz1568/getInfo.php?workbook=08_02.xlsx&amp;sheet=A0&amp;row=747&amp;col=12&amp;number=1416&amp;sourceID=30","1416")</f>
        <v>1416</v>
      </c>
      <c r="M747" s="4" t="str">
        <f>HYPERLINK("http://141.218.60.56/~jnz1568/getInfo.php?workbook=08_02.xlsx&amp;sheet=A0&amp;row=747&amp;col=13&amp;number=0.0001054&amp;sourceID=30","0.0001054")</f>
        <v>0.0001054</v>
      </c>
      <c r="N747" s="4" t="str">
        <f>HYPERLINK("http://141.218.60.56/~jnz1568/getInfo.php?workbook=08_02.xlsx&amp;sheet=A0&amp;row=747&amp;col=14&amp;number=&amp;sourceID=30","")</f>
        <v/>
      </c>
      <c r="O747" s="4" t="str">
        <f>HYPERLINK("http://141.218.60.56/~jnz1568/getInfo.php?workbook=08_02.xlsx&amp;sheet=A0&amp;row=747&amp;col=15&amp;number=&amp;sourceID=32","")</f>
        <v/>
      </c>
      <c r="P747" s="4" t="str">
        <f>HYPERLINK("http://141.218.60.56/~jnz1568/getInfo.php?workbook=08_02.xlsx&amp;sheet=A0&amp;row=747&amp;col=16&amp;number=&amp;sourceID=32","")</f>
        <v/>
      </c>
      <c r="Q747" s="4" t="str">
        <f>HYPERLINK("http://141.218.60.56/~jnz1568/getInfo.php?workbook=08_02.xlsx&amp;sheet=A0&amp;row=747&amp;col=17&amp;number=&amp;sourceID=32","")</f>
        <v/>
      </c>
      <c r="R747" s="4" t="str">
        <f>HYPERLINK("http://141.218.60.56/~jnz1568/getInfo.php?workbook=08_02.xlsx&amp;sheet=A0&amp;row=747&amp;col=18&amp;number=&amp;sourceID=32","")</f>
        <v/>
      </c>
      <c r="S747" s="4" t="str">
        <f>HYPERLINK("http://141.218.60.56/~jnz1568/getInfo.php?workbook=08_02.xlsx&amp;sheet=A0&amp;row=747&amp;col=19&amp;number=&amp;sourceID=1","")</f>
        <v/>
      </c>
      <c r="T747" s="4" t="str">
        <f>HYPERLINK("http://141.218.60.56/~jnz1568/getInfo.php?workbook=08_02.xlsx&amp;sheet=A0&amp;row=747&amp;col=20&amp;number=&amp;sourceID=1","")</f>
        <v/>
      </c>
    </row>
    <row r="748" spans="1:20">
      <c r="A748" s="3">
        <v>8</v>
      </c>
      <c r="B748" s="3">
        <v>2</v>
      </c>
      <c r="C748" s="3">
        <v>43</v>
      </c>
      <c r="D748" s="3">
        <v>26</v>
      </c>
      <c r="E748" s="3">
        <f>((1/(INDEX(E0!J$4:J$52,C748,1)-INDEX(E0!J$4:J$52,D748,1))))*100000000</f>
        <v>0</v>
      </c>
      <c r="F748" s="4" t="str">
        <f>HYPERLINK("http://141.218.60.56/~jnz1568/getInfo.php?workbook=08_02.xlsx&amp;sheet=A0&amp;row=748&amp;col=6&amp;number=&amp;sourceID=27","")</f>
        <v/>
      </c>
      <c r="G748" s="4" t="str">
        <f>HYPERLINK("http://141.218.60.56/~jnz1568/getInfo.php?workbook=08_02.xlsx&amp;sheet=A0&amp;row=748&amp;col=7&amp;number=&amp;sourceID=34","")</f>
        <v/>
      </c>
      <c r="H748" s="4" t="str">
        <f>HYPERLINK("http://141.218.60.56/~jnz1568/getInfo.php?workbook=08_02.xlsx&amp;sheet=A0&amp;row=748&amp;col=8&amp;number=&amp;sourceID=34","")</f>
        <v/>
      </c>
      <c r="I748" s="4" t="str">
        <f>HYPERLINK("http://141.218.60.56/~jnz1568/getInfo.php?workbook=08_02.xlsx&amp;sheet=A0&amp;row=748&amp;col=9&amp;number=&amp;sourceID=34","")</f>
        <v/>
      </c>
      <c r="J748" s="4" t="str">
        <f>HYPERLINK("http://141.218.60.56/~jnz1568/getInfo.php?workbook=08_02.xlsx&amp;sheet=A0&amp;row=748&amp;col=10&amp;number=&amp;sourceID=34","")</f>
        <v/>
      </c>
      <c r="K748" s="4" t="str">
        <f>HYPERLINK("http://141.218.60.56/~jnz1568/getInfo.php?workbook=08_02.xlsx&amp;sheet=A0&amp;row=748&amp;col=11&amp;number=243000000&amp;sourceID=30","243000000")</f>
        <v>243000000</v>
      </c>
      <c r="L748" s="4" t="str">
        <f>HYPERLINK("http://141.218.60.56/~jnz1568/getInfo.php?workbook=08_02.xlsx&amp;sheet=A0&amp;row=748&amp;col=12&amp;number=&amp;sourceID=30","")</f>
        <v/>
      </c>
      <c r="M748" s="4" t="str">
        <f>HYPERLINK("http://141.218.60.56/~jnz1568/getInfo.php?workbook=08_02.xlsx&amp;sheet=A0&amp;row=748&amp;col=13&amp;number=&amp;sourceID=30","")</f>
        <v/>
      </c>
      <c r="N748" s="4" t="str">
        <f>HYPERLINK("http://141.218.60.56/~jnz1568/getInfo.php?workbook=08_02.xlsx&amp;sheet=A0&amp;row=748&amp;col=14&amp;number=0.2799&amp;sourceID=30","0.2799")</f>
        <v>0.2799</v>
      </c>
      <c r="O748" s="4" t="str">
        <f>HYPERLINK("http://141.218.60.56/~jnz1568/getInfo.php?workbook=08_02.xlsx&amp;sheet=A0&amp;row=748&amp;col=15&amp;number=251900000&amp;sourceID=32","251900000")</f>
        <v>251900000</v>
      </c>
      <c r="P748" s="4" t="str">
        <f>HYPERLINK("http://141.218.60.56/~jnz1568/getInfo.php?workbook=08_02.xlsx&amp;sheet=A0&amp;row=748&amp;col=16&amp;number=&amp;sourceID=32","")</f>
        <v/>
      </c>
      <c r="Q748" s="4" t="str">
        <f>HYPERLINK("http://141.218.60.56/~jnz1568/getInfo.php?workbook=08_02.xlsx&amp;sheet=A0&amp;row=748&amp;col=17&amp;number=&amp;sourceID=32","")</f>
        <v/>
      </c>
      <c r="R748" s="4" t="str">
        <f>HYPERLINK("http://141.218.60.56/~jnz1568/getInfo.php?workbook=08_02.xlsx&amp;sheet=A0&amp;row=748&amp;col=18&amp;number=0.2807&amp;sourceID=32","0.2807")</f>
        <v>0.2807</v>
      </c>
      <c r="S748" s="4" t="str">
        <f>HYPERLINK("http://141.218.60.56/~jnz1568/getInfo.php?workbook=08_02.xlsx&amp;sheet=A0&amp;row=748&amp;col=19&amp;number=&amp;sourceID=1","")</f>
        <v/>
      </c>
      <c r="T748" s="4" t="str">
        <f>HYPERLINK("http://141.218.60.56/~jnz1568/getInfo.php?workbook=08_02.xlsx&amp;sheet=A0&amp;row=748&amp;col=20&amp;number=&amp;sourceID=1","")</f>
        <v/>
      </c>
    </row>
    <row r="749" spans="1:20">
      <c r="A749" s="3">
        <v>8</v>
      </c>
      <c r="B749" s="3">
        <v>2</v>
      </c>
      <c r="C749" s="3">
        <v>43</v>
      </c>
      <c r="D749" s="3">
        <v>27</v>
      </c>
      <c r="E749" s="3">
        <f>((1/(INDEX(E0!J$4:J$52,C749,1)-INDEX(E0!J$4:J$52,D749,1))))*100000000</f>
        <v>0</v>
      </c>
      <c r="F749" s="4" t="str">
        <f>HYPERLINK("http://141.218.60.56/~jnz1568/getInfo.php?workbook=08_02.xlsx&amp;sheet=A0&amp;row=749&amp;col=6&amp;number=&amp;sourceID=27","")</f>
        <v/>
      </c>
      <c r="G749" s="4" t="str">
        <f>HYPERLINK("http://141.218.60.56/~jnz1568/getInfo.php?workbook=08_02.xlsx&amp;sheet=A0&amp;row=749&amp;col=7&amp;number=&amp;sourceID=34","")</f>
        <v/>
      </c>
      <c r="H749" s="4" t="str">
        <f>HYPERLINK("http://141.218.60.56/~jnz1568/getInfo.php?workbook=08_02.xlsx&amp;sheet=A0&amp;row=749&amp;col=8&amp;number=&amp;sourceID=34","")</f>
        <v/>
      </c>
      <c r="I749" s="4" t="str">
        <f>HYPERLINK("http://141.218.60.56/~jnz1568/getInfo.php?workbook=08_02.xlsx&amp;sheet=A0&amp;row=749&amp;col=9&amp;number=&amp;sourceID=34","")</f>
        <v/>
      </c>
      <c r="J749" s="4" t="str">
        <f>HYPERLINK("http://141.218.60.56/~jnz1568/getInfo.php?workbook=08_02.xlsx&amp;sheet=A0&amp;row=749&amp;col=10&amp;number=&amp;sourceID=34","")</f>
        <v/>
      </c>
      <c r="K749" s="4" t="str">
        <f>HYPERLINK("http://141.218.60.56/~jnz1568/getInfo.php?workbook=08_02.xlsx&amp;sheet=A0&amp;row=749&amp;col=11&amp;number=&amp;sourceID=30","")</f>
        <v/>
      </c>
      <c r="L749" s="4" t="str">
        <f>HYPERLINK("http://141.218.60.56/~jnz1568/getInfo.php?workbook=08_02.xlsx&amp;sheet=A0&amp;row=749&amp;col=12&amp;number=407.6&amp;sourceID=30","407.6")</f>
        <v>407.6</v>
      </c>
      <c r="M749" s="4" t="str">
        <f>HYPERLINK("http://141.218.60.56/~jnz1568/getInfo.php?workbook=08_02.xlsx&amp;sheet=A0&amp;row=749&amp;col=13&amp;number=8.933e-06&amp;sourceID=30","8.933e-06")</f>
        <v>8.933e-06</v>
      </c>
      <c r="N749" s="4" t="str">
        <f>HYPERLINK("http://141.218.60.56/~jnz1568/getInfo.php?workbook=08_02.xlsx&amp;sheet=A0&amp;row=749&amp;col=14&amp;number=&amp;sourceID=30","")</f>
        <v/>
      </c>
      <c r="O749" s="4" t="str">
        <f>HYPERLINK("http://141.218.60.56/~jnz1568/getInfo.php?workbook=08_02.xlsx&amp;sheet=A0&amp;row=749&amp;col=15&amp;number=&amp;sourceID=32","")</f>
        <v/>
      </c>
      <c r="P749" s="4" t="str">
        <f>HYPERLINK("http://141.218.60.56/~jnz1568/getInfo.php?workbook=08_02.xlsx&amp;sheet=A0&amp;row=749&amp;col=16&amp;number=389.1&amp;sourceID=32","389.1")</f>
        <v>389.1</v>
      </c>
      <c r="Q749" s="4" t="str">
        <f>HYPERLINK("http://141.218.60.56/~jnz1568/getInfo.php?workbook=08_02.xlsx&amp;sheet=A0&amp;row=749&amp;col=17&amp;number=9.773e-06&amp;sourceID=32","9.773e-06")</f>
        <v>9.773e-06</v>
      </c>
      <c r="R749" s="4" t="str">
        <f>HYPERLINK("http://141.218.60.56/~jnz1568/getInfo.php?workbook=08_02.xlsx&amp;sheet=A0&amp;row=749&amp;col=18&amp;number=&amp;sourceID=32","")</f>
        <v/>
      </c>
      <c r="S749" s="4" t="str">
        <f>HYPERLINK("http://141.218.60.56/~jnz1568/getInfo.php?workbook=08_02.xlsx&amp;sheet=A0&amp;row=749&amp;col=19&amp;number=&amp;sourceID=1","")</f>
        <v/>
      </c>
      <c r="T749" s="4" t="str">
        <f>HYPERLINK("http://141.218.60.56/~jnz1568/getInfo.php?workbook=08_02.xlsx&amp;sheet=A0&amp;row=749&amp;col=20&amp;number=&amp;sourceID=1","")</f>
        <v/>
      </c>
    </row>
    <row r="750" spans="1:20">
      <c r="A750" s="3">
        <v>8</v>
      </c>
      <c r="B750" s="3">
        <v>2</v>
      </c>
      <c r="C750" s="3">
        <v>43</v>
      </c>
      <c r="D750" s="3">
        <v>28</v>
      </c>
      <c r="E750" s="3">
        <f>((1/(INDEX(E0!J$4:J$52,C750,1)-INDEX(E0!J$4:J$52,D750,1))))*100000000</f>
        <v>0</v>
      </c>
      <c r="F750" s="4" t="str">
        <f>HYPERLINK("http://141.218.60.56/~jnz1568/getInfo.php?workbook=08_02.xlsx&amp;sheet=A0&amp;row=750&amp;col=6&amp;number=&amp;sourceID=27","")</f>
        <v/>
      </c>
      <c r="G750" s="4" t="str">
        <f>HYPERLINK("http://141.218.60.56/~jnz1568/getInfo.php?workbook=08_02.xlsx&amp;sheet=A0&amp;row=750&amp;col=7&amp;number=&amp;sourceID=34","")</f>
        <v/>
      </c>
      <c r="H750" s="4" t="str">
        <f>HYPERLINK("http://141.218.60.56/~jnz1568/getInfo.php?workbook=08_02.xlsx&amp;sheet=A0&amp;row=750&amp;col=8&amp;number=&amp;sourceID=34","")</f>
        <v/>
      </c>
      <c r="I750" s="4" t="str">
        <f>HYPERLINK("http://141.218.60.56/~jnz1568/getInfo.php?workbook=08_02.xlsx&amp;sheet=A0&amp;row=750&amp;col=9&amp;number=&amp;sourceID=34","")</f>
        <v/>
      </c>
      <c r="J750" s="4" t="str">
        <f>HYPERLINK("http://141.218.60.56/~jnz1568/getInfo.php?workbook=08_02.xlsx&amp;sheet=A0&amp;row=750&amp;col=10&amp;number=&amp;sourceID=34","")</f>
        <v/>
      </c>
      <c r="K750" s="4" t="str">
        <f>HYPERLINK("http://141.218.60.56/~jnz1568/getInfo.php?workbook=08_02.xlsx&amp;sheet=A0&amp;row=750&amp;col=11&amp;number=&amp;sourceID=30","")</f>
        <v/>
      </c>
      <c r="L750" s="4" t="str">
        <f>HYPERLINK("http://141.218.60.56/~jnz1568/getInfo.php?workbook=08_02.xlsx&amp;sheet=A0&amp;row=750&amp;col=12&amp;number=1360&amp;sourceID=30","1360")</f>
        <v>1360</v>
      </c>
      <c r="M750" s="4" t="str">
        <f>HYPERLINK("http://141.218.60.56/~jnz1568/getInfo.php?workbook=08_02.xlsx&amp;sheet=A0&amp;row=750&amp;col=13&amp;number=7.382e-05&amp;sourceID=30","7.382e-05")</f>
        <v>7.382e-05</v>
      </c>
      <c r="N750" s="4" t="str">
        <f>HYPERLINK("http://141.218.60.56/~jnz1568/getInfo.php?workbook=08_02.xlsx&amp;sheet=A0&amp;row=750&amp;col=14&amp;number=&amp;sourceID=30","")</f>
        <v/>
      </c>
      <c r="O750" s="4" t="str">
        <f>HYPERLINK("http://141.218.60.56/~jnz1568/getInfo.php?workbook=08_02.xlsx&amp;sheet=A0&amp;row=750&amp;col=15&amp;number=&amp;sourceID=32","")</f>
        <v/>
      </c>
      <c r="P750" s="4" t="str">
        <f>HYPERLINK("http://141.218.60.56/~jnz1568/getInfo.php?workbook=08_02.xlsx&amp;sheet=A0&amp;row=750&amp;col=16&amp;number=1409&amp;sourceID=32","1409")</f>
        <v>1409</v>
      </c>
      <c r="Q750" s="4" t="str">
        <f>HYPERLINK("http://141.218.60.56/~jnz1568/getInfo.php?workbook=08_02.xlsx&amp;sheet=A0&amp;row=750&amp;col=17&amp;number=7.993e-05&amp;sourceID=32","7.993e-05")</f>
        <v>7.993e-05</v>
      </c>
      <c r="R750" s="4" t="str">
        <f>HYPERLINK("http://141.218.60.56/~jnz1568/getInfo.php?workbook=08_02.xlsx&amp;sheet=A0&amp;row=750&amp;col=18&amp;number=&amp;sourceID=32","")</f>
        <v/>
      </c>
      <c r="S750" s="4" t="str">
        <f>HYPERLINK("http://141.218.60.56/~jnz1568/getInfo.php?workbook=08_02.xlsx&amp;sheet=A0&amp;row=750&amp;col=19&amp;number=&amp;sourceID=1","")</f>
        <v/>
      </c>
      <c r="T750" s="4" t="str">
        <f>HYPERLINK("http://141.218.60.56/~jnz1568/getInfo.php?workbook=08_02.xlsx&amp;sheet=A0&amp;row=750&amp;col=20&amp;number=&amp;sourceID=1","")</f>
        <v/>
      </c>
    </row>
    <row r="751" spans="1:20">
      <c r="A751" s="3">
        <v>8</v>
      </c>
      <c r="B751" s="3">
        <v>2</v>
      </c>
      <c r="C751" s="3">
        <v>43</v>
      </c>
      <c r="D751" s="3">
        <v>29</v>
      </c>
      <c r="E751" s="3">
        <f>((1/(INDEX(E0!J$4:J$52,C751,1)-INDEX(E0!J$4:J$52,D751,1))))*100000000</f>
        <v>0</v>
      </c>
      <c r="F751" s="4" t="str">
        <f>HYPERLINK("http://141.218.60.56/~jnz1568/getInfo.php?workbook=08_02.xlsx&amp;sheet=A0&amp;row=751&amp;col=6&amp;number=&amp;sourceID=27","")</f>
        <v/>
      </c>
      <c r="G751" s="4" t="str">
        <f>HYPERLINK("http://141.218.60.56/~jnz1568/getInfo.php?workbook=08_02.xlsx&amp;sheet=A0&amp;row=751&amp;col=7&amp;number=&amp;sourceID=34","")</f>
        <v/>
      </c>
      <c r="H751" s="4" t="str">
        <f>HYPERLINK("http://141.218.60.56/~jnz1568/getInfo.php?workbook=08_02.xlsx&amp;sheet=A0&amp;row=751&amp;col=8&amp;number=&amp;sourceID=34","")</f>
        <v/>
      </c>
      <c r="I751" s="4" t="str">
        <f>HYPERLINK("http://141.218.60.56/~jnz1568/getInfo.php?workbook=08_02.xlsx&amp;sheet=A0&amp;row=751&amp;col=9&amp;number=&amp;sourceID=34","")</f>
        <v/>
      </c>
      <c r="J751" s="4" t="str">
        <f>HYPERLINK("http://141.218.60.56/~jnz1568/getInfo.php?workbook=08_02.xlsx&amp;sheet=A0&amp;row=751&amp;col=10&amp;number=&amp;sourceID=34","")</f>
        <v/>
      </c>
      <c r="K751" s="4" t="str">
        <f>HYPERLINK("http://141.218.60.56/~jnz1568/getInfo.php?workbook=08_02.xlsx&amp;sheet=A0&amp;row=751&amp;col=11&amp;number=4499000000&amp;sourceID=30","4499000000")</f>
        <v>4499000000</v>
      </c>
      <c r="L751" s="4" t="str">
        <f>HYPERLINK("http://141.218.60.56/~jnz1568/getInfo.php?workbook=08_02.xlsx&amp;sheet=A0&amp;row=751&amp;col=12&amp;number=&amp;sourceID=30","")</f>
        <v/>
      </c>
      <c r="M751" s="4" t="str">
        <f>HYPERLINK("http://141.218.60.56/~jnz1568/getInfo.php?workbook=08_02.xlsx&amp;sheet=A0&amp;row=751&amp;col=13&amp;number=&amp;sourceID=30","")</f>
        <v/>
      </c>
      <c r="N751" s="4" t="str">
        <f>HYPERLINK("http://141.218.60.56/~jnz1568/getInfo.php?workbook=08_02.xlsx&amp;sheet=A0&amp;row=751&amp;col=14&amp;number=0.954&amp;sourceID=30","0.954")</f>
        <v>0.954</v>
      </c>
      <c r="O751" s="4" t="str">
        <f>HYPERLINK("http://141.218.60.56/~jnz1568/getInfo.php?workbook=08_02.xlsx&amp;sheet=A0&amp;row=751&amp;col=15&amp;number=4478000000&amp;sourceID=32","4478000000")</f>
        <v>4478000000</v>
      </c>
      <c r="P751" s="4" t="str">
        <f>HYPERLINK("http://141.218.60.56/~jnz1568/getInfo.php?workbook=08_02.xlsx&amp;sheet=A0&amp;row=751&amp;col=16&amp;number=&amp;sourceID=32","")</f>
        <v/>
      </c>
      <c r="Q751" s="4" t="str">
        <f>HYPERLINK("http://141.218.60.56/~jnz1568/getInfo.php?workbook=08_02.xlsx&amp;sheet=A0&amp;row=751&amp;col=17&amp;number=&amp;sourceID=32","")</f>
        <v/>
      </c>
      <c r="R751" s="4" t="str">
        <f>HYPERLINK("http://141.218.60.56/~jnz1568/getInfo.php?workbook=08_02.xlsx&amp;sheet=A0&amp;row=751&amp;col=18&amp;number=0.9685&amp;sourceID=32","0.9685")</f>
        <v>0.9685</v>
      </c>
      <c r="S751" s="4" t="str">
        <f>HYPERLINK("http://141.218.60.56/~jnz1568/getInfo.php?workbook=08_02.xlsx&amp;sheet=A0&amp;row=751&amp;col=19&amp;number=&amp;sourceID=1","")</f>
        <v/>
      </c>
      <c r="T751" s="4" t="str">
        <f>HYPERLINK("http://141.218.60.56/~jnz1568/getInfo.php?workbook=08_02.xlsx&amp;sheet=A0&amp;row=751&amp;col=20&amp;number=&amp;sourceID=1","")</f>
        <v/>
      </c>
    </row>
    <row r="752" spans="1:20">
      <c r="A752" s="3">
        <v>8</v>
      </c>
      <c r="B752" s="3">
        <v>2</v>
      </c>
      <c r="C752" s="3">
        <v>43</v>
      </c>
      <c r="D752" s="3">
        <v>30</v>
      </c>
      <c r="E752" s="3">
        <f>((1/(INDEX(E0!J$4:J$52,C752,1)-INDEX(E0!J$4:J$52,D752,1))))*100000000</f>
        <v>0</v>
      </c>
      <c r="F752" s="4" t="str">
        <f>HYPERLINK("http://141.218.60.56/~jnz1568/getInfo.php?workbook=08_02.xlsx&amp;sheet=A0&amp;row=752&amp;col=6&amp;number=&amp;sourceID=27","")</f>
        <v/>
      </c>
      <c r="G752" s="4" t="str">
        <f>HYPERLINK("http://141.218.60.56/~jnz1568/getInfo.php?workbook=08_02.xlsx&amp;sheet=A0&amp;row=752&amp;col=7&amp;number=&amp;sourceID=34","")</f>
        <v/>
      </c>
      <c r="H752" s="4" t="str">
        <f>HYPERLINK("http://141.218.60.56/~jnz1568/getInfo.php?workbook=08_02.xlsx&amp;sheet=A0&amp;row=752&amp;col=8&amp;number=&amp;sourceID=34","")</f>
        <v/>
      </c>
      <c r="I752" s="4" t="str">
        <f>HYPERLINK("http://141.218.60.56/~jnz1568/getInfo.php?workbook=08_02.xlsx&amp;sheet=A0&amp;row=752&amp;col=9&amp;number=&amp;sourceID=34","")</f>
        <v/>
      </c>
      <c r="J752" s="4" t="str">
        <f>HYPERLINK("http://141.218.60.56/~jnz1568/getInfo.php?workbook=08_02.xlsx&amp;sheet=A0&amp;row=752&amp;col=10&amp;number=&amp;sourceID=34","")</f>
        <v/>
      </c>
      <c r="K752" s="4" t="str">
        <f>HYPERLINK("http://141.218.60.56/~jnz1568/getInfo.php?workbook=08_02.xlsx&amp;sheet=A0&amp;row=752&amp;col=11&amp;number=&amp;sourceID=30","")</f>
        <v/>
      </c>
      <c r="L752" s="4" t="str">
        <f>HYPERLINK("http://141.218.60.56/~jnz1568/getInfo.php?workbook=08_02.xlsx&amp;sheet=A0&amp;row=752&amp;col=12&amp;number=14820&amp;sourceID=30","14820")</f>
        <v>14820</v>
      </c>
      <c r="M752" s="4" t="str">
        <f>HYPERLINK("http://141.218.60.56/~jnz1568/getInfo.php?workbook=08_02.xlsx&amp;sheet=A0&amp;row=752&amp;col=13&amp;number=0.0008085&amp;sourceID=30","0.0008085")</f>
        <v>0.0008085</v>
      </c>
      <c r="N752" s="4" t="str">
        <f>HYPERLINK("http://141.218.60.56/~jnz1568/getInfo.php?workbook=08_02.xlsx&amp;sheet=A0&amp;row=752&amp;col=14&amp;number=&amp;sourceID=30","")</f>
        <v/>
      </c>
      <c r="O752" s="4" t="str">
        <f>HYPERLINK("http://141.218.60.56/~jnz1568/getInfo.php?workbook=08_02.xlsx&amp;sheet=A0&amp;row=752&amp;col=15&amp;number=&amp;sourceID=32","")</f>
        <v/>
      </c>
      <c r="P752" s="4" t="str">
        <f>HYPERLINK("http://141.218.60.56/~jnz1568/getInfo.php?workbook=08_02.xlsx&amp;sheet=A0&amp;row=752&amp;col=16&amp;number=14730&amp;sourceID=32","14730")</f>
        <v>14730</v>
      </c>
      <c r="Q752" s="4" t="str">
        <f>HYPERLINK("http://141.218.60.56/~jnz1568/getInfo.php?workbook=08_02.xlsx&amp;sheet=A0&amp;row=752&amp;col=17&amp;number=0.0007781&amp;sourceID=32","0.0007781")</f>
        <v>0.0007781</v>
      </c>
      <c r="R752" s="4" t="str">
        <f>HYPERLINK("http://141.218.60.56/~jnz1568/getInfo.php?workbook=08_02.xlsx&amp;sheet=A0&amp;row=752&amp;col=18&amp;number=&amp;sourceID=32","")</f>
        <v/>
      </c>
      <c r="S752" s="4" t="str">
        <f>HYPERLINK("http://141.218.60.56/~jnz1568/getInfo.php?workbook=08_02.xlsx&amp;sheet=A0&amp;row=752&amp;col=19&amp;number=&amp;sourceID=1","")</f>
        <v/>
      </c>
      <c r="T752" s="4" t="str">
        <f>HYPERLINK("http://141.218.60.56/~jnz1568/getInfo.php?workbook=08_02.xlsx&amp;sheet=A0&amp;row=752&amp;col=20&amp;number=&amp;sourceID=1","")</f>
        <v/>
      </c>
    </row>
    <row r="753" spans="1:20">
      <c r="A753" s="3">
        <v>8</v>
      </c>
      <c r="B753" s="3">
        <v>2</v>
      </c>
      <c r="C753" s="3">
        <v>43</v>
      </c>
      <c r="D753" s="3">
        <v>31</v>
      </c>
      <c r="E753" s="3">
        <f>((1/(INDEX(E0!J$4:J$52,C753,1)-INDEX(E0!J$4:J$52,D753,1))))*100000000</f>
        <v>0</v>
      </c>
      <c r="F753" s="4" t="str">
        <f>HYPERLINK("http://141.218.60.56/~jnz1568/getInfo.php?workbook=08_02.xlsx&amp;sheet=A0&amp;row=753&amp;col=6&amp;number=&amp;sourceID=27","")</f>
        <v/>
      </c>
      <c r="G753" s="4" t="str">
        <f>HYPERLINK("http://141.218.60.56/~jnz1568/getInfo.php?workbook=08_02.xlsx&amp;sheet=A0&amp;row=753&amp;col=7&amp;number=&amp;sourceID=34","")</f>
        <v/>
      </c>
      <c r="H753" s="4" t="str">
        <f>HYPERLINK("http://141.218.60.56/~jnz1568/getInfo.php?workbook=08_02.xlsx&amp;sheet=A0&amp;row=753&amp;col=8&amp;number=&amp;sourceID=34","")</f>
        <v/>
      </c>
      <c r="I753" s="4" t="str">
        <f>HYPERLINK("http://141.218.60.56/~jnz1568/getInfo.php?workbook=08_02.xlsx&amp;sheet=A0&amp;row=753&amp;col=9&amp;number=&amp;sourceID=34","")</f>
        <v/>
      </c>
      <c r="J753" s="4" t="str">
        <f>HYPERLINK("http://141.218.60.56/~jnz1568/getInfo.php?workbook=08_02.xlsx&amp;sheet=A0&amp;row=753&amp;col=10&amp;number=&amp;sourceID=34","")</f>
        <v/>
      </c>
      <c r="K753" s="4" t="str">
        <f>HYPERLINK("http://141.218.60.56/~jnz1568/getInfo.php?workbook=08_02.xlsx&amp;sheet=A0&amp;row=753&amp;col=11&amp;number=&amp;sourceID=30","")</f>
        <v/>
      </c>
      <c r="L753" s="4" t="str">
        <f>HYPERLINK("http://141.218.60.56/~jnz1568/getInfo.php?workbook=08_02.xlsx&amp;sheet=A0&amp;row=753&amp;col=12&amp;number=71200&amp;sourceID=30","71200")</f>
        <v>71200</v>
      </c>
      <c r="M753" s="4" t="str">
        <f>HYPERLINK("http://141.218.60.56/~jnz1568/getInfo.php?workbook=08_02.xlsx&amp;sheet=A0&amp;row=753&amp;col=13&amp;number=&amp;sourceID=30","")</f>
        <v/>
      </c>
      <c r="N753" s="4" t="str">
        <f>HYPERLINK("http://141.218.60.56/~jnz1568/getInfo.php?workbook=08_02.xlsx&amp;sheet=A0&amp;row=753&amp;col=14&amp;number=&amp;sourceID=30","")</f>
        <v/>
      </c>
      <c r="O753" s="4" t="str">
        <f>HYPERLINK("http://141.218.60.56/~jnz1568/getInfo.php?workbook=08_02.xlsx&amp;sheet=A0&amp;row=753&amp;col=15&amp;number=&amp;sourceID=32","")</f>
        <v/>
      </c>
      <c r="P753" s="4" t="str">
        <f>HYPERLINK("http://141.218.60.56/~jnz1568/getInfo.php?workbook=08_02.xlsx&amp;sheet=A0&amp;row=753&amp;col=16&amp;number=69500&amp;sourceID=32","69500")</f>
        <v>69500</v>
      </c>
      <c r="Q753" s="4" t="str">
        <f>HYPERLINK("http://141.218.60.56/~jnz1568/getInfo.php?workbook=08_02.xlsx&amp;sheet=A0&amp;row=753&amp;col=17&amp;number=&amp;sourceID=32","")</f>
        <v/>
      </c>
      <c r="R753" s="4" t="str">
        <f>HYPERLINK("http://141.218.60.56/~jnz1568/getInfo.php?workbook=08_02.xlsx&amp;sheet=A0&amp;row=753&amp;col=18&amp;number=&amp;sourceID=32","")</f>
        <v/>
      </c>
      <c r="S753" s="4" t="str">
        <f>HYPERLINK("http://141.218.60.56/~jnz1568/getInfo.php?workbook=08_02.xlsx&amp;sheet=A0&amp;row=753&amp;col=19&amp;number=&amp;sourceID=1","")</f>
        <v/>
      </c>
      <c r="T753" s="4" t="str">
        <f>HYPERLINK("http://141.218.60.56/~jnz1568/getInfo.php?workbook=08_02.xlsx&amp;sheet=A0&amp;row=753&amp;col=20&amp;number=&amp;sourceID=1","")</f>
        <v/>
      </c>
    </row>
    <row r="754" spans="1:20">
      <c r="A754" s="3">
        <v>8</v>
      </c>
      <c r="B754" s="3">
        <v>2</v>
      </c>
      <c r="C754" s="3">
        <v>43</v>
      </c>
      <c r="D754" s="3">
        <v>32</v>
      </c>
      <c r="E754" s="3">
        <f>((1/(INDEX(E0!J$4:J$52,C754,1)-INDEX(E0!J$4:J$52,D754,1))))*100000000</f>
        <v>0</v>
      </c>
      <c r="F754" s="4" t="str">
        <f>HYPERLINK("http://141.218.60.56/~jnz1568/getInfo.php?workbook=08_02.xlsx&amp;sheet=A0&amp;row=754&amp;col=6&amp;number=&amp;sourceID=27","")</f>
        <v/>
      </c>
      <c r="G754" s="4" t="str">
        <f>HYPERLINK("http://141.218.60.56/~jnz1568/getInfo.php?workbook=08_02.xlsx&amp;sheet=A0&amp;row=754&amp;col=7&amp;number=&amp;sourceID=34","")</f>
        <v/>
      </c>
      <c r="H754" s="4" t="str">
        <f>HYPERLINK("http://141.218.60.56/~jnz1568/getInfo.php?workbook=08_02.xlsx&amp;sheet=A0&amp;row=754&amp;col=8&amp;number=&amp;sourceID=34","")</f>
        <v/>
      </c>
      <c r="I754" s="4" t="str">
        <f>HYPERLINK("http://141.218.60.56/~jnz1568/getInfo.php?workbook=08_02.xlsx&amp;sheet=A0&amp;row=754&amp;col=9&amp;number=&amp;sourceID=34","")</f>
        <v/>
      </c>
      <c r="J754" s="4" t="str">
        <f>HYPERLINK("http://141.218.60.56/~jnz1568/getInfo.php?workbook=08_02.xlsx&amp;sheet=A0&amp;row=754&amp;col=10&amp;number=&amp;sourceID=34","")</f>
        <v/>
      </c>
      <c r="K754" s="4" t="str">
        <f>HYPERLINK("http://141.218.60.56/~jnz1568/getInfo.php?workbook=08_02.xlsx&amp;sheet=A0&amp;row=754&amp;col=11&amp;number=&amp;sourceID=30","")</f>
        <v/>
      </c>
      <c r="L754" s="4" t="str">
        <f>HYPERLINK("http://141.218.60.56/~jnz1568/getInfo.php?workbook=08_02.xlsx&amp;sheet=A0&amp;row=754&amp;col=12&amp;number=&amp;sourceID=30","")</f>
        <v/>
      </c>
      <c r="M754" s="4" t="str">
        <f>HYPERLINK("http://141.218.60.56/~jnz1568/getInfo.php?workbook=08_02.xlsx&amp;sheet=A0&amp;row=754&amp;col=13&amp;number=&amp;sourceID=30","")</f>
        <v/>
      </c>
      <c r="N754" s="4" t="str">
        <f>HYPERLINK("http://141.218.60.56/~jnz1568/getInfo.php?workbook=08_02.xlsx&amp;sheet=A0&amp;row=754&amp;col=14&amp;number=7e-15&amp;sourceID=30","7e-15")</f>
        <v>7e-15</v>
      </c>
      <c r="O754" s="4" t="str">
        <f>HYPERLINK("http://141.218.60.56/~jnz1568/getInfo.php?workbook=08_02.xlsx&amp;sheet=A0&amp;row=754&amp;col=15&amp;number=&amp;sourceID=32","")</f>
        <v/>
      </c>
      <c r="P754" s="4" t="str">
        <f>HYPERLINK("http://141.218.60.56/~jnz1568/getInfo.php?workbook=08_02.xlsx&amp;sheet=A0&amp;row=754&amp;col=16&amp;number=&amp;sourceID=32","")</f>
        <v/>
      </c>
      <c r="Q754" s="4" t="str">
        <f>HYPERLINK("http://141.218.60.56/~jnz1568/getInfo.php?workbook=08_02.xlsx&amp;sheet=A0&amp;row=754&amp;col=17&amp;number=&amp;sourceID=32","")</f>
        <v/>
      </c>
      <c r="R754" s="4" t="str">
        <f>HYPERLINK("http://141.218.60.56/~jnz1568/getInfo.php?workbook=08_02.xlsx&amp;sheet=A0&amp;row=754&amp;col=18&amp;number=7e-15&amp;sourceID=32","7e-15")</f>
        <v>7e-15</v>
      </c>
      <c r="S754" s="4" t="str">
        <f>HYPERLINK("http://141.218.60.56/~jnz1568/getInfo.php?workbook=08_02.xlsx&amp;sheet=A0&amp;row=754&amp;col=19&amp;number=&amp;sourceID=1","")</f>
        <v/>
      </c>
      <c r="T754" s="4" t="str">
        <f>HYPERLINK("http://141.218.60.56/~jnz1568/getInfo.php?workbook=08_02.xlsx&amp;sheet=A0&amp;row=754&amp;col=20&amp;number=&amp;sourceID=1","")</f>
        <v/>
      </c>
    </row>
    <row r="755" spans="1:20">
      <c r="A755" s="3">
        <v>8</v>
      </c>
      <c r="B755" s="3">
        <v>2</v>
      </c>
      <c r="C755" s="3">
        <v>43</v>
      </c>
      <c r="D755" s="3">
        <v>35</v>
      </c>
      <c r="E755" s="3">
        <f>((1/(INDEX(E0!J$4:J$52,C755,1)-INDEX(E0!J$4:J$52,D755,1))))*100000000</f>
        <v>0</v>
      </c>
      <c r="F755" s="4" t="str">
        <f>HYPERLINK("http://141.218.60.56/~jnz1568/getInfo.php?workbook=08_02.xlsx&amp;sheet=A0&amp;row=755&amp;col=6&amp;number=&amp;sourceID=27","")</f>
        <v/>
      </c>
      <c r="G755" s="4" t="str">
        <f>HYPERLINK("http://141.218.60.56/~jnz1568/getInfo.php?workbook=08_02.xlsx&amp;sheet=A0&amp;row=755&amp;col=7&amp;number=&amp;sourceID=34","")</f>
        <v/>
      </c>
      <c r="H755" s="4" t="str">
        <f>HYPERLINK("http://141.218.60.56/~jnz1568/getInfo.php?workbook=08_02.xlsx&amp;sheet=A0&amp;row=755&amp;col=8&amp;number=&amp;sourceID=34","")</f>
        <v/>
      </c>
      <c r="I755" s="4" t="str">
        <f>HYPERLINK("http://141.218.60.56/~jnz1568/getInfo.php?workbook=08_02.xlsx&amp;sheet=A0&amp;row=755&amp;col=9&amp;number=&amp;sourceID=34","")</f>
        <v/>
      </c>
      <c r="J755" s="4" t="str">
        <f>HYPERLINK("http://141.218.60.56/~jnz1568/getInfo.php?workbook=08_02.xlsx&amp;sheet=A0&amp;row=755&amp;col=10&amp;number=&amp;sourceID=34","")</f>
        <v/>
      </c>
      <c r="K755" s="4" t="str">
        <f>HYPERLINK("http://141.218.60.56/~jnz1568/getInfo.php?workbook=08_02.xlsx&amp;sheet=A0&amp;row=755&amp;col=11&amp;number=&amp;sourceID=30","")</f>
        <v/>
      </c>
      <c r="L755" s="4" t="str">
        <f>HYPERLINK("http://141.218.60.56/~jnz1568/getInfo.php?workbook=08_02.xlsx&amp;sheet=A0&amp;row=755&amp;col=12&amp;number=9.017e-05&amp;sourceID=30","9.017e-05")</f>
        <v>9.017e-05</v>
      </c>
      <c r="M755" s="4" t="str">
        <f>HYPERLINK("http://141.218.60.56/~jnz1568/getInfo.php?workbook=08_02.xlsx&amp;sheet=A0&amp;row=755&amp;col=13&amp;number=&amp;sourceID=30","")</f>
        <v/>
      </c>
      <c r="N755" s="4" t="str">
        <f>HYPERLINK("http://141.218.60.56/~jnz1568/getInfo.php?workbook=08_02.xlsx&amp;sheet=A0&amp;row=755&amp;col=14&amp;number=&amp;sourceID=30","")</f>
        <v/>
      </c>
      <c r="O755" s="4" t="str">
        <f>HYPERLINK("http://141.218.60.56/~jnz1568/getInfo.php?workbook=08_02.xlsx&amp;sheet=A0&amp;row=755&amp;col=15&amp;number=&amp;sourceID=32","")</f>
        <v/>
      </c>
      <c r="P755" s="4" t="str">
        <f>HYPERLINK("http://141.218.60.56/~jnz1568/getInfo.php?workbook=08_02.xlsx&amp;sheet=A0&amp;row=755&amp;col=16&amp;number=0.0001169&amp;sourceID=32","0.0001169")</f>
        <v>0.0001169</v>
      </c>
      <c r="Q755" s="4" t="str">
        <f>HYPERLINK("http://141.218.60.56/~jnz1568/getInfo.php?workbook=08_02.xlsx&amp;sheet=A0&amp;row=755&amp;col=17&amp;number=&amp;sourceID=32","")</f>
        <v/>
      </c>
      <c r="R755" s="4" t="str">
        <f>HYPERLINK("http://141.218.60.56/~jnz1568/getInfo.php?workbook=08_02.xlsx&amp;sheet=A0&amp;row=755&amp;col=18&amp;number=&amp;sourceID=32","")</f>
        <v/>
      </c>
      <c r="S755" s="4" t="str">
        <f>HYPERLINK("http://141.218.60.56/~jnz1568/getInfo.php?workbook=08_02.xlsx&amp;sheet=A0&amp;row=755&amp;col=19&amp;number=&amp;sourceID=1","")</f>
        <v/>
      </c>
      <c r="T755" s="4" t="str">
        <f>HYPERLINK("http://141.218.60.56/~jnz1568/getInfo.php?workbook=08_02.xlsx&amp;sheet=A0&amp;row=755&amp;col=20&amp;number=&amp;sourceID=1","")</f>
        <v/>
      </c>
    </row>
    <row r="756" spans="1:20">
      <c r="A756" s="3">
        <v>8</v>
      </c>
      <c r="B756" s="3">
        <v>2</v>
      </c>
      <c r="C756" s="3">
        <v>43</v>
      </c>
      <c r="D756" s="3">
        <v>36</v>
      </c>
      <c r="E756" s="3">
        <f>((1/(INDEX(E0!J$4:J$52,C756,1)-INDEX(E0!J$4:J$52,D756,1))))*100000000</f>
        <v>0</v>
      </c>
      <c r="F756" s="4" t="str">
        <f>HYPERLINK("http://141.218.60.56/~jnz1568/getInfo.php?workbook=08_02.xlsx&amp;sheet=A0&amp;row=756&amp;col=6&amp;number=&amp;sourceID=27","")</f>
        <v/>
      </c>
      <c r="G756" s="4" t="str">
        <f>HYPERLINK("http://141.218.60.56/~jnz1568/getInfo.php?workbook=08_02.xlsx&amp;sheet=A0&amp;row=756&amp;col=7&amp;number=&amp;sourceID=34","")</f>
        <v/>
      </c>
      <c r="H756" s="4" t="str">
        <f>HYPERLINK("http://141.218.60.56/~jnz1568/getInfo.php?workbook=08_02.xlsx&amp;sheet=A0&amp;row=756&amp;col=8&amp;number=&amp;sourceID=34","")</f>
        <v/>
      </c>
      <c r="I756" s="4" t="str">
        <f>HYPERLINK("http://141.218.60.56/~jnz1568/getInfo.php?workbook=08_02.xlsx&amp;sheet=A0&amp;row=756&amp;col=9&amp;number=&amp;sourceID=34","")</f>
        <v/>
      </c>
      <c r="J756" s="4" t="str">
        <f>HYPERLINK("http://141.218.60.56/~jnz1568/getInfo.php?workbook=08_02.xlsx&amp;sheet=A0&amp;row=756&amp;col=10&amp;number=&amp;sourceID=34","")</f>
        <v/>
      </c>
      <c r="K756" s="4" t="str">
        <f>HYPERLINK("http://141.218.60.56/~jnz1568/getInfo.php?workbook=08_02.xlsx&amp;sheet=A0&amp;row=756&amp;col=11&amp;number=&amp;sourceID=30","")</f>
        <v/>
      </c>
      <c r="L756" s="4" t="str">
        <f>HYPERLINK("http://141.218.60.56/~jnz1568/getInfo.php?workbook=08_02.xlsx&amp;sheet=A0&amp;row=756&amp;col=12&amp;number=4.286e-05&amp;sourceID=30","4.286e-05")</f>
        <v>4.286e-05</v>
      </c>
      <c r="M756" s="4" t="str">
        <f>HYPERLINK("http://141.218.60.56/~jnz1568/getInfo.php?workbook=08_02.xlsx&amp;sheet=A0&amp;row=756&amp;col=13&amp;number=9.673e-11&amp;sourceID=30","9.673e-11")</f>
        <v>9.673e-11</v>
      </c>
      <c r="N756" s="4" t="str">
        <f>HYPERLINK("http://141.218.60.56/~jnz1568/getInfo.php?workbook=08_02.xlsx&amp;sheet=A0&amp;row=756&amp;col=14&amp;number=&amp;sourceID=30","")</f>
        <v/>
      </c>
      <c r="O756" s="4" t="str">
        <f>HYPERLINK("http://141.218.60.56/~jnz1568/getInfo.php?workbook=08_02.xlsx&amp;sheet=A0&amp;row=756&amp;col=15&amp;number=&amp;sourceID=32","")</f>
        <v/>
      </c>
      <c r="P756" s="4" t="str">
        <f>HYPERLINK("http://141.218.60.56/~jnz1568/getInfo.php?workbook=08_02.xlsx&amp;sheet=A0&amp;row=756&amp;col=16&amp;number=5.468e-05&amp;sourceID=32","5.468e-05")</f>
        <v>5.468e-05</v>
      </c>
      <c r="Q756" s="4" t="str">
        <f>HYPERLINK("http://141.218.60.56/~jnz1568/getInfo.php?workbook=08_02.xlsx&amp;sheet=A0&amp;row=756&amp;col=17&amp;number=1.168e-10&amp;sourceID=32","1.168e-10")</f>
        <v>1.168e-10</v>
      </c>
      <c r="R756" s="4" t="str">
        <f>HYPERLINK("http://141.218.60.56/~jnz1568/getInfo.php?workbook=08_02.xlsx&amp;sheet=A0&amp;row=756&amp;col=18&amp;number=&amp;sourceID=32","")</f>
        <v/>
      </c>
      <c r="S756" s="4" t="str">
        <f>HYPERLINK("http://141.218.60.56/~jnz1568/getInfo.php?workbook=08_02.xlsx&amp;sheet=A0&amp;row=756&amp;col=19&amp;number=&amp;sourceID=1","")</f>
        <v/>
      </c>
      <c r="T756" s="4" t="str">
        <f>HYPERLINK("http://141.218.60.56/~jnz1568/getInfo.php?workbook=08_02.xlsx&amp;sheet=A0&amp;row=756&amp;col=20&amp;number=&amp;sourceID=1","")</f>
        <v/>
      </c>
    </row>
    <row r="757" spans="1:20">
      <c r="A757" s="3">
        <v>8</v>
      </c>
      <c r="B757" s="3">
        <v>2</v>
      </c>
      <c r="C757" s="3">
        <v>43</v>
      </c>
      <c r="D757" s="3">
        <v>37</v>
      </c>
      <c r="E757" s="3">
        <f>((1/(INDEX(E0!J$4:J$52,C757,1)-INDEX(E0!J$4:J$52,D757,1))))*100000000</f>
        <v>0</v>
      </c>
      <c r="F757" s="4" t="str">
        <f>HYPERLINK("http://141.218.60.56/~jnz1568/getInfo.php?workbook=08_02.xlsx&amp;sheet=A0&amp;row=757&amp;col=6&amp;number=&amp;sourceID=27","")</f>
        <v/>
      </c>
      <c r="G757" s="4" t="str">
        <f>HYPERLINK("http://141.218.60.56/~jnz1568/getInfo.php?workbook=08_02.xlsx&amp;sheet=A0&amp;row=757&amp;col=7&amp;number=&amp;sourceID=34","")</f>
        <v/>
      </c>
      <c r="H757" s="4" t="str">
        <f>HYPERLINK("http://141.218.60.56/~jnz1568/getInfo.php?workbook=08_02.xlsx&amp;sheet=A0&amp;row=757&amp;col=8&amp;number=&amp;sourceID=34","")</f>
        <v/>
      </c>
      <c r="I757" s="4" t="str">
        <f>HYPERLINK("http://141.218.60.56/~jnz1568/getInfo.php?workbook=08_02.xlsx&amp;sheet=A0&amp;row=757&amp;col=9&amp;number=&amp;sourceID=34","")</f>
        <v/>
      </c>
      <c r="J757" s="4" t="str">
        <f>HYPERLINK("http://141.218.60.56/~jnz1568/getInfo.php?workbook=08_02.xlsx&amp;sheet=A0&amp;row=757&amp;col=10&amp;number=&amp;sourceID=34","")</f>
        <v/>
      </c>
      <c r="K757" s="4" t="str">
        <f>HYPERLINK("http://141.218.60.56/~jnz1568/getInfo.php?workbook=08_02.xlsx&amp;sheet=A0&amp;row=757&amp;col=11&amp;number=&amp;sourceID=30","")</f>
        <v/>
      </c>
      <c r="L757" s="4" t="str">
        <f>HYPERLINK("http://141.218.60.56/~jnz1568/getInfo.php?workbook=08_02.xlsx&amp;sheet=A0&amp;row=757&amp;col=12&amp;number=0&amp;sourceID=30","0")</f>
        <v>0</v>
      </c>
      <c r="M757" s="4" t="str">
        <f>HYPERLINK("http://141.218.60.56/~jnz1568/getInfo.php?workbook=08_02.xlsx&amp;sheet=A0&amp;row=757&amp;col=13&amp;number=4.775e-10&amp;sourceID=30","4.775e-10")</f>
        <v>4.775e-10</v>
      </c>
      <c r="N757" s="4" t="str">
        <f>HYPERLINK("http://141.218.60.56/~jnz1568/getInfo.php?workbook=08_02.xlsx&amp;sheet=A0&amp;row=757&amp;col=14&amp;number=&amp;sourceID=30","")</f>
        <v/>
      </c>
      <c r="O757" s="4" t="str">
        <f>HYPERLINK("http://141.218.60.56/~jnz1568/getInfo.php?workbook=08_02.xlsx&amp;sheet=A0&amp;row=757&amp;col=15&amp;number=&amp;sourceID=32","")</f>
        <v/>
      </c>
      <c r="P757" s="4" t="str">
        <f>HYPERLINK("http://141.218.60.56/~jnz1568/getInfo.php?workbook=08_02.xlsx&amp;sheet=A0&amp;row=757&amp;col=16&amp;number=&amp;sourceID=32","")</f>
        <v/>
      </c>
      <c r="Q757" s="4" t="str">
        <f>HYPERLINK("http://141.218.60.56/~jnz1568/getInfo.php?workbook=08_02.xlsx&amp;sheet=A0&amp;row=757&amp;col=17&amp;number=&amp;sourceID=32","")</f>
        <v/>
      </c>
      <c r="R757" s="4" t="str">
        <f>HYPERLINK("http://141.218.60.56/~jnz1568/getInfo.php?workbook=08_02.xlsx&amp;sheet=A0&amp;row=757&amp;col=18&amp;number=&amp;sourceID=32","")</f>
        <v/>
      </c>
      <c r="S757" s="4" t="str">
        <f>HYPERLINK("http://141.218.60.56/~jnz1568/getInfo.php?workbook=08_02.xlsx&amp;sheet=A0&amp;row=757&amp;col=19&amp;number=&amp;sourceID=1","")</f>
        <v/>
      </c>
      <c r="T757" s="4" t="str">
        <f>HYPERLINK("http://141.218.60.56/~jnz1568/getInfo.php?workbook=08_02.xlsx&amp;sheet=A0&amp;row=757&amp;col=20&amp;number=&amp;sourceID=1","")</f>
        <v/>
      </c>
    </row>
    <row r="758" spans="1:20">
      <c r="A758" s="3">
        <v>8</v>
      </c>
      <c r="B758" s="3">
        <v>2</v>
      </c>
      <c r="C758" s="3">
        <v>43</v>
      </c>
      <c r="D758" s="3">
        <v>38</v>
      </c>
      <c r="E758" s="3">
        <f>((1/(INDEX(E0!J$4:J$52,C758,1)-INDEX(E0!J$4:J$52,D758,1))))*100000000</f>
        <v>0</v>
      </c>
      <c r="F758" s="4" t="str">
        <f>HYPERLINK("http://141.218.60.56/~jnz1568/getInfo.php?workbook=08_02.xlsx&amp;sheet=A0&amp;row=758&amp;col=6&amp;number=&amp;sourceID=27","")</f>
        <v/>
      </c>
      <c r="G758" s="4" t="str">
        <f>HYPERLINK("http://141.218.60.56/~jnz1568/getInfo.php?workbook=08_02.xlsx&amp;sheet=A0&amp;row=758&amp;col=7&amp;number=&amp;sourceID=34","")</f>
        <v/>
      </c>
      <c r="H758" s="4" t="str">
        <f>HYPERLINK("http://141.218.60.56/~jnz1568/getInfo.php?workbook=08_02.xlsx&amp;sheet=A0&amp;row=758&amp;col=8&amp;number=&amp;sourceID=34","")</f>
        <v/>
      </c>
      <c r="I758" s="4" t="str">
        <f>HYPERLINK("http://141.218.60.56/~jnz1568/getInfo.php?workbook=08_02.xlsx&amp;sheet=A0&amp;row=758&amp;col=9&amp;number=&amp;sourceID=34","")</f>
        <v/>
      </c>
      <c r="J758" s="4" t="str">
        <f>HYPERLINK("http://141.218.60.56/~jnz1568/getInfo.php?workbook=08_02.xlsx&amp;sheet=A0&amp;row=758&amp;col=10&amp;number=&amp;sourceID=34","")</f>
        <v/>
      </c>
      <c r="K758" s="4" t="str">
        <f>HYPERLINK("http://141.218.60.56/~jnz1568/getInfo.php?workbook=08_02.xlsx&amp;sheet=A0&amp;row=758&amp;col=11&amp;number=&amp;sourceID=30","")</f>
        <v/>
      </c>
      <c r="L758" s="4" t="str">
        <f>HYPERLINK("http://141.218.60.56/~jnz1568/getInfo.php?workbook=08_02.xlsx&amp;sheet=A0&amp;row=758&amp;col=12&amp;number=&amp;sourceID=30","")</f>
        <v/>
      </c>
      <c r="M758" s="4" t="str">
        <f>HYPERLINK("http://141.218.60.56/~jnz1568/getInfo.php?workbook=08_02.xlsx&amp;sheet=A0&amp;row=758&amp;col=13&amp;number=&amp;sourceID=30","")</f>
        <v/>
      </c>
      <c r="N758" s="4" t="str">
        <f>HYPERLINK("http://141.218.60.56/~jnz1568/getInfo.php?workbook=08_02.xlsx&amp;sheet=A0&amp;row=758&amp;col=14&amp;number=1e-15&amp;sourceID=30","1e-15")</f>
        <v>1e-15</v>
      </c>
      <c r="O758" s="4" t="str">
        <f>HYPERLINK("http://141.218.60.56/~jnz1568/getInfo.php?workbook=08_02.xlsx&amp;sheet=A0&amp;row=758&amp;col=15&amp;number=&amp;sourceID=32","")</f>
        <v/>
      </c>
      <c r="P758" s="4" t="str">
        <f>HYPERLINK("http://141.218.60.56/~jnz1568/getInfo.php?workbook=08_02.xlsx&amp;sheet=A0&amp;row=758&amp;col=16&amp;number=&amp;sourceID=32","")</f>
        <v/>
      </c>
      <c r="Q758" s="4" t="str">
        <f>HYPERLINK("http://141.218.60.56/~jnz1568/getInfo.php?workbook=08_02.xlsx&amp;sheet=A0&amp;row=758&amp;col=17&amp;number=&amp;sourceID=32","")</f>
        <v/>
      </c>
      <c r="R758" s="4" t="str">
        <f>HYPERLINK("http://141.218.60.56/~jnz1568/getInfo.php?workbook=08_02.xlsx&amp;sheet=A0&amp;row=758&amp;col=18&amp;number=2e-15&amp;sourceID=32","2e-15")</f>
        <v>2e-15</v>
      </c>
      <c r="S758" s="4" t="str">
        <f>HYPERLINK("http://141.218.60.56/~jnz1568/getInfo.php?workbook=08_02.xlsx&amp;sheet=A0&amp;row=758&amp;col=19&amp;number=&amp;sourceID=1","")</f>
        <v/>
      </c>
      <c r="T758" s="4" t="str">
        <f>HYPERLINK("http://141.218.60.56/~jnz1568/getInfo.php?workbook=08_02.xlsx&amp;sheet=A0&amp;row=758&amp;col=20&amp;number=&amp;sourceID=1","")</f>
        <v/>
      </c>
    </row>
    <row r="759" spans="1:20">
      <c r="A759" s="3">
        <v>8</v>
      </c>
      <c r="B759" s="3">
        <v>2</v>
      </c>
      <c r="C759" s="3">
        <v>43</v>
      </c>
      <c r="D759" s="3">
        <v>39</v>
      </c>
      <c r="E759" s="3">
        <f>((1/(INDEX(E0!J$4:J$52,C759,1)-INDEX(E0!J$4:J$52,D759,1))))*100000000</f>
        <v>0</v>
      </c>
      <c r="F759" s="4" t="str">
        <f>HYPERLINK("http://141.218.60.56/~jnz1568/getInfo.php?workbook=08_02.xlsx&amp;sheet=A0&amp;row=759&amp;col=6&amp;number=&amp;sourceID=27","")</f>
        <v/>
      </c>
      <c r="G759" s="4" t="str">
        <f>HYPERLINK("http://141.218.60.56/~jnz1568/getInfo.php?workbook=08_02.xlsx&amp;sheet=A0&amp;row=759&amp;col=7&amp;number=&amp;sourceID=34","")</f>
        <v/>
      </c>
      <c r="H759" s="4" t="str">
        <f>HYPERLINK("http://141.218.60.56/~jnz1568/getInfo.php?workbook=08_02.xlsx&amp;sheet=A0&amp;row=759&amp;col=8&amp;number=&amp;sourceID=34","")</f>
        <v/>
      </c>
      <c r="I759" s="4" t="str">
        <f>HYPERLINK("http://141.218.60.56/~jnz1568/getInfo.php?workbook=08_02.xlsx&amp;sheet=A0&amp;row=759&amp;col=9&amp;number=&amp;sourceID=34","")</f>
        <v/>
      </c>
      <c r="J759" s="4" t="str">
        <f>HYPERLINK("http://141.218.60.56/~jnz1568/getInfo.php?workbook=08_02.xlsx&amp;sheet=A0&amp;row=759&amp;col=10&amp;number=&amp;sourceID=34","")</f>
        <v/>
      </c>
      <c r="K759" s="4" t="str">
        <f>HYPERLINK("http://141.218.60.56/~jnz1568/getInfo.php?workbook=08_02.xlsx&amp;sheet=A0&amp;row=759&amp;col=11&amp;number=6.352&amp;sourceID=30","6.352")</f>
        <v>6.352</v>
      </c>
      <c r="L759" s="4" t="str">
        <f>HYPERLINK("http://141.218.60.56/~jnz1568/getInfo.php?workbook=08_02.xlsx&amp;sheet=A0&amp;row=759&amp;col=12&amp;number=&amp;sourceID=30","")</f>
        <v/>
      </c>
      <c r="M759" s="4" t="str">
        <f>HYPERLINK("http://141.218.60.56/~jnz1568/getInfo.php?workbook=08_02.xlsx&amp;sheet=A0&amp;row=759&amp;col=13&amp;number=&amp;sourceID=30","")</f>
        <v/>
      </c>
      <c r="N759" s="4" t="str">
        <f>HYPERLINK("http://141.218.60.56/~jnz1568/getInfo.php?workbook=08_02.xlsx&amp;sheet=A0&amp;row=759&amp;col=14&amp;number=3e-15&amp;sourceID=30","3e-15")</f>
        <v>3e-15</v>
      </c>
      <c r="O759" s="4" t="str">
        <f>HYPERLINK("http://141.218.60.56/~jnz1568/getInfo.php?workbook=08_02.xlsx&amp;sheet=A0&amp;row=759&amp;col=15&amp;number=9.259&amp;sourceID=32","9.259")</f>
        <v>9.259</v>
      </c>
      <c r="P759" s="4" t="str">
        <f>HYPERLINK("http://141.218.60.56/~jnz1568/getInfo.php?workbook=08_02.xlsx&amp;sheet=A0&amp;row=759&amp;col=16&amp;number=&amp;sourceID=32","")</f>
        <v/>
      </c>
      <c r="Q759" s="4" t="str">
        <f>HYPERLINK("http://141.218.60.56/~jnz1568/getInfo.php?workbook=08_02.xlsx&amp;sheet=A0&amp;row=759&amp;col=17&amp;number=&amp;sourceID=32","")</f>
        <v/>
      </c>
      <c r="R759" s="4" t="str">
        <f>HYPERLINK("http://141.218.60.56/~jnz1568/getInfo.php?workbook=08_02.xlsx&amp;sheet=A0&amp;row=759&amp;col=18&amp;number=6e-15&amp;sourceID=32","6e-15")</f>
        <v>6e-15</v>
      </c>
      <c r="S759" s="4" t="str">
        <f>HYPERLINK("http://141.218.60.56/~jnz1568/getInfo.php?workbook=08_02.xlsx&amp;sheet=A0&amp;row=759&amp;col=19&amp;number=&amp;sourceID=1","")</f>
        <v/>
      </c>
      <c r="T759" s="4" t="str">
        <f>HYPERLINK("http://141.218.60.56/~jnz1568/getInfo.php?workbook=08_02.xlsx&amp;sheet=A0&amp;row=759&amp;col=20&amp;number=&amp;sourceID=1","")</f>
        <v/>
      </c>
    </row>
    <row r="760" spans="1:20">
      <c r="A760" s="3">
        <v>8</v>
      </c>
      <c r="B760" s="3">
        <v>2</v>
      </c>
      <c r="C760" s="3">
        <v>43</v>
      </c>
      <c r="D760" s="3">
        <v>40</v>
      </c>
      <c r="E760" s="3">
        <f>((1/(INDEX(E0!J$4:J$52,C760,1)-INDEX(E0!J$4:J$52,D760,1))))*100000000</f>
        <v>0</v>
      </c>
      <c r="F760" s="4" t="str">
        <f>HYPERLINK("http://141.218.60.56/~jnz1568/getInfo.php?workbook=08_02.xlsx&amp;sheet=A0&amp;row=760&amp;col=6&amp;number=&amp;sourceID=27","")</f>
        <v/>
      </c>
      <c r="G760" s="4" t="str">
        <f>HYPERLINK("http://141.218.60.56/~jnz1568/getInfo.php?workbook=08_02.xlsx&amp;sheet=A0&amp;row=760&amp;col=7&amp;number=&amp;sourceID=34","")</f>
        <v/>
      </c>
      <c r="H760" s="4" t="str">
        <f>HYPERLINK("http://141.218.60.56/~jnz1568/getInfo.php?workbook=08_02.xlsx&amp;sheet=A0&amp;row=760&amp;col=8&amp;number=&amp;sourceID=34","")</f>
        <v/>
      </c>
      <c r="I760" s="4" t="str">
        <f>HYPERLINK("http://141.218.60.56/~jnz1568/getInfo.php?workbook=08_02.xlsx&amp;sheet=A0&amp;row=760&amp;col=9&amp;number=&amp;sourceID=34","")</f>
        <v/>
      </c>
      <c r="J760" s="4" t="str">
        <f>HYPERLINK("http://141.218.60.56/~jnz1568/getInfo.php?workbook=08_02.xlsx&amp;sheet=A0&amp;row=760&amp;col=10&amp;number=&amp;sourceID=34","")</f>
        <v/>
      </c>
      <c r="K760" s="4" t="str">
        <f>HYPERLINK("http://141.218.60.56/~jnz1568/getInfo.php?workbook=08_02.xlsx&amp;sheet=A0&amp;row=760&amp;col=11&amp;number=0.7791&amp;sourceID=30","0.7791")</f>
        <v>0.7791</v>
      </c>
      <c r="L760" s="4" t="str">
        <f>HYPERLINK("http://141.218.60.56/~jnz1568/getInfo.php?workbook=08_02.xlsx&amp;sheet=A0&amp;row=760&amp;col=12&amp;number=&amp;sourceID=30","")</f>
        <v/>
      </c>
      <c r="M760" s="4" t="str">
        <f>HYPERLINK("http://141.218.60.56/~jnz1568/getInfo.php?workbook=08_02.xlsx&amp;sheet=A0&amp;row=760&amp;col=13&amp;number=&amp;sourceID=30","")</f>
        <v/>
      </c>
      <c r="N760" s="4" t="str">
        <f>HYPERLINK("http://141.218.60.56/~jnz1568/getInfo.php?workbook=08_02.xlsx&amp;sheet=A0&amp;row=760&amp;col=14&amp;number=1e-15&amp;sourceID=30","1e-15")</f>
        <v>1e-15</v>
      </c>
      <c r="O760" s="4" t="str">
        <f>HYPERLINK("http://141.218.60.56/~jnz1568/getInfo.php?workbook=08_02.xlsx&amp;sheet=A0&amp;row=760&amp;col=15&amp;number=1.196&amp;sourceID=32","1.196")</f>
        <v>1.196</v>
      </c>
      <c r="P760" s="4" t="str">
        <f>HYPERLINK("http://141.218.60.56/~jnz1568/getInfo.php?workbook=08_02.xlsx&amp;sheet=A0&amp;row=760&amp;col=16&amp;number=&amp;sourceID=32","")</f>
        <v/>
      </c>
      <c r="Q760" s="4" t="str">
        <f>HYPERLINK("http://141.218.60.56/~jnz1568/getInfo.php?workbook=08_02.xlsx&amp;sheet=A0&amp;row=760&amp;col=17&amp;number=&amp;sourceID=32","")</f>
        <v/>
      </c>
      <c r="R760" s="4" t="str">
        <f>HYPERLINK("http://141.218.60.56/~jnz1568/getInfo.php?workbook=08_02.xlsx&amp;sheet=A0&amp;row=760&amp;col=18&amp;number=1e-15&amp;sourceID=32","1e-15")</f>
        <v>1e-15</v>
      </c>
      <c r="S760" s="4" t="str">
        <f>HYPERLINK("http://141.218.60.56/~jnz1568/getInfo.php?workbook=08_02.xlsx&amp;sheet=A0&amp;row=760&amp;col=19&amp;number=&amp;sourceID=1","")</f>
        <v/>
      </c>
      <c r="T760" s="4" t="str">
        <f>HYPERLINK("http://141.218.60.56/~jnz1568/getInfo.php?workbook=08_02.xlsx&amp;sheet=A0&amp;row=760&amp;col=20&amp;number=&amp;sourceID=1","")</f>
        <v/>
      </c>
    </row>
    <row r="761" spans="1:20">
      <c r="A761" s="3">
        <v>8</v>
      </c>
      <c r="B761" s="3">
        <v>2</v>
      </c>
      <c r="C761" s="3">
        <v>43</v>
      </c>
      <c r="D761" s="3">
        <v>41</v>
      </c>
      <c r="E761" s="3">
        <f>((1/(INDEX(E0!J$4:J$52,C761,1)-INDEX(E0!J$4:J$52,D761,1))))*100000000</f>
        <v>0</v>
      </c>
      <c r="F761" s="4" t="str">
        <f>HYPERLINK("http://141.218.60.56/~jnz1568/getInfo.php?workbook=08_02.xlsx&amp;sheet=A0&amp;row=761&amp;col=6&amp;number=&amp;sourceID=27","")</f>
        <v/>
      </c>
      <c r="G761" s="4" t="str">
        <f>HYPERLINK("http://141.218.60.56/~jnz1568/getInfo.php?workbook=08_02.xlsx&amp;sheet=A0&amp;row=761&amp;col=7&amp;number=&amp;sourceID=34","")</f>
        <v/>
      </c>
      <c r="H761" s="4" t="str">
        <f>HYPERLINK("http://141.218.60.56/~jnz1568/getInfo.php?workbook=08_02.xlsx&amp;sheet=A0&amp;row=761&amp;col=8&amp;number=&amp;sourceID=34","")</f>
        <v/>
      </c>
      <c r="I761" s="4" t="str">
        <f>HYPERLINK("http://141.218.60.56/~jnz1568/getInfo.php?workbook=08_02.xlsx&amp;sheet=A0&amp;row=761&amp;col=9&amp;number=&amp;sourceID=34","")</f>
        <v/>
      </c>
      <c r="J761" s="4" t="str">
        <f>HYPERLINK("http://141.218.60.56/~jnz1568/getInfo.php?workbook=08_02.xlsx&amp;sheet=A0&amp;row=761&amp;col=10&amp;number=&amp;sourceID=34","")</f>
        <v/>
      </c>
      <c r="K761" s="4" t="str">
        <f>HYPERLINK("http://141.218.60.56/~jnz1568/getInfo.php?workbook=08_02.xlsx&amp;sheet=A0&amp;row=761&amp;col=11&amp;number=&amp;sourceID=30","")</f>
        <v/>
      </c>
      <c r="L761" s="4" t="str">
        <f>HYPERLINK("http://141.218.60.56/~jnz1568/getInfo.php?workbook=08_02.xlsx&amp;sheet=A0&amp;row=761&amp;col=12&amp;number=0&amp;sourceID=30","0")</f>
        <v>0</v>
      </c>
      <c r="M761" s="4" t="str">
        <f>HYPERLINK("http://141.218.60.56/~jnz1568/getInfo.php?workbook=08_02.xlsx&amp;sheet=A0&amp;row=761&amp;col=13&amp;number=9.943e-10&amp;sourceID=30","9.943e-10")</f>
        <v>9.943e-10</v>
      </c>
      <c r="N761" s="4" t="str">
        <f>HYPERLINK("http://141.218.60.56/~jnz1568/getInfo.php?workbook=08_02.xlsx&amp;sheet=A0&amp;row=761&amp;col=14&amp;number=&amp;sourceID=30","")</f>
        <v/>
      </c>
      <c r="O761" s="4" t="str">
        <f>HYPERLINK("http://141.218.60.56/~jnz1568/getInfo.php?workbook=08_02.xlsx&amp;sheet=A0&amp;row=761&amp;col=15&amp;number=&amp;sourceID=32","")</f>
        <v/>
      </c>
      <c r="P761" s="4" t="str">
        <f>HYPERLINK("http://141.218.60.56/~jnz1568/getInfo.php?workbook=08_02.xlsx&amp;sheet=A0&amp;row=761&amp;col=16&amp;number=&amp;sourceID=32","")</f>
        <v/>
      </c>
      <c r="Q761" s="4" t="str">
        <f>HYPERLINK("http://141.218.60.56/~jnz1568/getInfo.php?workbook=08_02.xlsx&amp;sheet=A0&amp;row=761&amp;col=17&amp;number=&amp;sourceID=32","")</f>
        <v/>
      </c>
      <c r="R761" s="4" t="str">
        <f>HYPERLINK("http://141.218.60.56/~jnz1568/getInfo.php?workbook=08_02.xlsx&amp;sheet=A0&amp;row=761&amp;col=18&amp;number=&amp;sourceID=32","")</f>
        <v/>
      </c>
      <c r="S761" s="4" t="str">
        <f>HYPERLINK("http://141.218.60.56/~jnz1568/getInfo.php?workbook=08_02.xlsx&amp;sheet=A0&amp;row=761&amp;col=19&amp;number=&amp;sourceID=1","")</f>
        <v/>
      </c>
      <c r="T761" s="4" t="str">
        <f>HYPERLINK("http://141.218.60.56/~jnz1568/getInfo.php?workbook=08_02.xlsx&amp;sheet=A0&amp;row=761&amp;col=20&amp;number=&amp;sourceID=1","")</f>
        <v/>
      </c>
    </row>
    <row r="762" spans="1:20">
      <c r="A762" s="3">
        <v>8</v>
      </c>
      <c r="B762" s="3">
        <v>2</v>
      </c>
      <c r="C762" s="3">
        <v>43</v>
      </c>
      <c r="D762" s="3">
        <v>42</v>
      </c>
      <c r="E762" s="3">
        <f>((1/(INDEX(E0!J$4:J$52,C762,1)-INDEX(E0!J$4:J$52,D762,1))))*100000000</f>
        <v>0</v>
      </c>
      <c r="F762" s="4" t="str">
        <f>HYPERLINK("http://141.218.60.56/~jnz1568/getInfo.php?workbook=08_02.xlsx&amp;sheet=A0&amp;row=762&amp;col=6&amp;number=&amp;sourceID=27","")</f>
        <v/>
      </c>
      <c r="G762" s="4" t="str">
        <f>HYPERLINK("http://141.218.60.56/~jnz1568/getInfo.php?workbook=08_02.xlsx&amp;sheet=A0&amp;row=762&amp;col=7&amp;number=&amp;sourceID=34","")</f>
        <v/>
      </c>
      <c r="H762" s="4" t="str">
        <f>HYPERLINK("http://141.218.60.56/~jnz1568/getInfo.php?workbook=08_02.xlsx&amp;sheet=A0&amp;row=762&amp;col=8&amp;number=&amp;sourceID=34","")</f>
        <v/>
      </c>
      <c r="I762" s="4" t="str">
        <f>HYPERLINK("http://141.218.60.56/~jnz1568/getInfo.php?workbook=08_02.xlsx&amp;sheet=A0&amp;row=762&amp;col=9&amp;number=&amp;sourceID=34","")</f>
        <v/>
      </c>
      <c r="J762" s="4" t="str">
        <f>HYPERLINK("http://141.218.60.56/~jnz1568/getInfo.php?workbook=08_02.xlsx&amp;sheet=A0&amp;row=762&amp;col=10&amp;number=&amp;sourceID=34","")</f>
        <v/>
      </c>
      <c r="K762" s="4" t="str">
        <f>HYPERLINK("http://141.218.60.56/~jnz1568/getInfo.php?workbook=08_02.xlsx&amp;sheet=A0&amp;row=762&amp;col=11&amp;number=&amp;sourceID=30","")</f>
        <v/>
      </c>
      <c r="L762" s="4" t="str">
        <f>HYPERLINK("http://141.218.60.56/~jnz1568/getInfo.php?workbook=08_02.xlsx&amp;sheet=A0&amp;row=762&amp;col=12&amp;number=0&amp;sourceID=30","0")</f>
        <v>0</v>
      </c>
      <c r="M762" s="4" t="str">
        <f>HYPERLINK("http://141.218.60.56/~jnz1568/getInfo.php?workbook=08_02.xlsx&amp;sheet=A0&amp;row=762&amp;col=13&amp;number=9.737e-09&amp;sourceID=30","9.737e-09")</f>
        <v>9.737e-09</v>
      </c>
      <c r="N762" s="4" t="str">
        <f>HYPERLINK("http://141.218.60.56/~jnz1568/getInfo.php?workbook=08_02.xlsx&amp;sheet=A0&amp;row=762&amp;col=14&amp;number=&amp;sourceID=30","")</f>
        <v/>
      </c>
      <c r="O762" s="4" t="str">
        <f>HYPERLINK("http://141.218.60.56/~jnz1568/getInfo.php?workbook=08_02.xlsx&amp;sheet=A0&amp;row=762&amp;col=15&amp;number=&amp;sourceID=32","")</f>
        <v/>
      </c>
      <c r="P762" s="4" t="str">
        <f>HYPERLINK("http://141.218.60.56/~jnz1568/getInfo.php?workbook=08_02.xlsx&amp;sheet=A0&amp;row=762&amp;col=16&amp;number=&amp;sourceID=32","")</f>
        <v/>
      </c>
      <c r="Q762" s="4" t="str">
        <f>HYPERLINK("http://141.218.60.56/~jnz1568/getInfo.php?workbook=08_02.xlsx&amp;sheet=A0&amp;row=762&amp;col=17&amp;number=&amp;sourceID=32","")</f>
        <v/>
      </c>
      <c r="R762" s="4" t="str">
        <f>HYPERLINK("http://141.218.60.56/~jnz1568/getInfo.php?workbook=08_02.xlsx&amp;sheet=A0&amp;row=762&amp;col=18&amp;number=&amp;sourceID=32","")</f>
        <v/>
      </c>
      <c r="S762" s="4" t="str">
        <f>HYPERLINK("http://141.218.60.56/~jnz1568/getInfo.php?workbook=08_02.xlsx&amp;sheet=A0&amp;row=762&amp;col=19&amp;number=&amp;sourceID=1","")</f>
        <v/>
      </c>
      <c r="T762" s="4" t="str">
        <f>HYPERLINK("http://141.218.60.56/~jnz1568/getInfo.php?workbook=08_02.xlsx&amp;sheet=A0&amp;row=762&amp;col=20&amp;number=&amp;sourceID=1","")</f>
        <v/>
      </c>
    </row>
    <row r="763" spans="1:20">
      <c r="A763" s="3">
        <v>8</v>
      </c>
      <c r="B763" s="3">
        <v>2</v>
      </c>
      <c r="C763" s="3">
        <v>44</v>
      </c>
      <c r="D763" s="3">
        <v>1</v>
      </c>
      <c r="E763" s="3">
        <f>((1/(INDEX(E0!J$4:J$52,C763,1)-INDEX(E0!J$4:J$52,D763,1))))*100000000</f>
        <v>0</v>
      </c>
      <c r="F763" s="4" t="str">
        <f>HYPERLINK("http://141.218.60.56/~jnz1568/getInfo.php?workbook=08_02.xlsx&amp;sheet=A0&amp;row=763&amp;col=6&amp;number=&amp;sourceID=27","")</f>
        <v/>
      </c>
      <c r="G763" s="4" t="str">
        <f>HYPERLINK("http://141.218.60.56/~jnz1568/getInfo.php?workbook=08_02.xlsx&amp;sheet=A0&amp;row=763&amp;col=7&amp;number=&amp;sourceID=34","")</f>
        <v/>
      </c>
      <c r="H763" s="4" t="str">
        <f>HYPERLINK("http://141.218.60.56/~jnz1568/getInfo.php?workbook=08_02.xlsx&amp;sheet=A0&amp;row=763&amp;col=8&amp;number=&amp;sourceID=34","")</f>
        <v/>
      </c>
      <c r="I763" s="4" t="str">
        <f>HYPERLINK("http://141.218.60.56/~jnz1568/getInfo.php?workbook=08_02.xlsx&amp;sheet=A0&amp;row=763&amp;col=9&amp;number=&amp;sourceID=34","")</f>
        <v/>
      </c>
      <c r="J763" s="4" t="str">
        <f>HYPERLINK("http://141.218.60.56/~jnz1568/getInfo.php?workbook=08_02.xlsx&amp;sheet=A0&amp;row=763&amp;col=10&amp;number=&amp;sourceID=34","")</f>
        <v/>
      </c>
      <c r="K763" s="4" t="str">
        <f>HYPERLINK("http://141.218.60.56/~jnz1568/getInfo.php?workbook=08_02.xlsx&amp;sheet=A0&amp;row=763&amp;col=11&amp;number=&amp;sourceID=30","")</f>
        <v/>
      </c>
      <c r="L763" s="4" t="str">
        <f>HYPERLINK("http://141.218.60.56/~jnz1568/getInfo.php?workbook=08_02.xlsx&amp;sheet=A0&amp;row=763&amp;col=12&amp;number=567200000&amp;sourceID=30","567200000")</f>
        <v>567200000</v>
      </c>
      <c r="M763" s="4" t="str">
        <f>HYPERLINK("http://141.218.60.56/~jnz1568/getInfo.php?workbook=08_02.xlsx&amp;sheet=A0&amp;row=763&amp;col=13&amp;number=&amp;sourceID=30","")</f>
        <v/>
      </c>
      <c r="N763" s="4" t="str">
        <f>HYPERLINK("http://141.218.60.56/~jnz1568/getInfo.php?workbook=08_02.xlsx&amp;sheet=A0&amp;row=763&amp;col=14&amp;number=&amp;sourceID=30","")</f>
        <v/>
      </c>
      <c r="O763" s="4" t="str">
        <f>HYPERLINK("http://141.218.60.56/~jnz1568/getInfo.php?workbook=08_02.xlsx&amp;sheet=A0&amp;row=763&amp;col=15&amp;number=&amp;sourceID=32","")</f>
        <v/>
      </c>
      <c r="P763" s="4" t="str">
        <f>HYPERLINK("http://141.218.60.56/~jnz1568/getInfo.php?workbook=08_02.xlsx&amp;sheet=A0&amp;row=763&amp;col=16&amp;number=45310000&amp;sourceID=32","45310000")</f>
        <v>45310000</v>
      </c>
      <c r="Q763" s="4" t="str">
        <f>HYPERLINK("http://141.218.60.56/~jnz1568/getInfo.php?workbook=08_02.xlsx&amp;sheet=A0&amp;row=763&amp;col=17&amp;number=&amp;sourceID=32","")</f>
        <v/>
      </c>
      <c r="R763" s="4" t="str">
        <f>HYPERLINK("http://141.218.60.56/~jnz1568/getInfo.php?workbook=08_02.xlsx&amp;sheet=A0&amp;row=763&amp;col=18&amp;number=&amp;sourceID=32","")</f>
        <v/>
      </c>
      <c r="S763" s="4" t="str">
        <f>HYPERLINK("http://141.218.60.56/~jnz1568/getInfo.php?workbook=08_02.xlsx&amp;sheet=A0&amp;row=763&amp;col=19&amp;number=&amp;sourceID=1","")</f>
        <v/>
      </c>
      <c r="T763" s="4" t="str">
        <f>HYPERLINK("http://141.218.60.56/~jnz1568/getInfo.php?workbook=08_02.xlsx&amp;sheet=A0&amp;row=763&amp;col=20&amp;number=&amp;sourceID=1","")</f>
        <v/>
      </c>
    </row>
    <row r="764" spans="1:20">
      <c r="A764" s="3">
        <v>8</v>
      </c>
      <c r="B764" s="3">
        <v>2</v>
      </c>
      <c r="C764" s="3">
        <v>44</v>
      </c>
      <c r="D764" s="3">
        <v>2</v>
      </c>
      <c r="E764" s="3">
        <f>((1/(INDEX(E0!J$4:J$52,C764,1)-INDEX(E0!J$4:J$52,D764,1))))*100000000</f>
        <v>0</v>
      </c>
      <c r="F764" s="4" t="str">
        <f>HYPERLINK("http://141.218.60.56/~jnz1568/getInfo.php?workbook=08_02.xlsx&amp;sheet=A0&amp;row=764&amp;col=6&amp;number=&amp;sourceID=27","")</f>
        <v/>
      </c>
      <c r="G764" s="4" t="str">
        <f>HYPERLINK("http://141.218.60.56/~jnz1568/getInfo.php?workbook=08_02.xlsx&amp;sheet=A0&amp;row=764&amp;col=7&amp;number=&amp;sourceID=34","")</f>
        <v/>
      </c>
      <c r="H764" s="4" t="str">
        <f>HYPERLINK("http://141.218.60.56/~jnz1568/getInfo.php?workbook=08_02.xlsx&amp;sheet=A0&amp;row=764&amp;col=8&amp;number=&amp;sourceID=34","")</f>
        <v/>
      </c>
      <c r="I764" s="4" t="str">
        <f>HYPERLINK("http://141.218.60.56/~jnz1568/getInfo.php?workbook=08_02.xlsx&amp;sheet=A0&amp;row=764&amp;col=9&amp;number=&amp;sourceID=34","")</f>
        <v/>
      </c>
      <c r="J764" s="4" t="str">
        <f>HYPERLINK("http://141.218.60.56/~jnz1568/getInfo.php?workbook=08_02.xlsx&amp;sheet=A0&amp;row=764&amp;col=10&amp;number=&amp;sourceID=34","")</f>
        <v/>
      </c>
      <c r="K764" s="4" t="str">
        <f>HYPERLINK("http://141.218.60.56/~jnz1568/getInfo.php?workbook=08_02.xlsx&amp;sheet=A0&amp;row=764&amp;col=11&amp;number=&amp;sourceID=30","")</f>
        <v/>
      </c>
      <c r="L764" s="4" t="str">
        <f>HYPERLINK("http://141.218.60.56/~jnz1568/getInfo.php?workbook=08_02.xlsx&amp;sheet=A0&amp;row=764&amp;col=12&amp;number=759.2&amp;sourceID=30","759.2")</f>
        <v>759.2</v>
      </c>
      <c r="M764" s="4" t="str">
        <f>HYPERLINK("http://141.218.60.56/~jnz1568/getInfo.php?workbook=08_02.xlsx&amp;sheet=A0&amp;row=764&amp;col=13&amp;number=0.007248&amp;sourceID=30","0.007248")</f>
        <v>0.007248</v>
      </c>
      <c r="N764" s="4" t="str">
        <f>HYPERLINK("http://141.218.60.56/~jnz1568/getInfo.php?workbook=08_02.xlsx&amp;sheet=A0&amp;row=764&amp;col=14&amp;number=&amp;sourceID=30","")</f>
        <v/>
      </c>
      <c r="O764" s="4" t="str">
        <f>HYPERLINK("http://141.218.60.56/~jnz1568/getInfo.php?workbook=08_02.xlsx&amp;sheet=A0&amp;row=764&amp;col=15&amp;number=&amp;sourceID=32","")</f>
        <v/>
      </c>
      <c r="P764" s="4" t="str">
        <f>HYPERLINK("http://141.218.60.56/~jnz1568/getInfo.php?workbook=08_02.xlsx&amp;sheet=A0&amp;row=764&amp;col=16&amp;number=3064&amp;sourceID=32","3064")</f>
        <v>3064</v>
      </c>
      <c r="Q764" s="4" t="str">
        <f>HYPERLINK("http://141.218.60.56/~jnz1568/getInfo.php?workbook=08_02.xlsx&amp;sheet=A0&amp;row=764&amp;col=17&amp;number=0.008043&amp;sourceID=32","0.008043")</f>
        <v>0.008043</v>
      </c>
      <c r="R764" s="4" t="str">
        <f>HYPERLINK("http://141.218.60.56/~jnz1568/getInfo.php?workbook=08_02.xlsx&amp;sheet=A0&amp;row=764&amp;col=18&amp;number=&amp;sourceID=32","")</f>
        <v/>
      </c>
      <c r="S764" s="4" t="str">
        <f>HYPERLINK("http://141.218.60.56/~jnz1568/getInfo.php?workbook=08_02.xlsx&amp;sheet=A0&amp;row=764&amp;col=19&amp;number=&amp;sourceID=1","")</f>
        <v/>
      </c>
      <c r="T764" s="4" t="str">
        <f>HYPERLINK("http://141.218.60.56/~jnz1568/getInfo.php?workbook=08_02.xlsx&amp;sheet=A0&amp;row=764&amp;col=20&amp;number=&amp;sourceID=1","")</f>
        <v/>
      </c>
    </row>
    <row r="765" spans="1:20">
      <c r="A765" s="3">
        <v>8</v>
      </c>
      <c r="B765" s="3">
        <v>2</v>
      </c>
      <c r="C765" s="3">
        <v>44</v>
      </c>
      <c r="D765" s="3">
        <v>3</v>
      </c>
      <c r="E765" s="3">
        <f>((1/(INDEX(E0!J$4:J$52,C765,1)-INDEX(E0!J$4:J$52,D765,1))))*100000000</f>
        <v>0</v>
      </c>
      <c r="F765" s="4" t="str">
        <f>HYPERLINK("http://141.218.60.56/~jnz1568/getInfo.php?workbook=08_02.xlsx&amp;sheet=A0&amp;row=765&amp;col=6&amp;number=&amp;sourceID=27","")</f>
        <v/>
      </c>
      <c r="G765" s="4" t="str">
        <f>HYPERLINK("http://141.218.60.56/~jnz1568/getInfo.php?workbook=08_02.xlsx&amp;sheet=A0&amp;row=765&amp;col=7&amp;number=&amp;sourceID=34","")</f>
        <v/>
      </c>
      <c r="H765" s="4" t="str">
        <f>HYPERLINK("http://141.218.60.56/~jnz1568/getInfo.php?workbook=08_02.xlsx&amp;sheet=A0&amp;row=765&amp;col=8&amp;number=&amp;sourceID=34","")</f>
        <v/>
      </c>
      <c r="I765" s="4" t="str">
        <f>HYPERLINK("http://141.218.60.56/~jnz1568/getInfo.php?workbook=08_02.xlsx&amp;sheet=A0&amp;row=765&amp;col=9&amp;number=&amp;sourceID=34","")</f>
        <v/>
      </c>
      <c r="J765" s="4" t="str">
        <f>HYPERLINK("http://141.218.60.56/~jnz1568/getInfo.php?workbook=08_02.xlsx&amp;sheet=A0&amp;row=765&amp;col=10&amp;number=&amp;sourceID=34","")</f>
        <v/>
      </c>
      <c r="K765" s="4" t="str">
        <f>HYPERLINK("http://141.218.60.56/~jnz1568/getInfo.php?workbook=08_02.xlsx&amp;sheet=A0&amp;row=765&amp;col=11&amp;number=&amp;sourceID=30","")</f>
        <v/>
      </c>
      <c r="L765" s="4" t="str">
        <f>HYPERLINK("http://141.218.60.56/~jnz1568/getInfo.php?workbook=08_02.xlsx&amp;sheet=A0&amp;row=765&amp;col=12&amp;number=&amp;sourceID=30","")</f>
        <v/>
      </c>
      <c r="M765" s="4" t="str">
        <f>HYPERLINK("http://141.218.60.56/~jnz1568/getInfo.php?workbook=08_02.xlsx&amp;sheet=A0&amp;row=765&amp;col=13&amp;number=&amp;sourceID=30","")</f>
        <v/>
      </c>
      <c r="N765" s="4" t="str">
        <f>HYPERLINK("http://141.218.60.56/~jnz1568/getInfo.php?workbook=08_02.xlsx&amp;sheet=A0&amp;row=765&amp;col=14&amp;number=50.26&amp;sourceID=30","50.26")</f>
        <v>50.26</v>
      </c>
      <c r="O765" s="4" t="str">
        <f>HYPERLINK("http://141.218.60.56/~jnz1568/getInfo.php?workbook=08_02.xlsx&amp;sheet=A0&amp;row=765&amp;col=15&amp;number=&amp;sourceID=32","")</f>
        <v/>
      </c>
      <c r="P765" s="4" t="str">
        <f>HYPERLINK("http://141.218.60.56/~jnz1568/getInfo.php?workbook=08_02.xlsx&amp;sheet=A0&amp;row=765&amp;col=16&amp;number=&amp;sourceID=32","")</f>
        <v/>
      </c>
      <c r="Q765" s="4" t="str">
        <f>HYPERLINK("http://141.218.60.56/~jnz1568/getInfo.php?workbook=08_02.xlsx&amp;sheet=A0&amp;row=765&amp;col=17&amp;number=&amp;sourceID=32","")</f>
        <v/>
      </c>
      <c r="R765" s="4" t="str">
        <f>HYPERLINK("http://141.218.60.56/~jnz1568/getInfo.php?workbook=08_02.xlsx&amp;sheet=A0&amp;row=765&amp;col=18&amp;number=52.98&amp;sourceID=32","52.98")</f>
        <v>52.98</v>
      </c>
      <c r="S765" s="4" t="str">
        <f>HYPERLINK("http://141.218.60.56/~jnz1568/getInfo.php?workbook=08_02.xlsx&amp;sheet=A0&amp;row=765&amp;col=19&amp;number=&amp;sourceID=1","")</f>
        <v/>
      </c>
      <c r="T765" s="4" t="str">
        <f>HYPERLINK("http://141.218.60.56/~jnz1568/getInfo.php?workbook=08_02.xlsx&amp;sheet=A0&amp;row=765&amp;col=20&amp;number=&amp;sourceID=1","")</f>
        <v/>
      </c>
    </row>
    <row r="766" spans="1:20">
      <c r="A766" s="3">
        <v>8</v>
      </c>
      <c r="B766" s="3">
        <v>2</v>
      </c>
      <c r="C766" s="3">
        <v>44</v>
      </c>
      <c r="D766" s="3">
        <v>4</v>
      </c>
      <c r="E766" s="3">
        <f>((1/(INDEX(E0!J$4:J$52,C766,1)-INDEX(E0!J$4:J$52,D766,1))))*100000000</f>
        <v>0</v>
      </c>
      <c r="F766" s="4" t="str">
        <f>HYPERLINK("http://141.218.60.56/~jnz1568/getInfo.php?workbook=08_02.xlsx&amp;sheet=A0&amp;row=766&amp;col=6&amp;number=&amp;sourceID=27","")</f>
        <v/>
      </c>
      <c r="G766" s="4" t="str">
        <f>HYPERLINK("http://141.218.60.56/~jnz1568/getInfo.php?workbook=08_02.xlsx&amp;sheet=A0&amp;row=766&amp;col=7&amp;number=&amp;sourceID=34","")</f>
        <v/>
      </c>
      <c r="H766" s="4" t="str">
        <f>HYPERLINK("http://141.218.60.56/~jnz1568/getInfo.php?workbook=08_02.xlsx&amp;sheet=A0&amp;row=766&amp;col=8&amp;number=&amp;sourceID=34","")</f>
        <v/>
      </c>
      <c r="I766" s="4" t="str">
        <f>HYPERLINK("http://141.218.60.56/~jnz1568/getInfo.php?workbook=08_02.xlsx&amp;sheet=A0&amp;row=766&amp;col=9&amp;number=&amp;sourceID=34","")</f>
        <v/>
      </c>
      <c r="J766" s="4" t="str">
        <f>HYPERLINK("http://141.218.60.56/~jnz1568/getInfo.php?workbook=08_02.xlsx&amp;sheet=A0&amp;row=766&amp;col=10&amp;number=&amp;sourceID=34","")</f>
        <v/>
      </c>
      <c r="K766" s="4" t="str">
        <f>HYPERLINK("http://141.218.60.56/~jnz1568/getInfo.php?workbook=08_02.xlsx&amp;sheet=A0&amp;row=766&amp;col=11&amp;number=76480000&amp;sourceID=30","76480000")</f>
        <v>76480000</v>
      </c>
      <c r="L766" s="4" t="str">
        <f>HYPERLINK("http://141.218.60.56/~jnz1568/getInfo.php?workbook=08_02.xlsx&amp;sheet=A0&amp;row=766&amp;col=12&amp;number=&amp;sourceID=30","")</f>
        <v/>
      </c>
      <c r="M766" s="4" t="str">
        <f>HYPERLINK("http://141.218.60.56/~jnz1568/getInfo.php?workbook=08_02.xlsx&amp;sheet=A0&amp;row=766&amp;col=13&amp;number=&amp;sourceID=30","")</f>
        <v/>
      </c>
      <c r="N766" s="4" t="str">
        <f>HYPERLINK("http://141.218.60.56/~jnz1568/getInfo.php?workbook=08_02.xlsx&amp;sheet=A0&amp;row=766&amp;col=14&amp;number=122.3&amp;sourceID=30","122.3")</f>
        <v>122.3</v>
      </c>
      <c r="O766" s="4" t="str">
        <f>HYPERLINK("http://141.218.60.56/~jnz1568/getInfo.php?workbook=08_02.xlsx&amp;sheet=A0&amp;row=766&amp;col=15&amp;number=107800000&amp;sourceID=32","107800000")</f>
        <v>107800000</v>
      </c>
      <c r="P766" s="4" t="str">
        <f>HYPERLINK("http://141.218.60.56/~jnz1568/getInfo.php?workbook=08_02.xlsx&amp;sheet=A0&amp;row=766&amp;col=16&amp;number=&amp;sourceID=32","")</f>
        <v/>
      </c>
      <c r="Q766" s="4" t="str">
        <f>HYPERLINK("http://141.218.60.56/~jnz1568/getInfo.php?workbook=08_02.xlsx&amp;sheet=A0&amp;row=766&amp;col=17&amp;number=&amp;sourceID=32","")</f>
        <v/>
      </c>
      <c r="R766" s="4" t="str">
        <f>HYPERLINK("http://141.218.60.56/~jnz1568/getInfo.php?workbook=08_02.xlsx&amp;sheet=A0&amp;row=766&amp;col=18&amp;number=130.8&amp;sourceID=32","130.8")</f>
        <v>130.8</v>
      </c>
      <c r="S766" s="4" t="str">
        <f>HYPERLINK("http://141.218.60.56/~jnz1568/getInfo.php?workbook=08_02.xlsx&amp;sheet=A0&amp;row=766&amp;col=19&amp;number=&amp;sourceID=1","")</f>
        <v/>
      </c>
      <c r="T766" s="4" t="str">
        <f>HYPERLINK("http://141.218.60.56/~jnz1568/getInfo.php?workbook=08_02.xlsx&amp;sheet=A0&amp;row=766&amp;col=20&amp;number=&amp;sourceID=1","")</f>
        <v/>
      </c>
    </row>
    <row r="767" spans="1:20">
      <c r="A767" s="3">
        <v>8</v>
      </c>
      <c r="B767" s="3">
        <v>2</v>
      </c>
      <c r="C767" s="3">
        <v>44</v>
      </c>
      <c r="D767" s="3">
        <v>5</v>
      </c>
      <c r="E767" s="3">
        <f>((1/(INDEX(E0!J$4:J$52,C767,1)-INDEX(E0!J$4:J$52,D767,1))))*100000000</f>
        <v>0</v>
      </c>
      <c r="F767" s="4" t="str">
        <f>HYPERLINK("http://141.218.60.56/~jnz1568/getInfo.php?workbook=08_02.xlsx&amp;sheet=A0&amp;row=767&amp;col=6&amp;number=&amp;sourceID=27","")</f>
        <v/>
      </c>
      <c r="G767" s="4" t="str">
        <f>HYPERLINK("http://141.218.60.56/~jnz1568/getInfo.php?workbook=08_02.xlsx&amp;sheet=A0&amp;row=767&amp;col=7&amp;number=&amp;sourceID=34","")</f>
        <v/>
      </c>
      <c r="H767" s="4" t="str">
        <f>HYPERLINK("http://141.218.60.56/~jnz1568/getInfo.php?workbook=08_02.xlsx&amp;sheet=A0&amp;row=767&amp;col=8&amp;number=&amp;sourceID=34","")</f>
        <v/>
      </c>
      <c r="I767" s="4" t="str">
        <f>HYPERLINK("http://141.218.60.56/~jnz1568/getInfo.php?workbook=08_02.xlsx&amp;sheet=A0&amp;row=767&amp;col=9&amp;number=&amp;sourceID=34","")</f>
        <v/>
      </c>
      <c r="J767" s="4" t="str">
        <f>HYPERLINK("http://141.218.60.56/~jnz1568/getInfo.php?workbook=08_02.xlsx&amp;sheet=A0&amp;row=767&amp;col=10&amp;number=&amp;sourceID=34","")</f>
        <v/>
      </c>
      <c r="K767" s="4" t="str">
        <f>HYPERLINK("http://141.218.60.56/~jnz1568/getInfo.php?workbook=08_02.xlsx&amp;sheet=A0&amp;row=767&amp;col=11&amp;number=38440000&amp;sourceID=30","38440000")</f>
        <v>38440000</v>
      </c>
      <c r="L767" s="4" t="str">
        <f>HYPERLINK("http://141.218.60.56/~jnz1568/getInfo.php?workbook=08_02.xlsx&amp;sheet=A0&amp;row=767&amp;col=12&amp;number=&amp;sourceID=30","")</f>
        <v/>
      </c>
      <c r="M767" s="4" t="str">
        <f>HYPERLINK("http://141.218.60.56/~jnz1568/getInfo.php?workbook=08_02.xlsx&amp;sheet=A0&amp;row=767&amp;col=13&amp;number=&amp;sourceID=30","")</f>
        <v/>
      </c>
      <c r="N767" s="4" t="str">
        <f>HYPERLINK("http://141.218.60.56/~jnz1568/getInfo.php?workbook=08_02.xlsx&amp;sheet=A0&amp;row=767&amp;col=14&amp;number=93.3&amp;sourceID=30","93.3")</f>
        <v>93.3</v>
      </c>
      <c r="O767" s="4" t="str">
        <f>HYPERLINK("http://141.218.60.56/~jnz1568/getInfo.php?workbook=08_02.xlsx&amp;sheet=A0&amp;row=767&amp;col=15&amp;number=50490000&amp;sourceID=32","50490000")</f>
        <v>50490000</v>
      </c>
      <c r="P767" s="4" t="str">
        <f>HYPERLINK("http://141.218.60.56/~jnz1568/getInfo.php?workbook=08_02.xlsx&amp;sheet=A0&amp;row=767&amp;col=16&amp;number=&amp;sourceID=32","")</f>
        <v/>
      </c>
      <c r="Q767" s="4" t="str">
        <f>HYPERLINK("http://141.218.60.56/~jnz1568/getInfo.php?workbook=08_02.xlsx&amp;sheet=A0&amp;row=767&amp;col=17&amp;number=&amp;sourceID=32","")</f>
        <v/>
      </c>
      <c r="R767" s="4" t="str">
        <f>HYPERLINK("http://141.218.60.56/~jnz1568/getInfo.php?workbook=08_02.xlsx&amp;sheet=A0&amp;row=767&amp;col=18&amp;number=99.23&amp;sourceID=32","99.23")</f>
        <v>99.23</v>
      </c>
      <c r="S767" s="4" t="str">
        <f>HYPERLINK("http://141.218.60.56/~jnz1568/getInfo.php?workbook=08_02.xlsx&amp;sheet=A0&amp;row=767&amp;col=19&amp;number=&amp;sourceID=1","")</f>
        <v/>
      </c>
      <c r="T767" s="4" t="str">
        <f>HYPERLINK("http://141.218.60.56/~jnz1568/getInfo.php?workbook=08_02.xlsx&amp;sheet=A0&amp;row=767&amp;col=20&amp;number=&amp;sourceID=1","")</f>
        <v/>
      </c>
    </row>
    <row r="768" spans="1:20">
      <c r="A768" s="3">
        <v>8</v>
      </c>
      <c r="B768" s="3">
        <v>2</v>
      </c>
      <c r="C768" s="3">
        <v>44</v>
      </c>
      <c r="D768" s="3">
        <v>6</v>
      </c>
      <c r="E768" s="3">
        <f>((1/(INDEX(E0!J$4:J$52,C768,1)-INDEX(E0!J$4:J$52,D768,1))))*100000000</f>
        <v>0</v>
      </c>
      <c r="F768" s="4" t="str">
        <f>HYPERLINK("http://141.218.60.56/~jnz1568/getInfo.php?workbook=08_02.xlsx&amp;sheet=A0&amp;row=768&amp;col=6&amp;number=&amp;sourceID=27","")</f>
        <v/>
      </c>
      <c r="G768" s="4" t="str">
        <f>HYPERLINK("http://141.218.60.56/~jnz1568/getInfo.php?workbook=08_02.xlsx&amp;sheet=A0&amp;row=768&amp;col=7&amp;number=&amp;sourceID=34","")</f>
        <v/>
      </c>
      <c r="H768" s="4" t="str">
        <f>HYPERLINK("http://141.218.60.56/~jnz1568/getInfo.php?workbook=08_02.xlsx&amp;sheet=A0&amp;row=768&amp;col=8&amp;number=&amp;sourceID=34","")</f>
        <v/>
      </c>
      <c r="I768" s="4" t="str">
        <f>HYPERLINK("http://141.218.60.56/~jnz1568/getInfo.php?workbook=08_02.xlsx&amp;sheet=A0&amp;row=768&amp;col=9&amp;number=&amp;sourceID=34","")</f>
        <v/>
      </c>
      <c r="J768" s="4" t="str">
        <f>HYPERLINK("http://141.218.60.56/~jnz1568/getInfo.php?workbook=08_02.xlsx&amp;sheet=A0&amp;row=768&amp;col=10&amp;number=&amp;sourceID=34","")</f>
        <v/>
      </c>
      <c r="K768" s="4" t="str">
        <f>HYPERLINK("http://141.218.60.56/~jnz1568/getInfo.php?workbook=08_02.xlsx&amp;sheet=A0&amp;row=768&amp;col=11&amp;number=&amp;sourceID=30","")</f>
        <v/>
      </c>
      <c r="L768" s="4" t="str">
        <f>HYPERLINK("http://141.218.60.56/~jnz1568/getInfo.php?workbook=08_02.xlsx&amp;sheet=A0&amp;row=768&amp;col=12&amp;number=1573000&amp;sourceID=30","1573000")</f>
        <v>1573000</v>
      </c>
      <c r="M768" s="4" t="str">
        <f>HYPERLINK("http://141.218.60.56/~jnz1568/getInfo.php?workbook=08_02.xlsx&amp;sheet=A0&amp;row=768&amp;col=13&amp;number=&amp;sourceID=30","")</f>
        <v/>
      </c>
      <c r="N768" s="4" t="str">
        <f>HYPERLINK("http://141.218.60.56/~jnz1568/getInfo.php?workbook=08_02.xlsx&amp;sheet=A0&amp;row=768&amp;col=14&amp;number=&amp;sourceID=30","")</f>
        <v/>
      </c>
      <c r="O768" s="4" t="str">
        <f>HYPERLINK("http://141.218.60.56/~jnz1568/getInfo.php?workbook=08_02.xlsx&amp;sheet=A0&amp;row=768&amp;col=15&amp;number=&amp;sourceID=32","")</f>
        <v/>
      </c>
      <c r="P768" s="4" t="str">
        <f>HYPERLINK("http://141.218.60.56/~jnz1568/getInfo.php?workbook=08_02.xlsx&amp;sheet=A0&amp;row=768&amp;col=16&amp;number=178600&amp;sourceID=32","178600")</f>
        <v>178600</v>
      </c>
      <c r="Q768" s="4" t="str">
        <f>HYPERLINK("http://141.218.60.56/~jnz1568/getInfo.php?workbook=08_02.xlsx&amp;sheet=A0&amp;row=768&amp;col=17&amp;number=&amp;sourceID=32","")</f>
        <v/>
      </c>
      <c r="R768" s="4" t="str">
        <f>HYPERLINK("http://141.218.60.56/~jnz1568/getInfo.php?workbook=08_02.xlsx&amp;sheet=A0&amp;row=768&amp;col=18&amp;number=&amp;sourceID=32","")</f>
        <v/>
      </c>
      <c r="S768" s="4" t="str">
        <f>HYPERLINK("http://141.218.60.56/~jnz1568/getInfo.php?workbook=08_02.xlsx&amp;sheet=A0&amp;row=768&amp;col=19&amp;number=&amp;sourceID=1","")</f>
        <v/>
      </c>
      <c r="T768" s="4" t="str">
        <f>HYPERLINK("http://141.218.60.56/~jnz1568/getInfo.php?workbook=08_02.xlsx&amp;sheet=A0&amp;row=768&amp;col=20&amp;number=&amp;sourceID=1","")</f>
        <v/>
      </c>
    </row>
    <row r="769" spans="1:20">
      <c r="A769" s="3">
        <v>8</v>
      </c>
      <c r="B769" s="3">
        <v>2</v>
      </c>
      <c r="C769" s="3">
        <v>44</v>
      </c>
      <c r="D769" s="3">
        <v>7</v>
      </c>
      <c r="E769" s="3">
        <f>((1/(INDEX(E0!J$4:J$52,C769,1)-INDEX(E0!J$4:J$52,D769,1))))*100000000</f>
        <v>0</v>
      </c>
      <c r="F769" s="4" t="str">
        <f>HYPERLINK("http://141.218.60.56/~jnz1568/getInfo.php?workbook=08_02.xlsx&amp;sheet=A0&amp;row=769&amp;col=6&amp;number=&amp;sourceID=27","")</f>
        <v/>
      </c>
      <c r="G769" s="4" t="str">
        <f>HYPERLINK("http://141.218.60.56/~jnz1568/getInfo.php?workbook=08_02.xlsx&amp;sheet=A0&amp;row=769&amp;col=7&amp;number=21680000000&amp;sourceID=34","21680000000")</f>
        <v>21680000000</v>
      </c>
      <c r="H769" s="4" t="str">
        <f>HYPERLINK("http://141.218.60.56/~jnz1568/getInfo.php?workbook=08_02.xlsx&amp;sheet=A0&amp;row=769&amp;col=8&amp;number=&amp;sourceID=34","")</f>
        <v/>
      </c>
      <c r="I769" s="4" t="str">
        <f>HYPERLINK("http://141.218.60.56/~jnz1568/getInfo.php?workbook=08_02.xlsx&amp;sheet=A0&amp;row=769&amp;col=9&amp;number=&amp;sourceID=34","")</f>
        <v/>
      </c>
      <c r="J769" s="4" t="str">
        <f>HYPERLINK("http://141.218.60.56/~jnz1568/getInfo.php?workbook=08_02.xlsx&amp;sheet=A0&amp;row=769&amp;col=10&amp;number=&amp;sourceID=34","")</f>
        <v/>
      </c>
      <c r="K769" s="4" t="str">
        <f>HYPERLINK("http://141.218.60.56/~jnz1568/getInfo.php?workbook=08_02.xlsx&amp;sheet=A0&amp;row=769&amp;col=11&amp;number=24480000000&amp;sourceID=30","24480000000")</f>
        <v>24480000000</v>
      </c>
      <c r="L769" s="4" t="str">
        <f>HYPERLINK("http://141.218.60.56/~jnz1568/getInfo.php?workbook=08_02.xlsx&amp;sheet=A0&amp;row=769&amp;col=12&amp;number=&amp;sourceID=30","")</f>
        <v/>
      </c>
      <c r="M769" s="4" t="str">
        <f>HYPERLINK("http://141.218.60.56/~jnz1568/getInfo.php?workbook=08_02.xlsx&amp;sheet=A0&amp;row=769&amp;col=13&amp;number=&amp;sourceID=30","")</f>
        <v/>
      </c>
      <c r="N769" s="4" t="str">
        <f>HYPERLINK("http://141.218.60.56/~jnz1568/getInfo.php?workbook=08_02.xlsx&amp;sheet=A0&amp;row=769&amp;col=14&amp;number=101.1&amp;sourceID=30","101.1")</f>
        <v>101.1</v>
      </c>
      <c r="O769" s="4" t="str">
        <f>HYPERLINK("http://141.218.60.56/~jnz1568/getInfo.php?workbook=08_02.xlsx&amp;sheet=A0&amp;row=769&amp;col=15&amp;number=21510000000&amp;sourceID=32","21510000000")</f>
        <v>21510000000</v>
      </c>
      <c r="P769" s="4" t="str">
        <f>HYPERLINK("http://141.218.60.56/~jnz1568/getInfo.php?workbook=08_02.xlsx&amp;sheet=A0&amp;row=769&amp;col=16&amp;number=&amp;sourceID=32","")</f>
        <v/>
      </c>
      <c r="Q769" s="4" t="str">
        <f>HYPERLINK("http://141.218.60.56/~jnz1568/getInfo.php?workbook=08_02.xlsx&amp;sheet=A0&amp;row=769&amp;col=17&amp;number=&amp;sourceID=32","")</f>
        <v/>
      </c>
      <c r="R769" s="4" t="str">
        <f>HYPERLINK("http://141.218.60.56/~jnz1568/getInfo.php?workbook=08_02.xlsx&amp;sheet=A0&amp;row=769&amp;col=18&amp;number=91.5&amp;sourceID=32","91.5")</f>
        <v>91.5</v>
      </c>
      <c r="S769" s="4" t="str">
        <f>HYPERLINK("http://141.218.60.56/~jnz1568/getInfo.php?workbook=08_02.xlsx&amp;sheet=A0&amp;row=769&amp;col=19&amp;number=&amp;sourceID=1","")</f>
        <v/>
      </c>
      <c r="T769" s="4" t="str">
        <f>HYPERLINK("http://141.218.60.56/~jnz1568/getInfo.php?workbook=08_02.xlsx&amp;sheet=A0&amp;row=769&amp;col=20&amp;number=&amp;sourceID=1","")</f>
        <v/>
      </c>
    </row>
    <row r="770" spans="1:20">
      <c r="A770" s="3">
        <v>8</v>
      </c>
      <c r="B770" s="3">
        <v>2</v>
      </c>
      <c r="C770" s="3">
        <v>44</v>
      </c>
      <c r="D770" s="3">
        <v>8</v>
      </c>
      <c r="E770" s="3">
        <f>((1/(INDEX(E0!J$4:J$52,C770,1)-INDEX(E0!J$4:J$52,D770,1))))*100000000</f>
        <v>0</v>
      </c>
      <c r="F770" s="4" t="str">
        <f>HYPERLINK("http://141.218.60.56/~jnz1568/getInfo.php?workbook=08_02.xlsx&amp;sheet=A0&amp;row=770&amp;col=6&amp;number=&amp;sourceID=27","")</f>
        <v/>
      </c>
      <c r="G770" s="4" t="str">
        <f>HYPERLINK("http://141.218.60.56/~jnz1568/getInfo.php?workbook=08_02.xlsx&amp;sheet=A0&amp;row=770&amp;col=7&amp;number=&amp;sourceID=34","")</f>
        <v/>
      </c>
      <c r="H770" s="4" t="str">
        <f>HYPERLINK("http://141.218.60.56/~jnz1568/getInfo.php?workbook=08_02.xlsx&amp;sheet=A0&amp;row=770&amp;col=8&amp;number=&amp;sourceID=34","")</f>
        <v/>
      </c>
      <c r="I770" s="4" t="str">
        <f>HYPERLINK("http://141.218.60.56/~jnz1568/getInfo.php?workbook=08_02.xlsx&amp;sheet=A0&amp;row=770&amp;col=9&amp;number=&amp;sourceID=34","")</f>
        <v/>
      </c>
      <c r="J770" s="4" t="str">
        <f>HYPERLINK("http://141.218.60.56/~jnz1568/getInfo.php?workbook=08_02.xlsx&amp;sheet=A0&amp;row=770&amp;col=10&amp;number=&amp;sourceID=34","")</f>
        <v/>
      </c>
      <c r="K770" s="4" t="str">
        <f>HYPERLINK("http://141.218.60.56/~jnz1568/getInfo.php?workbook=08_02.xlsx&amp;sheet=A0&amp;row=770&amp;col=11&amp;number=&amp;sourceID=30","")</f>
        <v/>
      </c>
      <c r="L770" s="4" t="str">
        <f>HYPERLINK("http://141.218.60.56/~jnz1568/getInfo.php?workbook=08_02.xlsx&amp;sheet=A0&amp;row=770&amp;col=12&amp;number=1139&amp;sourceID=30","1139")</f>
        <v>1139</v>
      </c>
      <c r="M770" s="4" t="str">
        <f>HYPERLINK("http://141.218.60.56/~jnz1568/getInfo.php?workbook=08_02.xlsx&amp;sheet=A0&amp;row=770&amp;col=13&amp;number=9.098e-05&amp;sourceID=30","9.098e-05")</f>
        <v>9.098e-05</v>
      </c>
      <c r="N770" s="4" t="str">
        <f>HYPERLINK("http://141.218.60.56/~jnz1568/getInfo.php?workbook=08_02.xlsx&amp;sheet=A0&amp;row=770&amp;col=14&amp;number=&amp;sourceID=30","")</f>
        <v/>
      </c>
      <c r="O770" s="4" t="str">
        <f>HYPERLINK("http://141.218.60.56/~jnz1568/getInfo.php?workbook=08_02.xlsx&amp;sheet=A0&amp;row=770&amp;col=15&amp;number=&amp;sourceID=32","")</f>
        <v/>
      </c>
      <c r="P770" s="4" t="str">
        <f>HYPERLINK("http://141.218.60.56/~jnz1568/getInfo.php?workbook=08_02.xlsx&amp;sheet=A0&amp;row=770&amp;col=16&amp;number=1605&amp;sourceID=32","1605")</f>
        <v>1605</v>
      </c>
      <c r="Q770" s="4" t="str">
        <f>HYPERLINK("http://141.218.60.56/~jnz1568/getInfo.php?workbook=08_02.xlsx&amp;sheet=A0&amp;row=770&amp;col=17&amp;number=0.0001231&amp;sourceID=32","0.0001231")</f>
        <v>0.0001231</v>
      </c>
      <c r="R770" s="4" t="str">
        <f>HYPERLINK("http://141.218.60.56/~jnz1568/getInfo.php?workbook=08_02.xlsx&amp;sheet=A0&amp;row=770&amp;col=18&amp;number=&amp;sourceID=32","")</f>
        <v/>
      </c>
      <c r="S770" s="4" t="str">
        <f>HYPERLINK("http://141.218.60.56/~jnz1568/getInfo.php?workbook=08_02.xlsx&amp;sheet=A0&amp;row=770&amp;col=19&amp;number=&amp;sourceID=1","")</f>
        <v/>
      </c>
      <c r="T770" s="4" t="str">
        <f>HYPERLINK("http://141.218.60.56/~jnz1568/getInfo.php?workbook=08_02.xlsx&amp;sheet=A0&amp;row=770&amp;col=20&amp;number=&amp;sourceID=1","")</f>
        <v/>
      </c>
    </row>
    <row r="771" spans="1:20">
      <c r="A771" s="3">
        <v>8</v>
      </c>
      <c r="B771" s="3">
        <v>2</v>
      </c>
      <c r="C771" s="3">
        <v>44</v>
      </c>
      <c r="D771" s="3">
        <v>9</v>
      </c>
      <c r="E771" s="3">
        <f>((1/(INDEX(E0!J$4:J$52,C771,1)-INDEX(E0!J$4:J$52,D771,1))))*100000000</f>
        <v>0</v>
      </c>
      <c r="F771" s="4" t="str">
        <f>HYPERLINK("http://141.218.60.56/~jnz1568/getInfo.php?workbook=08_02.xlsx&amp;sheet=A0&amp;row=771&amp;col=6&amp;number=&amp;sourceID=27","")</f>
        <v/>
      </c>
      <c r="G771" s="4" t="str">
        <f>HYPERLINK("http://141.218.60.56/~jnz1568/getInfo.php?workbook=08_02.xlsx&amp;sheet=A0&amp;row=771&amp;col=7&amp;number=&amp;sourceID=34","")</f>
        <v/>
      </c>
      <c r="H771" s="4" t="str">
        <f>HYPERLINK("http://141.218.60.56/~jnz1568/getInfo.php?workbook=08_02.xlsx&amp;sheet=A0&amp;row=771&amp;col=8&amp;number=&amp;sourceID=34","")</f>
        <v/>
      </c>
      <c r="I771" s="4" t="str">
        <f>HYPERLINK("http://141.218.60.56/~jnz1568/getInfo.php?workbook=08_02.xlsx&amp;sheet=A0&amp;row=771&amp;col=9&amp;number=&amp;sourceID=34","")</f>
        <v/>
      </c>
      <c r="J771" s="4" t="str">
        <f>HYPERLINK("http://141.218.60.56/~jnz1568/getInfo.php?workbook=08_02.xlsx&amp;sheet=A0&amp;row=771&amp;col=10&amp;number=&amp;sourceID=34","")</f>
        <v/>
      </c>
      <c r="K771" s="4" t="str">
        <f>HYPERLINK("http://141.218.60.56/~jnz1568/getInfo.php?workbook=08_02.xlsx&amp;sheet=A0&amp;row=771&amp;col=11&amp;number=&amp;sourceID=30","")</f>
        <v/>
      </c>
      <c r="L771" s="4" t="str">
        <f>HYPERLINK("http://141.218.60.56/~jnz1568/getInfo.php?workbook=08_02.xlsx&amp;sheet=A0&amp;row=771&amp;col=12&amp;number=&amp;sourceID=30","")</f>
        <v/>
      </c>
      <c r="M771" s="4" t="str">
        <f>HYPERLINK("http://141.218.60.56/~jnz1568/getInfo.php?workbook=08_02.xlsx&amp;sheet=A0&amp;row=771&amp;col=13&amp;number=&amp;sourceID=30","")</f>
        <v/>
      </c>
      <c r="N771" s="4" t="str">
        <f>HYPERLINK("http://141.218.60.56/~jnz1568/getInfo.php?workbook=08_02.xlsx&amp;sheet=A0&amp;row=771&amp;col=14&amp;number=1.95&amp;sourceID=30","1.95")</f>
        <v>1.95</v>
      </c>
      <c r="O771" s="4" t="str">
        <f>HYPERLINK("http://141.218.60.56/~jnz1568/getInfo.php?workbook=08_02.xlsx&amp;sheet=A0&amp;row=771&amp;col=15&amp;number=&amp;sourceID=32","")</f>
        <v/>
      </c>
      <c r="P771" s="4" t="str">
        <f>HYPERLINK("http://141.218.60.56/~jnz1568/getInfo.php?workbook=08_02.xlsx&amp;sheet=A0&amp;row=771&amp;col=16&amp;number=&amp;sourceID=32","")</f>
        <v/>
      </c>
      <c r="Q771" s="4" t="str">
        <f>HYPERLINK("http://141.218.60.56/~jnz1568/getInfo.php?workbook=08_02.xlsx&amp;sheet=A0&amp;row=771&amp;col=17&amp;number=&amp;sourceID=32","")</f>
        <v/>
      </c>
      <c r="R771" s="4" t="str">
        <f>HYPERLINK("http://141.218.60.56/~jnz1568/getInfo.php?workbook=08_02.xlsx&amp;sheet=A0&amp;row=771&amp;col=18&amp;number=1.995&amp;sourceID=32","1.995")</f>
        <v>1.995</v>
      </c>
      <c r="S771" s="4" t="str">
        <f>HYPERLINK("http://141.218.60.56/~jnz1568/getInfo.php?workbook=08_02.xlsx&amp;sheet=A0&amp;row=771&amp;col=19&amp;number=&amp;sourceID=1","")</f>
        <v/>
      </c>
      <c r="T771" s="4" t="str">
        <f>HYPERLINK("http://141.218.60.56/~jnz1568/getInfo.php?workbook=08_02.xlsx&amp;sheet=A0&amp;row=771&amp;col=20&amp;number=&amp;sourceID=1","")</f>
        <v/>
      </c>
    </row>
    <row r="772" spans="1:20">
      <c r="A772" s="3">
        <v>8</v>
      </c>
      <c r="B772" s="3">
        <v>2</v>
      </c>
      <c r="C772" s="3">
        <v>44</v>
      </c>
      <c r="D772" s="3">
        <v>10</v>
      </c>
      <c r="E772" s="3">
        <f>((1/(INDEX(E0!J$4:J$52,C772,1)-INDEX(E0!J$4:J$52,D772,1))))*100000000</f>
        <v>0</v>
      </c>
      <c r="F772" s="4" t="str">
        <f>HYPERLINK("http://141.218.60.56/~jnz1568/getInfo.php?workbook=08_02.xlsx&amp;sheet=A0&amp;row=772&amp;col=6&amp;number=&amp;sourceID=27","")</f>
        <v/>
      </c>
      <c r="G772" s="4" t="str">
        <f>HYPERLINK("http://141.218.60.56/~jnz1568/getInfo.php?workbook=08_02.xlsx&amp;sheet=A0&amp;row=772&amp;col=7&amp;number=&amp;sourceID=34","")</f>
        <v/>
      </c>
      <c r="H772" s="4" t="str">
        <f>HYPERLINK("http://141.218.60.56/~jnz1568/getInfo.php?workbook=08_02.xlsx&amp;sheet=A0&amp;row=772&amp;col=8&amp;number=&amp;sourceID=34","")</f>
        <v/>
      </c>
      <c r="I772" s="4" t="str">
        <f>HYPERLINK("http://141.218.60.56/~jnz1568/getInfo.php?workbook=08_02.xlsx&amp;sheet=A0&amp;row=772&amp;col=9&amp;number=&amp;sourceID=34","")</f>
        <v/>
      </c>
      <c r="J772" s="4" t="str">
        <f>HYPERLINK("http://141.218.60.56/~jnz1568/getInfo.php?workbook=08_02.xlsx&amp;sheet=A0&amp;row=772&amp;col=10&amp;number=&amp;sourceID=34","")</f>
        <v/>
      </c>
      <c r="K772" s="4" t="str">
        <f>HYPERLINK("http://141.218.60.56/~jnz1568/getInfo.php?workbook=08_02.xlsx&amp;sheet=A0&amp;row=772&amp;col=11&amp;number=26080000&amp;sourceID=30","26080000")</f>
        <v>26080000</v>
      </c>
      <c r="L772" s="4" t="str">
        <f>HYPERLINK("http://141.218.60.56/~jnz1568/getInfo.php?workbook=08_02.xlsx&amp;sheet=A0&amp;row=772&amp;col=12&amp;number=&amp;sourceID=30","")</f>
        <v/>
      </c>
      <c r="M772" s="4" t="str">
        <f>HYPERLINK("http://141.218.60.56/~jnz1568/getInfo.php?workbook=08_02.xlsx&amp;sheet=A0&amp;row=772&amp;col=13&amp;number=&amp;sourceID=30","")</f>
        <v/>
      </c>
      <c r="N772" s="4" t="str">
        <f>HYPERLINK("http://141.218.60.56/~jnz1568/getInfo.php?workbook=08_02.xlsx&amp;sheet=A0&amp;row=772&amp;col=14&amp;number=4.749&amp;sourceID=30","4.749")</f>
        <v>4.749</v>
      </c>
      <c r="O772" s="4" t="str">
        <f>HYPERLINK("http://141.218.60.56/~jnz1568/getInfo.php?workbook=08_02.xlsx&amp;sheet=A0&amp;row=772&amp;col=15&amp;number=35300000&amp;sourceID=32","35300000")</f>
        <v>35300000</v>
      </c>
      <c r="P772" s="4" t="str">
        <f>HYPERLINK("http://141.218.60.56/~jnz1568/getInfo.php?workbook=08_02.xlsx&amp;sheet=A0&amp;row=772&amp;col=16&amp;number=&amp;sourceID=32","")</f>
        <v/>
      </c>
      <c r="Q772" s="4" t="str">
        <f>HYPERLINK("http://141.218.60.56/~jnz1568/getInfo.php?workbook=08_02.xlsx&amp;sheet=A0&amp;row=772&amp;col=17&amp;number=&amp;sourceID=32","")</f>
        <v/>
      </c>
      <c r="R772" s="4" t="str">
        <f>HYPERLINK("http://141.218.60.56/~jnz1568/getInfo.php?workbook=08_02.xlsx&amp;sheet=A0&amp;row=772&amp;col=18&amp;number=4.92&amp;sourceID=32","4.92")</f>
        <v>4.92</v>
      </c>
      <c r="S772" s="4" t="str">
        <f>HYPERLINK("http://141.218.60.56/~jnz1568/getInfo.php?workbook=08_02.xlsx&amp;sheet=A0&amp;row=772&amp;col=19&amp;number=&amp;sourceID=1","")</f>
        <v/>
      </c>
      <c r="T772" s="4" t="str">
        <f>HYPERLINK("http://141.218.60.56/~jnz1568/getInfo.php?workbook=08_02.xlsx&amp;sheet=A0&amp;row=772&amp;col=20&amp;number=&amp;sourceID=1","")</f>
        <v/>
      </c>
    </row>
    <row r="773" spans="1:20">
      <c r="A773" s="3">
        <v>8</v>
      </c>
      <c r="B773" s="3">
        <v>2</v>
      </c>
      <c r="C773" s="3">
        <v>44</v>
      </c>
      <c r="D773" s="3">
        <v>11</v>
      </c>
      <c r="E773" s="3">
        <f>((1/(INDEX(E0!J$4:J$52,C773,1)-INDEX(E0!J$4:J$52,D773,1))))*100000000</f>
        <v>0</v>
      </c>
      <c r="F773" s="4" t="str">
        <f>HYPERLINK("http://141.218.60.56/~jnz1568/getInfo.php?workbook=08_02.xlsx&amp;sheet=A0&amp;row=773&amp;col=6&amp;number=&amp;sourceID=27","")</f>
        <v/>
      </c>
      <c r="G773" s="4" t="str">
        <f>HYPERLINK("http://141.218.60.56/~jnz1568/getInfo.php?workbook=08_02.xlsx&amp;sheet=A0&amp;row=773&amp;col=7&amp;number=&amp;sourceID=34","")</f>
        <v/>
      </c>
      <c r="H773" s="4" t="str">
        <f>HYPERLINK("http://141.218.60.56/~jnz1568/getInfo.php?workbook=08_02.xlsx&amp;sheet=A0&amp;row=773&amp;col=8&amp;number=&amp;sourceID=34","")</f>
        <v/>
      </c>
      <c r="I773" s="4" t="str">
        <f>HYPERLINK("http://141.218.60.56/~jnz1568/getInfo.php?workbook=08_02.xlsx&amp;sheet=A0&amp;row=773&amp;col=9&amp;number=&amp;sourceID=34","")</f>
        <v/>
      </c>
      <c r="J773" s="4" t="str">
        <f>HYPERLINK("http://141.218.60.56/~jnz1568/getInfo.php?workbook=08_02.xlsx&amp;sheet=A0&amp;row=773&amp;col=10&amp;number=&amp;sourceID=34","")</f>
        <v/>
      </c>
      <c r="K773" s="4" t="str">
        <f>HYPERLINK("http://141.218.60.56/~jnz1568/getInfo.php?workbook=08_02.xlsx&amp;sheet=A0&amp;row=773&amp;col=11&amp;number=13150000&amp;sourceID=30","13150000")</f>
        <v>13150000</v>
      </c>
      <c r="L773" s="4" t="str">
        <f>HYPERLINK("http://141.218.60.56/~jnz1568/getInfo.php?workbook=08_02.xlsx&amp;sheet=A0&amp;row=773&amp;col=12&amp;number=&amp;sourceID=30","")</f>
        <v/>
      </c>
      <c r="M773" s="4" t="str">
        <f>HYPERLINK("http://141.218.60.56/~jnz1568/getInfo.php?workbook=08_02.xlsx&amp;sheet=A0&amp;row=773&amp;col=13&amp;number=&amp;sourceID=30","")</f>
        <v/>
      </c>
      <c r="N773" s="4" t="str">
        <f>HYPERLINK("http://141.218.60.56/~jnz1568/getInfo.php?workbook=08_02.xlsx&amp;sheet=A0&amp;row=773&amp;col=14&amp;number=3.628&amp;sourceID=30","3.628")</f>
        <v>3.628</v>
      </c>
      <c r="O773" s="4" t="str">
        <f>HYPERLINK("http://141.218.60.56/~jnz1568/getInfo.php?workbook=08_02.xlsx&amp;sheet=A0&amp;row=773&amp;col=15&amp;number=16930000&amp;sourceID=32","16930000")</f>
        <v>16930000</v>
      </c>
      <c r="P773" s="4" t="str">
        <f>HYPERLINK("http://141.218.60.56/~jnz1568/getInfo.php?workbook=08_02.xlsx&amp;sheet=A0&amp;row=773&amp;col=16&amp;number=&amp;sourceID=32","")</f>
        <v/>
      </c>
      <c r="Q773" s="4" t="str">
        <f>HYPERLINK("http://141.218.60.56/~jnz1568/getInfo.php?workbook=08_02.xlsx&amp;sheet=A0&amp;row=773&amp;col=17&amp;number=&amp;sourceID=32","")</f>
        <v/>
      </c>
      <c r="R773" s="4" t="str">
        <f>HYPERLINK("http://141.218.60.56/~jnz1568/getInfo.php?workbook=08_02.xlsx&amp;sheet=A0&amp;row=773&amp;col=18&amp;number=3.741&amp;sourceID=32","3.741")</f>
        <v>3.741</v>
      </c>
      <c r="S773" s="4" t="str">
        <f>HYPERLINK("http://141.218.60.56/~jnz1568/getInfo.php?workbook=08_02.xlsx&amp;sheet=A0&amp;row=773&amp;col=19&amp;number=&amp;sourceID=1","")</f>
        <v/>
      </c>
      <c r="T773" s="4" t="str">
        <f>HYPERLINK("http://141.218.60.56/~jnz1568/getInfo.php?workbook=08_02.xlsx&amp;sheet=A0&amp;row=773&amp;col=20&amp;number=&amp;sourceID=1","")</f>
        <v/>
      </c>
    </row>
    <row r="774" spans="1:20">
      <c r="A774" s="3">
        <v>8</v>
      </c>
      <c r="B774" s="3">
        <v>2</v>
      </c>
      <c r="C774" s="3">
        <v>44</v>
      </c>
      <c r="D774" s="3">
        <v>12</v>
      </c>
      <c r="E774" s="3">
        <f>((1/(INDEX(E0!J$4:J$52,C774,1)-INDEX(E0!J$4:J$52,D774,1))))*100000000</f>
        <v>0</v>
      </c>
      <c r="F774" s="4" t="str">
        <f>HYPERLINK("http://141.218.60.56/~jnz1568/getInfo.php?workbook=08_02.xlsx&amp;sheet=A0&amp;row=774&amp;col=6&amp;number=&amp;sourceID=27","")</f>
        <v/>
      </c>
      <c r="G774" s="4" t="str">
        <f>HYPERLINK("http://141.218.60.56/~jnz1568/getInfo.php?workbook=08_02.xlsx&amp;sheet=A0&amp;row=774&amp;col=7&amp;number=&amp;sourceID=34","")</f>
        <v/>
      </c>
      <c r="H774" s="4" t="str">
        <f>HYPERLINK("http://141.218.60.56/~jnz1568/getInfo.php?workbook=08_02.xlsx&amp;sheet=A0&amp;row=774&amp;col=8&amp;number=&amp;sourceID=34","")</f>
        <v/>
      </c>
      <c r="I774" s="4" t="str">
        <f>HYPERLINK("http://141.218.60.56/~jnz1568/getInfo.php?workbook=08_02.xlsx&amp;sheet=A0&amp;row=774&amp;col=9&amp;number=&amp;sourceID=34","")</f>
        <v/>
      </c>
      <c r="J774" s="4" t="str">
        <f>HYPERLINK("http://141.218.60.56/~jnz1568/getInfo.php?workbook=08_02.xlsx&amp;sheet=A0&amp;row=774&amp;col=10&amp;number=&amp;sourceID=34","")</f>
        <v/>
      </c>
      <c r="K774" s="4" t="str">
        <f>HYPERLINK("http://141.218.60.56/~jnz1568/getInfo.php?workbook=08_02.xlsx&amp;sheet=A0&amp;row=774&amp;col=11&amp;number=&amp;sourceID=30","")</f>
        <v/>
      </c>
      <c r="L774" s="4" t="str">
        <f>HYPERLINK("http://141.218.60.56/~jnz1568/getInfo.php?workbook=08_02.xlsx&amp;sheet=A0&amp;row=774&amp;col=12&amp;number=211600&amp;sourceID=30","211600")</f>
        <v>211600</v>
      </c>
      <c r="M774" s="4" t="str">
        <f>HYPERLINK("http://141.218.60.56/~jnz1568/getInfo.php?workbook=08_02.xlsx&amp;sheet=A0&amp;row=774&amp;col=13&amp;number=&amp;sourceID=30","")</f>
        <v/>
      </c>
      <c r="N774" s="4" t="str">
        <f>HYPERLINK("http://141.218.60.56/~jnz1568/getInfo.php?workbook=08_02.xlsx&amp;sheet=A0&amp;row=774&amp;col=14&amp;number=&amp;sourceID=30","")</f>
        <v/>
      </c>
      <c r="O774" s="4" t="str">
        <f>HYPERLINK("http://141.218.60.56/~jnz1568/getInfo.php?workbook=08_02.xlsx&amp;sheet=A0&amp;row=774&amp;col=15&amp;number=&amp;sourceID=32","")</f>
        <v/>
      </c>
      <c r="P774" s="4" t="str">
        <f>HYPERLINK("http://141.218.60.56/~jnz1568/getInfo.php?workbook=08_02.xlsx&amp;sheet=A0&amp;row=774&amp;col=16&amp;number=149700&amp;sourceID=32","149700")</f>
        <v>149700</v>
      </c>
      <c r="Q774" s="4" t="str">
        <f>HYPERLINK("http://141.218.60.56/~jnz1568/getInfo.php?workbook=08_02.xlsx&amp;sheet=A0&amp;row=774&amp;col=17&amp;number=&amp;sourceID=32","")</f>
        <v/>
      </c>
      <c r="R774" s="4" t="str">
        <f>HYPERLINK("http://141.218.60.56/~jnz1568/getInfo.php?workbook=08_02.xlsx&amp;sheet=A0&amp;row=774&amp;col=18&amp;number=&amp;sourceID=32","")</f>
        <v/>
      </c>
      <c r="S774" s="4" t="str">
        <f>HYPERLINK("http://141.218.60.56/~jnz1568/getInfo.php?workbook=08_02.xlsx&amp;sheet=A0&amp;row=774&amp;col=19&amp;number=&amp;sourceID=1","")</f>
        <v/>
      </c>
      <c r="T774" s="4" t="str">
        <f>HYPERLINK("http://141.218.60.56/~jnz1568/getInfo.php?workbook=08_02.xlsx&amp;sheet=A0&amp;row=774&amp;col=20&amp;number=&amp;sourceID=1","")</f>
        <v/>
      </c>
    </row>
    <row r="775" spans="1:20">
      <c r="A775" s="3">
        <v>8</v>
      </c>
      <c r="B775" s="3">
        <v>2</v>
      </c>
      <c r="C775" s="3">
        <v>44</v>
      </c>
      <c r="D775" s="3">
        <v>13</v>
      </c>
      <c r="E775" s="3">
        <f>((1/(INDEX(E0!J$4:J$52,C775,1)-INDEX(E0!J$4:J$52,D775,1))))*100000000</f>
        <v>0</v>
      </c>
      <c r="F775" s="4" t="str">
        <f>HYPERLINK("http://141.218.60.56/~jnz1568/getInfo.php?workbook=08_02.xlsx&amp;sheet=A0&amp;row=775&amp;col=6&amp;number=&amp;sourceID=27","")</f>
        <v/>
      </c>
      <c r="G775" s="4" t="str">
        <f>HYPERLINK("http://141.218.60.56/~jnz1568/getInfo.php?workbook=08_02.xlsx&amp;sheet=A0&amp;row=775&amp;col=7&amp;number=&amp;sourceID=34","")</f>
        <v/>
      </c>
      <c r="H775" s="4" t="str">
        <f>HYPERLINK("http://141.218.60.56/~jnz1568/getInfo.php?workbook=08_02.xlsx&amp;sheet=A0&amp;row=775&amp;col=8&amp;number=&amp;sourceID=34","")</f>
        <v/>
      </c>
      <c r="I775" s="4" t="str">
        <f>HYPERLINK("http://141.218.60.56/~jnz1568/getInfo.php?workbook=08_02.xlsx&amp;sheet=A0&amp;row=775&amp;col=9&amp;number=&amp;sourceID=34","")</f>
        <v/>
      </c>
      <c r="J775" s="4" t="str">
        <f>HYPERLINK("http://141.218.60.56/~jnz1568/getInfo.php?workbook=08_02.xlsx&amp;sheet=A0&amp;row=775&amp;col=10&amp;number=&amp;sourceID=34","")</f>
        <v/>
      </c>
      <c r="K775" s="4" t="str">
        <f>HYPERLINK("http://141.218.60.56/~jnz1568/getInfo.php?workbook=08_02.xlsx&amp;sheet=A0&amp;row=775&amp;col=11&amp;number=&amp;sourceID=30","")</f>
        <v/>
      </c>
      <c r="L775" s="4" t="str">
        <f>HYPERLINK("http://141.218.60.56/~jnz1568/getInfo.php?workbook=08_02.xlsx&amp;sheet=A0&amp;row=775&amp;col=12&amp;number=152.3&amp;sourceID=30","152.3")</f>
        <v>152.3</v>
      </c>
      <c r="M775" s="4" t="str">
        <f>HYPERLINK("http://141.218.60.56/~jnz1568/getInfo.php?workbook=08_02.xlsx&amp;sheet=A0&amp;row=775&amp;col=13&amp;number=0.001472&amp;sourceID=30","0.001472")</f>
        <v>0.001472</v>
      </c>
      <c r="N775" s="4" t="str">
        <f>HYPERLINK("http://141.218.60.56/~jnz1568/getInfo.php?workbook=08_02.xlsx&amp;sheet=A0&amp;row=775&amp;col=14&amp;number=&amp;sourceID=30","")</f>
        <v/>
      </c>
      <c r="O775" s="4" t="str">
        <f>HYPERLINK("http://141.218.60.56/~jnz1568/getInfo.php?workbook=08_02.xlsx&amp;sheet=A0&amp;row=775&amp;col=15&amp;number=&amp;sourceID=32","")</f>
        <v/>
      </c>
      <c r="P775" s="4" t="str">
        <f>HYPERLINK("http://141.218.60.56/~jnz1568/getInfo.php?workbook=08_02.xlsx&amp;sheet=A0&amp;row=775&amp;col=16&amp;number=193.9&amp;sourceID=32","193.9")</f>
        <v>193.9</v>
      </c>
      <c r="Q775" s="4" t="str">
        <f>HYPERLINK("http://141.218.60.56/~jnz1568/getInfo.php?workbook=08_02.xlsx&amp;sheet=A0&amp;row=775&amp;col=17&amp;number=0.001509&amp;sourceID=32","0.001509")</f>
        <v>0.001509</v>
      </c>
      <c r="R775" s="4" t="str">
        <f>HYPERLINK("http://141.218.60.56/~jnz1568/getInfo.php?workbook=08_02.xlsx&amp;sheet=A0&amp;row=775&amp;col=18&amp;number=&amp;sourceID=32","")</f>
        <v/>
      </c>
      <c r="S775" s="4" t="str">
        <f>HYPERLINK("http://141.218.60.56/~jnz1568/getInfo.php?workbook=08_02.xlsx&amp;sheet=A0&amp;row=775&amp;col=19&amp;number=&amp;sourceID=1","")</f>
        <v/>
      </c>
      <c r="T775" s="4" t="str">
        <f>HYPERLINK("http://141.218.60.56/~jnz1568/getInfo.php?workbook=08_02.xlsx&amp;sheet=A0&amp;row=775&amp;col=20&amp;number=&amp;sourceID=1","")</f>
        <v/>
      </c>
    </row>
    <row r="776" spans="1:20">
      <c r="A776" s="3">
        <v>8</v>
      </c>
      <c r="B776" s="3">
        <v>2</v>
      </c>
      <c r="C776" s="3">
        <v>44</v>
      </c>
      <c r="D776" s="3">
        <v>14</v>
      </c>
      <c r="E776" s="3">
        <f>((1/(INDEX(E0!J$4:J$52,C776,1)-INDEX(E0!J$4:J$52,D776,1))))*100000000</f>
        <v>0</v>
      </c>
      <c r="F776" s="4" t="str">
        <f>HYPERLINK("http://141.218.60.56/~jnz1568/getInfo.php?workbook=08_02.xlsx&amp;sheet=A0&amp;row=776&amp;col=6&amp;number=&amp;sourceID=27","")</f>
        <v/>
      </c>
      <c r="G776" s="4" t="str">
        <f>HYPERLINK("http://141.218.60.56/~jnz1568/getInfo.php?workbook=08_02.xlsx&amp;sheet=A0&amp;row=776&amp;col=7&amp;number=&amp;sourceID=34","")</f>
        <v/>
      </c>
      <c r="H776" s="4" t="str">
        <f>HYPERLINK("http://141.218.60.56/~jnz1568/getInfo.php?workbook=08_02.xlsx&amp;sheet=A0&amp;row=776&amp;col=8&amp;number=&amp;sourceID=34","")</f>
        <v/>
      </c>
      <c r="I776" s="4" t="str">
        <f>HYPERLINK("http://141.218.60.56/~jnz1568/getInfo.php?workbook=08_02.xlsx&amp;sheet=A0&amp;row=776&amp;col=9&amp;number=&amp;sourceID=34","")</f>
        <v/>
      </c>
      <c r="J776" s="4" t="str">
        <f>HYPERLINK("http://141.218.60.56/~jnz1568/getInfo.php?workbook=08_02.xlsx&amp;sheet=A0&amp;row=776&amp;col=10&amp;number=&amp;sourceID=34","")</f>
        <v/>
      </c>
      <c r="K776" s="4" t="str">
        <f>HYPERLINK("http://141.218.60.56/~jnz1568/getInfo.php?workbook=08_02.xlsx&amp;sheet=A0&amp;row=776&amp;col=11&amp;number=&amp;sourceID=30","")</f>
        <v/>
      </c>
      <c r="L776" s="4" t="str">
        <f>HYPERLINK("http://141.218.60.56/~jnz1568/getInfo.php?workbook=08_02.xlsx&amp;sheet=A0&amp;row=776&amp;col=12&amp;number=370.8&amp;sourceID=30","370.8")</f>
        <v>370.8</v>
      </c>
      <c r="M776" s="4" t="str">
        <f>HYPERLINK("http://141.218.60.56/~jnz1568/getInfo.php?workbook=08_02.xlsx&amp;sheet=A0&amp;row=776&amp;col=13&amp;number=3.797e-06&amp;sourceID=30","3.797e-06")</f>
        <v>3.797e-06</v>
      </c>
      <c r="N776" s="4" t="str">
        <f>HYPERLINK("http://141.218.60.56/~jnz1568/getInfo.php?workbook=08_02.xlsx&amp;sheet=A0&amp;row=776&amp;col=14&amp;number=&amp;sourceID=30","")</f>
        <v/>
      </c>
      <c r="O776" s="4" t="str">
        <f>HYPERLINK("http://141.218.60.56/~jnz1568/getInfo.php?workbook=08_02.xlsx&amp;sheet=A0&amp;row=776&amp;col=15&amp;number=&amp;sourceID=32","")</f>
        <v/>
      </c>
      <c r="P776" s="4" t="str">
        <f>HYPERLINK("http://141.218.60.56/~jnz1568/getInfo.php?workbook=08_02.xlsx&amp;sheet=A0&amp;row=776&amp;col=16&amp;number=439.3&amp;sourceID=32","439.3")</f>
        <v>439.3</v>
      </c>
      <c r="Q776" s="4" t="str">
        <f>HYPERLINK("http://141.218.60.56/~jnz1568/getInfo.php?workbook=08_02.xlsx&amp;sheet=A0&amp;row=776&amp;col=17&amp;number=3.118e-05&amp;sourceID=32","3.118e-05")</f>
        <v>3.118e-05</v>
      </c>
      <c r="R776" s="4" t="str">
        <f>HYPERLINK("http://141.218.60.56/~jnz1568/getInfo.php?workbook=08_02.xlsx&amp;sheet=A0&amp;row=776&amp;col=18&amp;number=&amp;sourceID=32","")</f>
        <v/>
      </c>
      <c r="S776" s="4" t="str">
        <f>HYPERLINK("http://141.218.60.56/~jnz1568/getInfo.php?workbook=08_02.xlsx&amp;sheet=A0&amp;row=776&amp;col=19&amp;number=&amp;sourceID=1","")</f>
        <v/>
      </c>
      <c r="T776" s="4" t="str">
        <f>HYPERLINK("http://141.218.60.56/~jnz1568/getInfo.php?workbook=08_02.xlsx&amp;sheet=A0&amp;row=776&amp;col=20&amp;number=&amp;sourceID=1","")</f>
        <v/>
      </c>
    </row>
    <row r="777" spans="1:20">
      <c r="A777" s="3">
        <v>8</v>
      </c>
      <c r="B777" s="3">
        <v>2</v>
      </c>
      <c r="C777" s="3">
        <v>44</v>
      </c>
      <c r="D777" s="3">
        <v>15</v>
      </c>
      <c r="E777" s="3">
        <f>((1/(INDEX(E0!J$4:J$52,C777,1)-INDEX(E0!J$4:J$52,D777,1))))*100000000</f>
        <v>0</v>
      </c>
      <c r="F777" s="4" t="str">
        <f>HYPERLINK("http://141.218.60.56/~jnz1568/getInfo.php?workbook=08_02.xlsx&amp;sheet=A0&amp;row=777&amp;col=6&amp;number=&amp;sourceID=27","")</f>
        <v/>
      </c>
      <c r="G777" s="4" t="str">
        <f>HYPERLINK("http://141.218.60.56/~jnz1568/getInfo.php?workbook=08_02.xlsx&amp;sheet=A0&amp;row=777&amp;col=7&amp;number=&amp;sourceID=34","")</f>
        <v/>
      </c>
      <c r="H777" s="4" t="str">
        <f>HYPERLINK("http://141.218.60.56/~jnz1568/getInfo.php?workbook=08_02.xlsx&amp;sheet=A0&amp;row=777&amp;col=8&amp;number=&amp;sourceID=34","")</f>
        <v/>
      </c>
      <c r="I777" s="4" t="str">
        <f>HYPERLINK("http://141.218.60.56/~jnz1568/getInfo.php?workbook=08_02.xlsx&amp;sheet=A0&amp;row=777&amp;col=9&amp;number=&amp;sourceID=34","")</f>
        <v/>
      </c>
      <c r="J777" s="4" t="str">
        <f>HYPERLINK("http://141.218.60.56/~jnz1568/getInfo.php?workbook=08_02.xlsx&amp;sheet=A0&amp;row=777&amp;col=10&amp;number=&amp;sourceID=34","")</f>
        <v/>
      </c>
      <c r="K777" s="4" t="str">
        <f>HYPERLINK("http://141.218.60.56/~jnz1568/getInfo.php?workbook=08_02.xlsx&amp;sheet=A0&amp;row=777&amp;col=11&amp;number=&amp;sourceID=30","")</f>
        <v/>
      </c>
      <c r="L777" s="4" t="str">
        <f>HYPERLINK("http://141.218.60.56/~jnz1568/getInfo.php?workbook=08_02.xlsx&amp;sheet=A0&amp;row=777&amp;col=12&amp;number=173.5&amp;sourceID=30","173.5")</f>
        <v>173.5</v>
      </c>
      <c r="M777" s="4" t="str">
        <f>HYPERLINK("http://141.218.60.56/~jnz1568/getInfo.php?workbook=08_02.xlsx&amp;sheet=A0&amp;row=777&amp;col=13&amp;number=0.01042&amp;sourceID=30","0.01042")</f>
        <v>0.01042</v>
      </c>
      <c r="N777" s="4" t="str">
        <f>HYPERLINK("http://141.218.60.56/~jnz1568/getInfo.php?workbook=08_02.xlsx&amp;sheet=A0&amp;row=777&amp;col=14&amp;number=&amp;sourceID=30","")</f>
        <v/>
      </c>
      <c r="O777" s="4" t="str">
        <f>HYPERLINK("http://141.218.60.56/~jnz1568/getInfo.php?workbook=08_02.xlsx&amp;sheet=A0&amp;row=777&amp;col=15&amp;number=&amp;sourceID=32","")</f>
        <v/>
      </c>
      <c r="P777" s="4" t="str">
        <f>HYPERLINK("http://141.218.60.56/~jnz1568/getInfo.php?workbook=08_02.xlsx&amp;sheet=A0&amp;row=777&amp;col=16&amp;number=221.4&amp;sourceID=32","221.4")</f>
        <v>221.4</v>
      </c>
      <c r="Q777" s="4" t="str">
        <f>HYPERLINK("http://141.218.60.56/~jnz1568/getInfo.php?workbook=08_02.xlsx&amp;sheet=A0&amp;row=777&amp;col=17&amp;number=0.009725&amp;sourceID=32","0.009725")</f>
        <v>0.009725</v>
      </c>
      <c r="R777" s="4" t="str">
        <f>HYPERLINK("http://141.218.60.56/~jnz1568/getInfo.php?workbook=08_02.xlsx&amp;sheet=A0&amp;row=777&amp;col=18&amp;number=&amp;sourceID=32","")</f>
        <v/>
      </c>
      <c r="S777" s="4" t="str">
        <f>HYPERLINK("http://141.218.60.56/~jnz1568/getInfo.php?workbook=08_02.xlsx&amp;sheet=A0&amp;row=777&amp;col=19&amp;number=&amp;sourceID=1","")</f>
        <v/>
      </c>
      <c r="T777" s="4" t="str">
        <f>HYPERLINK("http://141.218.60.56/~jnz1568/getInfo.php?workbook=08_02.xlsx&amp;sheet=A0&amp;row=777&amp;col=20&amp;number=&amp;sourceID=1","")</f>
        <v/>
      </c>
    </row>
    <row r="778" spans="1:20">
      <c r="A778" s="3">
        <v>8</v>
      </c>
      <c r="B778" s="3">
        <v>2</v>
      </c>
      <c r="C778" s="3">
        <v>44</v>
      </c>
      <c r="D778" s="3">
        <v>16</v>
      </c>
      <c r="E778" s="3">
        <f>((1/(INDEX(E0!J$4:J$52,C778,1)-INDEX(E0!J$4:J$52,D778,1))))*100000000</f>
        <v>0</v>
      </c>
      <c r="F778" s="4" t="str">
        <f>HYPERLINK("http://141.218.60.56/~jnz1568/getInfo.php?workbook=08_02.xlsx&amp;sheet=A0&amp;row=778&amp;col=6&amp;number=&amp;sourceID=27","")</f>
        <v/>
      </c>
      <c r="G778" s="4" t="str">
        <f>HYPERLINK("http://141.218.60.56/~jnz1568/getInfo.php?workbook=08_02.xlsx&amp;sheet=A0&amp;row=778&amp;col=7&amp;number=&amp;sourceID=34","")</f>
        <v/>
      </c>
      <c r="H778" s="4" t="str">
        <f>HYPERLINK("http://141.218.60.56/~jnz1568/getInfo.php?workbook=08_02.xlsx&amp;sheet=A0&amp;row=778&amp;col=8&amp;number=&amp;sourceID=34","")</f>
        <v/>
      </c>
      <c r="I778" s="4" t="str">
        <f>HYPERLINK("http://141.218.60.56/~jnz1568/getInfo.php?workbook=08_02.xlsx&amp;sheet=A0&amp;row=778&amp;col=9&amp;number=&amp;sourceID=34","")</f>
        <v/>
      </c>
      <c r="J778" s="4" t="str">
        <f>HYPERLINK("http://141.218.60.56/~jnz1568/getInfo.php?workbook=08_02.xlsx&amp;sheet=A0&amp;row=778&amp;col=10&amp;number=&amp;sourceID=34","")</f>
        <v/>
      </c>
      <c r="K778" s="4" t="str">
        <f>HYPERLINK("http://141.218.60.56/~jnz1568/getInfo.php?workbook=08_02.xlsx&amp;sheet=A0&amp;row=778&amp;col=11&amp;number=&amp;sourceID=30","")</f>
        <v/>
      </c>
      <c r="L778" s="4" t="str">
        <f>HYPERLINK("http://141.218.60.56/~jnz1568/getInfo.php?workbook=08_02.xlsx&amp;sheet=A0&amp;row=778&amp;col=12&amp;number=68870&amp;sourceID=30","68870")</f>
        <v>68870</v>
      </c>
      <c r="M778" s="4" t="str">
        <f>HYPERLINK("http://141.218.60.56/~jnz1568/getInfo.php?workbook=08_02.xlsx&amp;sheet=A0&amp;row=778&amp;col=13&amp;number=0.01076&amp;sourceID=30","0.01076")</f>
        <v>0.01076</v>
      </c>
      <c r="N778" s="4" t="str">
        <f>HYPERLINK("http://141.218.60.56/~jnz1568/getInfo.php?workbook=08_02.xlsx&amp;sheet=A0&amp;row=778&amp;col=14&amp;number=&amp;sourceID=30","")</f>
        <v/>
      </c>
      <c r="O778" s="4" t="str">
        <f>HYPERLINK("http://141.218.60.56/~jnz1568/getInfo.php?workbook=08_02.xlsx&amp;sheet=A0&amp;row=778&amp;col=15&amp;number=&amp;sourceID=32","")</f>
        <v/>
      </c>
      <c r="P778" s="4" t="str">
        <f>HYPERLINK("http://141.218.60.56/~jnz1568/getInfo.php?workbook=08_02.xlsx&amp;sheet=A0&amp;row=778&amp;col=16&amp;number=66640&amp;sourceID=32","66640")</f>
        <v>66640</v>
      </c>
      <c r="Q778" s="4" t="str">
        <f>HYPERLINK("http://141.218.60.56/~jnz1568/getInfo.php?workbook=08_02.xlsx&amp;sheet=A0&amp;row=778&amp;col=17&amp;number=0.0107&amp;sourceID=32","0.0107")</f>
        <v>0.0107</v>
      </c>
      <c r="R778" s="4" t="str">
        <f>HYPERLINK("http://141.218.60.56/~jnz1568/getInfo.php?workbook=08_02.xlsx&amp;sheet=A0&amp;row=778&amp;col=18&amp;number=&amp;sourceID=32","")</f>
        <v/>
      </c>
      <c r="S778" s="4" t="str">
        <f>HYPERLINK("http://141.218.60.56/~jnz1568/getInfo.php?workbook=08_02.xlsx&amp;sheet=A0&amp;row=778&amp;col=19&amp;number=&amp;sourceID=1","")</f>
        <v/>
      </c>
      <c r="T778" s="4" t="str">
        <f>HYPERLINK("http://141.218.60.56/~jnz1568/getInfo.php?workbook=08_02.xlsx&amp;sheet=A0&amp;row=778&amp;col=20&amp;number=&amp;sourceID=1","")</f>
        <v/>
      </c>
    </row>
    <row r="779" spans="1:20">
      <c r="A779" s="3">
        <v>8</v>
      </c>
      <c r="B779" s="3">
        <v>2</v>
      </c>
      <c r="C779" s="3">
        <v>44</v>
      </c>
      <c r="D779" s="3">
        <v>17</v>
      </c>
      <c r="E779" s="3">
        <f>((1/(INDEX(E0!J$4:J$52,C779,1)-INDEX(E0!J$4:J$52,D779,1))))*100000000</f>
        <v>0</v>
      </c>
      <c r="F779" s="4" t="str">
        <f>HYPERLINK("http://141.218.60.56/~jnz1568/getInfo.php?workbook=08_02.xlsx&amp;sheet=A0&amp;row=779&amp;col=6&amp;number=&amp;sourceID=27","")</f>
        <v/>
      </c>
      <c r="G779" s="4" t="str">
        <f>HYPERLINK("http://141.218.60.56/~jnz1568/getInfo.php?workbook=08_02.xlsx&amp;sheet=A0&amp;row=779&amp;col=7&amp;number=8088000000&amp;sourceID=34","8088000000")</f>
        <v>8088000000</v>
      </c>
      <c r="H779" s="4" t="str">
        <f>HYPERLINK("http://141.218.60.56/~jnz1568/getInfo.php?workbook=08_02.xlsx&amp;sheet=A0&amp;row=779&amp;col=8&amp;number=&amp;sourceID=34","")</f>
        <v/>
      </c>
      <c r="I779" s="4" t="str">
        <f>HYPERLINK("http://141.218.60.56/~jnz1568/getInfo.php?workbook=08_02.xlsx&amp;sheet=A0&amp;row=779&amp;col=9&amp;number=&amp;sourceID=34","")</f>
        <v/>
      </c>
      <c r="J779" s="4" t="str">
        <f>HYPERLINK("http://141.218.60.56/~jnz1568/getInfo.php?workbook=08_02.xlsx&amp;sheet=A0&amp;row=779&amp;col=10&amp;number=&amp;sourceID=34","")</f>
        <v/>
      </c>
      <c r="K779" s="4" t="str">
        <f>HYPERLINK("http://141.218.60.56/~jnz1568/getInfo.php?workbook=08_02.xlsx&amp;sheet=A0&amp;row=779&amp;col=11&amp;number=8512000000&amp;sourceID=30","8512000000")</f>
        <v>8512000000</v>
      </c>
      <c r="L779" s="4" t="str">
        <f>HYPERLINK("http://141.218.60.56/~jnz1568/getInfo.php?workbook=08_02.xlsx&amp;sheet=A0&amp;row=779&amp;col=12&amp;number=&amp;sourceID=30","")</f>
        <v/>
      </c>
      <c r="M779" s="4" t="str">
        <f>HYPERLINK("http://141.218.60.56/~jnz1568/getInfo.php?workbook=08_02.xlsx&amp;sheet=A0&amp;row=779&amp;col=13&amp;number=&amp;sourceID=30","")</f>
        <v/>
      </c>
      <c r="N779" s="4" t="str">
        <f>HYPERLINK("http://141.218.60.56/~jnz1568/getInfo.php?workbook=08_02.xlsx&amp;sheet=A0&amp;row=779&amp;col=14&amp;number=4.059&amp;sourceID=30","4.059")</f>
        <v>4.059</v>
      </c>
      <c r="O779" s="4" t="str">
        <f>HYPERLINK("http://141.218.60.56/~jnz1568/getInfo.php?workbook=08_02.xlsx&amp;sheet=A0&amp;row=779&amp;col=15&amp;number=8038000000&amp;sourceID=32","8038000000")</f>
        <v>8038000000</v>
      </c>
      <c r="P779" s="4" t="str">
        <f>HYPERLINK("http://141.218.60.56/~jnz1568/getInfo.php?workbook=08_02.xlsx&amp;sheet=A0&amp;row=779&amp;col=16&amp;number=&amp;sourceID=32","")</f>
        <v/>
      </c>
      <c r="Q779" s="4" t="str">
        <f>HYPERLINK("http://141.218.60.56/~jnz1568/getInfo.php?workbook=08_02.xlsx&amp;sheet=A0&amp;row=779&amp;col=17&amp;number=&amp;sourceID=32","")</f>
        <v/>
      </c>
      <c r="R779" s="4" t="str">
        <f>HYPERLINK("http://141.218.60.56/~jnz1568/getInfo.php?workbook=08_02.xlsx&amp;sheet=A0&amp;row=779&amp;col=18&amp;number=3.909&amp;sourceID=32","3.909")</f>
        <v>3.909</v>
      </c>
      <c r="S779" s="4" t="str">
        <f>HYPERLINK("http://141.218.60.56/~jnz1568/getInfo.php?workbook=08_02.xlsx&amp;sheet=A0&amp;row=779&amp;col=19&amp;number=&amp;sourceID=1","")</f>
        <v/>
      </c>
      <c r="T779" s="4" t="str">
        <f>HYPERLINK("http://141.218.60.56/~jnz1568/getInfo.php?workbook=08_02.xlsx&amp;sheet=A0&amp;row=779&amp;col=20&amp;number=&amp;sourceID=1","")</f>
        <v/>
      </c>
    </row>
    <row r="780" spans="1:20">
      <c r="A780" s="3">
        <v>8</v>
      </c>
      <c r="B780" s="3">
        <v>2</v>
      </c>
      <c r="C780" s="3">
        <v>44</v>
      </c>
      <c r="D780" s="3">
        <v>18</v>
      </c>
      <c r="E780" s="3">
        <f>((1/(INDEX(E0!J$4:J$52,C780,1)-INDEX(E0!J$4:J$52,D780,1))))*100000000</f>
        <v>0</v>
      </c>
      <c r="F780" s="4" t="str">
        <f>HYPERLINK("http://141.218.60.56/~jnz1568/getInfo.php?workbook=08_02.xlsx&amp;sheet=A0&amp;row=780&amp;col=6&amp;number=&amp;sourceID=27","")</f>
        <v/>
      </c>
      <c r="G780" s="4" t="str">
        <f>HYPERLINK("http://141.218.60.56/~jnz1568/getInfo.php?workbook=08_02.xlsx&amp;sheet=A0&amp;row=780&amp;col=7&amp;number=&amp;sourceID=34","")</f>
        <v/>
      </c>
      <c r="H780" s="4" t="str">
        <f>HYPERLINK("http://141.218.60.56/~jnz1568/getInfo.php?workbook=08_02.xlsx&amp;sheet=A0&amp;row=780&amp;col=8&amp;number=&amp;sourceID=34","")</f>
        <v/>
      </c>
      <c r="I780" s="4" t="str">
        <f>HYPERLINK("http://141.218.60.56/~jnz1568/getInfo.php?workbook=08_02.xlsx&amp;sheet=A0&amp;row=780&amp;col=9&amp;number=&amp;sourceID=34","")</f>
        <v/>
      </c>
      <c r="J780" s="4" t="str">
        <f>HYPERLINK("http://141.218.60.56/~jnz1568/getInfo.php?workbook=08_02.xlsx&amp;sheet=A0&amp;row=780&amp;col=10&amp;number=&amp;sourceID=34","")</f>
        <v/>
      </c>
      <c r="K780" s="4" t="str">
        <f>HYPERLINK("http://141.218.60.56/~jnz1568/getInfo.php?workbook=08_02.xlsx&amp;sheet=A0&amp;row=780&amp;col=11&amp;number=&amp;sourceID=30","")</f>
        <v/>
      </c>
      <c r="L780" s="4" t="str">
        <f>HYPERLINK("http://141.218.60.56/~jnz1568/getInfo.php?workbook=08_02.xlsx&amp;sheet=A0&amp;row=780&amp;col=12&amp;number=466.5&amp;sourceID=30","466.5")</f>
        <v>466.5</v>
      </c>
      <c r="M780" s="4" t="str">
        <f>HYPERLINK("http://141.218.60.56/~jnz1568/getInfo.php?workbook=08_02.xlsx&amp;sheet=A0&amp;row=780&amp;col=13&amp;number=1.138e-06&amp;sourceID=30","1.138e-06")</f>
        <v>1.138e-06</v>
      </c>
      <c r="N780" s="4" t="str">
        <f>HYPERLINK("http://141.218.60.56/~jnz1568/getInfo.php?workbook=08_02.xlsx&amp;sheet=A0&amp;row=780&amp;col=14&amp;number=&amp;sourceID=30","")</f>
        <v/>
      </c>
      <c r="O780" s="4" t="str">
        <f>HYPERLINK("http://141.218.60.56/~jnz1568/getInfo.php?workbook=08_02.xlsx&amp;sheet=A0&amp;row=780&amp;col=15&amp;number=&amp;sourceID=32","")</f>
        <v/>
      </c>
      <c r="P780" s="4" t="str">
        <f>HYPERLINK("http://141.218.60.56/~jnz1568/getInfo.php?workbook=08_02.xlsx&amp;sheet=A0&amp;row=780&amp;col=16&amp;number=598.7&amp;sourceID=32","598.7")</f>
        <v>598.7</v>
      </c>
      <c r="Q780" s="4" t="str">
        <f>HYPERLINK("http://141.218.60.56/~jnz1568/getInfo.php?workbook=08_02.xlsx&amp;sheet=A0&amp;row=780&amp;col=17&amp;number=1.617e-06&amp;sourceID=32","1.617e-06")</f>
        <v>1.617e-06</v>
      </c>
      <c r="R780" s="4" t="str">
        <f>HYPERLINK("http://141.218.60.56/~jnz1568/getInfo.php?workbook=08_02.xlsx&amp;sheet=A0&amp;row=780&amp;col=18&amp;number=&amp;sourceID=32","")</f>
        <v/>
      </c>
      <c r="S780" s="4" t="str">
        <f>HYPERLINK("http://141.218.60.56/~jnz1568/getInfo.php?workbook=08_02.xlsx&amp;sheet=A0&amp;row=780&amp;col=19&amp;number=&amp;sourceID=1","")</f>
        <v/>
      </c>
      <c r="T780" s="4" t="str">
        <f>HYPERLINK("http://141.218.60.56/~jnz1568/getInfo.php?workbook=08_02.xlsx&amp;sheet=A0&amp;row=780&amp;col=20&amp;number=&amp;sourceID=1","")</f>
        <v/>
      </c>
    </row>
    <row r="781" spans="1:20">
      <c r="A781" s="3">
        <v>8</v>
      </c>
      <c r="B781" s="3">
        <v>2</v>
      </c>
      <c r="C781" s="3">
        <v>44</v>
      </c>
      <c r="D781" s="3">
        <v>19</v>
      </c>
      <c r="E781" s="3">
        <f>((1/(INDEX(E0!J$4:J$52,C781,1)-INDEX(E0!J$4:J$52,D781,1))))*100000000</f>
        <v>0</v>
      </c>
      <c r="F781" s="4" t="str">
        <f>HYPERLINK("http://141.218.60.56/~jnz1568/getInfo.php?workbook=08_02.xlsx&amp;sheet=A0&amp;row=781&amp;col=6&amp;number=&amp;sourceID=27","")</f>
        <v/>
      </c>
      <c r="G781" s="4" t="str">
        <f>HYPERLINK("http://141.218.60.56/~jnz1568/getInfo.php?workbook=08_02.xlsx&amp;sheet=A0&amp;row=781&amp;col=7&amp;number=&amp;sourceID=34","")</f>
        <v/>
      </c>
      <c r="H781" s="4" t="str">
        <f>HYPERLINK("http://141.218.60.56/~jnz1568/getInfo.php?workbook=08_02.xlsx&amp;sheet=A0&amp;row=781&amp;col=8&amp;number=&amp;sourceID=34","")</f>
        <v/>
      </c>
      <c r="I781" s="4" t="str">
        <f>HYPERLINK("http://141.218.60.56/~jnz1568/getInfo.php?workbook=08_02.xlsx&amp;sheet=A0&amp;row=781&amp;col=9&amp;number=&amp;sourceID=34","")</f>
        <v/>
      </c>
      <c r="J781" s="4" t="str">
        <f>HYPERLINK("http://141.218.60.56/~jnz1568/getInfo.php?workbook=08_02.xlsx&amp;sheet=A0&amp;row=781&amp;col=10&amp;number=&amp;sourceID=34","")</f>
        <v/>
      </c>
      <c r="K781" s="4" t="str">
        <f>HYPERLINK("http://141.218.60.56/~jnz1568/getInfo.php?workbook=08_02.xlsx&amp;sheet=A0&amp;row=781&amp;col=11&amp;number=&amp;sourceID=30","")</f>
        <v/>
      </c>
      <c r="L781" s="4" t="str">
        <f>HYPERLINK("http://141.218.60.56/~jnz1568/getInfo.php?workbook=08_02.xlsx&amp;sheet=A0&amp;row=781&amp;col=12&amp;number=&amp;sourceID=30","")</f>
        <v/>
      </c>
      <c r="M781" s="4" t="str">
        <f>HYPERLINK("http://141.218.60.56/~jnz1568/getInfo.php?workbook=08_02.xlsx&amp;sheet=A0&amp;row=781&amp;col=13&amp;number=&amp;sourceID=30","")</f>
        <v/>
      </c>
      <c r="N781" s="4" t="str">
        <f>HYPERLINK("http://141.218.60.56/~jnz1568/getInfo.php?workbook=08_02.xlsx&amp;sheet=A0&amp;row=781&amp;col=14&amp;number=0.0825&amp;sourceID=30","0.0825")</f>
        <v>0.0825</v>
      </c>
      <c r="O781" s="4" t="str">
        <f>HYPERLINK("http://141.218.60.56/~jnz1568/getInfo.php?workbook=08_02.xlsx&amp;sheet=A0&amp;row=781&amp;col=15&amp;number=&amp;sourceID=32","")</f>
        <v/>
      </c>
      <c r="P781" s="4" t="str">
        <f>HYPERLINK("http://141.218.60.56/~jnz1568/getInfo.php?workbook=08_02.xlsx&amp;sheet=A0&amp;row=781&amp;col=16&amp;number=&amp;sourceID=32","")</f>
        <v/>
      </c>
      <c r="Q781" s="4" t="str">
        <f>HYPERLINK("http://141.218.60.56/~jnz1568/getInfo.php?workbook=08_02.xlsx&amp;sheet=A0&amp;row=781&amp;col=17&amp;number=&amp;sourceID=32","")</f>
        <v/>
      </c>
      <c r="R781" s="4" t="str">
        <f>HYPERLINK("http://141.218.60.56/~jnz1568/getInfo.php?workbook=08_02.xlsx&amp;sheet=A0&amp;row=781&amp;col=18&amp;number=0.08352&amp;sourceID=32","0.08352")</f>
        <v>0.08352</v>
      </c>
      <c r="S781" s="4" t="str">
        <f>HYPERLINK("http://141.218.60.56/~jnz1568/getInfo.php?workbook=08_02.xlsx&amp;sheet=A0&amp;row=781&amp;col=19&amp;number=&amp;sourceID=1","")</f>
        <v/>
      </c>
      <c r="T781" s="4" t="str">
        <f>HYPERLINK("http://141.218.60.56/~jnz1568/getInfo.php?workbook=08_02.xlsx&amp;sheet=A0&amp;row=781&amp;col=20&amp;number=&amp;sourceID=1","")</f>
        <v/>
      </c>
    </row>
    <row r="782" spans="1:20">
      <c r="A782" s="3">
        <v>8</v>
      </c>
      <c r="B782" s="3">
        <v>2</v>
      </c>
      <c r="C782" s="3">
        <v>44</v>
      </c>
      <c r="D782" s="3">
        <v>20</v>
      </c>
      <c r="E782" s="3">
        <f>((1/(INDEX(E0!J$4:J$52,C782,1)-INDEX(E0!J$4:J$52,D782,1))))*100000000</f>
        <v>0</v>
      </c>
      <c r="F782" s="4" t="str">
        <f>HYPERLINK("http://141.218.60.56/~jnz1568/getInfo.php?workbook=08_02.xlsx&amp;sheet=A0&amp;row=782&amp;col=6&amp;number=&amp;sourceID=27","")</f>
        <v/>
      </c>
      <c r="G782" s="4" t="str">
        <f>HYPERLINK("http://141.218.60.56/~jnz1568/getInfo.php?workbook=08_02.xlsx&amp;sheet=A0&amp;row=782&amp;col=7&amp;number=&amp;sourceID=34","")</f>
        <v/>
      </c>
      <c r="H782" s="4" t="str">
        <f>HYPERLINK("http://141.218.60.56/~jnz1568/getInfo.php?workbook=08_02.xlsx&amp;sheet=A0&amp;row=782&amp;col=8&amp;number=&amp;sourceID=34","")</f>
        <v/>
      </c>
      <c r="I782" s="4" t="str">
        <f>HYPERLINK("http://141.218.60.56/~jnz1568/getInfo.php?workbook=08_02.xlsx&amp;sheet=A0&amp;row=782&amp;col=9&amp;number=&amp;sourceID=34","")</f>
        <v/>
      </c>
      <c r="J782" s="4" t="str">
        <f>HYPERLINK("http://141.218.60.56/~jnz1568/getInfo.php?workbook=08_02.xlsx&amp;sheet=A0&amp;row=782&amp;col=10&amp;number=&amp;sourceID=34","")</f>
        <v/>
      </c>
      <c r="K782" s="4" t="str">
        <f>HYPERLINK("http://141.218.60.56/~jnz1568/getInfo.php?workbook=08_02.xlsx&amp;sheet=A0&amp;row=782&amp;col=11&amp;number=10940000&amp;sourceID=30","10940000")</f>
        <v>10940000</v>
      </c>
      <c r="L782" s="4" t="str">
        <f>HYPERLINK("http://141.218.60.56/~jnz1568/getInfo.php?workbook=08_02.xlsx&amp;sheet=A0&amp;row=782&amp;col=12&amp;number=&amp;sourceID=30","")</f>
        <v/>
      </c>
      <c r="M782" s="4" t="str">
        <f>HYPERLINK("http://141.218.60.56/~jnz1568/getInfo.php?workbook=08_02.xlsx&amp;sheet=A0&amp;row=782&amp;col=13&amp;number=&amp;sourceID=30","")</f>
        <v/>
      </c>
      <c r="N782" s="4" t="str">
        <f>HYPERLINK("http://141.218.60.56/~jnz1568/getInfo.php?workbook=08_02.xlsx&amp;sheet=A0&amp;row=782&amp;col=14&amp;number=0.201&amp;sourceID=30","0.201")</f>
        <v>0.201</v>
      </c>
      <c r="O782" s="4" t="str">
        <f>HYPERLINK("http://141.218.60.56/~jnz1568/getInfo.php?workbook=08_02.xlsx&amp;sheet=A0&amp;row=782&amp;col=15&amp;number=14440000&amp;sourceID=32","14440000")</f>
        <v>14440000</v>
      </c>
      <c r="P782" s="4" t="str">
        <f>HYPERLINK("http://141.218.60.56/~jnz1568/getInfo.php?workbook=08_02.xlsx&amp;sheet=A0&amp;row=782&amp;col=16&amp;number=&amp;sourceID=32","")</f>
        <v/>
      </c>
      <c r="Q782" s="4" t="str">
        <f>HYPERLINK("http://141.218.60.56/~jnz1568/getInfo.php?workbook=08_02.xlsx&amp;sheet=A0&amp;row=782&amp;col=17&amp;number=&amp;sourceID=32","")</f>
        <v/>
      </c>
      <c r="R782" s="4" t="str">
        <f>HYPERLINK("http://141.218.60.56/~jnz1568/getInfo.php?workbook=08_02.xlsx&amp;sheet=A0&amp;row=782&amp;col=18&amp;number=0.2059&amp;sourceID=32","0.2059")</f>
        <v>0.2059</v>
      </c>
      <c r="S782" s="4" t="str">
        <f>HYPERLINK("http://141.218.60.56/~jnz1568/getInfo.php?workbook=08_02.xlsx&amp;sheet=A0&amp;row=782&amp;col=19&amp;number=&amp;sourceID=1","")</f>
        <v/>
      </c>
      <c r="T782" s="4" t="str">
        <f>HYPERLINK("http://141.218.60.56/~jnz1568/getInfo.php?workbook=08_02.xlsx&amp;sheet=A0&amp;row=782&amp;col=20&amp;number=&amp;sourceID=1","")</f>
        <v/>
      </c>
    </row>
    <row r="783" spans="1:20">
      <c r="A783" s="3">
        <v>8</v>
      </c>
      <c r="B783" s="3">
        <v>2</v>
      </c>
      <c r="C783" s="3">
        <v>44</v>
      </c>
      <c r="D783" s="3">
        <v>21</v>
      </c>
      <c r="E783" s="3">
        <f>((1/(INDEX(E0!J$4:J$52,C783,1)-INDEX(E0!J$4:J$52,D783,1))))*100000000</f>
        <v>0</v>
      </c>
      <c r="F783" s="4" t="str">
        <f>HYPERLINK("http://141.218.60.56/~jnz1568/getInfo.php?workbook=08_02.xlsx&amp;sheet=A0&amp;row=783&amp;col=6&amp;number=&amp;sourceID=27","")</f>
        <v/>
      </c>
      <c r="G783" s="4" t="str">
        <f>HYPERLINK("http://141.218.60.56/~jnz1568/getInfo.php?workbook=08_02.xlsx&amp;sheet=A0&amp;row=783&amp;col=7&amp;number=&amp;sourceID=34","")</f>
        <v/>
      </c>
      <c r="H783" s="4" t="str">
        <f>HYPERLINK("http://141.218.60.56/~jnz1568/getInfo.php?workbook=08_02.xlsx&amp;sheet=A0&amp;row=783&amp;col=8&amp;number=&amp;sourceID=34","")</f>
        <v/>
      </c>
      <c r="I783" s="4" t="str">
        <f>HYPERLINK("http://141.218.60.56/~jnz1568/getInfo.php?workbook=08_02.xlsx&amp;sheet=A0&amp;row=783&amp;col=9&amp;number=&amp;sourceID=34","")</f>
        <v/>
      </c>
      <c r="J783" s="4" t="str">
        <f>HYPERLINK("http://141.218.60.56/~jnz1568/getInfo.php?workbook=08_02.xlsx&amp;sheet=A0&amp;row=783&amp;col=10&amp;number=&amp;sourceID=34","")</f>
        <v/>
      </c>
      <c r="K783" s="4" t="str">
        <f>HYPERLINK("http://141.218.60.56/~jnz1568/getInfo.php?workbook=08_02.xlsx&amp;sheet=A0&amp;row=783&amp;col=11&amp;number=5492000&amp;sourceID=30","5492000")</f>
        <v>5492000</v>
      </c>
      <c r="L783" s="4" t="str">
        <f>HYPERLINK("http://141.218.60.56/~jnz1568/getInfo.php?workbook=08_02.xlsx&amp;sheet=A0&amp;row=783&amp;col=12&amp;number=&amp;sourceID=30","")</f>
        <v/>
      </c>
      <c r="M783" s="4" t="str">
        <f>HYPERLINK("http://141.218.60.56/~jnz1568/getInfo.php?workbook=08_02.xlsx&amp;sheet=A0&amp;row=783&amp;col=13&amp;number=&amp;sourceID=30","")</f>
        <v/>
      </c>
      <c r="N783" s="4" t="str">
        <f>HYPERLINK("http://141.218.60.56/~jnz1568/getInfo.php?workbook=08_02.xlsx&amp;sheet=A0&amp;row=783&amp;col=14&amp;number=0.1537&amp;sourceID=30","0.1537")</f>
        <v>0.1537</v>
      </c>
      <c r="O783" s="4" t="str">
        <f>HYPERLINK("http://141.218.60.56/~jnz1568/getInfo.php?workbook=08_02.xlsx&amp;sheet=A0&amp;row=783&amp;col=15&amp;number=6985000&amp;sourceID=32","6985000")</f>
        <v>6985000</v>
      </c>
      <c r="P783" s="4" t="str">
        <f>HYPERLINK("http://141.218.60.56/~jnz1568/getInfo.php?workbook=08_02.xlsx&amp;sheet=A0&amp;row=783&amp;col=16&amp;number=&amp;sourceID=32","")</f>
        <v/>
      </c>
      <c r="Q783" s="4" t="str">
        <f>HYPERLINK("http://141.218.60.56/~jnz1568/getInfo.php?workbook=08_02.xlsx&amp;sheet=A0&amp;row=783&amp;col=17&amp;number=&amp;sourceID=32","")</f>
        <v/>
      </c>
      <c r="R783" s="4" t="str">
        <f>HYPERLINK("http://141.218.60.56/~jnz1568/getInfo.php?workbook=08_02.xlsx&amp;sheet=A0&amp;row=783&amp;col=18&amp;number=0.1567&amp;sourceID=32","0.1567")</f>
        <v>0.1567</v>
      </c>
      <c r="S783" s="4" t="str">
        <f>HYPERLINK("http://141.218.60.56/~jnz1568/getInfo.php?workbook=08_02.xlsx&amp;sheet=A0&amp;row=783&amp;col=19&amp;number=&amp;sourceID=1","")</f>
        <v/>
      </c>
      <c r="T783" s="4" t="str">
        <f>HYPERLINK("http://141.218.60.56/~jnz1568/getInfo.php?workbook=08_02.xlsx&amp;sheet=A0&amp;row=783&amp;col=20&amp;number=&amp;sourceID=1","")</f>
        <v/>
      </c>
    </row>
    <row r="784" spans="1:20">
      <c r="A784" s="3">
        <v>8</v>
      </c>
      <c r="B784" s="3">
        <v>2</v>
      </c>
      <c r="C784" s="3">
        <v>44</v>
      </c>
      <c r="D784" s="3">
        <v>22</v>
      </c>
      <c r="E784" s="3">
        <f>((1/(INDEX(E0!J$4:J$52,C784,1)-INDEX(E0!J$4:J$52,D784,1))))*100000000</f>
        <v>0</v>
      </c>
      <c r="F784" s="4" t="str">
        <f>HYPERLINK("http://141.218.60.56/~jnz1568/getInfo.php?workbook=08_02.xlsx&amp;sheet=A0&amp;row=784&amp;col=6&amp;number=&amp;sourceID=27","")</f>
        <v/>
      </c>
      <c r="G784" s="4" t="str">
        <f>HYPERLINK("http://141.218.60.56/~jnz1568/getInfo.php?workbook=08_02.xlsx&amp;sheet=A0&amp;row=784&amp;col=7&amp;number=&amp;sourceID=34","")</f>
        <v/>
      </c>
      <c r="H784" s="4" t="str">
        <f>HYPERLINK("http://141.218.60.56/~jnz1568/getInfo.php?workbook=08_02.xlsx&amp;sheet=A0&amp;row=784&amp;col=8&amp;number=&amp;sourceID=34","")</f>
        <v/>
      </c>
      <c r="I784" s="4" t="str">
        <f>HYPERLINK("http://141.218.60.56/~jnz1568/getInfo.php?workbook=08_02.xlsx&amp;sheet=A0&amp;row=784&amp;col=9&amp;number=&amp;sourceID=34","")</f>
        <v/>
      </c>
      <c r="J784" s="4" t="str">
        <f>HYPERLINK("http://141.218.60.56/~jnz1568/getInfo.php?workbook=08_02.xlsx&amp;sheet=A0&amp;row=784&amp;col=10&amp;number=&amp;sourceID=34","")</f>
        <v/>
      </c>
      <c r="K784" s="4" t="str">
        <f>HYPERLINK("http://141.218.60.56/~jnz1568/getInfo.php?workbook=08_02.xlsx&amp;sheet=A0&amp;row=784&amp;col=11&amp;number=&amp;sourceID=30","")</f>
        <v/>
      </c>
      <c r="L784" s="4" t="str">
        <f>HYPERLINK("http://141.218.60.56/~jnz1568/getInfo.php?workbook=08_02.xlsx&amp;sheet=A0&amp;row=784&amp;col=12&amp;number=69560&amp;sourceID=30","69560")</f>
        <v>69560</v>
      </c>
      <c r="M784" s="4" t="str">
        <f>HYPERLINK("http://141.218.60.56/~jnz1568/getInfo.php?workbook=08_02.xlsx&amp;sheet=A0&amp;row=784&amp;col=13&amp;number=&amp;sourceID=30","")</f>
        <v/>
      </c>
      <c r="N784" s="4" t="str">
        <f>HYPERLINK("http://141.218.60.56/~jnz1568/getInfo.php?workbook=08_02.xlsx&amp;sheet=A0&amp;row=784&amp;col=14&amp;number=&amp;sourceID=30","")</f>
        <v/>
      </c>
      <c r="O784" s="4" t="str">
        <f>HYPERLINK("http://141.218.60.56/~jnz1568/getInfo.php?workbook=08_02.xlsx&amp;sheet=A0&amp;row=784&amp;col=15&amp;number=&amp;sourceID=32","")</f>
        <v/>
      </c>
      <c r="P784" s="4" t="str">
        <f>HYPERLINK("http://141.218.60.56/~jnz1568/getInfo.php?workbook=08_02.xlsx&amp;sheet=A0&amp;row=784&amp;col=16&amp;number=66740&amp;sourceID=32","66740")</f>
        <v>66740</v>
      </c>
      <c r="Q784" s="4" t="str">
        <f>HYPERLINK("http://141.218.60.56/~jnz1568/getInfo.php?workbook=08_02.xlsx&amp;sheet=A0&amp;row=784&amp;col=17&amp;number=&amp;sourceID=32","")</f>
        <v/>
      </c>
      <c r="R784" s="4" t="str">
        <f>HYPERLINK("http://141.218.60.56/~jnz1568/getInfo.php?workbook=08_02.xlsx&amp;sheet=A0&amp;row=784&amp;col=18&amp;number=&amp;sourceID=32","")</f>
        <v/>
      </c>
      <c r="S784" s="4" t="str">
        <f>HYPERLINK("http://141.218.60.56/~jnz1568/getInfo.php?workbook=08_02.xlsx&amp;sheet=A0&amp;row=784&amp;col=19&amp;number=&amp;sourceID=1","")</f>
        <v/>
      </c>
      <c r="T784" s="4" t="str">
        <f>HYPERLINK("http://141.218.60.56/~jnz1568/getInfo.php?workbook=08_02.xlsx&amp;sheet=A0&amp;row=784&amp;col=20&amp;number=&amp;sourceID=1","")</f>
        <v/>
      </c>
    </row>
    <row r="785" spans="1:20">
      <c r="A785" s="3">
        <v>8</v>
      </c>
      <c r="B785" s="3">
        <v>2</v>
      </c>
      <c r="C785" s="3">
        <v>44</v>
      </c>
      <c r="D785" s="3">
        <v>23</v>
      </c>
      <c r="E785" s="3">
        <f>((1/(INDEX(E0!J$4:J$52,C785,1)-INDEX(E0!J$4:J$52,D785,1))))*100000000</f>
        <v>0</v>
      </c>
      <c r="F785" s="4" t="str">
        <f>HYPERLINK("http://141.218.60.56/~jnz1568/getInfo.php?workbook=08_02.xlsx&amp;sheet=A0&amp;row=785&amp;col=6&amp;number=&amp;sourceID=27","")</f>
        <v/>
      </c>
      <c r="G785" s="4" t="str">
        <f>HYPERLINK("http://141.218.60.56/~jnz1568/getInfo.php?workbook=08_02.xlsx&amp;sheet=A0&amp;row=785&amp;col=7&amp;number=&amp;sourceID=34","")</f>
        <v/>
      </c>
      <c r="H785" s="4" t="str">
        <f>HYPERLINK("http://141.218.60.56/~jnz1568/getInfo.php?workbook=08_02.xlsx&amp;sheet=A0&amp;row=785&amp;col=8&amp;number=&amp;sourceID=34","")</f>
        <v/>
      </c>
      <c r="I785" s="4" t="str">
        <f>HYPERLINK("http://141.218.60.56/~jnz1568/getInfo.php?workbook=08_02.xlsx&amp;sheet=A0&amp;row=785&amp;col=9&amp;number=&amp;sourceID=34","")</f>
        <v/>
      </c>
      <c r="J785" s="4" t="str">
        <f>HYPERLINK("http://141.218.60.56/~jnz1568/getInfo.php?workbook=08_02.xlsx&amp;sheet=A0&amp;row=785&amp;col=10&amp;number=&amp;sourceID=34","")</f>
        <v/>
      </c>
      <c r="K785" s="4" t="str">
        <f>HYPERLINK("http://141.218.60.56/~jnz1568/getInfo.php?workbook=08_02.xlsx&amp;sheet=A0&amp;row=785&amp;col=11&amp;number=&amp;sourceID=30","")</f>
        <v/>
      </c>
      <c r="L785" s="4" t="str">
        <f>HYPERLINK("http://141.218.60.56/~jnz1568/getInfo.php?workbook=08_02.xlsx&amp;sheet=A0&amp;row=785&amp;col=12&amp;number=70.93&amp;sourceID=30","70.93")</f>
        <v>70.93</v>
      </c>
      <c r="M785" s="4" t="str">
        <f>HYPERLINK("http://141.218.60.56/~jnz1568/getInfo.php?workbook=08_02.xlsx&amp;sheet=A0&amp;row=785&amp;col=13&amp;number=0.000469&amp;sourceID=30","0.000469")</f>
        <v>0.000469</v>
      </c>
      <c r="N785" s="4" t="str">
        <f>HYPERLINK("http://141.218.60.56/~jnz1568/getInfo.php?workbook=08_02.xlsx&amp;sheet=A0&amp;row=785&amp;col=14&amp;number=&amp;sourceID=30","")</f>
        <v/>
      </c>
      <c r="O785" s="4" t="str">
        <f>HYPERLINK("http://141.218.60.56/~jnz1568/getInfo.php?workbook=08_02.xlsx&amp;sheet=A0&amp;row=785&amp;col=15&amp;number=&amp;sourceID=32","")</f>
        <v/>
      </c>
      <c r="P785" s="4" t="str">
        <f>HYPERLINK("http://141.218.60.56/~jnz1568/getInfo.php?workbook=08_02.xlsx&amp;sheet=A0&amp;row=785&amp;col=16&amp;number=89.73&amp;sourceID=32","89.73")</f>
        <v>89.73</v>
      </c>
      <c r="Q785" s="4" t="str">
        <f>HYPERLINK("http://141.218.60.56/~jnz1568/getInfo.php?workbook=08_02.xlsx&amp;sheet=A0&amp;row=785&amp;col=17&amp;number=0.0004679&amp;sourceID=32","0.0004679")</f>
        <v>0.0004679</v>
      </c>
      <c r="R785" s="4" t="str">
        <f>HYPERLINK("http://141.218.60.56/~jnz1568/getInfo.php?workbook=08_02.xlsx&amp;sheet=A0&amp;row=785&amp;col=18&amp;number=&amp;sourceID=32","")</f>
        <v/>
      </c>
      <c r="S785" s="4" t="str">
        <f>HYPERLINK("http://141.218.60.56/~jnz1568/getInfo.php?workbook=08_02.xlsx&amp;sheet=A0&amp;row=785&amp;col=19&amp;number=&amp;sourceID=1","")</f>
        <v/>
      </c>
      <c r="T785" s="4" t="str">
        <f>HYPERLINK("http://141.218.60.56/~jnz1568/getInfo.php?workbook=08_02.xlsx&amp;sheet=A0&amp;row=785&amp;col=20&amp;number=&amp;sourceID=1","")</f>
        <v/>
      </c>
    </row>
    <row r="786" spans="1:20">
      <c r="A786" s="3">
        <v>8</v>
      </c>
      <c r="B786" s="3">
        <v>2</v>
      </c>
      <c r="C786" s="3">
        <v>44</v>
      </c>
      <c r="D786" s="3">
        <v>24</v>
      </c>
      <c r="E786" s="3">
        <f>((1/(INDEX(E0!J$4:J$52,C786,1)-INDEX(E0!J$4:J$52,D786,1))))*100000000</f>
        <v>0</v>
      </c>
      <c r="F786" s="4" t="str">
        <f>HYPERLINK("http://141.218.60.56/~jnz1568/getInfo.php?workbook=08_02.xlsx&amp;sheet=A0&amp;row=786&amp;col=6&amp;number=&amp;sourceID=27","")</f>
        <v/>
      </c>
      <c r="G786" s="4" t="str">
        <f>HYPERLINK("http://141.218.60.56/~jnz1568/getInfo.php?workbook=08_02.xlsx&amp;sheet=A0&amp;row=786&amp;col=7&amp;number=&amp;sourceID=34","")</f>
        <v/>
      </c>
      <c r="H786" s="4" t="str">
        <f>HYPERLINK("http://141.218.60.56/~jnz1568/getInfo.php?workbook=08_02.xlsx&amp;sheet=A0&amp;row=786&amp;col=8&amp;number=&amp;sourceID=34","")</f>
        <v/>
      </c>
      <c r="I786" s="4" t="str">
        <f>HYPERLINK("http://141.218.60.56/~jnz1568/getInfo.php?workbook=08_02.xlsx&amp;sheet=A0&amp;row=786&amp;col=9&amp;number=&amp;sourceID=34","")</f>
        <v/>
      </c>
      <c r="J786" s="4" t="str">
        <f>HYPERLINK("http://141.218.60.56/~jnz1568/getInfo.php?workbook=08_02.xlsx&amp;sheet=A0&amp;row=786&amp;col=10&amp;number=&amp;sourceID=34","")</f>
        <v/>
      </c>
      <c r="K786" s="4" t="str">
        <f>HYPERLINK("http://141.218.60.56/~jnz1568/getInfo.php?workbook=08_02.xlsx&amp;sheet=A0&amp;row=786&amp;col=11&amp;number=&amp;sourceID=30","")</f>
        <v/>
      </c>
      <c r="L786" s="4" t="str">
        <f>HYPERLINK("http://141.218.60.56/~jnz1568/getInfo.php?workbook=08_02.xlsx&amp;sheet=A0&amp;row=786&amp;col=12&amp;number=72.24&amp;sourceID=30","72.24")</f>
        <v>72.24</v>
      </c>
      <c r="M786" s="4" t="str">
        <f>HYPERLINK("http://141.218.60.56/~jnz1568/getInfo.php?workbook=08_02.xlsx&amp;sheet=A0&amp;row=786&amp;col=13&amp;number=3.223e-05&amp;sourceID=30","3.223e-05")</f>
        <v>3.223e-05</v>
      </c>
      <c r="N786" s="4" t="str">
        <f>HYPERLINK("http://141.218.60.56/~jnz1568/getInfo.php?workbook=08_02.xlsx&amp;sheet=A0&amp;row=786&amp;col=14&amp;number=&amp;sourceID=30","")</f>
        <v/>
      </c>
      <c r="O786" s="4" t="str">
        <f>HYPERLINK("http://141.218.60.56/~jnz1568/getInfo.php?workbook=08_02.xlsx&amp;sheet=A0&amp;row=786&amp;col=15&amp;number=&amp;sourceID=32","")</f>
        <v/>
      </c>
      <c r="P786" s="4" t="str">
        <f>HYPERLINK("http://141.218.60.56/~jnz1568/getInfo.php?workbook=08_02.xlsx&amp;sheet=A0&amp;row=786&amp;col=16&amp;number=89.7&amp;sourceID=32","89.7")</f>
        <v>89.7</v>
      </c>
      <c r="Q786" s="4" t="str">
        <f>HYPERLINK("http://141.218.60.56/~jnz1568/getInfo.php?workbook=08_02.xlsx&amp;sheet=A0&amp;row=786&amp;col=17&amp;number=3.978e-05&amp;sourceID=32","3.978e-05")</f>
        <v>3.978e-05</v>
      </c>
      <c r="R786" s="4" t="str">
        <f>HYPERLINK("http://141.218.60.56/~jnz1568/getInfo.php?workbook=08_02.xlsx&amp;sheet=A0&amp;row=786&amp;col=18&amp;number=&amp;sourceID=32","")</f>
        <v/>
      </c>
      <c r="S786" s="4" t="str">
        <f>HYPERLINK("http://141.218.60.56/~jnz1568/getInfo.php?workbook=08_02.xlsx&amp;sheet=A0&amp;row=786&amp;col=19&amp;number=&amp;sourceID=1","")</f>
        <v/>
      </c>
      <c r="T786" s="4" t="str">
        <f>HYPERLINK("http://141.218.60.56/~jnz1568/getInfo.php?workbook=08_02.xlsx&amp;sheet=A0&amp;row=786&amp;col=20&amp;number=&amp;sourceID=1","")</f>
        <v/>
      </c>
    </row>
    <row r="787" spans="1:20">
      <c r="A787" s="3">
        <v>8</v>
      </c>
      <c r="B787" s="3">
        <v>2</v>
      </c>
      <c r="C787" s="3">
        <v>44</v>
      </c>
      <c r="D787" s="3">
        <v>25</v>
      </c>
      <c r="E787" s="3">
        <f>((1/(INDEX(E0!J$4:J$52,C787,1)-INDEX(E0!J$4:J$52,D787,1))))*100000000</f>
        <v>0</v>
      </c>
      <c r="F787" s="4" t="str">
        <f>HYPERLINK("http://141.218.60.56/~jnz1568/getInfo.php?workbook=08_02.xlsx&amp;sheet=A0&amp;row=787&amp;col=6&amp;number=&amp;sourceID=27","")</f>
        <v/>
      </c>
      <c r="G787" s="4" t="str">
        <f>HYPERLINK("http://141.218.60.56/~jnz1568/getInfo.php?workbook=08_02.xlsx&amp;sheet=A0&amp;row=787&amp;col=7&amp;number=&amp;sourceID=34","")</f>
        <v/>
      </c>
      <c r="H787" s="4" t="str">
        <f>HYPERLINK("http://141.218.60.56/~jnz1568/getInfo.php?workbook=08_02.xlsx&amp;sheet=A0&amp;row=787&amp;col=8&amp;number=&amp;sourceID=34","")</f>
        <v/>
      </c>
      <c r="I787" s="4" t="str">
        <f>HYPERLINK("http://141.218.60.56/~jnz1568/getInfo.php?workbook=08_02.xlsx&amp;sheet=A0&amp;row=787&amp;col=9&amp;number=&amp;sourceID=34","")</f>
        <v/>
      </c>
      <c r="J787" s="4" t="str">
        <f>HYPERLINK("http://141.218.60.56/~jnz1568/getInfo.php?workbook=08_02.xlsx&amp;sheet=A0&amp;row=787&amp;col=10&amp;number=&amp;sourceID=34","")</f>
        <v/>
      </c>
      <c r="K787" s="4" t="str">
        <f>HYPERLINK("http://141.218.60.56/~jnz1568/getInfo.php?workbook=08_02.xlsx&amp;sheet=A0&amp;row=787&amp;col=11&amp;number=&amp;sourceID=30","")</f>
        <v/>
      </c>
      <c r="L787" s="4" t="str">
        <f>HYPERLINK("http://141.218.60.56/~jnz1568/getInfo.php?workbook=08_02.xlsx&amp;sheet=A0&amp;row=787&amp;col=12&amp;number=&amp;sourceID=30","")</f>
        <v/>
      </c>
      <c r="M787" s="4" t="str">
        <f>HYPERLINK("http://141.218.60.56/~jnz1568/getInfo.php?workbook=08_02.xlsx&amp;sheet=A0&amp;row=787&amp;col=13&amp;number=&amp;sourceID=30","")</f>
        <v/>
      </c>
      <c r="N787" s="4" t="str">
        <f>HYPERLINK("http://141.218.60.56/~jnz1568/getInfo.php?workbook=08_02.xlsx&amp;sheet=A0&amp;row=787&amp;col=14&amp;number=0.009554&amp;sourceID=30","0.009554")</f>
        <v>0.009554</v>
      </c>
      <c r="O787" s="4" t="str">
        <f>HYPERLINK("http://141.218.60.56/~jnz1568/getInfo.php?workbook=08_02.xlsx&amp;sheet=A0&amp;row=787&amp;col=15&amp;number=&amp;sourceID=32","")</f>
        <v/>
      </c>
      <c r="P787" s="4" t="str">
        <f>HYPERLINK("http://141.218.60.56/~jnz1568/getInfo.php?workbook=08_02.xlsx&amp;sheet=A0&amp;row=787&amp;col=16&amp;number=&amp;sourceID=32","")</f>
        <v/>
      </c>
      <c r="Q787" s="4" t="str">
        <f>HYPERLINK("http://141.218.60.56/~jnz1568/getInfo.php?workbook=08_02.xlsx&amp;sheet=A0&amp;row=787&amp;col=17&amp;number=&amp;sourceID=32","")</f>
        <v/>
      </c>
      <c r="R787" s="4" t="str">
        <f>HYPERLINK("http://141.218.60.56/~jnz1568/getInfo.php?workbook=08_02.xlsx&amp;sheet=A0&amp;row=787&amp;col=18&amp;number=&amp;sourceID=32","")</f>
        <v/>
      </c>
      <c r="S787" s="4" t="str">
        <f>HYPERLINK("http://141.218.60.56/~jnz1568/getInfo.php?workbook=08_02.xlsx&amp;sheet=A0&amp;row=787&amp;col=19&amp;number=&amp;sourceID=1","")</f>
        <v/>
      </c>
      <c r="T787" s="4" t="str">
        <f>HYPERLINK("http://141.218.60.56/~jnz1568/getInfo.php?workbook=08_02.xlsx&amp;sheet=A0&amp;row=787&amp;col=20&amp;number=&amp;sourceID=1","")</f>
        <v/>
      </c>
    </row>
    <row r="788" spans="1:20">
      <c r="A788" s="3">
        <v>8</v>
      </c>
      <c r="B788" s="3">
        <v>2</v>
      </c>
      <c r="C788" s="3">
        <v>44</v>
      </c>
      <c r="D788" s="3">
        <v>26</v>
      </c>
      <c r="E788" s="3">
        <f>((1/(INDEX(E0!J$4:J$52,C788,1)-INDEX(E0!J$4:J$52,D788,1))))*100000000</f>
        <v>0</v>
      </c>
      <c r="F788" s="4" t="str">
        <f>HYPERLINK("http://141.218.60.56/~jnz1568/getInfo.php?workbook=08_02.xlsx&amp;sheet=A0&amp;row=788&amp;col=6&amp;number=&amp;sourceID=27","")</f>
        <v/>
      </c>
      <c r="G788" s="4" t="str">
        <f>HYPERLINK("http://141.218.60.56/~jnz1568/getInfo.php?workbook=08_02.xlsx&amp;sheet=A0&amp;row=788&amp;col=7&amp;number=&amp;sourceID=34","")</f>
        <v/>
      </c>
      <c r="H788" s="4" t="str">
        <f>HYPERLINK("http://141.218.60.56/~jnz1568/getInfo.php?workbook=08_02.xlsx&amp;sheet=A0&amp;row=788&amp;col=8&amp;number=&amp;sourceID=34","")</f>
        <v/>
      </c>
      <c r="I788" s="4" t="str">
        <f>HYPERLINK("http://141.218.60.56/~jnz1568/getInfo.php?workbook=08_02.xlsx&amp;sheet=A0&amp;row=788&amp;col=9&amp;number=&amp;sourceID=34","")</f>
        <v/>
      </c>
      <c r="J788" s="4" t="str">
        <f>HYPERLINK("http://141.218.60.56/~jnz1568/getInfo.php?workbook=08_02.xlsx&amp;sheet=A0&amp;row=788&amp;col=10&amp;number=&amp;sourceID=34","")</f>
        <v/>
      </c>
      <c r="K788" s="4" t="str">
        <f>HYPERLINK("http://141.218.60.56/~jnz1568/getInfo.php?workbook=08_02.xlsx&amp;sheet=A0&amp;row=788&amp;col=11&amp;number=&amp;sourceID=30","")</f>
        <v/>
      </c>
      <c r="L788" s="4" t="str">
        <f>HYPERLINK("http://141.218.60.56/~jnz1568/getInfo.php?workbook=08_02.xlsx&amp;sheet=A0&amp;row=788&amp;col=12&amp;number=80.96&amp;sourceID=30","80.96")</f>
        <v>80.96</v>
      </c>
      <c r="M788" s="4" t="str">
        <f>HYPERLINK("http://141.218.60.56/~jnz1568/getInfo.php?workbook=08_02.xlsx&amp;sheet=A0&amp;row=788&amp;col=13&amp;number=0.001162&amp;sourceID=30","0.001162")</f>
        <v>0.001162</v>
      </c>
      <c r="N788" s="4" t="str">
        <f>HYPERLINK("http://141.218.60.56/~jnz1568/getInfo.php?workbook=08_02.xlsx&amp;sheet=A0&amp;row=788&amp;col=14&amp;number=&amp;sourceID=30","")</f>
        <v/>
      </c>
      <c r="O788" s="4" t="str">
        <f>HYPERLINK("http://141.218.60.56/~jnz1568/getInfo.php?workbook=08_02.xlsx&amp;sheet=A0&amp;row=788&amp;col=15&amp;number=&amp;sourceID=32","")</f>
        <v/>
      </c>
      <c r="P788" s="4" t="str">
        <f>HYPERLINK("http://141.218.60.56/~jnz1568/getInfo.php?workbook=08_02.xlsx&amp;sheet=A0&amp;row=788&amp;col=16&amp;number=102.5&amp;sourceID=32","102.5")</f>
        <v>102.5</v>
      </c>
      <c r="Q788" s="4" t="str">
        <f>HYPERLINK("http://141.218.60.56/~jnz1568/getInfo.php?workbook=08_02.xlsx&amp;sheet=A0&amp;row=788&amp;col=17&amp;number=0.001098&amp;sourceID=32","0.001098")</f>
        <v>0.001098</v>
      </c>
      <c r="R788" s="4" t="str">
        <f>HYPERLINK("http://141.218.60.56/~jnz1568/getInfo.php?workbook=08_02.xlsx&amp;sheet=A0&amp;row=788&amp;col=18&amp;number=&amp;sourceID=32","")</f>
        <v/>
      </c>
      <c r="S788" s="4" t="str">
        <f>HYPERLINK("http://141.218.60.56/~jnz1568/getInfo.php?workbook=08_02.xlsx&amp;sheet=A0&amp;row=788&amp;col=19&amp;number=&amp;sourceID=1","")</f>
        <v/>
      </c>
      <c r="T788" s="4" t="str">
        <f>HYPERLINK("http://141.218.60.56/~jnz1568/getInfo.php?workbook=08_02.xlsx&amp;sheet=A0&amp;row=788&amp;col=20&amp;number=&amp;sourceID=1","")</f>
        <v/>
      </c>
    </row>
    <row r="789" spans="1:20">
      <c r="A789" s="3">
        <v>8</v>
      </c>
      <c r="B789" s="3">
        <v>2</v>
      </c>
      <c r="C789" s="3">
        <v>44</v>
      </c>
      <c r="D789" s="3">
        <v>27</v>
      </c>
      <c r="E789" s="3">
        <f>((1/(INDEX(E0!J$4:J$52,C789,1)-INDEX(E0!J$4:J$52,D789,1))))*100000000</f>
        <v>0</v>
      </c>
      <c r="F789" s="4" t="str">
        <f>HYPERLINK("http://141.218.60.56/~jnz1568/getInfo.php?workbook=08_02.xlsx&amp;sheet=A0&amp;row=789&amp;col=6&amp;number=&amp;sourceID=27","")</f>
        <v/>
      </c>
      <c r="G789" s="4" t="str">
        <f>HYPERLINK("http://141.218.60.56/~jnz1568/getInfo.php?workbook=08_02.xlsx&amp;sheet=A0&amp;row=789&amp;col=7&amp;number=&amp;sourceID=34","")</f>
        <v/>
      </c>
      <c r="H789" s="4" t="str">
        <f>HYPERLINK("http://141.218.60.56/~jnz1568/getInfo.php?workbook=08_02.xlsx&amp;sheet=A0&amp;row=789&amp;col=8&amp;number=&amp;sourceID=34","")</f>
        <v/>
      </c>
      <c r="I789" s="4" t="str">
        <f>HYPERLINK("http://141.218.60.56/~jnz1568/getInfo.php?workbook=08_02.xlsx&amp;sheet=A0&amp;row=789&amp;col=9&amp;number=&amp;sourceID=34","")</f>
        <v/>
      </c>
      <c r="J789" s="4" t="str">
        <f>HYPERLINK("http://141.218.60.56/~jnz1568/getInfo.php?workbook=08_02.xlsx&amp;sheet=A0&amp;row=789&amp;col=10&amp;number=&amp;sourceID=34","")</f>
        <v/>
      </c>
      <c r="K789" s="4" t="str">
        <f>HYPERLINK("http://141.218.60.56/~jnz1568/getInfo.php?workbook=08_02.xlsx&amp;sheet=A0&amp;row=789&amp;col=11&amp;number=37780000&amp;sourceID=30","37780000")</f>
        <v>37780000</v>
      </c>
      <c r="L789" s="4" t="str">
        <f>HYPERLINK("http://141.218.60.56/~jnz1568/getInfo.php?workbook=08_02.xlsx&amp;sheet=A0&amp;row=789&amp;col=12&amp;number=&amp;sourceID=30","")</f>
        <v/>
      </c>
      <c r="M789" s="4" t="str">
        <f>HYPERLINK("http://141.218.60.56/~jnz1568/getInfo.php?workbook=08_02.xlsx&amp;sheet=A0&amp;row=789&amp;col=13&amp;number=&amp;sourceID=30","")</f>
        <v/>
      </c>
      <c r="N789" s="4" t="str">
        <f>HYPERLINK("http://141.218.60.56/~jnz1568/getInfo.php?workbook=08_02.xlsx&amp;sheet=A0&amp;row=789&amp;col=14&amp;number=0.0008276&amp;sourceID=30","0.0008276")</f>
        <v>0.0008276</v>
      </c>
      <c r="O789" s="4" t="str">
        <f>HYPERLINK("http://141.218.60.56/~jnz1568/getInfo.php?workbook=08_02.xlsx&amp;sheet=A0&amp;row=789&amp;col=15&amp;number=37780000&amp;sourceID=32","37780000")</f>
        <v>37780000</v>
      </c>
      <c r="P789" s="4" t="str">
        <f>HYPERLINK("http://141.218.60.56/~jnz1568/getInfo.php?workbook=08_02.xlsx&amp;sheet=A0&amp;row=789&amp;col=16&amp;number=&amp;sourceID=32","")</f>
        <v/>
      </c>
      <c r="Q789" s="4" t="str">
        <f>HYPERLINK("http://141.218.60.56/~jnz1568/getInfo.php?workbook=08_02.xlsx&amp;sheet=A0&amp;row=789&amp;col=17&amp;number=&amp;sourceID=32","")</f>
        <v/>
      </c>
      <c r="R789" s="4" t="str">
        <f>HYPERLINK("http://141.218.60.56/~jnz1568/getInfo.php?workbook=08_02.xlsx&amp;sheet=A0&amp;row=789&amp;col=18&amp;number=0.0008648&amp;sourceID=32","0.0008648")</f>
        <v>0.0008648</v>
      </c>
      <c r="S789" s="4" t="str">
        <f>HYPERLINK("http://141.218.60.56/~jnz1568/getInfo.php?workbook=08_02.xlsx&amp;sheet=A0&amp;row=789&amp;col=19&amp;number=&amp;sourceID=1","")</f>
        <v/>
      </c>
      <c r="T789" s="4" t="str">
        <f>HYPERLINK("http://141.218.60.56/~jnz1568/getInfo.php?workbook=08_02.xlsx&amp;sheet=A0&amp;row=789&amp;col=20&amp;number=&amp;sourceID=1","")</f>
        <v/>
      </c>
    </row>
    <row r="790" spans="1:20">
      <c r="A790" s="3">
        <v>8</v>
      </c>
      <c r="B790" s="3">
        <v>2</v>
      </c>
      <c r="C790" s="3">
        <v>44</v>
      </c>
      <c r="D790" s="3">
        <v>28</v>
      </c>
      <c r="E790" s="3">
        <f>((1/(INDEX(E0!J$4:J$52,C790,1)-INDEX(E0!J$4:J$52,D790,1))))*100000000</f>
        <v>0</v>
      </c>
      <c r="F790" s="4" t="str">
        <f>HYPERLINK("http://141.218.60.56/~jnz1568/getInfo.php?workbook=08_02.xlsx&amp;sheet=A0&amp;row=790&amp;col=6&amp;number=&amp;sourceID=27","")</f>
        <v/>
      </c>
      <c r="G790" s="4" t="str">
        <f>HYPERLINK("http://141.218.60.56/~jnz1568/getInfo.php?workbook=08_02.xlsx&amp;sheet=A0&amp;row=790&amp;col=7&amp;number=&amp;sourceID=34","")</f>
        <v/>
      </c>
      <c r="H790" s="4" t="str">
        <f>HYPERLINK("http://141.218.60.56/~jnz1568/getInfo.php?workbook=08_02.xlsx&amp;sheet=A0&amp;row=790&amp;col=8&amp;number=&amp;sourceID=34","")</f>
        <v/>
      </c>
      <c r="I790" s="4" t="str">
        <f>HYPERLINK("http://141.218.60.56/~jnz1568/getInfo.php?workbook=08_02.xlsx&amp;sheet=A0&amp;row=790&amp;col=9&amp;number=&amp;sourceID=34","")</f>
        <v/>
      </c>
      <c r="J790" s="4" t="str">
        <f>HYPERLINK("http://141.218.60.56/~jnz1568/getInfo.php?workbook=08_02.xlsx&amp;sheet=A0&amp;row=790&amp;col=10&amp;number=&amp;sourceID=34","")</f>
        <v/>
      </c>
      <c r="K790" s="4" t="str">
        <f>HYPERLINK("http://141.218.60.56/~jnz1568/getInfo.php?workbook=08_02.xlsx&amp;sheet=A0&amp;row=790&amp;col=11&amp;number=86870&amp;sourceID=30","86870")</f>
        <v>86870</v>
      </c>
      <c r="L790" s="4" t="str">
        <f>HYPERLINK("http://141.218.60.56/~jnz1568/getInfo.php?workbook=08_02.xlsx&amp;sheet=A0&amp;row=790&amp;col=12&amp;number=&amp;sourceID=30","")</f>
        <v/>
      </c>
      <c r="M790" s="4" t="str">
        <f>HYPERLINK("http://141.218.60.56/~jnz1568/getInfo.php?workbook=08_02.xlsx&amp;sheet=A0&amp;row=790&amp;col=13&amp;number=&amp;sourceID=30","")</f>
        <v/>
      </c>
      <c r="N790" s="4" t="str">
        <f>HYPERLINK("http://141.218.60.56/~jnz1568/getInfo.php?workbook=08_02.xlsx&amp;sheet=A0&amp;row=790&amp;col=14&amp;number=0.0002999&amp;sourceID=30","0.0002999")</f>
        <v>0.0002999</v>
      </c>
      <c r="O790" s="4" t="str">
        <f>HYPERLINK("http://141.218.60.56/~jnz1568/getInfo.php?workbook=08_02.xlsx&amp;sheet=A0&amp;row=790&amp;col=15&amp;number=110200&amp;sourceID=32","110200")</f>
        <v>110200</v>
      </c>
      <c r="P790" s="4" t="str">
        <f>HYPERLINK("http://141.218.60.56/~jnz1568/getInfo.php?workbook=08_02.xlsx&amp;sheet=A0&amp;row=790&amp;col=16&amp;number=&amp;sourceID=32","")</f>
        <v/>
      </c>
      <c r="Q790" s="4" t="str">
        <f>HYPERLINK("http://141.218.60.56/~jnz1568/getInfo.php?workbook=08_02.xlsx&amp;sheet=A0&amp;row=790&amp;col=17&amp;number=&amp;sourceID=32","")</f>
        <v/>
      </c>
      <c r="R790" s="4" t="str">
        <f>HYPERLINK("http://141.218.60.56/~jnz1568/getInfo.php?workbook=08_02.xlsx&amp;sheet=A0&amp;row=790&amp;col=18&amp;number=0.0002919&amp;sourceID=32","0.0002919")</f>
        <v>0.0002919</v>
      </c>
      <c r="S790" s="4" t="str">
        <f>HYPERLINK("http://141.218.60.56/~jnz1568/getInfo.php?workbook=08_02.xlsx&amp;sheet=A0&amp;row=790&amp;col=19&amp;number=&amp;sourceID=1","")</f>
        <v/>
      </c>
      <c r="T790" s="4" t="str">
        <f>HYPERLINK("http://141.218.60.56/~jnz1568/getInfo.php?workbook=08_02.xlsx&amp;sheet=A0&amp;row=790&amp;col=20&amp;number=&amp;sourceID=1","")</f>
        <v/>
      </c>
    </row>
    <row r="791" spans="1:20">
      <c r="A791" s="3">
        <v>8</v>
      </c>
      <c r="B791" s="3">
        <v>2</v>
      </c>
      <c r="C791" s="3">
        <v>44</v>
      </c>
      <c r="D791" s="3">
        <v>29</v>
      </c>
      <c r="E791" s="3">
        <f>((1/(INDEX(E0!J$4:J$52,C791,1)-INDEX(E0!J$4:J$52,D791,1))))*100000000</f>
        <v>0</v>
      </c>
      <c r="F791" s="4" t="str">
        <f>HYPERLINK("http://141.218.60.56/~jnz1568/getInfo.php?workbook=08_02.xlsx&amp;sheet=A0&amp;row=791&amp;col=6&amp;number=&amp;sourceID=27","")</f>
        <v/>
      </c>
      <c r="G791" s="4" t="str">
        <f>HYPERLINK("http://141.218.60.56/~jnz1568/getInfo.php?workbook=08_02.xlsx&amp;sheet=A0&amp;row=791&amp;col=7&amp;number=&amp;sourceID=34","")</f>
        <v/>
      </c>
      <c r="H791" s="4" t="str">
        <f>HYPERLINK("http://141.218.60.56/~jnz1568/getInfo.php?workbook=08_02.xlsx&amp;sheet=A0&amp;row=791&amp;col=8&amp;number=&amp;sourceID=34","")</f>
        <v/>
      </c>
      <c r="I791" s="4" t="str">
        <f>HYPERLINK("http://141.218.60.56/~jnz1568/getInfo.php?workbook=08_02.xlsx&amp;sheet=A0&amp;row=791&amp;col=9&amp;number=&amp;sourceID=34","")</f>
        <v/>
      </c>
      <c r="J791" s="4" t="str">
        <f>HYPERLINK("http://141.218.60.56/~jnz1568/getInfo.php?workbook=08_02.xlsx&amp;sheet=A0&amp;row=791&amp;col=10&amp;number=&amp;sourceID=34","")</f>
        <v/>
      </c>
      <c r="K791" s="4" t="str">
        <f>HYPERLINK("http://141.218.60.56/~jnz1568/getInfo.php?workbook=08_02.xlsx&amp;sheet=A0&amp;row=791&amp;col=11&amp;number=&amp;sourceID=30","")</f>
        <v/>
      </c>
      <c r="L791" s="4" t="str">
        <f>HYPERLINK("http://141.218.60.56/~jnz1568/getInfo.php?workbook=08_02.xlsx&amp;sheet=A0&amp;row=791&amp;col=12&amp;number=31190&amp;sourceID=30","31190")</f>
        <v>31190</v>
      </c>
      <c r="M791" s="4" t="str">
        <f>HYPERLINK("http://141.218.60.56/~jnz1568/getInfo.php?workbook=08_02.xlsx&amp;sheet=A0&amp;row=791&amp;col=13&amp;number=0.0005001&amp;sourceID=30","0.0005001")</f>
        <v>0.0005001</v>
      </c>
      <c r="N791" s="4" t="str">
        <f>HYPERLINK("http://141.218.60.56/~jnz1568/getInfo.php?workbook=08_02.xlsx&amp;sheet=A0&amp;row=791&amp;col=14&amp;number=&amp;sourceID=30","")</f>
        <v/>
      </c>
      <c r="O791" s="4" t="str">
        <f>HYPERLINK("http://141.218.60.56/~jnz1568/getInfo.php?workbook=08_02.xlsx&amp;sheet=A0&amp;row=791&amp;col=15&amp;number=&amp;sourceID=32","")</f>
        <v/>
      </c>
      <c r="P791" s="4" t="str">
        <f>HYPERLINK("http://141.218.60.56/~jnz1568/getInfo.php?workbook=08_02.xlsx&amp;sheet=A0&amp;row=791&amp;col=16&amp;number=30990&amp;sourceID=32","30990")</f>
        <v>30990</v>
      </c>
      <c r="Q791" s="4" t="str">
        <f>HYPERLINK("http://141.218.60.56/~jnz1568/getInfo.php?workbook=08_02.xlsx&amp;sheet=A0&amp;row=791&amp;col=17&amp;number=0.0004955&amp;sourceID=32","0.0004955")</f>
        <v>0.0004955</v>
      </c>
      <c r="R791" s="4" t="str">
        <f>HYPERLINK("http://141.218.60.56/~jnz1568/getInfo.php?workbook=08_02.xlsx&amp;sheet=A0&amp;row=791&amp;col=18&amp;number=&amp;sourceID=32","")</f>
        <v/>
      </c>
      <c r="S791" s="4" t="str">
        <f>HYPERLINK("http://141.218.60.56/~jnz1568/getInfo.php?workbook=08_02.xlsx&amp;sheet=A0&amp;row=791&amp;col=19&amp;number=&amp;sourceID=1","")</f>
        <v/>
      </c>
      <c r="T791" s="4" t="str">
        <f>HYPERLINK("http://141.218.60.56/~jnz1568/getInfo.php?workbook=08_02.xlsx&amp;sheet=A0&amp;row=791&amp;col=20&amp;number=&amp;sourceID=1","")</f>
        <v/>
      </c>
    </row>
    <row r="792" spans="1:20">
      <c r="A792" s="3">
        <v>8</v>
      </c>
      <c r="B792" s="3">
        <v>2</v>
      </c>
      <c r="C792" s="3">
        <v>44</v>
      </c>
      <c r="D792" s="3">
        <v>30</v>
      </c>
      <c r="E792" s="3">
        <f>((1/(INDEX(E0!J$4:J$52,C792,1)-INDEX(E0!J$4:J$52,D792,1))))*100000000</f>
        <v>0</v>
      </c>
      <c r="F792" s="4" t="str">
        <f>HYPERLINK("http://141.218.60.56/~jnz1568/getInfo.php?workbook=08_02.xlsx&amp;sheet=A0&amp;row=792&amp;col=6&amp;number=&amp;sourceID=27","")</f>
        <v/>
      </c>
      <c r="G792" s="4" t="str">
        <f>HYPERLINK("http://141.218.60.56/~jnz1568/getInfo.php?workbook=08_02.xlsx&amp;sheet=A0&amp;row=792&amp;col=7&amp;number=&amp;sourceID=34","")</f>
        <v/>
      </c>
      <c r="H792" s="4" t="str">
        <f>HYPERLINK("http://141.218.60.56/~jnz1568/getInfo.php?workbook=08_02.xlsx&amp;sheet=A0&amp;row=792&amp;col=8&amp;number=&amp;sourceID=34","")</f>
        <v/>
      </c>
      <c r="I792" s="4" t="str">
        <f>HYPERLINK("http://141.218.60.56/~jnz1568/getInfo.php?workbook=08_02.xlsx&amp;sheet=A0&amp;row=792&amp;col=9&amp;number=&amp;sourceID=34","")</f>
        <v/>
      </c>
      <c r="J792" s="4" t="str">
        <f>HYPERLINK("http://141.218.60.56/~jnz1568/getInfo.php?workbook=08_02.xlsx&amp;sheet=A0&amp;row=792&amp;col=10&amp;number=&amp;sourceID=34","")</f>
        <v/>
      </c>
      <c r="K792" s="4" t="str">
        <f>HYPERLINK("http://141.218.60.56/~jnz1568/getInfo.php?workbook=08_02.xlsx&amp;sheet=A0&amp;row=792&amp;col=11&amp;number=83090000&amp;sourceID=30","83090000")</f>
        <v>83090000</v>
      </c>
      <c r="L792" s="4" t="str">
        <f>HYPERLINK("http://141.218.60.56/~jnz1568/getInfo.php?workbook=08_02.xlsx&amp;sheet=A0&amp;row=792&amp;col=12&amp;number=&amp;sourceID=30","")</f>
        <v/>
      </c>
      <c r="M792" s="4" t="str">
        <f>HYPERLINK("http://141.218.60.56/~jnz1568/getInfo.php?workbook=08_02.xlsx&amp;sheet=A0&amp;row=792&amp;col=13&amp;number=&amp;sourceID=30","")</f>
        <v/>
      </c>
      <c r="N792" s="4" t="str">
        <f>HYPERLINK("http://141.218.60.56/~jnz1568/getInfo.php?workbook=08_02.xlsx&amp;sheet=A0&amp;row=792&amp;col=14&amp;number=0.01811&amp;sourceID=30","0.01811")</f>
        <v>0.01811</v>
      </c>
      <c r="O792" s="4" t="str">
        <f>HYPERLINK("http://141.218.60.56/~jnz1568/getInfo.php?workbook=08_02.xlsx&amp;sheet=A0&amp;row=792&amp;col=15&amp;number=83360000&amp;sourceID=32","83360000")</f>
        <v>83360000</v>
      </c>
      <c r="P792" s="4" t="str">
        <f>HYPERLINK("http://141.218.60.56/~jnz1568/getInfo.php?workbook=08_02.xlsx&amp;sheet=A0&amp;row=792&amp;col=16&amp;number=&amp;sourceID=32","")</f>
        <v/>
      </c>
      <c r="Q792" s="4" t="str">
        <f>HYPERLINK("http://141.218.60.56/~jnz1568/getInfo.php?workbook=08_02.xlsx&amp;sheet=A0&amp;row=792&amp;col=17&amp;number=&amp;sourceID=32","")</f>
        <v/>
      </c>
      <c r="R792" s="4" t="str">
        <f>HYPERLINK("http://141.218.60.56/~jnz1568/getInfo.php?workbook=08_02.xlsx&amp;sheet=A0&amp;row=792&amp;col=18&amp;number=0.01842&amp;sourceID=32","0.01842")</f>
        <v>0.01842</v>
      </c>
      <c r="S792" s="4" t="str">
        <f>HYPERLINK("http://141.218.60.56/~jnz1568/getInfo.php?workbook=08_02.xlsx&amp;sheet=A0&amp;row=792&amp;col=19&amp;number=&amp;sourceID=1","")</f>
        <v/>
      </c>
      <c r="T792" s="4" t="str">
        <f>HYPERLINK("http://141.218.60.56/~jnz1568/getInfo.php?workbook=08_02.xlsx&amp;sheet=A0&amp;row=792&amp;col=20&amp;number=&amp;sourceID=1","")</f>
        <v/>
      </c>
    </row>
    <row r="793" spans="1:20">
      <c r="A793" s="3">
        <v>8</v>
      </c>
      <c r="B793" s="3">
        <v>2</v>
      </c>
      <c r="C793" s="3">
        <v>44</v>
      </c>
      <c r="D793" s="3">
        <v>31</v>
      </c>
      <c r="E793" s="3">
        <f>((1/(INDEX(E0!J$4:J$52,C793,1)-INDEX(E0!J$4:J$52,D793,1))))*100000000</f>
        <v>0</v>
      </c>
      <c r="F793" s="4" t="str">
        <f>HYPERLINK("http://141.218.60.56/~jnz1568/getInfo.php?workbook=08_02.xlsx&amp;sheet=A0&amp;row=793&amp;col=6&amp;number=&amp;sourceID=27","")</f>
        <v/>
      </c>
      <c r="G793" s="4" t="str">
        <f>HYPERLINK("http://141.218.60.56/~jnz1568/getInfo.php?workbook=08_02.xlsx&amp;sheet=A0&amp;row=793&amp;col=7&amp;number=3624000000&amp;sourceID=34","3624000000")</f>
        <v>3624000000</v>
      </c>
      <c r="H793" s="4" t="str">
        <f>HYPERLINK("http://141.218.60.56/~jnz1568/getInfo.php?workbook=08_02.xlsx&amp;sheet=A0&amp;row=793&amp;col=8&amp;number=&amp;sourceID=34","")</f>
        <v/>
      </c>
      <c r="I793" s="4" t="str">
        <f>HYPERLINK("http://141.218.60.56/~jnz1568/getInfo.php?workbook=08_02.xlsx&amp;sheet=A0&amp;row=793&amp;col=9&amp;number=&amp;sourceID=34","")</f>
        <v/>
      </c>
      <c r="J793" s="4" t="str">
        <f>HYPERLINK("http://141.218.60.56/~jnz1568/getInfo.php?workbook=08_02.xlsx&amp;sheet=A0&amp;row=793&amp;col=10&amp;number=&amp;sourceID=34","")</f>
        <v/>
      </c>
      <c r="K793" s="4" t="str">
        <f>HYPERLINK("http://141.218.60.56/~jnz1568/getInfo.php?workbook=08_02.xlsx&amp;sheet=A0&amp;row=793&amp;col=11&amp;number=3687000000&amp;sourceID=30","3687000000")</f>
        <v>3687000000</v>
      </c>
      <c r="L793" s="4" t="str">
        <f>HYPERLINK("http://141.218.60.56/~jnz1568/getInfo.php?workbook=08_02.xlsx&amp;sheet=A0&amp;row=793&amp;col=12&amp;number=&amp;sourceID=30","")</f>
        <v/>
      </c>
      <c r="M793" s="4" t="str">
        <f>HYPERLINK("http://141.218.60.56/~jnz1568/getInfo.php?workbook=08_02.xlsx&amp;sheet=A0&amp;row=793&amp;col=13&amp;number=&amp;sourceID=30","")</f>
        <v/>
      </c>
      <c r="N793" s="4" t="str">
        <f>HYPERLINK("http://141.218.60.56/~jnz1568/getInfo.php?workbook=08_02.xlsx&amp;sheet=A0&amp;row=793&amp;col=14&amp;number=0.1751&amp;sourceID=30","0.1751")</f>
        <v>0.1751</v>
      </c>
      <c r="O793" s="4" t="str">
        <f>HYPERLINK("http://141.218.60.56/~jnz1568/getInfo.php?workbook=08_02.xlsx&amp;sheet=A0&amp;row=793&amp;col=15&amp;number=3590000000&amp;sourceID=32","3590000000")</f>
        <v>3590000000</v>
      </c>
      <c r="P793" s="4" t="str">
        <f>HYPERLINK("http://141.218.60.56/~jnz1568/getInfo.php?workbook=08_02.xlsx&amp;sheet=A0&amp;row=793&amp;col=16&amp;number=&amp;sourceID=32","")</f>
        <v/>
      </c>
      <c r="Q793" s="4" t="str">
        <f>HYPERLINK("http://141.218.60.56/~jnz1568/getInfo.php?workbook=08_02.xlsx&amp;sheet=A0&amp;row=793&amp;col=17&amp;number=&amp;sourceID=32","")</f>
        <v/>
      </c>
      <c r="R793" s="4" t="str">
        <f>HYPERLINK("http://141.218.60.56/~jnz1568/getInfo.php?workbook=08_02.xlsx&amp;sheet=A0&amp;row=793&amp;col=18&amp;number=0.1741&amp;sourceID=32","0.1741")</f>
        <v>0.1741</v>
      </c>
      <c r="S793" s="4" t="str">
        <f>HYPERLINK("http://141.218.60.56/~jnz1568/getInfo.php?workbook=08_02.xlsx&amp;sheet=A0&amp;row=793&amp;col=19&amp;number=&amp;sourceID=1","")</f>
        <v/>
      </c>
      <c r="T793" s="4" t="str">
        <f>HYPERLINK("http://141.218.60.56/~jnz1568/getInfo.php?workbook=08_02.xlsx&amp;sheet=A0&amp;row=793&amp;col=20&amp;number=&amp;sourceID=1","")</f>
        <v/>
      </c>
    </row>
    <row r="794" spans="1:20">
      <c r="A794" s="3">
        <v>8</v>
      </c>
      <c r="B794" s="3">
        <v>2</v>
      </c>
      <c r="C794" s="3">
        <v>44</v>
      </c>
      <c r="D794" s="3">
        <v>32</v>
      </c>
      <c r="E794" s="3">
        <f>((1/(INDEX(E0!J$4:J$52,C794,1)-INDEX(E0!J$4:J$52,D794,1))))*100000000</f>
        <v>0</v>
      </c>
      <c r="F794" s="4" t="str">
        <f>HYPERLINK("http://141.218.60.56/~jnz1568/getInfo.php?workbook=08_02.xlsx&amp;sheet=A0&amp;row=794&amp;col=6&amp;number=&amp;sourceID=27","")</f>
        <v/>
      </c>
      <c r="G794" s="4" t="str">
        <f>HYPERLINK("http://141.218.60.56/~jnz1568/getInfo.php?workbook=08_02.xlsx&amp;sheet=A0&amp;row=794&amp;col=7&amp;number=&amp;sourceID=34","")</f>
        <v/>
      </c>
      <c r="H794" s="4" t="str">
        <f>HYPERLINK("http://141.218.60.56/~jnz1568/getInfo.php?workbook=08_02.xlsx&amp;sheet=A0&amp;row=794&amp;col=8&amp;number=&amp;sourceID=34","")</f>
        <v/>
      </c>
      <c r="I794" s="4" t="str">
        <f>HYPERLINK("http://141.218.60.56/~jnz1568/getInfo.php?workbook=08_02.xlsx&amp;sheet=A0&amp;row=794&amp;col=9&amp;number=&amp;sourceID=34","")</f>
        <v/>
      </c>
      <c r="J794" s="4" t="str">
        <f>HYPERLINK("http://141.218.60.56/~jnz1568/getInfo.php?workbook=08_02.xlsx&amp;sheet=A0&amp;row=794&amp;col=10&amp;number=&amp;sourceID=34","")</f>
        <v/>
      </c>
      <c r="K794" s="4" t="str">
        <f>HYPERLINK("http://141.218.60.56/~jnz1568/getInfo.php?workbook=08_02.xlsx&amp;sheet=A0&amp;row=794&amp;col=11&amp;number=&amp;sourceID=30","")</f>
        <v/>
      </c>
      <c r="L794" s="4" t="str">
        <f>HYPERLINK("http://141.218.60.56/~jnz1568/getInfo.php?workbook=08_02.xlsx&amp;sheet=A0&amp;row=794&amp;col=12&amp;number=0.0005387&amp;sourceID=30","0.0005387")</f>
        <v>0.0005387</v>
      </c>
      <c r="M794" s="4" t="str">
        <f>HYPERLINK("http://141.218.60.56/~jnz1568/getInfo.php?workbook=08_02.xlsx&amp;sheet=A0&amp;row=794&amp;col=13&amp;number=3.102e-10&amp;sourceID=30","3.102e-10")</f>
        <v>3.102e-10</v>
      </c>
      <c r="N794" s="4" t="str">
        <f>HYPERLINK("http://141.218.60.56/~jnz1568/getInfo.php?workbook=08_02.xlsx&amp;sheet=A0&amp;row=794&amp;col=14&amp;number=&amp;sourceID=30","")</f>
        <v/>
      </c>
      <c r="O794" s="4" t="str">
        <f>HYPERLINK("http://141.218.60.56/~jnz1568/getInfo.php?workbook=08_02.xlsx&amp;sheet=A0&amp;row=794&amp;col=15&amp;number=&amp;sourceID=32","")</f>
        <v/>
      </c>
      <c r="P794" s="4" t="str">
        <f>HYPERLINK("http://141.218.60.56/~jnz1568/getInfo.php?workbook=08_02.xlsx&amp;sheet=A0&amp;row=794&amp;col=16&amp;number=0.0006965&amp;sourceID=32","0.0006965")</f>
        <v>0.0006965</v>
      </c>
      <c r="Q794" s="4" t="str">
        <f>HYPERLINK("http://141.218.60.56/~jnz1568/getInfo.php?workbook=08_02.xlsx&amp;sheet=A0&amp;row=794&amp;col=17&amp;number=4.342e-10&amp;sourceID=32","4.342e-10")</f>
        <v>4.342e-10</v>
      </c>
      <c r="R794" s="4" t="str">
        <f>HYPERLINK("http://141.218.60.56/~jnz1568/getInfo.php?workbook=08_02.xlsx&amp;sheet=A0&amp;row=794&amp;col=18&amp;number=&amp;sourceID=32","")</f>
        <v/>
      </c>
      <c r="S794" s="4" t="str">
        <f>HYPERLINK("http://141.218.60.56/~jnz1568/getInfo.php?workbook=08_02.xlsx&amp;sheet=A0&amp;row=794&amp;col=19&amp;number=&amp;sourceID=1","")</f>
        <v/>
      </c>
      <c r="T794" s="4" t="str">
        <f>HYPERLINK("http://141.218.60.56/~jnz1568/getInfo.php?workbook=08_02.xlsx&amp;sheet=A0&amp;row=794&amp;col=20&amp;number=&amp;sourceID=1","")</f>
        <v/>
      </c>
    </row>
    <row r="795" spans="1:20">
      <c r="A795" s="3">
        <v>8</v>
      </c>
      <c r="B795" s="3">
        <v>2</v>
      </c>
      <c r="C795" s="3">
        <v>44</v>
      </c>
      <c r="D795" s="3">
        <v>33</v>
      </c>
      <c r="E795" s="3">
        <f>((1/(INDEX(E0!J$4:J$52,C795,1)-INDEX(E0!J$4:J$52,D795,1))))*100000000</f>
        <v>0</v>
      </c>
      <c r="F795" s="4" t="str">
        <f>HYPERLINK("http://141.218.60.56/~jnz1568/getInfo.php?workbook=08_02.xlsx&amp;sheet=A0&amp;row=795&amp;col=6&amp;number=&amp;sourceID=27","")</f>
        <v/>
      </c>
      <c r="G795" s="4" t="str">
        <f>HYPERLINK("http://141.218.60.56/~jnz1568/getInfo.php?workbook=08_02.xlsx&amp;sheet=A0&amp;row=795&amp;col=7&amp;number=&amp;sourceID=34","")</f>
        <v/>
      </c>
      <c r="H795" s="4" t="str">
        <f>HYPERLINK("http://141.218.60.56/~jnz1568/getInfo.php?workbook=08_02.xlsx&amp;sheet=A0&amp;row=795&amp;col=8&amp;number=&amp;sourceID=34","")</f>
        <v/>
      </c>
      <c r="I795" s="4" t="str">
        <f>HYPERLINK("http://141.218.60.56/~jnz1568/getInfo.php?workbook=08_02.xlsx&amp;sheet=A0&amp;row=795&amp;col=9&amp;number=&amp;sourceID=34","")</f>
        <v/>
      </c>
      <c r="J795" s="4" t="str">
        <f>HYPERLINK("http://141.218.60.56/~jnz1568/getInfo.php?workbook=08_02.xlsx&amp;sheet=A0&amp;row=795&amp;col=10&amp;number=&amp;sourceID=34","")</f>
        <v/>
      </c>
      <c r="K795" s="4" t="str">
        <f>HYPERLINK("http://141.218.60.56/~jnz1568/getInfo.php?workbook=08_02.xlsx&amp;sheet=A0&amp;row=795&amp;col=11&amp;number=&amp;sourceID=30","")</f>
        <v/>
      </c>
      <c r="L795" s="4" t="str">
        <f>HYPERLINK("http://141.218.60.56/~jnz1568/getInfo.php?workbook=08_02.xlsx&amp;sheet=A0&amp;row=795&amp;col=12&amp;number=0.0001138&amp;sourceID=30","0.0001138")</f>
        <v>0.0001138</v>
      </c>
      <c r="M795" s="4" t="str">
        <f>HYPERLINK("http://141.218.60.56/~jnz1568/getInfo.php?workbook=08_02.xlsx&amp;sheet=A0&amp;row=795&amp;col=13&amp;number=&amp;sourceID=30","")</f>
        <v/>
      </c>
      <c r="N795" s="4" t="str">
        <f>HYPERLINK("http://141.218.60.56/~jnz1568/getInfo.php?workbook=08_02.xlsx&amp;sheet=A0&amp;row=795&amp;col=14&amp;number=&amp;sourceID=30","")</f>
        <v/>
      </c>
      <c r="O795" s="4" t="str">
        <f>HYPERLINK("http://141.218.60.56/~jnz1568/getInfo.php?workbook=08_02.xlsx&amp;sheet=A0&amp;row=795&amp;col=15&amp;number=&amp;sourceID=32","")</f>
        <v/>
      </c>
      <c r="P795" s="4" t="str">
        <f>HYPERLINK("http://141.218.60.56/~jnz1568/getInfo.php?workbook=08_02.xlsx&amp;sheet=A0&amp;row=795&amp;col=16&amp;number=0.0006237&amp;sourceID=32","0.0006237")</f>
        <v>0.0006237</v>
      </c>
      <c r="Q795" s="4" t="str">
        <f>HYPERLINK("http://141.218.60.56/~jnz1568/getInfo.php?workbook=08_02.xlsx&amp;sheet=A0&amp;row=795&amp;col=17&amp;number=&amp;sourceID=32","")</f>
        <v/>
      </c>
      <c r="R795" s="4" t="str">
        <f>HYPERLINK("http://141.218.60.56/~jnz1568/getInfo.php?workbook=08_02.xlsx&amp;sheet=A0&amp;row=795&amp;col=18&amp;number=&amp;sourceID=32","")</f>
        <v/>
      </c>
      <c r="S795" s="4" t="str">
        <f>HYPERLINK("http://141.218.60.56/~jnz1568/getInfo.php?workbook=08_02.xlsx&amp;sheet=A0&amp;row=795&amp;col=19&amp;number=&amp;sourceID=1","")</f>
        <v/>
      </c>
      <c r="T795" s="4" t="str">
        <f>HYPERLINK("http://141.218.60.56/~jnz1568/getInfo.php?workbook=08_02.xlsx&amp;sheet=A0&amp;row=795&amp;col=20&amp;number=&amp;sourceID=1","")</f>
        <v/>
      </c>
    </row>
    <row r="796" spans="1:20">
      <c r="A796" s="3">
        <v>8</v>
      </c>
      <c r="B796" s="3">
        <v>2</v>
      </c>
      <c r="C796" s="3">
        <v>44</v>
      </c>
      <c r="D796" s="3">
        <v>34</v>
      </c>
      <c r="E796" s="3">
        <f>((1/(INDEX(E0!J$4:J$52,C796,1)-INDEX(E0!J$4:J$52,D796,1))))*100000000</f>
        <v>0</v>
      </c>
      <c r="F796" s="4" t="str">
        <f>HYPERLINK("http://141.218.60.56/~jnz1568/getInfo.php?workbook=08_02.xlsx&amp;sheet=A0&amp;row=796&amp;col=6&amp;number=&amp;sourceID=27","")</f>
        <v/>
      </c>
      <c r="G796" s="4" t="str">
        <f>HYPERLINK("http://141.218.60.56/~jnz1568/getInfo.php?workbook=08_02.xlsx&amp;sheet=A0&amp;row=796&amp;col=7&amp;number=&amp;sourceID=34","")</f>
        <v/>
      </c>
      <c r="H796" s="4" t="str">
        <f>HYPERLINK("http://141.218.60.56/~jnz1568/getInfo.php?workbook=08_02.xlsx&amp;sheet=A0&amp;row=796&amp;col=8&amp;number=&amp;sourceID=34","")</f>
        <v/>
      </c>
      <c r="I796" s="4" t="str">
        <f>HYPERLINK("http://141.218.60.56/~jnz1568/getInfo.php?workbook=08_02.xlsx&amp;sheet=A0&amp;row=796&amp;col=9&amp;number=&amp;sourceID=34","")</f>
        <v/>
      </c>
      <c r="J796" s="4" t="str">
        <f>HYPERLINK("http://141.218.60.56/~jnz1568/getInfo.php?workbook=08_02.xlsx&amp;sheet=A0&amp;row=796&amp;col=10&amp;number=&amp;sourceID=34","")</f>
        <v/>
      </c>
      <c r="K796" s="4" t="str">
        <f>HYPERLINK("http://141.218.60.56/~jnz1568/getInfo.php?workbook=08_02.xlsx&amp;sheet=A0&amp;row=796&amp;col=11&amp;number=&amp;sourceID=30","")</f>
        <v/>
      </c>
      <c r="L796" s="4" t="str">
        <f>HYPERLINK("http://141.218.60.56/~jnz1568/getInfo.php?workbook=08_02.xlsx&amp;sheet=A0&amp;row=796&amp;col=12&amp;number=&amp;sourceID=30","")</f>
        <v/>
      </c>
      <c r="M796" s="4" t="str">
        <f>HYPERLINK("http://141.218.60.56/~jnz1568/getInfo.php?workbook=08_02.xlsx&amp;sheet=A0&amp;row=796&amp;col=13&amp;number=&amp;sourceID=30","")</f>
        <v/>
      </c>
      <c r="N796" s="4" t="str">
        <f>HYPERLINK("http://141.218.60.56/~jnz1568/getInfo.php?workbook=08_02.xlsx&amp;sheet=A0&amp;row=796&amp;col=14&amp;number=8.448e-10&amp;sourceID=30","8.448e-10")</f>
        <v>8.448e-10</v>
      </c>
      <c r="O796" s="4" t="str">
        <f>HYPERLINK("http://141.218.60.56/~jnz1568/getInfo.php?workbook=08_02.xlsx&amp;sheet=A0&amp;row=796&amp;col=15&amp;number=&amp;sourceID=32","")</f>
        <v/>
      </c>
      <c r="P796" s="4" t="str">
        <f>HYPERLINK("http://141.218.60.56/~jnz1568/getInfo.php?workbook=08_02.xlsx&amp;sheet=A0&amp;row=796&amp;col=16&amp;number=&amp;sourceID=32","")</f>
        <v/>
      </c>
      <c r="Q796" s="4" t="str">
        <f>HYPERLINK("http://141.218.60.56/~jnz1568/getInfo.php?workbook=08_02.xlsx&amp;sheet=A0&amp;row=796&amp;col=17&amp;number=&amp;sourceID=32","")</f>
        <v/>
      </c>
      <c r="R796" s="4" t="str">
        <f>HYPERLINK("http://141.218.60.56/~jnz1568/getInfo.php?workbook=08_02.xlsx&amp;sheet=A0&amp;row=796&amp;col=18&amp;number=9.873e-10&amp;sourceID=32","9.873e-10")</f>
        <v>9.873e-10</v>
      </c>
      <c r="S796" s="4" t="str">
        <f>HYPERLINK("http://141.218.60.56/~jnz1568/getInfo.php?workbook=08_02.xlsx&amp;sheet=A0&amp;row=796&amp;col=19&amp;number=&amp;sourceID=1","")</f>
        <v/>
      </c>
      <c r="T796" s="4" t="str">
        <f>HYPERLINK("http://141.218.60.56/~jnz1568/getInfo.php?workbook=08_02.xlsx&amp;sheet=A0&amp;row=796&amp;col=20&amp;number=&amp;sourceID=1","")</f>
        <v/>
      </c>
    </row>
    <row r="797" spans="1:20">
      <c r="A797" s="3">
        <v>8</v>
      </c>
      <c r="B797" s="3">
        <v>2</v>
      </c>
      <c r="C797" s="3">
        <v>44</v>
      </c>
      <c r="D797" s="3">
        <v>35</v>
      </c>
      <c r="E797" s="3">
        <f>((1/(INDEX(E0!J$4:J$52,C797,1)-INDEX(E0!J$4:J$52,D797,1))))*100000000</f>
        <v>0</v>
      </c>
      <c r="F797" s="4" t="str">
        <f>HYPERLINK("http://141.218.60.56/~jnz1568/getInfo.php?workbook=08_02.xlsx&amp;sheet=A0&amp;row=797&amp;col=6&amp;number=&amp;sourceID=27","")</f>
        <v/>
      </c>
      <c r="G797" s="4" t="str">
        <f>HYPERLINK("http://141.218.60.56/~jnz1568/getInfo.php?workbook=08_02.xlsx&amp;sheet=A0&amp;row=797&amp;col=7&amp;number=&amp;sourceID=34","")</f>
        <v/>
      </c>
      <c r="H797" s="4" t="str">
        <f>HYPERLINK("http://141.218.60.56/~jnz1568/getInfo.php?workbook=08_02.xlsx&amp;sheet=A0&amp;row=797&amp;col=8&amp;number=&amp;sourceID=34","")</f>
        <v/>
      </c>
      <c r="I797" s="4" t="str">
        <f>HYPERLINK("http://141.218.60.56/~jnz1568/getInfo.php?workbook=08_02.xlsx&amp;sheet=A0&amp;row=797&amp;col=9&amp;number=&amp;sourceID=34","")</f>
        <v/>
      </c>
      <c r="J797" s="4" t="str">
        <f>HYPERLINK("http://141.218.60.56/~jnz1568/getInfo.php?workbook=08_02.xlsx&amp;sheet=A0&amp;row=797&amp;col=10&amp;number=&amp;sourceID=34","")</f>
        <v/>
      </c>
      <c r="K797" s="4" t="str">
        <f>HYPERLINK("http://141.218.60.56/~jnz1568/getInfo.php?workbook=08_02.xlsx&amp;sheet=A0&amp;row=797&amp;col=11&amp;number=467&amp;sourceID=30","467")</f>
        <v>467</v>
      </c>
      <c r="L797" s="4" t="str">
        <f>HYPERLINK("http://141.218.60.56/~jnz1568/getInfo.php?workbook=08_02.xlsx&amp;sheet=A0&amp;row=797&amp;col=12&amp;number=&amp;sourceID=30","")</f>
        <v/>
      </c>
      <c r="M797" s="4" t="str">
        <f>HYPERLINK("http://141.218.60.56/~jnz1568/getInfo.php?workbook=08_02.xlsx&amp;sheet=A0&amp;row=797&amp;col=13&amp;number=&amp;sourceID=30","")</f>
        <v/>
      </c>
      <c r="N797" s="4" t="str">
        <f>HYPERLINK("http://141.218.60.56/~jnz1568/getInfo.php?workbook=08_02.xlsx&amp;sheet=A0&amp;row=797&amp;col=14&amp;number=2.029e-09&amp;sourceID=30","2.029e-09")</f>
        <v>2.029e-09</v>
      </c>
      <c r="O797" s="4" t="str">
        <f>HYPERLINK("http://141.218.60.56/~jnz1568/getInfo.php?workbook=08_02.xlsx&amp;sheet=A0&amp;row=797&amp;col=15&amp;number=652.7&amp;sourceID=32","652.7")</f>
        <v>652.7</v>
      </c>
      <c r="P797" s="4" t="str">
        <f>HYPERLINK("http://141.218.60.56/~jnz1568/getInfo.php?workbook=08_02.xlsx&amp;sheet=A0&amp;row=797&amp;col=16&amp;number=&amp;sourceID=32","")</f>
        <v/>
      </c>
      <c r="Q797" s="4" t="str">
        <f>HYPERLINK("http://141.218.60.56/~jnz1568/getInfo.php?workbook=08_02.xlsx&amp;sheet=A0&amp;row=797&amp;col=17&amp;number=&amp;sourceID=32","")</f>
        <v/>
      </c>
      <c r="R797" s="4" t="str">
        <f>HYPERLINK("http://141.218.60.56/~jnz1568/getInfo.php?workbook=08_02.xlsx&amp;sheet=A0&amp;row=797&amp;col=18&amp;number=2.375e-09&amp;sourceID=32","2.375e-09")</f>
        <v>2.375e-09</v>
      </c>
      <c r="S797" s="4" t="str">
        <f>HYPERLINK("http://141.218.60.56/~jnz1568/getInfo.php?workbook=08_02.xlsx&amp;sheet=A0&amp;row=797&amp;col=19&amp;number=&amp;sourceID=1","")</f>
        <v/>
      </c>
      <c r="T797" s="4" t="str">
        <f>HYPERLINK("http://141.218.60.56/~jnz1568/getInfo.php?workbook=08_02.xlsx&amp;sheet=A0&amp;row=797&amp;col=20&amp;number=&amp;sourceID=1","")</f>
        <v/>
      </c>
    </row>
    <row r="798" spans="1:20">
      <c r="A798" s="3">
        <v>8</v>
      </c>
      <c r="B798" s="3">
        <v>2</v>
      </c>
      <c r="C798" s="3">
        <v>44</v>
      </c>
      <c r="D798" s="3">
        <v>36</v>
      </c>
      <c r="E798" s="3">
        <f>((1/(INDEX(E0!J$4:J$52,C798,1)-INDEX(E0!J$4:J$52,D798,1))))*100000000</f>
        <v>0</v>
      </c>
      <c r="F798" s="4" t="str">
        <f>HYPERLINK("http://141.218.60.56/~jnz1568/getInfo.php?workbook=08_02.xlsx&amp;sheet=A0&amp;row=798&amp;col=6&amp;number=&amp;sourceID=27","")</f>
        <v/>
      </c>
      <c r="G798" s="4" t="str">
        <f>HYPERLINK("http://141.218.60.56/~jnz1568/getInfo.php?workbook=08_02.xlsx&amp;sheet=A0&amp;row=798&amp;col=7&amp;number=&amp;sourceID=34","")</f>
        <v/>
      </c>
      <c r="H798" s="4" t="str">
        <f>HYPERLINK("http://141.218.60.56/~jnz1568/getInfo.php?workbook=08_02.xlsx&amp;sheet=A0&amp;row=798&amp;col=8&amp;number=&amp;sourceID=34","")</f>
        <v/>
      </c>
      <c r="I798" s="4" t="str">
        <f>HYPERLINK("http://141.218.60.56/~jnz1568/getInfo.php?workbook=08_02.xlsx&amp;sheet=A0&amp;row=798&amp;col=9&amp;number=&amp;sourceID=34","")</f>
        <v/>
      </c>
      <c r="J798" s="4" t="str">
        <f>HYPERLINK("http://141.218.60.56/~jnz1568/getInfo.php?workbook=08_02.xlsx&amp;sheet=A0&amp;row=798&amp;col=10&amp;number=&amp;sourceID=34","")</f>
        <v/>
      </c>
      <c r="K798" s="4" t="str">
        <f>HYPERLINK("http://141.218.60.56/~jnz1568/getInfo.php?workbook=08_02.xlsx&amp;sheet=A0&amp;row=798&amp;col=11&amp;number=218.7&amp;sourceID=30","218.7")</f>
        <v>218.7</v>
      </c>
      <c r="L798" s="4" t="str">
        <f>HYPERLINK("http://141.218.60.56/~jnz1568/getInfo.php?workbook=08_02.xlsx&amp;sheet=A0&amp;row=798&amp;col=12&amp;number=&amp;sourceID=30","")</f>
        <v/>
      </c>
      <c r="M798" s="4" t="str">
        <f>HYPERLINK("http://141.218.60.56/~jnz1568/getInfo.php?workbook=08_02.xlsx&amp;sheet=A0&amp;row=798&amp;col=13&amp;number=&amp;sourceID=30","")</f>
        <v/>
      </c>
      <c r="N798" s="4" t="str">
        <f>HYPERLINK("http://141.218.60.56/~jnz1568/getInfo.php?workbook=08_02.xlsx&amp;sheet=A0&amp;row=798&amp;col=14&amp;number=1.415e-09&amp;sourceID=30","1.415e-09")</f>
        <v>1.415e-09</v>
      </c>
      <c r="O798" s="4" t="str">
        <f>HYPERLINK("http://141.218.60.56/~jnz1568/getInfo.php?workbook=08_02.xlsx&amp;sheet=A0&amp;row=798&amp;col=15&amp;number=296.4&amp;sourceID=32","296.4")</f>
        <v>296.4</v>
      </c>
      <c r="P798" s="4" t="str">
        <f>HYPERLINK("http://141.218.60.56/~jnz1568/getInfo.php?workbook=08_02.xlsx&amp;sheet=A0&amp;row=798&amp;col=16&amp;number=&amp;sourceID=32","")</f>
        <v/>
      </c>
      <c r="Q798" s="4" t="str">
        <f>HYPERLINK("http://141.218.60.56/~jnz1568/getInfo.php?workbook=08_02.xlsx&amp;sheet=A0&amp;row=798&amp;col=17&amp;number=&amp;sourceID=32","")</f>
        <v/>
      </c>
      <c r="R798" s="4" t="str">
        <f>HYPERLINK("http://141.218.60.56/~jnz1568/getInfo.php?workbook=08_02.xlsx&amp;sheet=A0&amp;row=798&amp;col=18&amp;number=1.619e-09&amp;sourceID=32","1.619e-09")</f>
        <v>1.619e-09</v>
      </c>
      <c r="S798" s="4" t="str">
        <f>HYPERLINK("http://141.218.60.56/~jnz1568/getInfo.php?workbook=08_02.xlsx&amp;sheet=A0&amp;row=798&amp;col=19&amp;number=&amp;sourceID=1","")</f>
        <v/>
      </c>
      <c r="T798" s="4" t="str">
        <f>HYPERLINK("http://141.218.60.56/~jnz1568/getInfo.php?workbook=08_02.xlsx&amp;sheet=A0&amp;row=798&amp;col=20&amp;number=&amp;sourceID=1","")</f>
        <v/>
      </c>
    </row>
    <row r="799" spans="1:20">
      <c r="A799" s="3">
        <v>8</v>
      </c>
      <c r="B799" s="3">
        <v>2</v>
      </c>
      <c r="C799" s="3">
        <v>44</v>
      </c>
      <c r="D799" s="3">
        <v>37</v>
      </c>
      <c r="E799" s="3">
        <f>((1/(INDEX(E0!J$4:J$52,C799,1)-INDEX(E0!J$4:J$52,D799,1))))*100000000</f>
        <v>0</v>
      </c>
      <c r="F799" s="4" t="str">
        <f>HYPERLINK("http://141.218.60.56/~jnz1568/getInfo.php?workbook=08_02.xlsx&amp;sheet=A0&amp;row=799&amp;col=6&amp;number=&amp;sourceID=27","")</f>
        <v/>
      </c>
      <c r="G799" s="4" t="str">
        <f>HYPERLINK("http://141.218.60.56/~jnz1568/getInfo.php?workbook=08_02.xlsx&amp;sheet=A0&amp;row=799&amp;col=7&amp;number=&amp;sourceID=34","")</f>
        <v/>
      </c>
      <c r="H799" s="4" t="str">
        <f>HYPERLINK("http://141.218.60.56/~jnz1568/getInfo.php?workbook=08_02.xlsx&amp;sheet=A0&amp;row=799&amp;col=8&amp;number=&amp;sourceID=34","")</f>
        <v/>
      </c>
      <c r="I799" s="4" t="str">
        <f>HYPERLINK("http://141.218.60.56/~jnz1568/getInfo.php?workbook=08_02.xlsx&amp;sheet=A0&amp;row=799&amp;col=9&amp;number=&amp;sourceID=34","")</f>
        <v/>
      </c>
      <c r="J799" s="4" t="str">
        <f>HYPERLINK("http://141.218.60.56/~jnz1568/getInfo.php?workbook=08_02.xlsx&amp;sheet=A0&amp;row=799&amp;col=10&amp;number=&amp;sourceID=34","")</f>
        <v/>
      </c>
      <c r="K799" s="4" t="str">
        <f>HYPERLINK("http://141.218.60.56/~jnz1568/getInfo.php?workbook=08_02.xlsx&amp;sheet=A0&amp;row=799&amp;col=11&amp;number=&amp;sourceID=30","")</f>
        <v/>
      </c>
      <c r="L799" s="4" t="str">
        <f>HYPERLINK("http://141.218.60.56/~jnz1568/getInfo.php?workbook=08_02.xlsx&amp;sheet=A0&amp;row=799&amp;col=12&amp;number=&amp;sourceID=30","")</f>
        <v/>
      </c>
      <c r="M799" s="4" t="str">
        <f>HYPERLINK("http://141.218.60.56/~jnz1568/getInfo.php?workbook=08_02.xlsx&amp;sheet=A0&amp;row=799&amp;col=13&amp;number=&amp;sourceID=30","")</f>
        <v/>
      </c>
      <c r="N799" s="4" t="str">
        <f>HYPERLINK("http://141.218.60.56/~jnz1568/getInfo.php?workbook=08_02.xlsx&amp;sheet=A0&amp;row=799&amp;col=14&amp;number=0&amp;sourceID=30","0")</f>
        <v>0</v>
      </c>
      <c r="O799" s="4" t="str">
        <f>HYPERLINK("http://141.218.60.56/~jnz1568/getInfo.php?workbook=08_02.xlsx&amp;sheet=A0&amp;row=799&amp;col=15&amp;number=&amp;sourceID=32","")</f>
        <v/>
      </c>
      <c r="P799" s="4" t="str">
        <f>HYPERLINK("http://141.218.60.56/~jnz1568/getInfo.php?workbook=08_02.xlsx&amp;sheet=A0&amp;row=799&amp;col=16&amp;number=&amp;sourceID=32","")</f>
        <v/>
      </c>
      <c r="Q799" s="4" t="str">
        <f>HYPERLINK("http://141.218.60.56/~jnz1568/getInfo.php?workbook=08_02.xlsx&amp;sheet=A0&amp;row=799&amp;col=17&amp;number=&amp;sourceID=32","")</f>
        <v/>
      </c>
      <c r="R799" s="4" t="str">
        <f>HYPERLINK("http://141.218.60.56/~jnz1568/getInfo.php?workbook=08_02.xlsx&amp;sheet=A0&amp;row=799&amp;col=18&amp;number=&amp;sourceID=32","")</f>
        <v/>
      </c>
      <c r="S799" s="4" t="str">
        <f>HYPERLINK("http://141.218.60.56/~jnz1568/getInfo.php?workbook=08_02.xlsx&amp;sheet=A0&amp;row=799&amp;col=19&amp;number=&amp;sourceID=1","")</f>
        <v/>
      </c>
      <c r="T799" s="4" t="str">
        <f>HYPERLINK("http://141.218.60.56/~jnz1568/getInfo.php?workbook=08_02.xlsx&amp;sheet=A0&amp;row=799&amp;col=20&amp;number=&amp;sourceID=1","")</f>
        <v/>
      </c>
    </row>
    <row r="800" spans="1:20">
      <c r="A800" s="3">
        <v>8</v>
      </c>
      <c r="B800" s="3">
        <v>2</v>
      </c>
      <c r="C800" s="3">
        <v>44</v>
      </c>
      <c r="D800" s="3">
        <v>38</v>
      </c>
      <c r="E800" s="3">
        <f>((1/(INDEX(E0!J$4:J$52,C800,1)-INDEX(E0!J$4:J$52,D800,1))))*100000000</f>
        <v>0</v>
      </c>
      <c r="F800" s="4" t="str">
        <f>HYPERLINK("http://141.218.60.56/~jnz1568/getInfo.php?workbook=08_02.xlsx&amp;sheet=A0&amp;row=800&amp;col=6&amp;number=&amp;sourceID=27","")</f>
        <v/>
      </c>
      <c r="G800" s="4" t="str">
        <f>HYPERLINK("http://141.218.60.56/~jnz1568/getInfo.php?workbook=08_02.xlsx&amp;sheet=A0&amp;row=800&amp;col=7&amp;number=&amp;sourceID=34","")</f>
        <v/>
      </c>
      <c r="H800" s="4" t="str">
        <f>HYPERLINK("http://141.218.60.56/~jnz1568/getInfo.php?workbook=08_02.xlsx&amp;sheet=A0&amp;row=800&amp;col=8&amp;number=&amp;sourceID=34","")</f>
        <v/>
      </c>
      <c r="I800" s="4" t="str">
        <f>HYPERLINK("http://141.218.60.56/~jnz1568/getInfo.php?workbook=08_02.xlsx&amp;sheet=A0&amp;row=800&amp;col=9&amp;number=&amp;sourceID=34","")</f>
        <v/>
      </c>
      <c r="J800" s="4" t="str">
        <f>HYPERLINK("http://141.218.60.56/~jnz1568/getInfo.php?workbook=08_02.xlsx&amp;sheet=A0&amp;row=800&amp;col=10&amp;number=&amp;sourceID=34","")</f>
        <v/>
      </c>
      <c r="K800" s="4" t="str">
        <f>HYPERLINK("http://141.218.60.56/~jnz1568/getInfo.php?workbook=08_02.xlsx&amp;sheet=A0&amp;row=800&amp;col=11&amp;number=&amp;sourceID=30","")</f>
        <v/>
      </c>
      <c r="L800" s="4" t="str">
        <f>HYPERLINK("http://141.218.60.56/~jnz1568/getInfo.php?workbook=08_02.xlsx&amp;sheet=A0&amp;row=800&amp;col=12&amp;number=4.06e-12&amp;sourceID=30","4.06e-12")</f>
        <v>4.06e-12</v>
      </c>
      <c r="M800" s="4" t="str">
        <f>HYPERLINK("http://141.218.60.56/~jnz1568/getInfo.php?workbook=08_02.xlsx&amp;sheet=A0&amp;row=800&amp;col=13&amp;number=5.319e-07&amp;sourceID=30","5.319e-07")</f>
        <v>5.319e-07</v>
      </c>
      <c r="N800" s="4" t="str">
        <f>HYPERLINK("http://141.218.60.56/~jnz1568/getInfo.php?workbook=08_02.xlsx&amp;sheet=A0&amp;row=800&amp;col=14&amp;number=&amp;sourceID=30","")</f>
        <v/>
      </c>
      <c r="O800" s="4" t="str">
        <f>HYPERLINK("http://141.218.60.56/~jnz1568/getInfo.php?workbook=08_02.xlsx&amp;sheet=A0&amp;row=800&amp;col=15&amp;number=&amp;sourceID=32","")</f>
        <v/>
      </c>
      <c r="P800" s="4" t="str">
        <f>HYPERLINK("http://141.218.60.56/~jnz1568/getInfo.php?workbook=08_02.xlsx&amp;sheet=A0&amp;row=800&amp;col=16&amp;number=2.637e-12&amp;sourceID=32","2.637e-12")</f>
        <v>2.637e-12</v>
      </c>
      <c r="Q800" s="4" t="str">
        <f>HYPERLINK("http://141.218.60.56/~jnz1568/getInfo.php?workbook=08_02.xlsx&amp;sheet=A0&amp;row=800&amp;col=17&amp;number=4.5e-07&amp;sourceID=32","4.5e-07")</f>
        <v>4.5e-07</v>
      </c>
      <c r="R800" s="4" t="str">
        <f>HYPERLINK("http://141.218.60.56/~jnz1568/getInfo.php?workbook=08_02.xlsx&amp;sheet=A0&amp;row=800&amp;col=18&amp;number=&amp;sourceID=32","")</f>
        <v/>
      </c>
      <c r="S800" s="4" t="str">
        <f>HYPERLINK("http://141.218.60.56/~jnz1568/getInfo.php?workbook=08_02.xlsx&amp;sheet=A0&amp;row=800&amp;col=19&amp;number=&amp;sourceID=1","")</f>
        <v/>
      </c>
      <c r="T800" s="4" t="str">
        <f>HYPERLINK("http://141.218.60.56/~jnz1568/getInfo.php?workbook=08_02.xlsx&amp;sheet=A0&amp;row=800&amp;col=20&amp;number=&amp;sourceID=1","")</f>
        <v/>
      </c>
    </row>
    <row r="801" spans="1:20">
      <c r="A801" s="3">
        <v>8</v>
      </c>
      <c r="B801" s="3">
        <v>2</v>
      </c>
      <c r="C801" s="3">
        <v>44</v>
      </c>
      <c r="D801" s="3">
        <v>39</v>
      </c>
      <c r="E801" s="3">
        <f>((1/(INDEX(E0!J$4:J$52,C801,1)-INDEX(E0!J$4:J$52,D801,1))))*100000000</f>
        <v>0</v>
      </c>
      <c r="F801" s="4" t="str">
        <f>HYPERLINK("http://141.218.60.56/~jnz1568/getInfo.php?workbook=08_02.xlsx&amp;sheet=A0&amp;row=801&amp;col=6&amp;number=&amp;sourceID=27","")</f>
        <v/>
      </c>
      <c r="G801" s="4" t="str">
        <f>HYPERLINK("http://141.218.60.56/~jnz1568/getInfo.php?workbook=08_02.xlsx&amp;sheet=A0&amp;row=801&amp;col=7&amp;number=&amp;sourceID=34","")</f>
        <v/>
      </c>
      <c r="H801" s="4" t="str">
        <f>HYPERLINK("http://141.218.60.56/~jnz1568/getInfo.php?workbook=08_02.xlsx&amp;sheet=A0&amp;row=801&amp;col=8&amp;number=&amp;sourceID=34","")</f>
        <v/>
      </c>
      <c r="I801" s="4" t="str">
        <f>HYPERLINK("http://141.218.60.56/~jnz1568/getInfo.php?workbook=08_02.xlsx&amp;sheet=A0&amp;row=801&amp;col=9&amp;number=&amp;sourceID=34","")</f>
        <v/>
      </c>
      <c r="J801" s="4" t="str">
        <f>HYPERLINK("http://141.218.60.56/~jnz1568/getInfo.php?workbook=08_02.xlsx&amp;sheet=A0&amp;row=801&amp;col=10&amp;number=&amp;sourceID=34","")</f>
        <v/>
      </c>
      <c r="K801" s="4" t="str">
        <f>HYPERLINK("http://141.218.60.56/~jnz1568/getInfo.php?workbook=08_02.xlsx&amp;sheet=A0&amp;row=801&amp;col=11&amp;number=&amp;sourceID=30","")</f>
        <v/>
      </c>
      <c r="L801" s="4" t="str">
        <f>HYPERLINK("http://141.218.60.56/~jnz1568/getInfo.php?workbook=08_02.xlsx&amp;sheet=A0&amp;row=801&amp;col=12&amp;number=2.649e-12&amp;sourceID=30","2.649e-12")</f>
        <v>2.649e-12</v>
      </c>
      <c r="M801" s="4" t="str">
        <f>HYPERLINK("http://141.218.60.56/~jnz1568/getInfo.php?workbook=08_02.xlsx&amp;sheet=A0&amp;row=801&amp;col=13&amp;number=9.762e-08&amp;sourceID=30","9.762e-08")</f>
        <v>9.762e-08</v>
      </c>
      <c r="N801" s="4" t="str">
        <f>HYPERLINK("http://141.218.60.56/~jnz1568/getInfo.php?workbook=08_02.xlsx&amp;sheet=A0&amp;row=801&amp;col=14&amp;number=&amp;sourceID=30","")</f>
        <v/>
      </c>
      <c r="O801" s="4" t="str">
        <f>HYPERLINK("http://141.218.60.56/~jnz1568/getInfo.php?workbook=08_02.xlsx&amp;sheet=A0&amp;row=801&amp;col=15&amp;number=&amp;sourceID=32","")</f>
        <v/>
      </c>
      <c r="P801" s="4" t="str">
        <f>HYPERLINK("http://141.218.60.56/~jnz1568/getInfo.php?workbook=08_02.xlsx&amp;sheet=A0&amp;row=801&amp;col=16&amp;number=1.716e-12&amp;sourceID=32","1.716e-12")</f>
        <v>1.716e-12</v>
      </c>
      <c r="Q801" s="4" t="str">
        <f>HYPERLINK("http://141.218.60.56/~jnz1568/getInfo.php?workbook=08_02.xlsx&amp;sheet=A0&amp;row=801&amp;col=17&amp;number=8.17e-08&amp;sourceID=32","8.17e-08")</f>
        <v>8.17e-08</v>
      </c>
      <c r="R801" s="4" t="str">
        <f>HYPERLINK("http://141.218.60.56/~jnz1568/getInfo.php?workbook=08_02.xlsx&amp;sheet=A0&amp;row=801&amp;col=18&amp;number=&amp;sourceID=32","")</f>
        <v/>
      </c>
      <c r="S801" s="4" t="str">
        <f>HYPERLINK("http://141.218.60.56/~jnz1568/getInfo.php?workbook=08_02.xlsx&amp;sheet=A0&amp;row=801&amp;col=19&amp;number=&amp;sourceID=1","")</f>
        <v/>
      </c>
      <c r="T801" s="4" t="str">
        <f>HYPERLINK("http://141.218.60.56/~jnz1568/getInfo.php?workbook=08_02.xlsx&amp;sheet=A0&amp;row=801&amp;col=20&amp;number=&amp;sourceID=1","")</f>
        <v/>
      </c>
    </row>
    <row r="802" spans="1:20">
      <c r="A802" s="3">
        <v>8</v>
      </c>
      <c r="B802" s="3">
        <v>2</v>
      </c>
      <c r="C802" s="3">
        <v>44</v>
      </c>
      <c r="D802" s="3">
        <v>40</v>
      </c>
      <c r="E802" s="3">
        <f>((1/(INDEX(E0!J$4:J$52,C802,1)-INDEX(E0!J$4:J$52,D802,1))))*100000000</f>
        <v>0</v>
      </c>
      <c r="F802" s="4" t="str">
        <f>HYPERLINK("http://141.218.60.56/~jnz1568/getInfo.php?workbook=08_02.xlsx&amp;sheet=A0&amp;row=802&amp;col=6&amp;number=&amp;sourceID=27","")</f>
        <v/>
      </c>
      <c r="G802" s="4" t="str">
        <f>HYPERLINK("http://141.218.60.56/~jnz1568/getInfo.php?workbook=08_02.xlsx&amp;sheet=A0&amp;row=802&amp;col=7&amp;number=&amp;sourceID=34","")</f>
        <v/>
      </c>
      <c r="H802" s="4" t="str">
        <f>HYPERLINK("http://141.218.60.56/~jnz1568/getInfo.php?workbook=08_02.xlsx&amp;sheet=A0&amp;row=802&amp;col=8&amp;number=&amp;sourceID=34","")</f>
        <v/>
      </c>
      <c r="I802" s="4" t="str">
        <f>HYPERLINK("http://141.218.60.56/~jnz1568/getInfo.php?workbook=08_02.xlsx&amp;sheet=A0&amp;row=802&amp;col=9&amp;number=&amp;sourceID=34","")</f>
        <v/>
      </c>
      <c r="J802" s="4" t="str">
        <f>HYPERLINK("http://141.218.60.56/~jnz1568/getInfo.php?workbook=08_02.xlsx&amp;sheet=A0&amp;row=802&amp;col=10&amp;number=&amp;sourceID=34","")</f>
        <v/>
      </c>
      <c r="K802" s="4" t="str">
        <f>HYPERLINK("http://141.218.60.56/~jnz1568/getInfo.php?workbook=08_02.xlsx&amp;sheet=A0&amp;row=802&amp;col=11&amp;number=&amp;sourceID=30","")</f>
        <v/>
      </c>
      <c r="L802" s="4" t="str">
        <f>HYPERLINK("http://141.218.60.56/~jnz1568/getInfo.php?workbook=08_02.xlsx&amp;sheet=A0&amp;row=802&amp;col=12&amp;number=2.995e-12&amp;sourceID=30","2.995e-12")</f>
        <v>2.995e-12</v>
      </c>
      <c r="M802" s="4" t="str">
        <f>HYPERLINK("http://141.218.60.56/~jnz1568/getInfo.php?workbook=08_02.xlsx&amp;sheet=A0&amp;row=802&amp;col=13&amp;number=4.012e-07&amp;sourceID=30","4.012e-07")</f>
        <v>4.012e-07</v>
      </c>
      <c r="N802" s="4" t="str">
        <f>HYPERLINK("http://141.218.60.56/~jnz1568/getInfo.php?workbook=08_02.xlsx&amp;sheet=A0&amp;row=802&amp;col=14&amp;number=&amp;sourceID=30","")</f>
        <v/>
      </c>
      <c r="O802" s="4" t="str">
        <f>HYPERLINK("http://141.218.60.56/~jnz1568/getInfo.php?workbook=08_02.xlsx&amp;sheet=A0&amp;row=802&amp;col=15&amp;number=&amp;sourceID=32","")</f>
        <v/>
      </c>
      <c r="P802" s="4" t="str">
        <f>HYPERLINK("http://141.218.60.56/~jnz1568/getInfo.php?workbook=08_02.xlsx&amp;sheet=A0&amp;row=802&amp;col=16&amp;number=1.804e-12&amp;sourceID=32","1.804e-12")</f>
        <v>1.804e-12</v>
      </c>
      <c r="Q802" s="4" t="str">
        <f>HYPERLINK("http://141.218.60.56/~jnz1568/getInfo.php?workbook=08_02.xlsx&amp;sheet=A0&amp;row=802&amp;col=17&amp;number=3.265e-07&amp;sourceID=32","3.265e-07")</f>
        <v>3.265e-07</v>
      </c>
      <c r="R802" s="4" t="str">
        <f>HYPERLINK("http://141.218.60.56/~jnz1568/getInfo.php?workbook=08_02.xlsx&amp;sheet=A0&amp;row=802&amp;col=18&amp;number=&amp;sourceID=32","")</f>
        <v/>
      </c>
      <c r="S802" s="4" t="str">
        <f>HYPERLINK("http://141.218.60.56/~jnz1568/getInfo.php?workbook=08_02.xlsx&amp;sheet=A0&amp;row=802&amp;col=19&amp;number=&amp;sourceID=1","")</f>
        <v/>
      </c>
      <c r="T802" s="4" t="str">
        <f>HYPERLINK("http://141.218.60.56/~jnz1568/getInfo.php?workbook=08_02.xlsx&amp;sheet=A0&amp;row=802&amp;col=20&amp;number=&amp;sourceID=1","")</f>
        <v/>
      </c>
    </row>
    <row r="803" spans="1:20">
      <c r="A803" s="3">
        <v>8</v>
      </c>
      <c r="B803" s="3">
        <v>2</v>
      </c>
      <c r="C803" s="3">
        <v>44</v>
      </c>
      <c r="D803" s="3">
        <v>41</v>
      </c>
      <c r="E803" s="3">
        <f>((1/(INDEX(E0!J$4:J$52,C803,1)-INDEX(E0!J$4:J$52,D803,1))))*100000000</f>
        <v>0</v>
      </c>
      <c r="F803" s="4" t="str">
        <f>HYPERLINK("http://141.218.60.56/~jnz1568/getInfo.php?workbook=08_02.xlsx&amp;sheet=A0&amp;row=803&amp;col=6&amp;number=&amp;sourceID=27","")</f>
        <v/>
      </c>
      <c r="G803" s="4" t="str">
        <f>HYPERLINK("http://141.218.60.56/~jnz1568/getInfo.php?workbook=08_02.xlsx&amp;sheet=A0&amp;row=803&amp;col=7&amp;number=&amp;sourceID=34","")</f>
        <v/>
      </c>
      <c r="H803" s="4" t="str">
        <f>HYPERLINK("http://141.218.60.56/~jnz1568/getInfo.php?workbook=08_02.xlsx&amp;sheet=A0&amp;row=803&amp;col=8&amp;number=&amp;sourceID=34","")</f>
        <v/>
      </c>
      <c r="I803" s="4" t="str">
        <f>HYPERLINK("http://141.218.60.56/~jnz1568/getInfo.php?workbook=08_02.xlsx&amp;sheet=A0&amp;row=803&amp;col=9&amp;number=&amp;sourceID=34","")</f>
        <v/>
      </c>
      <c r="J803" s="4" t="str">
        <f>HYPERLINK("http://141.218.60.56/~jnz1568/getInfo.php?workbook=08_02.xlsx&amp;sheet=A0&amp;row=803&amp;col=10&amp;number=&amp;sourceID=34","")</f>
        <v/>
      </c>
      <c r="K803" s="4" t="str">
        <f>HYPERLINK("http://141.218.60.56/~jnz1568/getInfo.php?workbook=08_02.xlsx&amp;sheet=A0&amp;row=803&amp;col=11&amp;number=0.4476&amp;sourceID=30","0.4476")</f>
        <v>0.4476</v>
      </c>
      <c r="L803" s="4" t="str">
        <f>HYPERLINK("http://141.218.60.56/~jnz1568/getInfo.php?workbook=08_02.xlsx&amp;sheet=A0&amp;row=803&amp;col=12&amp;number=&amp;sourceID=30","")</f>
        <v/>
      </c>
      <c r="M803" s="4" t="str">
        <f>HYPERLINK("http://141.218.60.56/~jnz1568/getInfo.php?workbook=08_02.xlsx&amp;sheet=A0&amp;row=803&amp;col=13&amp;number=&amp;sourceID=30","")</f>
        <v/>
      </c>
      <c r="N803" s="4" t="str">
        <f>HYPERLINK("http://141.218.60.56/~jnz1568/getInfo.php?workbook=08_02.xlsx&amp;sheet=A0&amp;row=803&amp;col=14&amp;number=0&amp;sourceID=30","0")</f>
        <v>0</v>
      </c>
      <c r="O803" s="4" t="str">
        <f>HYPERLINK("http://141.218.60.56/~jnz1568/getInfo.php?workbook=08_02.xlsx&amp;sheet=A0&amp;row=803&amp;col=15&amp;number=&amp;sourceID=32","")</f>
        <v/>
      </c>
      <c r="P803" s="4" t="str">
        <f>HYPERLINK("http://141.218.60.56/~jnz1568/getInfo.php?workbook=08_02.xlsx&amp;sheet=A0&amp;row=803&amp;col=16&amp;number=&amp;sourceID=32","")</f>
        <v/>
      </c>
      <c r="Q803" s="4" t="str">
        <f>HYPERLINK("http://141.218.60.56/~jnz1568/getInfo.php?workbook=08_02.xlsx&amp;sheet=A0&amp;row=803&amp;col=17&amp;number=&amp;sourceID=32","")</f>
        <v/>
      </c>
      <c r="R803" s="4" t="str">
        <f>HYPERLINK("http://141.218.60.56/~jnz1568/getInfo.php?workbook=08_02.xlsx&amp;sheet=A0&amp;row=803&amp;col=18&amp;number=&amp;sourceID=32","")</f>
        <v/>
      </c>
      <c r="S803" s="4" t="str">
        <f>HYPERLINK("http://141.218.60.56/~jnz1568/getInfo.php?workbook=08_02.xlsx&amp;sheet=A0&amp;row=803&amp;col=19&amp;number=&amp;sourceID=1","")</f>
        <v/>
      </c>
      <c r="T803" s="4" t="str">
        <f>HYPERLINK("http://141.218.60.56/~jnz1568/getInfo.php?workbook=08_02.xlsx&amp;sheet=A0&amp;row=803&amp;col=20&amp;number=&amp;sourceID=1","")</f>
        <v/>
      </c>
    </row>
    <row r="804" spans="1:20">
      <c r="A804" s="3">
        <v>8</v>
      </c>
      <c r="B804" s="3">
        <v>2</v>
      </c>
      <c r="C804" s="3">
        <v>44</v>
      </c>
      <c r="D804" s="3">
        <v>42</v>
      </c>
      <c r="E804" s="3">
        <f>((1/(INDEX(E0!J$4:J$52,C804,1)-INDEX(E0!J$4:J$52,D804,1))))*100000000</f>
        <v>0</v>
      </c>
      <c r="F804" s="4" t="str">
        <f>HYPERLINK("http://141.218.60.56/~jnz1568/getInfo.php?workbook=08_02.xlsx&amp;sheet=A0&amp;row=804&amp;col=6&amp;number=&amp;sourceID=27","")</f>
        <v/>
      </c>
      <c r="G804" s="4" t="str">
        <f>HYPERLINK("http://141.218.60.56/~jnz1568/getInfo.php?workbook=08_02.xlsx&amp;sheet=A0&amp;row=804&amp;col=7&amp;number=&amp;sourceID=34","")</f>
        <v/>
      </c>
      <c r="H804" s="4" t="str">
        <f>HYPERLINK("http://141.218.60.56/~jnz1568/getInfo.php?workbook=08_02.xlsx&amp;sheet=A0&amp;row=804&amp;col=8&amp;number=&amp;sourceID=34","")</f>
        <v/>
      </c>
      <c r="I804" s="4" t="str">
        <f>HYPERLINK("http://141.218.60.56/~jnz1568/getInfo.php?workbook=08_02.xlsx&amp;sheet=A0&amp;row=804&amp;col=9&amp;number=&amp;sourceID=34","")</f>
        <v/>
      </c>
      <c r="J804" s="4" t="str">
        <f>HYPERLINK("http://141.218.60.56/~jnz1568/getInfo.php?workbook=08_02.xlsx&amp;sheet=A0&amp;row=804&amp;col=10&amp;number=&amp;sourceID=34","")</f>
        <v/>
      </c>
      <c r="K804" s="4" t="str">
        <f>HYPERLINK("http://141.218.60.56/~jnz1568/getInfo.php?workbook=08_02.xlsx&amp;sheet=A0&amp;row=804&amp;col=11&amp;number=0.000971&amp;sourceID=30","0.000971")</f>
        <v>0.000971</v>
      </c>
      <c r="L804" s="4" t="str">
        <f>HYPERLINK("http://141.218.60.56/~jnz1568/getInfo.php?workbook=08_02.xlsx&amp;sheet=A0&amp;row=804&amp;col=12&amp;number=&amp;sourceID=30","")</f>
        <v/>
      </c>
      <c r="M804" s="4" t="str">
        <f>HYPERLINK("http://141.218.60.56/~jnz1568/getInfo.php?workbook=08_02.xlsx&amp;sheet=A0&amp;row=804&amp;col=13&amp;number=&amp;sourceID=30","")</f>
        <v/>
      </c>
      <c r="N804" s="4" t="str">
        <f>HYPERLINK("http://141.218.60.56/~jnz1568/getInfo.php?workbook=08_02.xlsx&amp;sheet=A0&amp;row=804&amp;col=14&amp;number=0&amp;sourceID=30","0")</f>
        <v>0</v>
      </c>
      <c r="O804" s="4" t="str">
        <f>HYPERLINK("http://141.218.60.56/~jnz1568/getInfo.php?workbook=08_02.xlsx&amp;sheet=A0&amp;row=804&amp;col=15&amp;number=&amp;sourceID=32","")</f>
        <v/>
      </c>
      <c r="P804" s="4" t="str">
        <f>HYPERLINK("http://141.218.60.56/~jnz1568/getInfo.php?workbook=08_02.xlsx&amp;sheet=A0&amp;row=804&amp;col=16&amp;number=&amp;sourceID=32","")</f>
        <v/>
      </c>
      <c r="Q804" s="4" t="str">
        <f>HYPERLINK("http://141.218.60.56/~jnz1568/getInfo.php?workbook=08_02.xlsx&amp;sheet=A0&amp;row=804&amp;col=17&amp;number=&amp;sourceID=32","")</f>
        <v/>
      </c>
      <c r="R804" s="4" t="str">
        <f>HYPERLINK("http://141.218.60.56/~jnz1568/getInfo.php?workbook=08_02.xlsx&amp;sheet=A0&amp;row=804&amp;col=18&amp;number=&amp;sourceID=32","")</f>
        <v/>
      </c>
      <c r="S804" s="4" t="str">
        <f>HYPERLINK("http://141.218.60.56/~jnz1568/getInfo.php?workbook=08_02.xlsx&amp;sheet=A0&amp;row=804&amp;col=19&amp;number=&amp;sourceID=1","")</f>
        <v/>
      </c>
      <c r="T804" s="4" t="str">
        <f>HYPERLINK("http://141.218.60.56/~jnz1568/getInfo.php?workbook=08_02.xlsx&amp;sheet=A0&amp;row=804&amp;col=20&amp;number=&amp;sourceID=1","")</f>
        <v/>
      </c>
    </row>
    <row r="805" spans="1:20">
      <c r="A805" s="3">
        <v>8</v>
      </c>
      <c r="B805" s="3">
        <v>2</v>
      </c>
      <c r="C805" s="3">
        <v>44</v>
      </c>
      <c r="D805" s="3">
        <v>43</v>
      </c>
      <c r="E805" s="3">
        <f>((1/(INDEX(E0!J$4:J$52,C805,1)-INDEX(E0!J$4:J$52,D805,1))))*100000000</f>
        <v>0</v>
      </c>
      <c r="F805" s="4" t="str">
        <f>HYPERLINK("http://141.218.60.56/~jnz1568/getInfo.php?workbook=08_02.xlsx&amp;sheet=A0&amp;row=805&amp;col=6&amp;number=&amp;sourceID=27","")</f>
        <v/>
      </c>
      <c r="G805" s="4" t="str">
        <f>HYPERLINK("http://141.218.60.56/~jnz1568/getInfo.php?workbook=08_02.xlsx&amp;sheet=A0&amp;row=805&amp;col=7&amp;number=&amp;sourceID=34","")</f>
        <v/>
      </c>
      <c r="H805" s="4" t="str">
        <f>HYPERLINK("http://141.218.60.56/~jnz1568/getInfo.php?workbook=08_02.xlsx&amp;sheet=A0&amp;row=805&amp;col=8&amp;number=&amp;sourceID=34","")</f>
        <v/>
      </c>
      <c r="I805" s="4" t="str">
        <f>HYPERLINK("http://141.218.60.56/~jnz1568/getInfo.php?workbook=08_02.xlsx&amp;sheet=A0&amp;row=805&amp;col=9&amp;number=&amp;sourceID=34","")</f>
        <v/>
      </c>
      <c r="J805" s="4" t="str">
        <f>HYPERLINK("http://141.218.60.56/~jnz1568/getInfo.php?workbook=08_02.xlsx&amp;sheet=A0&amp;row=805&amp;col=10&amp;number=&amp;sourceID=34","")</f>
        <v/>
      </c>
      <c r="K805" s="4" t="str">
        <f>HYPERLINK("http://141.218.60.56/~jnz1568/getInfo.php?workbook=08_02.xlsx&amp;sheet=A0&amp;row=805&amp;col=11&amp;number=0.3907&amp;sourceID=30","0.3907")</f>
        <v>0.3907</v>
      </c>
      <c r="L805" s="4" t="str">
        <f>HYPERLINK("http://141.218.60.56/~jnz1568/getInfo.php?workbook=08_02.xlsx&amp;sheet=A0&amp;row=805&amp;col=12&amp;number=&amp;sourceID=30","")</f>
        <v/>
      </c>
      <c r="M805" s="4" t="str">
        <f>HYPERLINK("http://141.218.60.56/~jnz1568/getInfo.php?workbook=08_02.xlsx&amp;sheet=A0&amp;row=805&amp;col=13&amp;number=&amp;sourceID=30","")</f>
        <v/>
      </c>
      <c r="N805" s="4" t="str">
        <f>HYPERLINK("http://141.218.60.56/~jnz1568/getInfo.php?workbook=08_02.xlsx&amp;sheet=A0&amp;row=805&amp;col=14&amp;number=0&amp;sourceID=30","0")</f>
        <v>0</v>
      </c>
      <c r="O805" s="4" t="str">
        <f>HYPERLINK("http://141.218.60.56/~jnz1568/getInfo.php?workbook=08_02.xlsx&amp;sheet=A0&amp;row=805&amp;col=15&amp;number=&amp;sourceID=32","")</f>
        <v/>
      </c>
      <c r="P805" s="4" t="str">
        <f>HYPERLINK("http://141.218.60.56/~jnz1568/getInfo.php?workbook=08_02.xlsx&amp;sheet=A0&amp;row=805&amp;col=16&amp;number=&amp;sourceID=32","")</f>
        <v/>
      </c>
      <c r="Q805" s="4" t="str">
        <f>HYPERLINK("http://141.218.60.56/~jnz1568/getInfo.php?workbook=08_02.xlsx&amp;sheet=A0&amp;row=805&amp;col=17&amp;number=&amp;sourceID=32","")</f>
        <v/>
      </c>
      <c r="R805" s="4" t="str">
        <f>HYPERLINK("http://141.218.60.56/~jnz1568/getInfo.php?workbook=08_02.xlsx&amp;sheet=A0&amp;row=805&amp;col=18&amp;number=&amp;sourceID=32","")</f>
        <v/>
      </c>
      <c r="S805" s="4" t="str">
        <f>HYPERLINK("http://141.218.60.56/~jnz1568/getInfo.php?workbook=08_02.xlsx&amp;sheet=A0&amp;row=805&amp;col=19&amp;number=&amp;sourceID=1","")</f>
        <v/>
      </c>
      <c r="T805" s="4" t="str">
        <f>HYPERLINK("http://141.218.60.56/~jnz1568/getInfo.php?workbook=08_02.xlsx&amp;sheet=A0&amp;row=805&amp;col=20&amp;number=&amp;sourceID=1","")</f>
        <v/>
      </c>
    </row>
    <row r="806" spans="1:20">
      <c r="A806" s="3">
        <v>8</v>
      </c>
      <c r="B806" s="3">
        <v>2</v>
      </c>
      <c r="C806" s="3">
        <v>44</v>
      </c>
      <c r="D806" s="3">
        <v>45</v>
      </c>
      <c r="E806" s="3">
        <f>((1/(INDEX(E0!J$4:J$52,C806,1)-INDEX(E0!J$4:J$52,D806,1))))*100000000</f>
        <v>0</v>
      </c>
      <c r="F806" s="4" t="str">
        <f>HYPERLINK("http://141.218.60.56/~jnz1568/getInfo.php?workbook=08_02.xlsx&amp;sheet=A0&amp;row=806&amp;col=6&amp;number=&amp;sourceID=27","")</f>
        <v/>
      </c>
      <c r="G806" s="4" t="str">
        <f>HYPERLINK("http://141.218.60.56/~jnz1568/getInfo.php?workbook=08_02.xlsx&amp;sheet=A0&amp;row=806&amp;col=7&amp;number=&amp;sourceID=34","")</f>
        <v/>
      </c>
      <c r="H806" s="4" t="str">
        <f>HYPERLINK("http://141.218.60.56/~jnz1568/getInfo.php?workbook=08_02.xlsx&amp;sheet=A0&amp;row=806&amp;col=8&amp;number=&amp;sourceID=34","")</f>
        <v/>
      </c>
      <c r="I806" s="4" t="str">
        <f>HYPERLINK("http://141.218.60.56/~jnz1568/getInfo.php?workbook=08_02.xlsx&amp;sheet=A0&amp;row=806&amp;col=9&amp;number=&amp;sourceID=34","")</f>
        <v/>
      </c>
      <c r="J806" s="4" t="str">
        <f>HYPERLINK("http://141.218.60.56/~jnz1568/getInfo.php?workbook=08_02.xlsx&amp;sheet=A0&amp;row=806&amp;col=10&amp;number=&amp;sourceID=34","")</f>
        <v/>
      </c>
      <c r="K806" s="4" t="str">
        <f>HYPERLINK("http://141.218.60.56/~jnz1568/getInfo.php?workbook=08_02.xlsx&amp;sheet=A0&amp;row=806&amp;col=11&amp;number=&amp;sourceID=30","")</f>
        <v/>
      </c>
      <c r="L806" s="4" t="str">
        <f>HYPERLINK("http://141.218.60.56/~jnz1568/getInfo.php?workbook=08_02.xlsx&amp;sheet=A0&amp;row=806&amp;col=12&amp;number=1.47e-13&amp;sourceID=30","1.47e-13")</f>
        <v>1.47e-13</v>
      </c>
      <c r="M806" s="4" t="str">
        <f>HYPERLINK("http://141.218.60.56/~jnz1568/getInfo.php?workbook=08_02.xlsx&amp;sheet=A0&amp;row=806&amp;col=13&amp;number=&amp;sourceID=30","")</f>
        <v/>
      </c>
      <c r="N806" s="4" t="str">
        <f>HYPERLINK("http://141.218.60.56/~jnz1568/getInfo.php?workbook=08_02.xlsx&amp;sheet=A0&amp;row=806&amp;col=14&amp;number=&amp;sourceID=30","")</f>
        <v/>
      </c>
      <c r="O806" s="4" t="str">
        <f>HYPERLINK("http://141.218.60.56/~jnz1568/getInfo.php?workbook=08_02.xlsx&amp;sheet=A0&amp;row=806&amp;col=15&amp;number=&amp;sourceID=32","")</f>
        <v/>
      </c>
      <c r="P806" s="4" t="str">
        <f>HYPERLINK("http://141.218.60.56/~jnz1568/getInfo.php?workbook=08_02.xlsx&amp;sheet=A0&amp;row=806&amp;col=16&amp;number=&amp;sourceID=32","")</f>
        <v/>
      </c>
      <c r="Q806" s="4" t="str">
        <f>HYPERLINK("http://141.218.60.56/~jnz1568/getInfo.php?workbook=08_02.xlsx&amp;sheet=A0&amp;row=806&amp;col=17&amp;number=&amp;sourceID=32","")</f>
        <v/>
      </c>
      <c r="R806" s="4" t="str">
        <f>HYPERLINK("http://141.218.60.56/~jnz1568/getInfo.php?workbook=08_02.xlsx&amp;sheet=A0&amp;row=806&amp;col=18&amp;number=&amp;sourceID=32","")</f>
        <v/>
      </c>
      <c r="S806" s="4" t="str">
        <f>HYPERLINK("http://141.218.60.56/~jnz1568/getInfo.php?workbook=08_02.xlsx&amp;sheet=A0&amp;row=806&amp;col=19&amp;number=&amp;sourceID=1","")</f>
        <v/>
      </c>
      <c r="T806" s="4" t="str">
        <f>HYPERLINK("http://141.218.60.56/~jnz1568/getInfo.php?workbook=08_02.xlsx&amp;sheet=A0&amp;row=806&amp;col=20&amp;number=&amp;sourceID=1","")</f>
        <v/>
      </c>
    </row>
    <row r="807" spans="1:20">
      <c r="A807" s="3">
        <v>8</v>
      </c>
      <c r="B807" s="3">
        <v>2</v>
      </c>
      <c r="C807" s="3">
        <v>44</v>
      </c>
      <c r="D807" s="3">
        <v>46</v>
      </c>
      <c r="E807" s="3">
        <f>((1/(INDEX(E0!J$4:J$52,C807,1)-INDEX(E0!J$4:J$52,D807,1))))*100000000</f>
        <v>0</v>
      </c>
      <c r="F807" s="4" t="str">
        <f>HYPERLINK("http://141.218.60.56/~jnz1568/getInfo.php?workbook=08_02.xlsx&amp;sheet=A0&amp;row=807&amp;col=6&amp;number=&amp;sourceID=27","")</f>
        <v/>
      </c>
      <c r="G807" s="4" t="str">
        <f>HYPERLINK("http://141.218.60.56/~jnz1568/getInfo.php?workbook=08_02.xlsx&amp;sheet=A0&amp;row=807&amp;col=7&amp;number=&amp;sourceID=34","")</f>
        <v/>
      </c>
      <c r="H807" s="4" t="str">
        <f>HYPERLINK("http://141.218.60.56/~jnz1568/getInfo.php?workbook=08_02.xlsx&amp;sheet=A0&amp;row=807&amp;col=8&amp;number=&amp;sourceID=34","")</f>
        <v/>
      </c>
      <c r="I807" s="4" t="str">
        <f>HYPERLINK("http://141.218.60.56/~jnz1568/getInfo.php?workbook=08_02.xlsx&amp;sheet=A0&amp;row=807&amp;col=9&amp;number=&amp;sourceID=34","")</f>
        <v/>
      </c>
      <c r="J807" s="4" t="str">
        <f>HYPERLINK("http://141.218.60.56/~jnz1568/getInfo.php?workbook=08_02.xlsx&amp;sheet=A0&amp;row=807&amp;col=10&amp;number=&amp;sourceID=34","")</f>
        <v/>
      </c>
      <c r="K807" s="4" t="str">
        <f>HYPERLINK("http://141.218.60.56/~jnz1568/getInfo.php?workbook=08_02.xlsx&amp;sheet=A0&amp;row=807&amp;col=11&amp;number=&amp;sourceID=30","")</f>
        <v/>
      </c>
      <c r="L807" s="4" t="str">
        <f>HYPERLINK("http://141.218.60.56/~jnz1568/getInfo.php?workbook=08_02.xlsx&amp;sheet=A0&amp;row=807&amp;col=12&amp;number=0&amp;sourceID=30","0")</f>
        <v>0</v>
      </c>
      <c r="M807" s="4" t="str">
        <f>HYPERLINK("http://141.218.60.56/~jnz1568/getInfo.php?workbook=08_02.xlsx&amp;sheet=A0&amp;row=807&amp;col=13&amp;number=0&amp;sourceID=30","0")</f>
        <v>0</v>
      </c>
      <c r="N807" s="4" t="str">
        <f>HYPERLINK("http://141.218.60.56/~jnz1568/getInfo.php?workbook=08_02.xlsx&amp;sheet=A0&amp;row=807&amp;col=14&amp;number=&amp;sourceID=30","")</f>
        <v/>
      </c>
      <c r="O807" s="4" t="str">
        <f>HYPERLINK("http://141.218.60.56/~jnz1568/getInfo.php?workbook=08_02.xlsx&amp;sheet=A0&amp;row=807&amp;col=15&amp;number=&amp;sourceID=32","")</f>
        <v/>
      </c>
      <c r="P807" s="4" t="str">
        <f>HYPERLINK("http://141.218.60.56/~jnz1568/getInfo.php?workbook=08_02.xlsx&amp;sheet=A0&amp;row=807&amp;col=16&amp;number=&amp;sourceID=32","")</f>
        <v/>
      </c>
      <c r="Q807" s="4" t="str">
        <f>HYPERLINK("http://141.218.60.56/~jnz1568/getInfo.php?workbook=08_02.xlsx&amp;sheet=A0&amp;row=807&amp;col=17&amp;number=&amp;sourceID=32","")</f>
        <v/>
      </c>
      <c r="R807" s="4" t="str">
        <f>HYPERLINK("http://141.218.60.56/~jnz1568/getInfo.php?workbook=08_02.xlsx&amp;sheet=A0&amp;row=807&amp;col=18&amp;number=&amp;sourceID=32","")</f>
        <v/>
      </c>
      <c r="S807" s="4" t="str">
        <f>HYPERLINK("http://141.218.60.56/~jnz1568/getInfo.php?workbook=08_02.xlsx&amp;sheet=A0&amp;row=807&amp;col=19&amp;number=&amp;sourceID=1","")</f>
        <v/>
      </c>
      <c r="T807" s="4" t="str">
        <f>HYPERLINK("http://141.218.60.56/~jnz1568/getInfo.php?workbook=08_02.xlsx&amp;sheet=A0&amp;row=807&amp;col=20&amp;number=&amp;sourceID=1","")</f>
        <v/>
      </c>
    </row>
    <row r="808" spans="1:20">
      <c r="A808" s="3">
        <v>8</v>
      </c>
      <c r="B808" s="3">
        <v>2</v>
      </c>
      <c r="C808" s="3">
        <v>44</v>
      </c>
      <c r="D808" s="3">
        <v>48</v>
      </c>
      <c r="E808" s="3">
        <f>((1/(INDEX(E0!J$4:J$52,C808,1)-INDEX(E0!J$4:J$52,D808,1))))*100000000</f>
        <v>0</v>
      </c>
      <c r="F808" s="4" t="str">
        <f>HYPERLINK("http://141.218.60.56/~jnz1568/getInfo.php?workbook=08_02.xlsx&amp;sheet=A0&amp;row=808&amp;col=6&amp;number=&amp;sourceID=27","")</f>
        <v/>
      </c>
      <c r="G808" s="4" t="str">
        <f>HYPERLINK("http://141.218.60.56/~jnz1568/getInfo.php?workbook=08_02.xlsx&amp;sheet=A0&amp;row=808&amp;col=7&amp;number=&amp;sourceID=34","")</f>
        <v/>
      </c>
      <c r="H808" s="4" t="str">
        <f>HYPERLINK("http://141.218.60.56/~jnz1568/getInfo.php?workbook=08_02.xlsx&amp;sheet=A0&amp;row=808&amp;col=8&amp;number=&amp;sourceID=34","")</f>
        <v/>
      </c>
      <c r="I808" s="4" t="str">
        <f>HYPERLINK("http://141.218.60.56/~jnz1568/getInfo.php?workbook=08_02.xlsx&amp;sheet=A0&amp;row=808&amp;col=9&amp;number=&amp;sourceID=34","")</f>
        <v/>
      </c>
      <c r="J808" s="4" t="str">
        <f>HYPERLINK("http://141.218.60.56/~jnz1568/getInfo.php?workbook=08_02.xlsx&amp;sheet=A0&amp;row=808&amp;col=10&amp;number=&amp;sourceID=34","")</f>
        <v/>
      </c>
      <c r="K808" s="4" t="str">
        <f>HYPERLINK("http://141.218.60.56/~jnz1568/getInfo.php?workbook=08_02.xlsx&amp;sheet=A0&amp;row=808&amp;col=11&amp;number=&amp;sourceID=30","")</f>
        <v/>
      </c>
      <c r="L808" s="4" t="str">
        <f>HYPERLINK("http://141.218.60.56/~jnz1568/getInfo.php?workbook=08_02.xlsx&amp;sheet=A0&amp;row=808&amp;col=12&amp;number=6.3e-14&amp;sourceID=30","6.3e-14")</f>
        <v>6.3e-14</v>
      </c>
      <c r="M808" s="4" t="str">
        <f>HYPERLINK("http://141.218.60.56/~jnz1568/getInfo.php?workbook=08_02.xlsx&amp;sheet=A0&amp;row=808&amp;col=13&amp;number=&amp;sourceID=30","")</f>
        <v/>
      </c>
      <c r="N808" s="4" t="str">
        <f>HYPERLINK("http://141.218.60.56/~jnz1568/getInfo.php?workbook=08_02.xlsx&amp;sheet=A0&amp;row=808&amp;col=14&amp;number=&amp;sourceID=30","")</f>
        <v/>
      </c>
      <c r="O808" s="4" t="str">
        <f>HYPERLINK("http://141.218.60.56/~jnz1568/getInfo.php?workbook=08_02.xlsx&amp;sheet=A0&amp;row=808&amp;col=15&amp;number=&amp;sourceID=32","")</f>
        <v/>
      </c>
      <c r="P808" s="4" t="str">
        <f>HYPERLINK("http://141.218.60.56/~jnz1568/getInfo.php?workbook=08_02.xlsx&amp;sheet=A0&amp;row=808&amp;col=16&amp;number=&amp;sourceID=32","")</f>
        <v/>
      </c>
      <c r="Q808" s="4" t="str">
        <f>HYPERLINK("http://141.218.60.56/~jnz1568/getInfo.php?workbook=08_02.xlsx&amp;sheet=A0&amp;row=808&amp;col=17&amp;number=&amp;sourceID=32","")</f>
        <v/>
      </c>
      <c r="R808" s="4" t="str">
        <f>HYPERLINK("http://141.218.60.56/~jnz1568/getInfo.php?workbook=08_02.xlsx&amp;sheet=A0&amp;row=808&amp;col=18&amp;number=&amp;sourceID=32","")</f>
        <v/>
      </c>
      <c r="S808" s="4" t="str">
        <f>HYPERLINK("http://141.218.60.56/~jnz1568/getInfo.php?workbook=08_02.xlsx&amp;sheet=A0&amp;row=808&amp;col=19&amp;number=&amp;sourceID=1","")</f>
        <v/>
      </c>
      <c r="T808" s="4" t="str">
        <f>HYPERLINK("http://141.218.60.56/~jnz1568/getInfo.php?workbook=08_02.xlsx&amp;sheet=A0&amp;row=808&amp;col=20&amp;number=&amp;sourceID=1","")</f>
        <v/>
      </c>
    </row>
    <row r="809" spans="1:20">
      <c r="A809" s="3">
        <v>8</v>
      </c>
      <c r="B809" s="3">
        <v>2</v>
      </c>
      <c r="C809" s="3">
        <v>45</v>
      </c>
      <c r="D809" s="3">
        <v>5</v>
      </c>
      <c r="E809" s="3">
        <f>((1/(INDEX(E0!J$4:J$52,C809,1)-INDEX(E0!J$4:J$52,D809,1))))*100000000</f>
        <v>0</v>
      </c>
      <c r="F809" s="4" t="str">
        <f>HYPERLINK("http://141.218.60.56/~jnz1568/getInfo.php?workbook=08_02.xlsx&amp;sheet=A0&amp;row=809&amp;col=6&amp;number=&amp;sourceID=27","")</f>
        <v/>
      </c>
      <c r="G809" s="4" t="str">
        <f>HYPERLINK("http://141.218.60.56/~jnz1568/getInfo.php?workbook=08_02.xlsx&amp;sheet=A0&amp;row=809&amp;col=7&amp;number=&amp;sourceID=34","")</f>
        <v/>
      </c>
      <c r="H809" s="4" t="str">
        <f>HYPERLINK("http://141.218.60.56/~jnz1568/getInfo.php?workbook=08_02.xlsx&amp;sheet=A0&amp;row=809&amp;col=8&amp;number=&amp;sourceID=34","")</f>
        <v/>
      </c>
      <c r="I809" s="4" t="str">
        <f>HYPERLINK("http://141.218.60.56/~jnz1568/getInfo.php?workbook=08_02.xlsx&amp;sheet=A0&amp;row=809&amp;col=9&amp;number=&amp;sourceID=34","")</f>
        <v/>
      </c>
      <c r="J809" s="4" t="str">
        <f>HYPERLINK("http://141.218.60.56/~jnz1568/getInfo.php?workbook=08_02.xlsx&amp;sheet=A0&amp;row=809&amp;col=10&amp;number=&amp;sourceID=34","")</f>
        <v/>
      </c>
      <c r="K809" s="4" t="str">
        <f>HYPERLINK("http://141.218.60.56/~jnz1568/getInfo.php?workbook=08_02.xlsx&amp;sheet=A0&amp;row=809&amp;col=11&amp;number=&amp;sourceID=30","")</f>
        <v/>
      </c>
      <c r="L809" s="4" t="str">
        <f>HYPERLINK("http://141.218.60.56/~jnz1568/getInfo.php?workbook=08_02.xlsx&amp;sheet=A0&amp;row=809&amp;col=12&amp;number=&amp;sourceID=30","")</f>
        <v/>
      </c>
      <c r="M809" s="4" t="str">
        <f>HYPERLINK("http://141.218.60.56/~jnz1568/getInfo.php?workbook=08_02.xlsx&amp;sheet=A0&amp;row=809&amp;col=13&amp;number=&amp;sourceID=30","")</f>
        <v/>
      </c>
      <c r="N809" s="4" t="str">
        <f>HYPERLINK("http://141.218.60.56/~jnz1568/getInfo.php?workbook=08_02.xlsx&amp;sheet=A0&amp;row=809&amp;col=14&amp;number=4.553e-07&amp;sourceID=30","4.553e-07")</f>
        <v>4.553e-07</v>
      </c>
      <c r="O809" s="4" t="str">
        <f>HYPERLINK("http://141.218.60.56/~jnz1568/getInfo.php?workbook=08_02.xlsx&amp;sheet=A0&amp;row=809&amp;col=15&amp;number=&amp;sourceID=32","")</f>
        <v/>
      </c>
      <c r="P809" s="4" t="str">
        <f>HYPERLINK("http://141.218.60.56/~jnz1568/getInfo.php?workbook=08_02.xlsx&amp;sheet=A0&amp;row=809&amp;col=16&amp;number=&amp;sourceID=32","")</f>
        <v/>
      </c>
      <c r="Q809" s="4" t="str">
        <f>HYPERLINK("http://141.218.60.56/~jnz1568/getInfo.php?workbook=08_02.xlsx&amp;sheet=A0&amp;row=809&amp;col=17&amp;number=&amp;sourceID=32","")</f>
        <v/>
      </c>
      <c r="R809" s="4" t="str">
        <f>HYPERLINK("http://141.218.60.56/~jnz1568/getInfo.php?workbook=08_02.xlsx&amp;sheet=A0&amp;row=809&amp;col=18&amp;number=&amp;sourceID=32","")</f>
        <v/>
      </c>
      <c r="S809" s="4" t="str">
        <f>HYPERLINK("http://141.218.60.56/~jnz1568/getInfo.php?workbook=08_02.xlsx&amp;sheet=A0&amp;row=809&amp;col=19&amp;number=&amp;sourceID=1","")</f>
        <v/>
      </c>
      <c r="T809" s="4" t="str">
        <f>HYPERLINK("http://141.218.60.56/~jnz1568/getInfo.php?workbook=08_02.xlsx&amp;sheet=A0&amp;row=809&amp;col=20&amp;number=&amp;sourceID=1","")</f>
        <v/>
      </c>
    </row>
    <row r="810" spans="1:20">
      <c r="A810" s="3">
        <v>8</v>
      </c>
      <c r="B810" s="3">
        <v>2</v>
      </c>
      <c r="C810" s="3">
        <v>45</v>
      </c>
      <c r="D810" s="3">
        <v>11</v>
      </c>
      <c r="E810" s="3">
        <f>((1/(INDEX(E0!J$4:J$52,C810,1)-INDEX(E0!J$4:J$52,D810,1))))*100000000</f>
        <v>0</v>
      </c>
      <c r="F810" s="4" t="str">
        <f>HYPERLINK("http://141.218.60.56/~jnz1568/getInfo.php?workbook=08_02.xlsx&amp;sheet=A0&amp;row=810&amp;col=6&amp;number=&amp;sourceID=27","")</f>
        <v/>
      </c>
      <c r="G810" s="4" t="str">
        <f>HYPERLINK("http://141.218.60.56/~jnz1568/getInfo.php?workbook=08_02.xlsx&amp;sheet=A0&amp;row=810&amp;col=7&amp;number=&amp;sourceID=34","")</f>
        <v/>
      </c>
      <c r="H810" s="4" t="str">
        <f>HYPERLINK("http://141.218.60.56/~jnz1568/getInfo.php?workbook=08_02.xlsx&amp;sheet=A0&amp;row=810&amp;col=8&amp;number=&amp;sourceID=34","")</f>
        <v/>
      </c>
      <c r="I810" s="4" t="str">
        <f>HYPERLINK("http://141.218.60.56/~jnz1568/getInfo.php?workbook=08_02.xlsx&amp;sheet=A0&amp;row=810&amp;col=9&amp;number=&amp;sourceID=34","")</f>
        <v/>
      </c>
      <c r="J810" s="4" t="str">
        <f>HYPERLINK("http://141.218.60.56/~jnz1568/getInfo.php?workbook=08_02.xlsx&amp;sheet=A0&amp;row=810&amp;col=10&amp;number=&amp;sourceID=34","")</f>
        <v/>
      </c>
      <c r="K810" s="4" t="str">
        <f>HYPERLINK("http://141.218.60.56/~jnz1568/getInfo.php?workbook=08_02.xlsx&amp;sheet=A0&amp;row=810&amp;col=11&amp;number=&amp;sourceID=30","")</f>
        <v/>
      </c>
      <c r="L810" s="4" t="str">
        <f>HYPERLINK("http://141.218.60.56/~jnz1568/getInfo.php?workbook=08_02.xlsx&amp;sheet=A0&amp;row=810&amp;col=12&amp;number=&amp;sourceID=30","")</f>
        <v/>
      </c>
      <c r="M810" s="4" t="str">
        <f>HYPERLINK("http://141.218.60.56/~jnz1568/getInfo.php?workbook=08_02.xlsx&amp;sheet=A0&amp;row=810&amp;col=13&amp;number=&amp;sourceID=30","")</f>
        <v/>
      </c>
      <c r="N810" s="4" t="str">
        <f>HYPERLINK("http://141.218.60.56/~jnz1568/getInfo.php?workbook=08_02.xlsx&amp;sheet=A0&amp;row=810&amp;col=14&amp;number=2.707e-08&amp;sourceID=30","2.707e-08")</f>
        <v>2.707e-08</v>
      </c>
      <c r="O810" s="4" t="str">
        <f>HYPERLINK("http://141.218.60.56/~jnz1568/getInfo.php?workbook=08_02.xlsx&amp;sheet=A0&amp;row=810&amp;col=15&amp;number=&amp;sourceID=32","")</f>
        <v/>
      </c>
      <c r="P810" s="4" t="str">
        <f>HYPERLINK("http://141.218.60.56/~jnz1568/getInfo.php?workbook=08_02.xlsx&amp;sheet=A0&amp;row=810&amp;col=16&amp;number=&amp;sourceID=32","")</f>
        <v/>
      </c>
      <c r="Q810" s="4" t="str">
        <f>HYPERLINK("http://141.218.60.56/~jnz1568/getInfo.php?workbook=08_02.xlsx&amp;sheet=A0&amp;row=810&amp;col=17&amp;number=&amp;sourceID=32","")</f>
        <v/>
      </c>
      <c r="R810" s="4" t="str">
        <f>HYPERLINK("http://141.218.60.56/~jnz1568/getInfo.php?workbook=08_02.xlsx&amp;sheet=A0&amp;row=810&amp;col=18&amp;number=&amp;sourceID=32","")</f>
        <v/>
      </c>
      <c r="S810" s="4" t="str">
        <f>HYPERLINK("http://141.218.60.56/~jnz1568/getInfo.php?workbook=08_02.xlsx&amp;sheet=A0&amp;row=810&amp;col=19&amp;number=&amp;sourceID=1","")</f>
        <v/>
      </c>
      <c r="T810" s="4" t="str">
        <f>HYPERLINK("http://141.218.60.56/~jnz1568/getInfo.php?workbook=08_02.xlsx&amp;sheet=A0&amp;row=810&amp;col=20&amp;number=&amp;sourceID=1","")</f>
        <v/>
      </c>
    </row>
    <row r="811" spans="1:20">
      <c r="A811" s="3">
        <v>8</v>
      </c>
      <c r="B811" s="3">
        <v>2</v>
      </c>
      <c r="C811" s="3">
        <v>45</v>
      </c>
      <c r="D811" s="3">
        <v>14</v>
      </c>
      <c r="E811" s="3">
        <f>((1/(INDEX(E0!J$4:J$52,C811,1)-INDEX(E0!J$4:J$52,D811,1))))*100000000</f>
        <v>0</v>
      </c>
      <c r="F811" s="4" t="str">
        <f>HYPERLINK("http://141.218.60.56/~jnz1568/getInfo.php?workbook=08_02.xlsx&amp;sheet=A0&amp;row=811&amp;col=6&amp;number=&amp;sourceID=27","")</f>
        <v/>
      </c>
      <c r="G811" s="4" t="str">
        <f>HYPERLINK("http://141.218.60.56/~jnz1568/getInfo.php?workbook=08_02.xlsx&amp;sheet=A0&amp;row=811&amp;col=7&amp;number=&amp;sourceID=34","")</f>
        <v/>
      </c>
      <c r="H811" s="4" t="str">
        <f>HYPERLINK("http://141.218.60.56/~jnz1568/getInfo.php?workbook=08_02.xlsx&amp;sheet=A0&amp;row=811&amp;col=8&amp;number=&amp;sourceID=34","")</f>
        <v/>
      </c>
      <c r="I811" s="4" t="str">
        <f>HYPERLINK("http://141.218.60.56/~jnz1568/getInfo.php?workbook=08_02.xlsx&amp;sheet=A0&amp;row=811&amp;col=9&amp;number=&amp;sourceID=34","")</f>
        <v/>
      </c>
      <c r="J811" s="4" t="str">
        <f>HYPERLINK("http://141.218.60.56/~jnz1568/getInfo.php?workbook=08_02.xlsx&amp;sheet=A0&amp;row=811&amp;col=10&amp;number=&amp;sourceID=34","")</f>
        <v/>
      </c>
      <c r="K811" s="4" t="str">
        <f>HYPERLINK("http://141.218.60.56/~jnz1568/getInfo.php?workbook=08_02.xlsx&amp;sheet=A0&amp;row=811&amp;col=11&amp;number=&amp;sourceID=30","")</f>
        <v/>
      </c>
      <c r="L811" s="4" t="str">
        <f>HYPERLINK("http://141.218.60.56/~jnz1568/getInfo.php?workbook=08_02.xlsx&amp;sheet=A0&amp;row=811&amp;col=12&amp;number=759000&amp;sourceID=30","759000")</f>
        <v>759000</v>
      </c>
      <c r="M811" s="4" t="str">
        <f>HYPERLINK("http://141.218.60.56/~jnz1568/getInfo.php?workbook=08_02.xlsx&amp;sheet=A0&amp;row=811&amp;col=13&amp;number=&amp;sourceID=30","")</f>
        <v/>
      </c>
      <c r="N811" s="4" t="str">
        <f>HYPERLINK("http://141.218.60.56/~jnz1568/getInfo.php?workbook=08_02.xlsx&amp;sheet=A0&amp;row=811&amp;col=14&amp;number=&amp;sourceID=30","")</f>
        <v/>
      </c>
      <c r="O811" s="4" t="str">
        <f>HYPERLINK("http://141.218.60.56/~jnz1568/getInfo.php?workbook=08_02.xlsx&amp;sheet=A0&amp;row=811&amp;col=15&amp;number=&amp;sourceID=32","")</f>
        <v/>
      </c>
      <c r="P811" s="4" t="str">
        <f>HYPERLINK("http://141.218.60.56/~jnz1568/getInfo.php?workbook=08_02.xlsx&amp;sheet=A0&amp;row=811&amp;col=16&amp;number=&amp;sourceID=32","")</f>
        <v/>
      </c>
      <c r="Q811" s="4" t="str">
        <f>HYPERLINK("http://141.218.60.56/~jnz1568/getInfo.php?workbook=08_02.xlsx&amp;sheet=A0&amp;row=811&amp;col=17&amp;number=&amp;sourceID=32","")</f>
        <v/>
      </c>
      <c r="R811" s="4" t="str">
        <f>HYPERLINK("http://141.218.60.56/~jnz1568/getInfo.php?workbook=08_02.xlsx&amp;sheet=A0&amp;row=811&amp;col=18&amp;number=&amp;sourceID=32","")</f>
        <v/>
      </c>
      <c r="S811" s="4" t="str">
        <f>HYPERLINK("http://141.218.60.56/~jnz1568/getInfo.php?workbook=08_02.xlsx&amp;sheet=A0&amp;row=811&amp;col=19&amp;number=&amp;sourceID=1","")</f>
        <v/>
      </c>
      <c r="T811" s="4" t="str">
        <f>HYPERLINK("http://141.218.60.56/~jnz1568/getInfo.php?workbook=08_02.xlsx&amp;sheet=A0&amp;row=811&amp;col=20&amp;number=&amp;sourceID=1","")</f>
        <v/>
      </c>
    </row>
    <row r="812" spans="1:20">
      <c r="A812" s="3">
        <v>8</v>
      </c>
      <c r="B812" s="3">
        <v>2</v>
      </c>
      <c r="C812" s="3">
        <v>45</v>
      </c>
      <c r="D812" s="3">
        <v>15</v>
      </c>
      <c r="E812" s="3">
        <f>((1/(INDEX(E0!J$4:J$52,C812,1)-INDEX(E0!J$4:J$52,D812,1))))*100000000</f>
        <v>0</v>
      </c>
      <c r="F812" s="4" t="str">
        <f>HYPERLINK("http://141.218.60.56/~jnz1568/getInfo.php?workbook=08_02.xlsx&amp;sheet=A0&amp;row=812&amp;col=6&amp;number=&amp;sourceID=27","")</f>
        <v/>
      </c>
      <c r="G812" s="4" t="str">
        <f>HYPERLINK("http://141.218.60.56/~jnz1568/getInfo.php?workbook=08_02.xlsx&amp;sheet=A0&amp;row=812&amp;col=7&amp;number=&amp;sourceID=34","")</f>
        <v/>
      </c>
      <c r="H812" s="4" t="str">
        <f>HYPERLINK("http://141.218.60.56/~jnz1568/getInfo.php?workbook=08_02.xlsx&amp;sheet=A0&amp;row=812&amp;col=8&amp;number=&amp;sourceID=34","")</f>
        <v/>
      </c>
      <c r="I812" s="4" t="str">
        <f>HYPERLINK("http://141.218.60.56/~jnz1568/getInfo.php?workbook=08_02.xlsx&amp;sheet=A0&amp;row=812&amp;col=9&amp;number=&amp;sourceID=34","")</f>
        <v/>
      </c>
      <c r="J812" s="4" t="str">
        <f>HYPERLINK("http://141.218.60.56/~jnz1568/getInfo.php?workbook=08_02.xlsx&amp;sheet=A0&amp;row=812&amp;col=10&amp;number=&amp;sourceID=34","")</f>
        <v/>
      </c>
      <c r="K812" s="4" t="str">
        <f>HYPERLINK("http://141.218.60.56/~jnz1568/getInfo.php?workbook=08_02.xlsx&amp;sheet=A0&amp;row=812&amp;col=11&amp;number=&amp;sourceID=30","")</f>
        <v/>
      </c>
      <c r="L812" s="4" t="str">
        <f>HYPERLINK("http://141.218.60.56/~jnz1568/getInfo.php?workbook=08_02.xlsx&amp;sheet=A0&amp;row=812&amp;col=12&amp;number=124000&amp;sourceID=30","124000")</f>
        <v>124000</v>
      </c>
      <c r="M812" s="4" t="str">
        <f>HYPERLINK("http://141.218.60.56/~jnz1568/getInfo.php?workbook=08_02.xlsx&amp;sheet=A0&amp;row=812&amp;col=13&amp;number=0.0003496&amp;sourceID=30","0.0003496")</f>
        <v>0.0003496</v>
      </c>
      <c r="N812" s="4" t="str">
        <f>HYPERLINK("http://141.218.60.56/~jnz1568/getInfo.php?workbook=08_02.xlsx&amp;sheet=A0&amp;row=812&amp;col=14&amp;number=&amp;sourceID=30","")</f>
        <v/>
      </c>
      <c r="O812" s="4" t="str">
        <f>HYPERLINK("http://141.218.60.56/~jnz1568/getInfo.php?workbook=08_02.xlsx&amp;sheet=A0&amp;row=812&amp;col=15&amp;number=&amp;sourceID=32","")</f>
        <v/>
      </c>
      <c r="P812" s="4" t="str">
        <f>HYPERLINK("http://141.218.60.56/~jnz1568/getInfo.php?workbook=08_02.xlsx&amp;sheet=A0&amp;row=812&amp;col=16&amp;number=&amp;sourceID=32","")</f>
        <v/>
      </c>
      <c r="Q812" s="4" t="str">
        <f>HYPERLINK("http://141.218.60.56/~jnz1568/getInfo.php?workbook=08_02.xlsx&amp;sheet=A0&amp;row=812&amp;col=17&amp;number=&amp;sourceID=32","")</f>
        <v/>
      </c>
      <c r="R812" s="4" t="str">
        <f>HYPERLINK("http://141.218.60.56/~jnz1568/getInfo.php?workbook=08_02.xlsx&amp;sheet=A0&amp;row=812&amp;col=18&amp;number=&amp;sourceID=32","")</f>
        <v/>
      </c>
      <c r="S812" s="4" t="str">
        <f>HYPERLINK("http://141.218.60.56/~jnz1568/getInfo.php?workbook=08_02.xlsx&amp;sheet=A0&amp;row=812&amp;col=19&amp;number=&amp;sourceID=1","")</f>
        <v/>
      </c>
      <c r="T812" s="4" t="str">
        <f>HYPERLINK("http://141.218.60.56/~jnz1568/getInfo.php?workbook=08_02.xlsx&amp;sheet=A0&amp;row=812&amp;col=20&amp;number=&amp;sourceID=1","")</f>
        <v/>
      </c>
    </row>
    <row r="813" spans="1:20">
      <c r="A813" s="3">
        <v>8</v>
      </c>
      <c r="B813" s="3">
        <v>2</v>
      </c>
      <c r="C813" s="3">
        <v>45</v>
      </c>
      <c r="D813" s="3">
        <v>16</v>
      </c>
      <c r="E813" s="3">
        <f>((1/(INDEX(E0!J$4:J$52,C813,1)-INDEX(E0!J$4:J$52,D813,1))))*100000000</f>
        <v>0</v>
      </c>
      <c r="F813" s="4" t="str">
        <f>HYPERLINK("http://141.218.60.56/~jnz1568/getInfo.php?workbook=08_02.xlsx&amp;sheet=A0&amp;row=813&amp;col=6&amp;number=&amp;sourceID=27","")</f>
        <v/>
      </c>
      <c r="G813" s="4" t="str">
        <f>HYPERLINK("http://141.218.60.56/~jnz1568/getInfo.php?workbook=08_02.xlsx&amp;sheet=A0&amp;row=813&amp;col=7&amp;number=&amp;sourceID=34","")</f>
        <v/>
      </c>
      <c r="H813" s="4" t="str">
        <f>HYPERLINK("http://141.218.60.56/~jnz1568/getInfo.php?workbook=08_02.xlsx&amp;sheet=A0&amp;row=813&amp;col=8&amp;number=&amp;sourceID=34","")</f>
        <v/>
      </c>
      <c r="I813" s="4" t="str">
        <f>HYPERLINK("http://141.218.60.56/~jnz1568/getInfo.php?workbook=08_02.xlsx&amp;sheet=A0&amp;row=813&amp;col=9&amp;number=&amp;sourceID=34","")</f>
        <v/>
      </c>
      <c r="J813" s="4" t="str">
        <f>HYPERLINK("http://141.218.60.56/~jnz1568/getInfo.php?workbook=08_02.xlsx&amp;sheet=A0&amp;row=813&amp;col=10&amp;number=&amp;sourceID=34","")</f>
        <v/>
      </c>
      <c r="K813" s="4" t="str">
        <f>HYPERLINK("http://141.218.60.56/~jnz1568/getInfo.php?workbook=08_02.xlsx&amp;sheet=A0&amp;row=813&amp;col=11&amp;number=&amp;sourceID=30","")</f>
        <v/>
      </c>
      <c r="L813" s="4" t="str">
        <f>HYPERLINK("http://141.218.60.56/~jnz1568/getInfo.php?workbook=08_02.xlsx&amp;sheet=A0&amp;row=813&amp;col=12&amp;number=483200&amp;sourceID=30","483200")</f>
        <v>483200</v>
      </c>
      <c r="M813" s="4" t="str">
        <f>HYPERLINK("http://141.218.60.56/~jnz1568/getInfo.php?workbook=08_02.xlsx&amp;sheet=A0&amp;row=813&amp;col=13&amp;number=&amp;sourceID=30","")</f>
        <v/>
      </c>
      <c r="N813" s="4" t="str">
        <f>HYPERLINK("http://141.218.60.56/~jnz1568/getInfo.php?workbook=08_02.xlsx&amp;sheet=A0&amp;row=813&amp;col=14&amp;number=&amp;sourceID=30","")</f>
        <v/>
      </c>
      <c r="O813" s="4" t="str">
        <f>HYPERLINK("http://141.218.60.56/~jnz1568/getInfo.php?workbook=08_02.xlsx&amp;sheet=A0&amp;row=813&amp;col=15&amp;number=&amp;sourceID=32","")</f>
        <v/>
      </c>
      <c r="P813" s="4" t="str">
        <f>HYPERLINK("http://141.218.60.56/~jnz1568/getInfo.php?workbook=08_02.xlsx&amp;sheet=A0&amp;row=813&amp;col=16&amp;number=&amp;sourceID=32","")</f>
        <v/>
      </c>
      <c r="Q813" s="4" t="str">
        <f>HYPERLINK("http://141.218.60.56/~jnz1568/getInfo.php?workbook=08_02.xlsx&amp;sheet=A0&amp;row=813&amp;col=17&amp;number=&amp;sourceID=32","")</f>
        <v/>
      </c>
      <c r="R813" s="4" t="str">
        <f>HYPERLINK("http://141.218.60.56/~jnz1568/getInfo.php?workbook=08_02.xlsx&amp;sheet=A0&amp;row=813&amp;col=18&amp;number=&amp;sourceID=32","")</f>
        <v/>
      </c>
      <c r="S813" s="4" t="str">
        <f>HYPERLINK("http://141.218.60.56/~jnz1568/getInfo.php?workbook=08_02.xlsx&amp;sheet=A0&amp;row=813&amp;col=19&amp;number=&amp;sourceID=1","")</f>
        <v/>
      </c>
      <c r="T813" s="4" t="str">
        <f>HYPERLINK("http://141.218.60.56/~jnz1568/getInfo.php?workbook=08_02.xlsx&amp;sheet=A0&amp;row=813&amp;col=20&amp;number=&amp;sourceID=1","")</f>
        <v/>
      </c>
    </row>
    <row r="814" spans="1:20">
      <c r="A814" s="3">
        <v>8</v>
      </c>
      <c r="B814" s="3">
        <v>2</v>
      </c>
      <c r="C814" s="3">
        <v>45</v>
      </c>
      <c r="D814" s="3">
        <v>21</v>
      </c>
      <c r="E814" s="3">
        <f>((1/(INDEX(E0!J$4:J$52,C814,1)-INDEX(E0!J$4:J$52,D814,1))))*100000000</f>
        <v>0</v>
      </c>
      <c r="F814" s="4" t="str">
        <f>HYPERLINK("http://141.218.60.56/~jnz1568/getInfo.php?workbook=08_02.xlsx&amp;sheet=A0&amp;row=814&amp;col=6&amp;number=&amp;sourceID=27","")</f>
        <v/>
      </c>
      <c r="G814" s="4" t="str">
        <f>HYPERLINK("http://141.218.60.56/~jnz1568/getInfo.php?workbook=08_02.xlsx&amp;sheet=A0&amp;row=814&amp;col=7&amp;number=&amp;sourceID=34","")</f>
        <v/>
      </c>
      <c r="H814" s="4" t="str">
        <f>HYPERLINK("http://141.218.60.56/~jnz1568/getInfo.php?workbook=08_02.xlsx&amp;sheet=A0&amp;row=814&amp;col=8&amp;number=&amp;sourceID=34","")</f>
        <v/>
      </c>
      <c r="I814" s="4" t="str">
        <f>HYPERLINK("http://141.218.60.56/~jnz1568/getInfo.php?workbook=08_02.xlsx&amp;sheet=A0&amp;row=814&amp;col=9&amp;number=&amp;sourceID=34","")</f>
        <v/>
      </c>
      <c r="J814" s="4" t="str">
        <f>HYPERLINK("http://141.218.60.56/~jnz1568/getInfo.php?workbook=08_02.xlsx&amp;sheet=A0&amp;row=814&amp;col=10&amp;number=&amp;sourceID=34","")</f>
        <v/>
      </c>
      <c r="K814" s="4" t="str">
        <f>HYPERLINK("http://141.218.60.56/~jnz1568/getInfo.php?workbook=08_02.xlsx&amp;sheet=A0&amp;row=814&amp;col=11&amp;number=&amp;sourceID=30","")</f>
        <v/>
      </c>
      <c r="L814" s="4" t="str">
        <f>HYPERLINK("http://141.218.60.56/~jnz1568/getInfo.php?workbook=08_02.xlsx&amp;sheet=A0&amp;row=814&amp;col=12&amp;number=&amp;sourceID=30","")</f>
        <v/>
      </c>
      <c r="M814" s="4" t="str">
        <f>HYPERLINK("http://141.218.60.56/~jnz1568/getInfo.php?workbook=08_02.xlsx&amp;sheet=A0&amp;row=814&amp;col=13&amp;number=&amp;sourceID=30","")</f>
        <v/>
      </c>
      <c r="N814" s="4" t="str">
        <f>HYPERLINK("http://141.218.60.56/~jnz1568/getInfo.php?workbook=08_02.xlsx&amp;sheet=A0&amp;row=814&amp;col=14&amp;number=1.538e-11&amp;sourceID=30","1.538e-11")</f>
        <v>1.538e-11</v>
      </c>
      <c r="O814" s="4" t="str">
        <f>HYPERLINK("http://141.218.60.56/~jnz1568/getInfo.php?workbook=08_02.xlsx&amp;sheet=A0&amp;row=814&amp;col=15&amp;number=&amp;sourceID=32","")</f>
        <v/>
      </c>
      <c r="P814" s="4" t="str">
        <f>HYPERLINK("http://141.218.60.56/~jnz1568/getInfo.php?workbook=08_02.xlsx&amp;sheet=A0&amp;row=814&amp;col=16&amp;number=&amp;sourceID=32","")</f>
        <v/>
      </c>
      <c r="Q814" s="4" t="str">
        <f>HYPERLINK("http://141.218.60.56/~jnz1568/getInfo.php?workbook=08_02.xlsx&amp;sheet=A0&amp;row=814&amp;col=17&amp;number=&amp;sourceID=32","")</f>
        <v/>
      </c>
      <c r="R814" s="4" t="str">
        <f>HYPERLINK("http://141.218.60.56/~jnz1568/getInfo.php?workbook=08_02.xlsx&amp;sheet=A0&amp;row=814&amp;col=18&amp;number=&amp;sourceID=32","")</f>
        <v/>
      </c>
      <c r="S814" s="4" t="str">
        <f>HYPERLINK("http://141.218.60.56/~jnz1568/getInfo.php?workbook=08_02.xlsx&amp;sheet=A0&amp;row=814&amp;col=19&amp;number=&amp;sourceID=1","")</f>
        <v/>
      </c>
      <c r="T814" s="4" t="str">
        <f>HYPERLINK("http://141.218.60.56/~jnz1568/getInfo.php?workbook=08_02.xlsx&amp;sheet=A0&amp;row=814&amp;col=20&amp;number=&amp;sourceID=1","")</f>
        <v/>
      </c>
    </row>
    <row r="815" spans="1:20">
      <c r="A815" s="3">
        <v>8</v>
      </c>
      <c r="B815" s="3">
        <v>2</v>
      </c>
      <c r="C815" s="3">
        <v>45</v>
      </c>
      <c r="D815" s="3">
        <v>24</v>
      </c>
      <c r="E815" s="3">
        <f>((1/(INDEX(E0!J$4:J$52,C815,1)-INDEX(E0!J$4:J$52,D815,1))))*100000000</f>
        <v>0</v>
      </c>
      <c r="F815" s="4" t="str">
        <f>HYPERLINK("http://141.218.60.56/~jnz1568/getInfo.php?workbook=08_02.xlsx&amp;sheet=A0&amp;row=815&amp;col=6&amp;number=&amp;sourceID=27","")</f>
        <v/>
      </c>
      <c r="G815" s="4" t="str">
        <f>HYPERLINK("http://141.218.60.56/~jnz1568/getInfo.php?workbook=08_02.xlsx&amp;sheet=A0&amp;row=815&amp;col=7&amp;number=&amp;sourceID=34","")</f>
        <v/>
      </c>
      <c r="H815" s="4" t="str">
        <f>HYPERLINK("http://141.218.60.56/~jnz1568/getInfo.php?workbook=08_02.xlsx&amp;sheet=A0&amp;row=815&amp;col=8&amp;number=&amp;sourceID=34","")</f>
        <v/>
      </c>
      <c r="I815" s="4" t="str">
        <f>HYPERLINK("http://141.218.60.56/~jnz1568/getInfo.php?workbook=08_02.xlsx&amp;sheet=A0&amp;row=815&amp;col=9&amp;number=&amp;sourceID=34","")</f>
        <v/>
      </c>
      <c r="J815" s="4" t="str">
        <f>HYPERLINK("http://141.218.60.56/~jnz1568/getInfo.php?workbook=08_02.xlsx&amp;sheet=A0&amp;row=815&amp;col=10&amp;number=&amp;sourceID=34","")</f>
        <v/>
      </c>
      <c r="K815" s="4" t="str">
        <f>HYPERLINK("http://141.218.60.56/~jnz1568/getInfo.php?workbook=08_02.xlsx&amp;sheet=A0&amp;row=815&amp;col=11&amp;number=&amp;sourceID=30","")</f>
        <v/>
      </c>
      <c r="L815" s="4" t="str">
        <f>HYPERLINK("http://141.218.60.56/~jnz1568/getInfo.php?workbook=08_02.xlsx&amp;sheet=A0&amp;row=815&amp;col=12&amp;number=63090&amp;sourceID=30","63090")</f>
        <v>63090</v>
      </c>
      <c r="M815" s="4" t="str">
        <f>HYPERLINK("http://141.218.60.56/~jnz1568/getInfo.php?workbook=08_02.xlsx&amp;sheet=A0&amp;row=815&amp;col=13&amp;number=&amp;sourceID=30","")</f>
        <v/>
      </c>
      <c r="N815" s="4" t="str">
        <f>HYPERLINK("http://141.218.60.56/~jnz1568/getInfo.php?workbook=08_02.xlsx&amp;sheet=A0&amp;row=815&amp;col=14&amp;number=&amp;sourceID=30","")</f>
        <v/>
      </c>
      <c r="O815" s="4" t="str">
        <f>HYPERLINK("http://141.218.60.56/~jnz1568/getInfo.php?workbook=08_02.xlsx&amp;sheet=A0&amp;row=815&amp;col=15&amp;number=&amp;sourceID=32","")</f>
        <v/>
      </c>
      <c r="P815" s="4" t="str">
        <f>HYPERLINK("http://141.218.60.56/~jnz1568/getInfo.php?workbook=08_02.xlsx&amp;sheet=A0&amp;row=815&amp;col=16&amp;number=&amp;sourceID=32","")</f>
        <v/>
      </c>
      <c r="Q815" s="4" t="str">
        <f>HYPERLINK("http://141.218.60.56/~jnz1568/getInfo.php?workbook=08_02.xlsx&amp;sheet=A0&amp;row=815&amp;col=17&amp;number=&amp;sourceID=32","")</f>
        <v/>
      </c>
      <c r="R815" s="4" t="str">
        <f>HYPERLINK("http://141.218.60.56/~jnz1568/getInfo.php?workbook=08_02.xlsx&amp;sheet=A0&amp;row=815&amp;col=18&amp;number=&amp;sourceID=32","")</f>
        <v/>
      </c>
      <c r="S815" s="4" t="str">
        <f>HYPERLINK("http://141.218.60.56/~jnz1568/getInfo.php?workbook=08_02.xlsx&amp;sheet=A0&amp;row=815&amp;col=19&amp;number=&amp;sourceID=1","")</f>
        <v/>
      </c>
      <c r="T815" s="4" t="str">
        <f>HYPERLINK("http://141.218.60.56/~jnz1568/getInfo.php?workbook=08_02.xlsx&amp;sheet=A0&amp;row=815&amp;col=20&amp;number=&amp;sourceID=1","")</f>
        <v/>
      </c>
    </row>
    <row r="816" spans="1:20">
      <c r="A816" s="3">
        <v>8</v>
      </c>
      <c r="B816" s="3">
        <v>2</v>
      </c>
      <c r="C816" s="3">
        <v>45</v>
      </c>
      <c r="D816" s="3">
        <v>25</v>
      </c>
      <c r="E816" s="3">
        <f>((1/(INDEX(E0!J$4:J$52,C816,1)-INDEX(E0!J$4:J$52,D816,1))))*100000000</f>
        <v>0</v>
      </c>
      <c r="F816" s="4" t="str">
        <f>HYPERLINK("http://141.218.60.56/~jnz1568/getInfo.php?workbook=08_02.xlsx&amp;sheet=A0&amp;row=816&amp;col=6&amp;number=&amp;sourceID=27","")</f>
        <v/>
      </c>
      <c r="G816" s="4" t="str">
        <f>HYPERLINK("http://141.218.60.56/~jnz1568/getInfo.php?workbook=08_02.xlsx&amp;sheet=A0&amp;row=816&amp;col=7&amp;number=&amp;sourceID=34","")</f>
        <v/>
      </c>
      <c r="H816" s="4" t="str">
        <f>HYPERLINK("http://141.218.60.56/~jnz1568/getInfo.php?workbook=08_02.xlsx&amp;sheet=A0&amp;row=816&amp;col=8&amp;number=&amp;sourceID=34","")</f>
        <v/>
      </c>
      <c r="I816" s="4" t="str">
        <f>HYPERLINK("http://141.218.60.56/~jnz1568/getInfo.php?workbook=08_02.xlsx&amp;sheet=A0&amp;row=816&amp;col=9&amp;number=&amp;sourceID=34","")</f>
        <v/>
      </c>
      <c r="J816" s="4" t="str">
        <f>HYPERLINK("http://141.218.60.56/~jnz1568/getInfo.php?workbook=08_02.xlsx&amp;sheet=A0&amp;row=816&amp;col=10&amp;number=&amp;sourceID=34","")</f>
        <v/>
      </c>
      <c r="K816" s="4" t="str">
        <f>HYPERLINK("http://141.218.60.56/~jnz1568/getInfo.php?workbook=08_02.xlsx&amp;sheet=A0&amp;row=816&amp;col=11&amp;number=347500000&amp;sourceID=30","347500000")</f>
        <v>347500000</v>
      </c>
      <c r="L816" s="4" t="str">
        <f>HYPERLINK("http://141.218.60.56/~jnz1568/getInfo.php?workbook=08_02.xlsx&amp;sheet=A0&amp;row=816&amp;col=12&amp;number=&amp;sourceID=30","")</f>
        <v/>
      </c>
      <c r="M816" s="4" t="str">
        <f>HYPERLINK("http://141.218.60.56/~jnz1568/getInfo.php?workbook=08_02.xlsx&amp;sheet=A0&amp;row=816&amp;col=13&amp;number=&amp;sourceID=30","")</f>
        <v/>
      </c>
      <c r="N816" s="4" t="str">
        <f>HYPERLINK("http://141.218.60.56/~jnz1568/getInfo.php?workbook=08_02.xlsx&amp;sheet=A0&amp;row=816&amp;col=14&amp;number=5.126e-05&amp;sourceID=30","5.126e-05")</f>
        <v>5.126e-05</v>
      </c>
      <c r="O816" s="4" t="str">
        <f>HYPERLINK("http://141.218.60.56/~jnz1568/getInfo.php?workbook=08_02.xlsx&amp;sheet=A0&amp;row=816&amp;col=15&amp;number=&amp;sourceID=32","")</f>
        <v/>
      </c>
      <c r="P816" s="4" t="str">
        <f>HYPERLINK("http://141.218.60.56/~jnz1568/getInfo.php?workbook=08_02.xlsx&amp;sheet=A0&amp;row=816&amp;col=16&amp;number=&amp;sourceID=32","")</f>
        <v/>
      </c>
      <c r="Q816" s="4" t="str">
        <f>HYPERLINK("http://141.218.60.56/~jnz1568/getInfo.php?workbook=08_02.xlsx&amp;sheet=A0&amp;row=816&amp;col=17&amp;number=&amp;sourceID=32","")</f>
        <v/>
      </c>
      <c r="R816" s="4" t="str">
        <f>HYPERLINK("http://141.218.60.56/~jnz1568/getInfo.php?workbook=08_02.xlsx&amp;sheet=A0&amp;row=816&amp;col=18&amp;number=&amp;sourceID=32","")</f>
        <v/>
      </c>
      <c r="S816" s="4" t="str">
        <f>HYPERLINK("http://141.218.60.56/~jnz1568/getInfo.php?workbook=08_02.xlsx&amp;sheet=A0&amp;row=816&amp;col=19&amp;number=&amp;sourceID=1","")</f>
        <v/>
      </c>
      <c r="T816" s="4" t="str">
        <f>HYPERLINK("http://141.218.60.56/~jnz1568/getInfo.php?workbook=08_02.xlsx&amp;sheet=A0&amp;row=816&amp;col=20&amp;number=&amp;sourceID=1","")</f>
        <v/>
      </c>
    </row>
    <row r="817" spans="1:20">
      <c r="A817" s="3">
        <v>8</v>
      </c>
      <c r="B817" s="3">
        <v>2</v>
      </c>
      <c r="C817" s="3">
        <v>45</v>
      </c>
      <c r="D817" s="3">
        <v>26</v>
      </c>
      <c r="E817" s="3">
        <f>((1/(INDEX(E0!J$4:J$52,C817,1)-INDEX(E0!J$4:J$52,D817,1))))*100000000</f>
        <v>0</v>
      </c>
      <c r="F817" s="4" t="str">
        <f>HYPERLINK("http://141.218.60.56/~jnz1568/getInfo.php?workbook=08_02.xlsx&amp;sheet=A0&amp;row=817&amp;col=6&amp;number=&amp;sourceID=27","")</f>
        <v/>
      </c>
      <c r="G817" s="4" t="str">
        <f>HYPERLINK("http://141.218.60.56/~jnz1568/getInfo.php?workbook=08_02.xlsx&amp;sheet=A0&amp;row=817&amp;col=7&amp;number=&amp;sourceID=34","")</f>
        <v/>
      </c>
      <c r="H817" s="4" t="str">
        <f>HYPERLINK("http://141.218.60.56/~jnz1568/getInfo.php?workbook=08_02.xlsx&amp;sheet=A0&amp;row=817&amp;col=8&amp;number=&amp;sourceID=34","")</f>
        <v/>
      </c>
      <c r="I817" s="4" t="str">
        <f>HYPERLINK("http://141.218.60.56/~jnz1568/getInfo.php?workbook=08_02.xlsx&amp;sheet=A0&amp;row=817&amp;col=9&amp;number=&amp;sourceID=34","")</f>
        <v/>
      </c>
      <c r="J817" s="4" t="str">
        <f>HYPERLINK("http://141.218.60.56/~jnz1568/getInfo.php?workbook=08_02.xlsx&amp;sheet=A0&amp;row=817&amp;col=10&amp;number=&amp;sourceID=34","")</f>
        <v/>
      </c>
      <c r="K817" s="4" t="str">
        <f>HYPERLINK("http://141.218.60.56/~jnz1568/getInfo.php?workbook=08_02.xlsx&amp;sheet=A0&amp;row=817&amp;col=11&amp;number=&amp;sourceID=30","")</f>
        <v/>
      </c>
      <c r="L817" s="4" t="str">
        <f>HYPERLINK("http://141.218.60.56/~jnz1568/getInfo.php?workbook=08_02.xlsx&amp;sheet=A0&amp;row=817&amp;col=12&amp;number=10720&amp;sourceID=30","10720")</f>
        <v>10720</v>
      </c>
      <c r="M817" s="4" t="str">
        <f>HYPERLINK("http://141.218.60.56/~jnz1568/getInfo.php?workbook=08_02.xlsx&amp;sheet=A0&amp;row=817&amp;col=13&amp;number=1.406e-05&amp;sourceID=30","1.406e-05")</f>
        <v>1.406e-05</v>
      </c>
      <c r="N817" s="4" t="str">
        <f>HYPERLINK("http://141.218.60.56/~jnz1568/getInfo.php?workbook=08_02.xlsx&amp;sheet=A0&amp;row=817&amp;col=14&amp;number=&amp;sourceID=30","")</f>
        <v/>
      </c>
      <c r="O817" s="4" t="str">
        <f>HYPERLINK("http://141.218.60.56/~jnz1568/getInfo.php?workbook=08_02.xlsx&amp;sheet=A0&amp;row=817&amp;col=15&amp;number=&amp;sourceID=32","")</f>
        <v/>
      </c>
      <c r="P817" s="4" t="str">
        <f>HYPERLINK("http://141.218.60.56/~jnz1568/getInfo.php?workbook=08_02.xlsx&amp;sheet=A0&amp;row=817&amp;col=16&amp;number=&amp;sourceID=32","")</f>
        <v/>
      </c>
      <c r="Q817" s="4" t="str">
        <f>HYPERLINK("http://141.218.60.56/~jnz1568/getInfo.php?workbook=08_02.xlsx&amp;sheet=A0&amp;row=817&amp;col=17&amp;number=&amp;sourceID=32","")</f>
        <v/>
      </c>
      <c r="R817" s="4" t="str">
        <f>HYPERLINK("http://141.218.60.56/~jnz1568/getInfo.php?workbook=08_02.xlsx&amp;sheet=A0&amp;row=817&amp;col=18&amp;number=&amp;sourceID=32","")</f>
        <v/>
      </c>
      <c r="S817" s="4" t="str">
        <f>HYPERLINK("http://141.218.60.56/~jnz1568/getInfo.php?workbook=08_02.xlsx&amp;sheet=A0&amp;row=817&amp;col=19&amp;number=&amp;sourceID=1","")</f>
        <v/>
      </c>
      <c r="T817" s="4" t="str">
        <f>HYPERLINK("http://141.218.60.56/~jnz1568/getInfo.php?workbook=08_02.xlsx&amp;sheet=A0&amp;row=817&amp;col=20&amp;number=&amp;sourceID=1","")</f>
        <v/>
      </c>
    </row>
    <row r="818" spans="1:20">
      <c r="A818" s="3">
        <v>8</v>
      </c>
      <c r="B818" s="3">
        <v>2</v>
      </c>
      <c r="C818" s="3">
        <v>45</v>
      </c>
      <c r="D818" s="3">
        <v>27</v>
      </c>
      <c r="E818" s="3">
        <f>((1/(INDEX(E0!J$4:J$52,C818,1)-INDEX(E0!J$4:J$52,D818,1))))*100000000</f>
        <v>0</v>
      </c>
      <c r="F818" s="4" t="str">
        <f>HYPERLINK("http://141.218.60.56/~jnz1568/getInfo.php?workbook=08_02.xlsx&amp;sheet=A0&amp;row=818&amp;col=6&amp;number=&amp;sourceID=27","")</f>
        <v/>
      </c>
      <c r="G818" s="4" t="str">
        <f>HYPERLINK("http://141.218.60.56/~jnz1568/getInfo.php?workbook=08_02.xlsx&amp;sheet=A0&amp;row=818&amp;col=7&amp;number=&amp;sourceID=34","")</f>
        <v/>
      </c>
      <c r="H818" s="4" t="str">
        <f>HYPERLINK("http://141.218.60.56/~jnz1568/getInfo.php?workbook=08_02.xlsx&amp;sheet=A0&amp;row=818&amp;col=8&amp;number=&amp;sourceID=34","")</f>
        <v/>
      </c>
      <c r="I818" s="4" t="str">
        <f>HYPERLINK("http://141.218.60.56/~jnz1568/getInfo.php?workbook=08_02.xlsx&amp;sheet=A0&amp;row=818&amp;col=9&amp;number=&amp;sourceID=34","")</f>
        <v/>
      </c>
      <c r="J818" s="4" t="str">
        <f>HYPERLINK("http://141.218.60.56/~jnz1568/getInfo.php?workbook=08_02.xlsx&amp;sheet=A0&amp;row=818&amp;col=10&amp;number=&amp;sourceID=34","")</f>
        <v/>
      </c>
      <c r="K818" s="4" t="str">
        <f>HYPERLINK("http://141.218.60.56/~jnz1568/getInfo.php?workbook=08_02.xlsx&amp;sheet=A0&amp;row=818&amp;col=11&amp;number=9798000000&amp;sourceID=30","9798000000")</f>
        <v>9798000000</v>
      </c>
      <c r="L818" s="4" t="str">
        <f>HYPERLINK("http://141.218.60.56/~jnz1568/getInfo.php?workbook=08_02.xlsx&amp;sheet=A0&amp;row=818&amp;col=12&amp;number=&amp;sourceID=30","")</f>
        <v/>
      </c>
      <c r="M818" s="4" t="str">
        <f>HYPERLINK("http://141.218.60.56/~jnz1568/getInfo.php?workbook=08_02.xlsx&amp;sheet=A0&amp;row=818&amp;col=13&amp;number=&amp;sourceID=30","")</f>
        <v/>
      </c>
      <c r="N818" s="4" t="str">
        <f>HYPERLINK("http://141.218.60.56/~jnz1568/getInfo.php?workbook=08_02.xlsx&amp;sheet=A0&amp;row=818&amp;col=14&amp;number=0.8843&amp;sourceID=30","0.8843")</f>
        <v>0.8843</v>
      </c>
      <c r="O818" s="4" t="str">
        <f>HYPERLINK("http://141.218.60.56/~jnz1568/getInfo.php?workbook=08_02.xlsx&amp;sheet=A0&amp;row=818&amp;col=15&amp;number=&amp;sourceID=32","")</f>
        <v/>
      </c>
      <c r="P818" s="4" t="str">
        <f>HYPERLINK("http://141.218.60.56/~jnz1568/getInfo.php?workbook=08_02.xlsx&amp;sheet=A0&amp;row=818&amp;col=16&amp;number=&amp;sourceID=32","")</f>
        <v/>
      </c>
      <c r="Q818" s="4" t="str">
        <f>HYPERLINK("http://141.218.60.56/~jnz1568/getInfo.php?workbook=08_02.xlsx&amp;sheet=A0&amp;row=818&amp;col=17&amp;number=&amp;sourceID=32","")</f>
        <v/>
      </c>
      <c r="R818" s="4" t="str">
        <f>HYPERLINK("http://141.218.60.56/~jnz1568/getInfo.php?workbook=08_02.xlsx&amp;sheet=A0&amp;row=818&amp;col=18&amp;number=&amp;sourceID=32","")</f>
        <v/>
      </c>
      <c r="S818" s="4" t="str">
        <f>HYPERLINK("http://141.218.60.56/~jnz1568/getInfo.php?workbook=08_02.xlsx&amp;sheet=A0&amp;row=818&amp;col=19&amp;number=&amp;sourceID=1","")</f>
        <v/>
      </c>
      <c r="T818" s="4" t="str">
        <f>HYPERLINK("http://141.218.60.56/~jnz1568/getInfo.php?workbook=08_02.xlsx&amp;sheet=A0&amp;row=818&amp;col=20&amp;number=&amp;sourceID=1","")</f>
        <v/>
      </c>
    </row>
    <row r="819" spans="1:20">
      <c r="A819" s="3">
        <v>8</v>
      </c>
      <c r="B819" s="3">
        <v>2</v>
      </c>
      <c r="C819" s="3">
        <v>45</v>
      </c>
      <c r="D819" s="3">
        <v>28</v>
      </c>
      <c r="E819" s="3">
        <f>((1/(INDEX(E0!J$4:J$52,C819,1)-INDEX(E0!J$4:J$52,D819,1))))*100000000</f>
        <v>0</v>
      </c>
      <c r="F819" s="4" t="str">
        <f>HYPERLINK("http://141.218.60.56/~jnz1568/getInfo.php?workbook=08_02.xlsx&amp;sheet=A0&amp;row=819&amp;col=6&amp;number=&amp;sourceID=27","")</f>
        <v/>
      </c>
      <c r="G819" s="4" t="str">
        <f>HYPERLINK("http://141.218.60.56/~jnz1568/getInfo.php?workbook=08_02.xlsx&amp;sheet=A0&amp;row=819&amp;col=7&amp;number=&amp;sourceID=34","")</f>
        <v/>
      </c>
      <c r="H819" s="4" t="str">
        <f>HYPERLINK("http://141.218.60.56/~jnz1568/getInfo.php?workbook=08_02.xlsx&amp;sheet=A0&amp;row=819&amp;col=8&amp;number=&amp;sourceID=34","")</f>
        <v/>
      </c>
      <c r="I819" s="4" t="str">
        <f>HYPERLINK("http://141.218.60.56/~jnz1568/getInfo.php?workbook=08_02.xlsx&amp;sheet=A0&amp;row=819&amp;col=9&amp;number=&amp;sourceID=34","")</f>
        <v/>
      </c>
      <c r="J819" s="4" t="str">
        <f>HYPERLINK("http://141.218.60.56/~jnz1568/getInfo.php?workbook=08_02.xlsx&amp;sheet=A0&amp;row=819&amp;col=10&amp;number=&amp;sourceID=34","")</f>
        <v/>
      </c>
      <c r="K819" s="4" t="str">
        <f>HYPERLINK("http://141.218.60.56/~jnz1568/getInfo.php?workbook=08_02.xlsx&amp;sheet=A0&amp;row=819&amp;col=11&amp;number=&amp;sourceID=30","")</f>
        <v/>
      </c>
      <c r="L819" s="4" t="str">
        <f>HYPERLINK("http://141.218.60.56/~jnz1568/getInfo.php?workbook=08_02.xlsx&amp;sheet=A0&amp;row=819&amp;col=12&amp;number=&amp;sourceID=30","")</f>
        <v/>
      </c>
      <c r="M819" s="4" t="str">
        <f>HYPERLINK("http://141.218.60.56/~jnz1568/getInfo.php?workbook=08_02.xlsx&amp;sheet=A0&amp;row=819&amp;col=13&amp;number=&amp;sourceID=30","")</f>
        <v/>
      </c>
      <c r="N819" s="4" t="str">
        <f>HYPERLINK("http://141.218.60.56/~jnz1568/getInfo.php?workbook=08_02.xlsx&amp;sheet=A0&amp;row=819&amp;col=14&amp;number=0.07561&amp;sourceID=30","0.07561")</f>
        <v>0.07561</v>
      </c>
      <c r="O819" s="4" t="str">
        <f>HYPERLINK("http://141.218.60.56/~jnz1568/getInfo.php?workbook=08_02.xlsx&amp;sheet=A0&amp;row=819&amp;col=15&amp;number=&amp;sourceID=32","")</f>
        <v/>
      </c>
      <c r="P819" s="4" t="str">
        <f>HYPERLINK("http://141.218.60.56/~jnz1568/getInfo.php?workbook=08_02.xlsx&amp;sheet=A0&amp;row=819&amp;col=16&amp;number=&amp;sourceID=32","")</f>
        <v/>
      </c>
      <c r="Q819" s="4" t="str">
        <f>HYPERLINK("http://141.218.60.56/~jnz1568/getInfo.php?workbook=08_02.xlsx&amp;sheet=A0&amp;row=819&amp;col=17&amp;number=&amp;sourceID=32","")</f>
        <v/>
      </c>
      <c r="R819" s="4" t="str">
        <f>HYPERLINK("http://141.218.60.56/~jnz1568/getInfo.php?workbook=08_02.xlsx&amp;sheet=A0&amp;row=819&amp;col=18&amp;number=&amp;sourceID=32","")</f>
        <v/>
      </c>
      <c r="S819" s="4" t="str">
        <f>HYPERLINK("http://141.218.60.56/~jnz1568/getInfo.php?workbook=08_02.xlsx&amp;sheet=A0&amp;row=819&amp;col=19&amp;number=&amp;sourceID=1","")</f>
        <v/>
      </c>
      <c r="T819" s="4" t="str">
        <f>HYPERLINK("http://141.218.60.56/~jnz1568/getInfo.php?workbook=08_02.xlsx&amp;sheet=A0&amp;row=819&amp;col=20&amp;number=&amp;sourceID=1","")</f>
        <v/>
      </c>
    </row>
    <row r="820" spans="1:20">
      <c r="A820" s="3">
        <v>8</v>
      </c>
      <c r="B820" s="3">
        <v>2</v>
      </c>
      <c r="C820" s="3">
        <v>45</v>
      </c>
      <c r="D820" s="3">
        <v>29</v>
      </c>
      <c r="E820" s="3">
        <f>((1/(INDEX(E0!J$4:J$52,C820,1)-INDEX(E0!J$4:J$52,D820,1))))*100000000</f>
        <v>0</v>
      </c>
      <c r="F820" s="4" t="str">
        <f>HYPERLINK("http://141.218.60.56/~jnz1568/getInfo.php?workbook=08_02.xlsx&amp;sheet=A0&amp;row=820&amp;col=6&amp;number=&amp;sourceID=27","")</f>
        <v/>
      </c>
      <c r="G820" s="4" t="str">
        <f>HYPERLINK("http://141.218.60.56/~jnz1568/getInfo.php?workbook=08_02.xlsx&amp;sheet=A0&amp;row=820&amp;col=7&amp;number=&amp;sourceID=34","")</f>
        <v/>
      </c>
      <c r="H820" s="4" t="str">
        <f>HYPERLINK("http://141.218.60.56/~jnz1568/getInfo.php?workbook=08_02.xlsx&amp;sheet=A0&amp;row=820&amp;col=8&amp;number=&amp;sourceID=34","")</f>
        <v/>
      </c>
      <c r="I820" s="4" t="str">
        <f>HYPERLINK("http://141.218.60.56/~jnz1568/getInfo.php?workbook=08_02.xlsx&amp;sheet=A0&amp;row=820&amp;col=9&amp;number=&amp;sourceID=34","")</f>
        <v/>
      </c>
      <c r="J820" s="4" t="str">
        <f>HYPERLINK("http://141.218.60.56/~jnz1568/getInfo.php?workbook=08_02.xlsx&amp;sheet=A0&amp;row=820&amp;col=10&amp;number=&amp;sourceID=34","")</f>
        <v/>
      </c>
      <c r="K820" s="4" t="str">
        <f>HYPERLINK("http://141.218.60.56/~jnz1568/getInfo.php?workbook=08_02.xlsx&amp;sheet=A0&amp;row=820&amp;col=11&amp;number=&amp;sourceID=30","")</f>
        <v/>
      </c>
      <c r="L820" s="4" t="str">
        <f>HYPERLINK("http://141.218.60.56/~jnz1568/getInfo.php?workbook=08_02.xlsx&amp;sheet=A0&amp;row=820&amp;col=12&amp;number=44160&amp;sourceID=30","44160")</f>
        <v>44160</v>
      </c>
      <c r="M820" s="4" t="str">
        <f>HYPERLINK("http://141.218.60.56/~jnz1568/getInfo.php?workbook=08_02.xlsx&amp;sheet=A0&amp;row=820&amp;col=13&amp;number=&amp;sourceID=30","")</f>
        <v/>
      </c>
      <c r="N820" s="4" t="str">
        <f>HYPERLINK("http://141.218.60.56/~jnz1568/getInfo.php?workbook=08_02.xlsx&amp;sheet=A0&amp;row=820&amp;col=14&amp;number=&amp;sourceID=30","")</f>
        <v/>
      </c>
      <c r="O820" s="4" t="str">
        <f>HYPERLINK("http://141.218.60.56/~jnz1568/getInfo.php?workbook=08_02.xlsx&amp;sheet=A0&amp;row=820&amp;col=15&amp;number=&amp;sourceID=32","")</f>
        <v/>
      </c>
      <c r="P820" s="4" t="str">
        <f>HYPERLINK("http://141.218.60.56/~jnz1568/getInfo.php?workbook=08_02.xlsx&amp;sheet=A0&amp;row=820&amp;col=16&amp;number=&amp;sourceID=32","")</f>
        <v/>
      </c>
      <c r="Q820" s="4" t="str">
        <f>HYPERLINK("http://141.218.60.56/~jnz1568/getInfo.php?workbook=08_02.xlsx&amp;sheet=A0&amp;row=820&amp;col=17&amp;number=&amp;sourceID=32","")</f>
        <v/>
      </c>
      <c r="R820" s="4" t="str">
        <f>HYPERLINK("http://141.218.60.56/~jnz1568/getInfo.php?workbook=08_02.xlsx&amp;sheet=A0&amp;row=820&amp;col=18&amp;number=&amp;sourceID=32","")</f>
        <v/>
      </c>
      <c r="S820" s="4" t="str">
        <f>HYPERLINK("http://141.218.60.56/~jnz1568/getInfo.php?workbook=08_02.xlsx&amp;sheet=A0&amp;row=820&amp;col=19&amp;number=&amp;sourceID=1","")</f>
        <v/>
      </c>
      <c r="T820" s="4" t="str">
        <f>HYPERLINK("http://141.218.60.56/~jnz1568/getInfo.php?workbook=08_02.xlsx&amp;sheet=A0&amp;row=820&amp;col=20&amp;number=&amp;sourceID=1","")</f>
        <v/>
      </c>
    </row>
    <row r="821" spans="1:20">
      <c r="A821" s="3">
        <v>8</v>
      </c>
      <c r="B821" s="3">
        <v>2</v>
      </c>
      <c r="C821" s="3">
        <v>45</v>
      </c>
      <c r="D821" s="3">
        <v>30</v>
      </c>
      <c r="E821" s="3">
        <f>((1/(INDEX(E0!J$4:J$52,C821,1)-INDEX(E0!J$4:J$52,D821,1))))*100000000</f>
        <v>0</v>
      </c>
      <c r="F821" s="4" t="str">
        <f>HYPERLINK("http://141.218.60.56/~jnz1568/getInfo.php?workbook=08_02.xlsx&amp;sheet=A0&amp;row=821&amp;col=6&amp;number=&amp;sourceID=27","")</f>
        <v/>
      </c>
      <c r="G821" s="4" t="str">
        <f>HYPERLINK("http://141.218.60.56/~jnz1568/getInfo.php?workbook=08_02.xlsx&amp;sheet=A0&amp;row=821&amp;col=7&amp;number=&amp;sourceID=34","")</f>
        <v/>
      </c>
      <c r="H821" s="4" t="str">
        <f>HYPERLINK("http://141.218.60.56/~jnz1568/getInfo.php?workbook=08_02.xlsx&amp;sheet=A0&amp;row=821&amp;col=8&amp;number=&amp;sourceID=34","")</f>
        <v/>
      </c>
      <c r="I821" s="4" t="str">
        <f>HYPERLINK("http://141.218.60.56/~jnz1568/getInfo.php?workbook=08_02.xlsx&amp;sheet=A0&amp;row=821&amp;col=9&amp;number=&amp;sourceID=34","")</f>
        <v/>
      </c>
      <c r="J821" s="4" t="str">
        <f>HYPERLINK("http://141.218.60.56/~jnz1568/getInfo.php?workbook=08_02.xlsx&amp;sheet=A0&amp;row=821&amp;col=10&amp;number=&amp;sourceID=34","")</f>
        <v/>
      </c>
      <c r="K821" s="4" t="str">
        <f>HYPERLINK("http://141.218.60.56/~jnz1568/getInfo.php?workbook=08_02.xlsx&amp;sheet=A0&amp;row=821&amp;col=11&amp;number=75660000&amp;sourceID=30","75660000")</f>
        <v>75660000</v>
      </c>
      <c r="L821" s="4" t="str">
        <f>HYPERLINK("http://141.218.60.56/~jnz1568/getInfo.php?workbook=08_02.xlsx&amp;sheet=A0&amp;row=821&amp;col=12&amp;number=&amp;sourceID=30","")</f>
        <v/>
      </c>
      <c r="M821" s="4" t="str">
        <f>HYPERLINK("http://141.218.60.56/~jnz1568/getInfo.php?workbook=08_02.xlsx&amp;sheet=A0&amp;row=821&amp;col=13&amp;number=&amp;sourceID=30","")</f>
        <v/>
      </c>
      <c r="N821" s="4" t="str">
        <f>HYPERLINK("http://141.218.60.56/~jnz1568/getInfo.php?workbook=08_02.xlsx&amp;sheet=A0&amp;row=821&amp;col=14&amp;number=0.004256&amp;sourceID=30","0.004256")</f>
        <v>0.004256</v>
      </c>
      <c r="O821" s="4" t="str">
        <f>HYPERLINK("http://141.218.60.56/~jnz1568/getInfo.php?workbook=08_02.xlsx&amp;sheet=A0&amp;row=821&amp;col=15&amp;number=&amp;sourceID=32","")</f>
        <v/>
      </c>
      <c r="P821" s="4" t="str">
        <f>HYPERLINK("http://141.218.60.56/~jnz1568/getInfo.php?workbook=08_02.xlsx&amp;sheet=A0&amp;row=821&amp;col=16&amp;number=&amp;sourceID=32","")</f>
        <v/>
      </c>
      <c r="Q821" s="4" t="str">
        <f>HYPERLINK("http://141.218.60.56/~jnz1568/getInfo.php?workbook=08_02.xlsx&amp;sheet=A0&amp;row=821&amp;col=17&amp;number=&amp;sourceID=32","")</f>
        <v/>
      </c>
      <c r="R821" s="4" t="str">
        <f>HYPERLINK("http://141.218.60.56/~jnz1568/getInfo.php?workbook=08_02.xlsx&amp;sheet=A0&amp;row=821&amp;col=18&amp;number=&amp;sourceID=32","")</f>
        <v/>
      </c>
      <c r="S821" s="4" t="str">
        <f>HYPERLINK("http://141.218.60.56/~jnz1568/getInfo.php?workbook=08_02.xlsx&amp;sheet=A0&amp;row=821&amp;col=19&amp;number=&amp;sourceID=1","")</f>
        <v/>
      </c>
      <c r="T821" s="4" t="str">
        <f>HYPERLINK("http://141.218.60.56/~jnz1568/getInfo.php?workbook=08_02.xlsx&amp;sheet=A0&amp;row=821&amp;col=20&amp;number=&amp;sourceID=1","")</f>
        <v/>
      </c>
    </row>
    <row r="822" spans="1:20">
      <c r="A822" s="3">
        <v>8</v>
      </c>
      <c r="B822" s="3">
        <v>2</v>
      </c>
      <c r="C822" s="3">
        <v>45</v>
      </c>
      <c r="D822" s="3">
        <v>36</v>
      </c>
      <c r="E822" s="3">
        <f>((1/(INDEX(E0!J$4:J$52,C822,1)-INDEX(E0!J$4:J$52,D822,1))))*100000000</f>
        <v>0</v>
      </c>
      <c r="F822" s="4" t="str">
        <f>HYPERLINK("http://141.218.60.56/~jnz1568/getInfo.php?workbook=08_02.xlsx&amp;sheet=A0&amp;row=822&amp;col=6&amp;number=&amp;sourceID=27","")</f>
        <v/>
      </c>
      <c r="G822" s="4" t="str">
        <f>HYPERLINK("http://141.218.60.56/~jnz1568/getInfo.php?workbook=08_02.xlsx&amp;sheet=A0&amp;row=822&amp;col=7&amp;number=&amp;sourceID=34","")</f>
        <v/>
      </c>
      <c r="H822" s="4" t="str">
        <f>HYPERLINK("http://141.218.60.56/~jnz1568/getInfo.php?workbook=08_02.xlsx&amp;sheet=A0&amp;row=822&amp;col=8&amp;number=&amp;sourceID=34","")</f>
        <v/>
      </c>
      <c r="I822" s="4" t="str">
        <f>HYPERLINK("http://141.218.60.56/~jnz1568/getInfo.php?workbook=08_02.xlsx&amp;sheet=A0&amp;row=822&amp;col=9&amp;number=&amp;sourceID=34","")</f>
        <v/>
      </c>
      <c r="J822" s="4" t="str">
        <f>HYPERLINK("http://141.218.60.56/~jnz1568/getInfo.php?workbook=08_02.xlsx&amp;sheet=A0&amp;row=822&amp;col=10&amp;number=&amp;sourceID=34","")</f>
        <v/>
      </c>
      <c r="K822" s="4" t="str">
        <f>HYPERLINK("http://141.218.60.56/~jnz1568/getInfo.php?workbook=08_02.xlsx&amp;sheet=A0&amp;row=822&amp;col=11&amp;number=&amp;sourceID=30","")</f>
        <v/>
      </c>
      <c r="L822" s="4" t="str">
        <f>HYPERLINK("http://141.218.60.56/~jnz1568/getInfo.php?workbook=08_02.xlsx&amp;sheet=A0&amp;row=822&amp;col=12&amp;number=&amp;sourceID=30","")</f>
        <v/>
      </c>
      <c r="M822" s="4" t="str">
        <f>HYPERLINK("http://141.218.60.56/~jnz1568/getInfo.php?workbook=08_02.xlsx&amp;sheet=A0&amp;row=822&amp;col=13&amp;number=&amp;sourceID=30","")</f>
        <v/>
      </c>
      <c r="N822" s="4" t="str">
        <f>HYPERLINK("http://141.218.60.56/~jnz1568/getInfo.php?workbook=08_02.xlsx&amp;sheet=A0&amp;row=822&amp;col=14&amp;number=0&amp;sourceID=30","0")</f>
        <v>0</v>
      </c>
      <c r="O822" s="4" t="str">
        <f>HYPERLINK("http://141.218.60.56/~jnz1568/getInfo.php?workbook=08_02.xlsx&amp;sheet=A0&amp;row=822&amp;col=15&amp;number=&amp;sourceID=32","")</f>
        <v/>
      </c>
      <c r="P822" s="4" t="str">
        <f>HYPERLINK("http://141.218.60.56/~jnz1568/getInfo.php?workbook=08_02.xlsx&amp;sheet=A0&amp;row=822&amp;col=16&amp;number=&amp;sourceID=32","")</f>
        <v/>
      </c>
      <c r="Q822" s="4" t="str">
        <f>HYPERLINK("http://141.218.60.56/~jnz1568/getInfo.php?workbook=08_02.xlsx&amp;sheet=A0&amp;row=822&amp;col=17&amp;number=&amp;sourceID=32","")</f>
        <v/>
      </c>
      <c r="R822" s="4" t="str">
        <f>HYPERLINK("http://141.218.60.56/~jnz1568/getInfo.php?workbook=08_02.xlsx&amp;sheet=A0&amp;row=822&amp;col=18&amp;number=&amp;sourceID=32","")</f>
        <v/>
      </c>
      <c r="S822" s="4" t="str">
        <f>HYPERLINK("http://141.218.60.56/~jnz1568/getInfo.php?workbook=08_02.xlsx&amp;sheet=A0&amp;row=822&amp;col=19&amp;number=&amp;sourceID=1","")</f>
        <v/>
      </c>
      <c r="T822" s="4" t="str">
        <f>HYPERLINK("http://141.218.60.56/~jnz1568/getInfo.php?workbook=08_02.xlsx&amp;sheet=A0&amp;row=822&amp;col=20&amp;number=&amp;sourceID=1","")</f>
        <v/>
      </c>
    </row>
    <row r="823" spans="1:20">
      <c r="A823" s="3">
        <v>8</v>
      </c>
      <c r="B823" s="3">
        <v>2</v>
      </c>
      <c r="C823" s="3">
        <v>45</v>
      </c>
      <c r="D823" s="3">
        <v>37</v>
      </c>
      <c r="E823" s="3">
        <f>((1/(INDEX(E0!J$4:J$52,C823,1)-INDEX(E0!J$4:J$52,D823,1))))*100000000</f>
        <v>0</v>
      </c>
      <c r="F823" s="4" t="str">
        <f>HYPERLINK("http://141.218.60.56/~jnz1568/getInfo.php?workbook=08_02.xlsx&amp;sheet=A0&amp;row=823&amp;col=6&amp;number=&amp;sourceID=27","")</f>
        <v/>
      </c>
      <c r="G823" s="4" t="str">
        <f>HYPERLINK("http://141.218.60.56/~jnz1568/getInfo.php?workbook=08_02.xlsx&amp;sheet=A0&amp;row=823&amp;col=7&amp;number=&amp;sourceID=34","")</f>
        <v/>
      </c>
      <c r="H823" s="4" t="str">
        <f>HYPERLINK("http://141.218.60.56/~jnz1568/getInfo.php?workbook=08_02.xlsx&amp;sheet=A0&amp;row=823&amp;col=8&amp;number=&amp;sourceID=34","")</f>
        <v/>
      </c>
      <c r="I823" s="4" t="str">
        <f>HYPERLINK("http://141.218.60.56/~jnz1568/getInfo.php?workbook=08_02.xlsx&amp;sheet=A0&amp;row=823&amp;col=9&amp;number=&amp;sourceID=34","")</f>
        <v/>
      </c>
      <c r="J823" s="4" t="str">
        <f>HYPERLINK("http://141.218.60.56/~jnz1568/getInfo.php?workbook=08_02.xlsx&amp;sheet=A0&amp;row=823&amp;col=10&amp;number=&amp;sourceID=34","")</f>
        <v/>
      </c>
      <c r="K823" s="4" t="str">
        <f>HYPERLINK("http://141.218.60.56/~jnz1568/getInfo.php?workbook=08_02.xlsx&amp;sheet=A0&amp;row=823&amp;col=11&amp;number=1.737e-06&amp;sourceID=30","1.737e-06")</f>
        <v>1.737e-06</v>
      </c>
      <c r="L823" s="4" t="str">
        <f>HYPERLINK("http://141.218.60.56/~jnz1568/getInfo.php?workbook=08_02.xlsx&amp;sheet=A0&amp;row=823&amp;col=12&amp;number=&amp;sourceID=30","")</f>
        <v/>
      </c>
      <c r="M823" s="4" t="str">
        <f>HYPERLINK("http://141.218.60.56/~jnz1568/getInfo.php?workbook=08_02.xlsx&amp;sheet=A0&amp;row=823&amp;col=13&amp;number=&amp;sourceID=30","")</f>
        <v/>
      </c>
      <c r="N823" s="4" t="str">
        <f>HYPERLINK("http://141.218.60.56/~jnz1568/getInfo.php?workbook=08_02.xlsx&amp;sheet=A0&amp;row=823&amp;col=14&amp;number=0&amp;sourceID=30","0")</f>
        <v>0</v>
      </c>
      <c r="O823" s="4" t="str">
        <f>HYPERLINK("http://141.218.60.56/~jnz1568/getInfo.php?workbook=08_02.xlsx&amp;sheet=A0&amp;row=823&amp;col=15&amp;number=&amp;sourceID=32","")</f>
        <v/>
      </c>
      <c r="P823" s="4" t="str">
        <f>HYPERLINK("http://141.218.60.56/~jnz1568/getInfo.php?workbook=08_02.xlsx&amp;sheet=A0&amp;row=823&amp;col=16&amp;number=&amp;sourceID=32","")</f>
        <v/>
      </c>
      <c r="Q823" s="4" t="str">
        <f>HYPERLINK("http://141.218.60.56/~jnz1568/getInfo.php?workbook=08_02.xlsx&amp;sheet=A0&amp;row=823&amp;col=17&amp;number=&amp;sourceID=32","")</f>
        <v/>
      </c>
      <c r="R823" s="4" t="str">
        <f>HYPERLINK("http://141.218.60.56/~jnz1568/getInfo.php?workbook=08_02.xlsx&amp;sheet=A0&amp;row=823&amp;col=18&amp;number=&amp;sourceID=32","")</f>
        <v/>
      </c>
      <c r="S823" s="4" t="str">
        <f>HYPERLINK("http://141.218.60.56/~jnz1568/getInfo.php?workbook=08_02.xlsx&amp;sheet=A0&amp;row=823&amp;col=19&amp;number=&amp;sourceID=1","")</f>
        <v/>
      </c>
      <c r="T823" s="4" t="str">
        <f>HYPERLINK("http://141.218.60.56/~jnz1568/getInfo.php?workbook=08_02.xlsx&amp;sheet=A0&amp;row=823&amp;col=20&amp;number=&amp;sourceID=1","")</f>
        <v/>
      </c>
    </row>
    <row r="824" spans="1:20">
      <c r="A824" s="3">
        <v>8</v>
      </c>
      <c r="B824" s="3">
        <v>2</v>
      </c>
      <c r="C824" s="3">
        <v>45</v>
      </c>
      <c r="D824" s="3">
        <v>39</v>
      </c>
      <c r="E824" s="3">
        <f>((1/(INDEX(E0!J$4:J$52,C824,1)-INDEX(E0!J$4:J$52,D824,1))))*100000000</f>
        <v>0</v>
      </c>
      <c r="F824" s="4" t="str">
        <f>HYPERLINK("http://141.218.60.56/~jnz1568/getInfo.php?workbook=08_02.xlsx&amp;sheet=A0&amp;row=824&amp;col=6&amp;number=&amp;sourceID=27","")</f>
        <v/>
      </c>
      <c r="G824" s="4" t="str">
        <f>HYPERLINK("http://141.218.60.56/~jnz1568/getInfo.php?workbook=08_02.xlsx&amp;sheet=A0&amp;row=824&amp;col=7&amp;number=&amp;sourceID=34","")</f>
        <v/>
      </c>
      <c r="H824" s="4" t="str">
        <f>HYPERLINK("http://141.218.60.56/~jnz1568/getInfo.php?workbook=08_02.xlsx&amp;sheet=A0&amp;row=824&amp;col=8&amp;number=&amp;sourceID=34","")</f>
        <v/>
      </c>
      <c r="I824" s="4" t="str">
        <f>HYPERLINK("http://141.218.60.56/~jnz1568/getInfo.php?workbook=08_02.xlsx&amp;sheet=A0&amp;row=824&amp;col=9&amp;number=&amp;sourceID=34","")</f>
        <v/>
      </c>
      <c r="J824" s="4" t="str">
        <f>HYPERLINK("http://141.218.60.56/~jnz1568/getInfo.php?workbook=08_02.xlsx&amp;sheet=A0&amp;row=824&amp;col=10&amp;number=&amp;sourceID=34","")</f>
        <v/>
      </c>
      <c r="K824" s="4" t="str">
        <f>HYPERLINK("http://141.218.60.56/~jnz1568/getInfo.php?workbook=08_02.xlsx&amp;sheet=A0&amp;row=824&amp;col=11&amp;number=&amp;sourceID=30","")</f>
        <v/>
      </c>
      <c r="L824" s="4" t="str">
        <f>HYPERLINK("http://141.218.60.56/~jnz1568/getInfo.php?workbook=08_02.xlsx&amp;sheet=A0&amp;row=824&amp;col=12&amp;number=8.249e-11&amp;sourceID=30","8.249e-11")</f>
        <v>8.249e-11</v>
      </c>
      <c r="M824" s="4" t="str">
        <f>HYPERLINK("http://141.218.60.56/~jnz1568/getInfo.php?workbook=08_02.xlsx&amp;sheet=A0&amp;row=824&amp;col=13&amp;number=&amp;sourceID=30","")</f>
        <v/>
      </c>
      <c r="N824" s="4" t="str">
        <f>HYPERLINK("http://141.218.60.56/~jnz1568/getInfo.php?workbook=08_02.xlsx&amp;sheet=A0&amp;row=824&amp;col=14&amp;number=&amp;sourceID=30","")</f>
        <v/>
      </c>
      <c r="O824" s="4" t="str">
        <f>HYPERLINK("http://141.218.60.56/~jnz1568/getInfo.php?workbook=08_02.xlsx&amp;sheet=A0&amp;row=824&amp;col=15&amp;number=&amp;sourceID=32","")</f>
        <v/>
      </c>
      <c r="P824" s="4" t="str">
        <f>HYPERLINK("http://141.218.60.56/~jnz1568/getInfo.php?workbook=08_02.xlsx&amp;sheet=A0&amp;row=824&amp;col=16&amp;number=&amp;sourceID=32","")</f>
        <v/>
      </c>
      <c r="Q824" s="4" t="str">
        <f>HYPERLINK("http://141.218.60.56/~jnz1568/getInfo.php?workbook=08_02.xlsx&amp;sheet=A0&amp;row=824&amp;col=17&amp;number=&amp;sourceID=32","")</f>
        <v/>
      </c>
      <c r="R824" s="4" t="str">
        <f>HYPERLINK("http://141.218.60.56/~jnz1568/getInfo.php?workbook=08_02.xlsx&amp;sheet=A0&amp;row=824&amp;col=18&amp;number=&amp;sourceID=32","")</f>
        <v/>
      </c>
      <c r="S824" s="4" t="str">
        <f>HYPERLINK("http://141.218.60.56/~jnz1568/getInfo.php?workbook=08_02.xlsx&amp;sheet=A0&amp;row=824&amp;col=19&amp;number=&amp;sourceID=1","")</f>
        <v/>
      </c>
      <c r="T824" s="4" t="str">
        <f>HYPERLINK("http://141.218.60.56/~jnz1568/getInfo.php?workbook=08_02.xlsx&amp;sheet=A0&amp;row=824&amp;col=20&amp;number=&amp;sourceID=1","")</f>
        <v/>
      </c>
    </row>
    <row r="825" spans="1:20">
      <c r="A825" s="3">
        <v>8</v>
      </c>
      <c r="B825" s="3">
        <v>2</v>
      </c>
      <c r="C825" s="3">
        <v>45</v>
      </c>
      <c r="D825" s="3">
        <v>40</v>
      </c>
      <c r="E825" s="3">
        <f>((1/(INDEX(E0!J$4:J$52,C825,1)-INDEX(E0!J$4:J$52,D825,1))))*100000000</f>
        <v>0</v>
      </c>
      <c r="F825" s="4" t="str">
        <f>HYPERLINK("http://141.218.60.56/~jnz1568/getInfo.php?workbook=08_02.xlsx&amp;sheet=A0&amp;row=825&amp;col=6&amp;number=&amp;sourceID=27","")</f>
        <v/>
      </c>
      <c r="G825" s="4" t="str">
        <f>HYPERLINK("http://141.218.60.56/~jnz1568/getInfo.php?workbook=08_02.xlsx&amp;sheet=A0&amp;row=825&amp;col=7&amp;number=&amp;sourceID=34","")</f>
        <v/>
      </c>
      <c r="H825" s="4" t="str">
        <f>HYPERLINK("http://141.218.60.56/~jnz1568/getInfo.php?workbook=08_02.xlsx&amp;sheet=A0&amp;row=825&amp;col=8&amp;number=&amp;sourceID=34","")</f>
        <v/>
      </c>
      <c r="I825" s="4" t="str">
        <f>HYPERLINK("http://141.218.60.56/~jnz1568/getInfo.php?workbook=08_02.xlsx&amp;sheet=A0&amp;row=825&amp;col=9&amp;number=&amp;sourceID=34","")</f>
        <v/>
      </c>
      <c r="J825" s="4" t="str">
        <f>HYPERLINK("http://141.218.60.56/~jnz1568/getInfo.php?workbook=08_02.xlsx&amp;sheet=A0&amp;row=825&amp;col=10&amp;number=&amp;sourceID=34","")</f>
        <v/>
      </c>
      <c r="K825" s="4" t="str">
        <f>HYPERLINK("http://141.218.60.56/~jnz1568/getInfo.php?workbook=08_02.xlsx&amp;sheet=A0&amp;row=825&amp;col=11&amp;number=&amp;sourceID=30","")</f>
        <v/>
      </c>
      <c r="L825" s="4" t="str">
        <f>HYPERLINK("http://141.218.60.56/~jnz1568/getInfo.php?workbook=08_02.xlsx&amp;sheet=A0&amp;row=825&amp;col=12&amp;number=8.958e-12&amp;sourceID=30","8.958e-12")</f>
        <v>8.958e-12</v>
      </c>
      <c r="M825" s="4" t="str">
        <f>HYPERLINK("http://141.218.60.56/~jnz1568/getInfo.php?workbook=08_02.xlsx&amp;sheet=A0&amp;row=825&amp;col=13&amp;number=4e-15&amp;sourceID=30","4e-15")</f>
        <v>4e-15</v>
      </c>
      <c r="N825" s="4" t="str">
        <f>HYPERLINK("http://141.218.60.56/~jnz1568/getInfo.php?workbook=08_02.xlsx&amp;sheet=A0&amp;row=825&amp;col=14&amp;number=&amp;sourceID=30","")</f>
        <v/>
      </c>
      <c r="O825" s="4" t="str">
        <f>HYPERLINK("http://141.218.60.56/~jnz1568/getInfo.php?workbook=08_02.xlsx&amp;sheet=A0&amp;row=825&amp;col=15&amp;number=&amp;sourceID=32","")</f>
        <v/>
      </c>
      <c r="P825" s="4" t="str">
        <f>HYPERLINK("http://141.218.60.56/~jnz1568/getInfo.php?workbook=08_02.xlsx&amp;sheet=A0&amp;row=825&amp;col=16&amp;number=&amp;sourceID=32","")</f>
        <v/>
      </c>
      <c r="Q825" s="4" t="str">
        <f>HYPERLINK("http://141.218.60.56/~jnz1568/getInfo.php?workbook=08_02.xlsx&amp;sheet=A0&amp;row=825&amp;col=17&amp;number=&amp;sourceID=32","")</f>
        <v/>
      </c>
      <c r="R825" s="4" t="str">
        <f>HYPERLINK("http://141.218.60.56/~jnz1568/getInfo.php?workbook=08_02.xlsx&amp;sheet=A0&amp;row=825&amp;col=18&amp;number=&amp;sourceID=32","")</f>
        <v/>
      </c>
      <c r="S825" s="4" t="str">
        <f>HYPERLINK("http://141.218.60.56/~jnz1568/getInfo.php?workbook=08_02.xlsx&amp;sheet=A0&amp;row=825&amp;col=19&amp;number=&amp;sourceID=1","")</f>
        <v/>
      </c>
      <c r="T825" s="4" t="str">
        <f>HYPERLINK("http://141.218.60.56/~jnz1568/getInfo.php?workbook=08_02.xlsx&amp;sheet=A0&amp;row=825&amp;col=20&amp;number=&amp;sourceID=1","")</f>
        <v/>
      </c>
    </row>
    <row r="826" spans="1:20">
      <c r="A826" s="3">
        <v>8</v>
      </c>
      <c r="B826" s="3">
        <v>2</v>
      </c>
      <c r="C826" s="3">
        <v>45</v>
      </c>
      <c r="D826" s="3">
        <v>41</v>
      </c>
      <c r="E826" s="3">
        <f>((1/(INDEX(E0!J$4:J$52,C826,1)-INDEX(E0!J$4:J$52,D826,1))))*100000000</f>
        <v>0</v>
      </c>
      <c r="F826" s="4" t="str">
        <f>HYPERLINK("http://141.218.60.56/~jnz1568/getInfo.php?workbook=08_02.xlsx&amp;sheet=A0&amp;row=826&amp;col=6&amp;number=&amp;sourceID=27","")</f>
        <v/>
      </c>
      <c r="G826" s="4" t="str">
        <f>HYPERLINK("http://141.218.60.56/~jnz1568/getInfo.php?workbook=08_02.xlsx&amp;sheet=A0&amp;row=826&amp;col=7&amp;number=&amp;sourceID=34","")</f>
        <v/>
      </c>
      <c r="H826" s="4" t="str">
        <f>HYPERLINK("http://141.218.60.56/~jnz1568/getInfo.php?workbook=08_02.xlsx&amp;sheet=A0&amp;row=826&amp;col=8&amp;number=&amp;sourceID=34","")</f>
        <v/>
      </c>
      <c r="I826" s="4" t="str">
        <f>HYPERLINK("http://141.218.60.56/~jnz1568/getInfo.php?workbook=08_02.xlsx&amp;sheet=A0&amp;row=826&amp;col=9&amp;number=&amp;sourceID=34","")</f>
        <v/>
      </c>
      <c r="J826" s="4" t="str">
        <f>HYPERLINK("http://141.218.60.56/~jnz1568/getInfo.php?workbook=08_02.xlsx&amp;sheet=A0&amp;row=826&amp;col=10&amp;number=&amp;sourceID=34","")</f>
        <v/>
      </c>
      <c r="K826" s="4" t="str">
        <f>HYPERLINK("http://141.218.60.56/~jnz1568/getInfo.php?workbook=08_02.xlsx&amp;sheet=A0&amp;row=826&amp;col=11&amp;number=0.01019&amp;sourceID=30","0.01019")</f>
        <v>0.01019</v>
      </c>
      <c r="L826" s="4" t="str">
        <f>HYPERLINK("http://141.218.60.56/~jnz1568/getInfo.php?workbook=08_02.xlsx&amp;sheet=A0&amp;row=826&amp;col=12&amp;number=&amp;sourceID=30","")</f>
        <v/>
      </c>
      <c r="M826" s="4" t="str">
        <f>HYPERLINK("http://141.218.60.56/~jnz1568/getInfo.php?workbook=08_02.xlsx&amp;sheet=A0&amp;row=826&amp;col=13&amp;number=&amp;sourceID=30","")</f>
        <v/>
      </c>
      <c r="N826" s="4" t="str">
        <f>HYPERLINK("http://141.218.60.56/~jnz1568/getInfo.php?workbook=08_02.xlsx&amp;sheet=A0&amp;row=826&amp;col=14&amp;number=0&amp;sourceID=30","0")</f>
        <v>0</v>
      </c>
      <c r="O826" s="4" t="str">
        <f>HYPERLINK("http://141.218.60.56/~jnz1568/getInfo.php?workbook=08_02.xlsx&amp;sheet=A0&amp;row=826&amp;col=15&amp;number=&amp;sourceID=32","")</f>
        <v/>
      </c>
      <c r="P826" s="4" t="str">
        <f>HYPERLINK("http://141.218.60.56/~jnz1568/getInfo.php?workbook=08_02.xlsx&amp;sheet=A0&amp;row=826&amp;col=16&amp;number=&amp;sourceID=32","")</f>
        <v/>
      </c>
      <c r="Q826" s="4" t="str">
        <f>HYPERLINK("http://141.218.60.56/~jnz1568/getInfo.php?workbook=08_02.xlsx&amp;sheet=A0&amp;row=826&amp;col=17&amp;number=&amp;sourceID=32","")</f>
        <v/>
      </c>
      <c r="R826" s="4" t="str">
        <f>HYPERLINK("http://141.218.60.56/~jnz1568/getInfo.php?workbook=08_02.xlsx&amp;sheet=A0&amp;row=826&amp;col=18&amp;number=&amp;sourceID=32","")</f>
        <v/>
      </c>
      <c r="S826" s="4" t="str">
        <f>HYPERLINK("http://141.218.60.56/~jnz1568/getInfo.php?workbook=08_02.xlsx&amp;sheet=A0&amp;row=826&amp;col=19&amp;number=&amp;sourceID=1","")</f>
        <v/>
      </c>
      <c r="T826" s="4" t="str">
        <f>HYPERLINK("http://141.218.60.56/~jnz1568/getInfo.php?workbook=08_02.xlsx&amp;sheet=A0&amp;row=826&amp;col=20&amp;number=&amp;sourceID=1","")</f>
        <v/>
      </c>
    </row>
    <row r="827" spans="1:20">
      <c r="A827" s="3">
        <v>8</v>
      </c>
      <c r="B827" s="3">
        <v>2</v>
      </c>
      <c r="C827" s="3">
        <v>45</v>
      </c>
      <c r="D827" s="3">
        <v>42</v>
      </c>
      <c r="E827" s="3">
        <f>((1/(INDEX(E0!J$4:J$52,C827,1)-INDEX(E0!J$4:J$52,D827,1))))*100000000</f>
        <v>0</v>
      </c>
      <c r="F827" s="4" t="str">
        <f>HYPERLINK("http://141.218.60.56/~jnz1568/getInfo.php?workbook=08_02.xlsx&amp;sheet=A0&amp;row=827&amp;col=6&amp;number=&amp;sourceID=27","")</f>
        <v/>
      </c>
      <c r="G827" s="4" t="str">
        <f>HYPERLINK("http://141.218.60.56/~jnz1568/getInfo.php?workbook=08_02.xlsx&amp;sheet=A0&amp;row=827&amp;col=7&amp;number=&amp;sourceID=34","")</f>
        <v/>
      </c>
      <c r="H827" s="4" t="str">
        <f>HYPERLINK("http://141.218.60.56/~jnz1568/getInfo.php?workbook=08_02.xlsx&amp;sheet=A0&amp;row=827&amp;col=8&amp;number=&amp;sourceID=34","")</f>
        <v/>
      </c>
      <c r="I827" s="4" t="str">
        <f>HYPERLINK("http://141.218.60.56/~jnz1568/getInfo.php?workbook=08_02.xlsx&amp;sheet=A0&amp;row=827&amp;col=9&amp;number=&amp;sourceID=34","")</f>
        <v/>
      </c>
      <c r="J827" s="4" t="str">
        <f>HYPERLINK("http://141.218.60.56/~jnz1568/getInfo.php?workbook=08_02.xlsx&amp;sheet=A0&amp;row=827&amp;col=10&amp;number=&amp;sourceID=34","")</f>
        <v/>
      </c>
      <c r="K827" s="4" t="str">
        <f>HYPERLINK("http://141.218.60.56/~jnz1568/getInfo.php?workbook=08_02.xlsx&amp;sheet=A0&amp;row=827&amp;col=11&amp;number=&amp;sourceID=30","")</f>
        <v/>
      </c>
      <c r="L827" s="4" t="str">
        <f>HYPERLINK("http://141.218.60.56/~jnz1568/getInfo.php?workbook=08_02.xlsx&amp;sheet=A0&amp;row=827&amp;col=12&amp;number=&amp;sourceID=30","")</f>
        <v/>
      </c>
      <c r="M827" s="4" t="str">
        <f>HYPERLINK("http://141.218.60.56/~jnz1568/getInfo.php?workbook=08_02.xlsx&amp;sheet=A0&amp;row=827&amp;col=13&amp;number=&amp;sourceID=30","")</f>
        <v/>
      </c>
      <c r="N827" s="4" t="str">
        <f>HYPERLINK("http://141.218.60.56/~jnz1568/getInfo.php?workbook=08_02.xlsx&amp;sheet=A0&amp;row=827&amp;col=14&amp;number=0&amp;sourceID=30","0")</f>
        <v>0</v>
      </c>
      <c r="O827" s="4" t="str">
        <f>HYPERLINK("http://141.218.60.56/~jnz1568/getInfo.php?workbook=08_02.xlsx&amp;sheet=A0&amp;row=827&amp;col=15&amp;number=&amp;sourceID=32","")</f>
        <v/>
      </c>
      <c r="P827" s="4" t="str">
        <f>HYPERLINK("http://141.218.60.56/~jnz1568/getInfo.php?workbook=08_02.xlsx&amp;sheet=A0&amp;row=827&amp;col=16&amp;number=&amp;sourceID=32","")</f>
        <v/>
      </c>
      <c r="Q827" s="4" t="str">
        <f>HYPERLINK("http://141.218.60.56/~jnz1568/getInfo.php?workbook=08_02.xlsx&amp;sheet=A0&amp;row=827&amp;col=17&amp;number=&amp;sourceID=32","")</f>
        <v/>
      </c>
      <c r="R827" s="4" t="str">
        <f>HYPERLINK("http://141.218.60.56/~jnz1568/getInfo.php?workbook=08_02.xlsx&amp;sheet=A0&amp;row=827&amp;col=18&amp;number=&amp;sourceID=32","")</f>
        <v/>
      </c>
      <c r="S827" s="4" t="str">
        <f>HYPERLINK("http://141.218.60.56/~jnz1568/getInfo.php?workbook=08_02.xlsx&amp;sheet=A0&amp;row=827&amp;col=19&amp;number=&amp;sourceID=1","")</f>
        <v/>
      </c>
      <c r="T827" s="4" t="str">
        <f>HYPERLINK("http://141.218.60.56/~jnz1568/getInfo.php?workbook=08_02.xlsx&amp;sheet=A0&amp;row=827&amp;col=20&amp;number=&amp;sourceID=1","")</f>
        <v/>
      </c>
    </row>
    <row r="828" spans="1:20">
      <c r="A828" s="3">
        <v>8</v>
      </c>
      <c r="B828" s="3">
        <v>2</v>
      </c>
      <c r="C828" s="3">
        <v>45</v>
      </c>
      <c r="D828" s="3">
        <v>43</v>
      </c>
      <c r="E828" s="3">
        <f>((1/(INDEX(E0!J$4:J$52,C828,1)-INDEX(E0!J$4:J$52,D828,1))))*100000000</f>
        <v>0</v>
      </c>
      <c r="F828" s="4" t="str">
        <f>HYPERLINK("http://141.218.60.56/~jnz1568/getInfo.php?workbook=08_02.xlsx&amp;sheet=A0&amp;row=828&amp;col=6&amp;number=&amp;sourceID=27","")</f>
        <v/>
      </c>
      <c r="G828" s="4" t="str">
        <f>HYPERLINK("http://141.218.60.56/~jnz1568/getInfo.php?workbook=08_02.xlsx&amp;sheet=A0&amp;row=828&amp;col=7&amp;number=&amp;sourceID=34","")</f>
        <v/>
      </c>
      <c r="H828" s="4" t="str">
        <f>HYPERLINK("http://141.218.60.56/~jnz1568/getInfo.php?workbook=08_02.xlsx&amp;sheet=A0&amp;row=828&amp;col=8&amp;number=&amp;sourceID=34","")</f>
        <v/>
      </c>
      <c r="I828" s="4" t="str">
        <f>HYPERLINK("http://141.218.60.56/~jnz1568/getInfo.php?workbook=08_02.xlsx&amp;sheet=A0&amp;row=828&amp;col=9&amp;number=&amp;sourceID=34","")</f>
        <v/>
      </c>
      <c r="J828" s="4" t="str">
        <f>HYPERLINK("http://141.218.60.56/~jnz1568/getInfo.php?workbook=08_02.xlsx&amp;sheet=A0&amp;row=828&amp;col=10&amp;number=&amp;sourceID=34","")</f>
        <v/>
      </c>
      <c r="K828" s="4" t="str">
        <f>HYPERLINK("http://141.218.60.56/~jnz1568/getInfo.php?workbook=08_02.xlsx&amp;sheet=A0&amp;row=828&amp;col=11&amp;number=1.319e-06&amp;sourceID=30","1.319e-06")</f>
        <v>1.319e-06</v>
      </c>
      <c r="L828" s="4" t="str">
        <f>HYPERLINK("http://141.218.60.56/~jnz1568/getInfo.php?workbook=08_02.xlsx&amp;sheet=A0&amp;row=828&amp;col=12&amp;number=&amp;sourceID=30","")</f>
        <v/>
      </c>
      <c r="M828" s="4" t="str">
        <f>HYPERLINK("http://141.218.60.56/~jnz1568/getInfo.php?workbook=08_02.xlsx&amp;sheet=A0&amp;row=828&amp;col=13&amp;number=&amp;sourceID=30","")</f>
        <v/>
      </c>
      <c r="N828" s="4" t="str">
        <f>HYPERLINK("http://141.218.60.56/~jnz1568/getInfo.php?workbook=08_02.xlsx&amp;sheet=A0&amp;row=828&amp;col=14&amp;number=0&amp;sourceID=30","0")</f>
        <v>0</v>
      </c>
      <c r="O828" s="4" t="str">
        <f>HYPERLINK("http://141.218.60.56/~jnz1568/getInfo.php?workbook=08_02.xlsx&amp;sheet=A0&amp;row=828&amp;col=15&amp;number=&amp;sourceID=32","")</f>
        <v/>
      </c>
      <c r="P828" s="4" t="str">
        <f>HYPERLINK("http://141.218.60.56/~jnz1568/getInfo.php?workbook=08_02.xlsx&amp;sheet=A0&amp;row=828&amp;col=16&amp;number=&amp;sourceID=32","")</f>
        <v/>
      </c>
      <c r="Q828" s="4" t="str">
        <f>HYPERLINK("http://141.218.60.56/~jnz1568/getInfo.php?workbook=08_02.xlsx&amp;sheet=A0&amp;row=828&amp;col=17&amp;number=&amp;sourceID=32","")</f>
        <v/>
      </c>
      <c r="R828" s="4" t="str">
        <f>HYPERLINK("http://141.218.60.56/~jnz1568/getInfo.php?workbook=08_02.xlsx&amp;sheet=A0&amp;row=828&amp;col=18&amp;number=&amp;sourceID=32","")</f>
        <v/>
      </c>
      <c r="S828" s="4" t="str">
        <f>HYPERLINK("http://141.218.60.56/~jnz1568/getInfo.php?workbook=08_02.xlsx&amp;sheet=A0&amp;row=828&amp;col=19&amp;number=&amp;sourceID=1","")</f>
        <v/>
      </c>
      <c r="T828" s="4" t="str">
        <f>HYPERLINK("http://141.218.60.56/~jnz1568/getInfo.php?workbook=08_02.xlsx&amp;sheet=A0&amp;row=828&amp;col=20&amp;number=&amp;sourceID=1","")</f>
        <v/>
      </c>
    </row>
    <row r="829" spans="1:20">
      <c r="A829" s="3">
        <v>8</v>
      </c>
      <c r="B829" s="3">
        <v>2</v>
      </c>
      <c r="C829" s="3">
        <v>45</v>
      </c>
      <c r="D829" s="3">
        <v>46</v>
      </c>
      <c r="E829" s="3">
        <f>((1/(INDEX(E0!J$4:J$52,C829,1)-INDEX(E0!J$4:J$52,D829,1))))*100000000</f>
        <v>0</v>
      </c>
      <c r="F829" s="4" t="str">
        <f>HYPERLINK("http://141.218.60.56/~jnz1568/getInfo.php?workbook=08_02.xlsx&amp;sheet=A0&amp;row=829&amp;col=6&amp;number=&amp;sourceID=27","")</f>
        <v/>
      </c>
      <c r="G829" s="4" t="str">
        <f>HYPERLINK("http://141.218.60.56/~jnz1568/getInfo.php?workbook=08_02.xlsx&amp;sheet=A0&amp;row=829&amp;col=7&amp;number=&amp;sourceID=34","")</f>
        <v/>
      </c>
      <c r="H829" s="4" t="str">
        <f>HYPERLINK("http://141.218.60.56/~jnz1568/getInfo.php?workbook=08_02.xlsx&amp;sheet=A0&amp;row=829&amp;col=8&amp;number=&amp;sourceID=34","")</f>
        <v/>
      </c>
      <c r="I829" s="4" t="str">
        <f>HYPERLINK("http://141.218.60.56/~jnz1568/getInfo.php?workbook=08_02.xlsx&amp;sheet=A0&amp;row=829&amp;col=9&amp;number=&amp;sourceID=34","")</f>
        <v/>
      </c>
      <c r="J829" s="4" t="str">
        <f>HYPERLINK("http://141.218.60.56/~jnz1568/getInfo.php?workbook=08_02.xlsx&amp;sheet=A0&amp;row=829&amp;col=10&amp;number=&amp;sourceID=34","")</f>
        <v/>
      </c>
      <c r="K829" s="4" t="str">
        <f>HYPERLINK("http://141.218.60.56/~jnz1568/getInfo.php?workbook=08_02.xlsx&amp;sheet=A0&amp;row=829&amp;col=11&amp;number=&amp;sourceID=30","")</f>
        <v/>
      </c>
      <c r="L829" s="4" t="str">
        <f>HYPERLINK("http://141.218.60.56/~jnz1568/getInfo.php?workbook=08_02.xlsx&amp;sheet=A0&amp;row=829&amp;col=12&amp;number=0&amp;sourceID=30","0")</f>
        <v>0</v>
      </c>
      <c r="M829" s="4" t="str">
        <f>HYPERLINK("http://141.218.60.56/~jnz1568/getInfo.php?workbook=08_02.xlsx&amp;sheet=A0&amp;row=829&amp;col=13&amp;number=1.073e-10&amp;sourceID=30","1.073e-10")</f>
        <v>1.073e-10</v>
      </c>
      <c r="N829" s="4" t="str">
        <f>HYPERLINK("http://141.218.60.56/~jnz1568/getInfo.php?workbook=08_02.xlsx&amp;sheet=A0&amp;row=829&amp;col=14&amp;number=&amp;sourceID=30","")</f>
        <v/>
      </c>
      <c r="O829" s="4" t="str">
        <f>HYPERLINK("http://141.218.60.56/~jnz1568/getInfo.php?workbook=08_02.xlsx&amp;sheet=A0&amp;row=829&amp;col=15&amp;number=&amp;sourceID=32","")</f>
        <v/>
      </c>
      <c r="P829" s="4" t="str">
        <f>HYPERLINK("http://141.218.60.56/~jnz1568/getInfo.php?workbook=08_02.xlsx&amp;sheet=A0&amp;row=829&amp;col=16&amp;number=&amp;sourceID=32","")</f>
        <v/>
      </c>
      <c r="Q829" s="4" t="str">
        <f>HYPERLINK("http://141.218.60.56/~jnz1568/getInfo.php?workbook=08_02.xlsx&amp;sheet=A0&amp;row=829&amp;col=17&amp;number=&amp;sourceID=32","")</f>
        <v/>
      </c>
      <c r="R829" s="4" t="str">
        <f>HYPERLINK("http://141.218.60.56/~jnz1568/getInfo.php?workbook=08_02.xlsx&amp;sheet=A0&amp;row=829&amp;col=18&amp;number=&amp;sourceID=32","")</f>
        <v/>
      </c>
      <c r="S829" s="4" t="str">
        <f>HYPERLINK("http://141.218.60.56/~jnz1568/getInfo.php?workbook=08_02.xlsx&amp;sheet=A0&amp;row=829&amp;col=19&amp;number=&amp;sourceID=1","")</f>
        <v/>
      </c>
      <c r="T829" s="4" t="str">
        <f>HYPERLINK("http://141.218.60.56/~jnz1568/getInfo.php?workbook=08_02.xlsx&amp;sheet=A0&amp;row=829&amp;col=20&amp;number=&amp;sourceID=1","")</f>
        <v/>
      </c>
    </row>
    <row r="830" spans="1:20">
      <c r="A830" s="3">
        <v>8</v>
      </c>
      <c r="B830" s="3">
        <v>2</v>
      </c>
      <c r="C830" s="3">
        <v>46</v>
      </c>
      <c r="D830" s="3">
        <v>2</v>
      </c>
      <c r="E830" s="3">
        <f>((1/(INDEX(E0!J$4:J$52,C830,1)-INDEX(E0!J$4:J$52,D830,1))))*100000000</f>
        <v>0</v>
      </c>
      <c r="F830" s="4" t="str">
        <f>HYPERLINK("http://141.218.60.56/~jnz1568/getInfo.php?workbook=08_02.xlsx&amp;sheet=A0&amp;row=830&amp;col=6&amp;number=&amp;sourceID=27","")</f>
        <v/>
      </c>
      <c r="G830" s="4" t="str">
        <f>HYPERLINK("http://141.218.60.56/~jnz1568/getInfo.php?workbook=08_02.xlsx&amp;sheet=A0&amp;row=830&amp;col=7&amp;number=&amp;sourceID=34","")</f>
        <v/>
      </c>
      <c r="H830" s="4" t="str">
        <f>HYPERLINK("http://141.218.60.56/~jnz1568/getInfo.php?workbook=08_02.xlsx&amp;sheet=A0&amp;row=830&amp;col=8&amp;number=&amp;sourceID=34","")</f>
        <v/>
      </c>
      <c r="I830" s="4" t="str">
        <f>HYPERLINK("http://141.218.60.56/~jnz1568/getInfo.php?workbook=08_02.xlsx&amp;sheet=A0&amp;row=830&amp;col=9&amp;number=&amp;sourceID=34","")</f>
        <v/>
      </c>
      <c r="J830" s="4" t="str">
        <f>HYPERLINK("http://141.218.60.56/~jnz1568/getInfo.php?workbook=08_02.xlsx&amp;sheet=A0&amp;row=830&amp;col=10&amp;number=&amp;sourceID=34","")</f>
        <v/>
      </c>
      <c r="K830" s="4" t="str">
        <f>HYPERLINK("http://141.218.60.56/~jnz1568/getInfo.php?workbook=08_02.xlsx&amp;sheet=A0&amp;row=830&amp;col=11&amp;number=&amp;sourceID=30","")</f>
        <v/>
      </c>
      <c r="L830" s="4" t="str">
        <f>HYPERLINK("http://141.218.60.56/~jnz1568/getInfo.php?workbook=08_02.xlsx&amp;sheet=A0&amp;row=830&amp;col=12&amp;number=0.02666&amp;sourceID=30","0.02666")</f>
        <v>0.02666</v>
      </c>
      <c r="M830" s="4" t="str">
        <f>HYPERLINK("http://141.218.60.56/~jnz1568/getInfo.php?workbook=08_02.xlsx&amp;sheet=A0&amp;row=830&amp;col=13&amp;number=&amp;sourceID=30","")</f>
        <v/>
      </c>
      <c r="N830" s="4" t="str">
        <f>HYPERLINK("http://141.218.60.56/~jnz1568/getInfo.php?workbook=08_02.xlsx&amp;sheet=A0&amp;row=830&amp;col=14&amp;number=&amp;sourceID=30","")</f>
        <v/>
      </c>
      <c r="O830" s="4" t="str">
        <f>HYPERLINK("http://141.218.60.56/~jnz1568/getInfo.php?workbook=08_02.xlsx&amp;sheet=A0&amp;row=830&amp;col=15&amp;number=&amp;sourceID=32","")</f>
        <v/>
      </c>
      <c r="P830" s="4" t="str">
        <f>HYPERLINK("http://141.218.60.56/~jnz1568/getInfo.php?workbook=08_02.xlsx&amp;sheet=A0&amp;row=830&amp;col=16&amp;number=0.00063&amp;sourceID=32","0.00063")</f>
        <v>0.00063</v>
      </c>
      <c r="Q830" s="4" t="str">
        <f>HYPERLINK("http://141.218.60.56/~jnz1568/getInfo.php?workbook=08_02.xlsx&amp;sheet=A0&amp;row=830&amp;col=17&amp;number=&amp;sourceID=32","")</f>
        <v/>
      </c>
      <c r="R830" s="4" t="str">
        <f>HYPERLINK("http://141.218.60.56/~jnz1568/getInfo.php?workbook=08_02.xlsx&amp;sheet=A0&amp;row=830&amp;col=18&amp;number=&amp;sourceID=32","")</f>
        <v/>
      </c>
      <c r="S830" s="4" t="str">
        <f>HYPERLINK("http://141.218.60.56/~jnz1568/getInfo.php?workbook=08_02.xlsx&amp;sheet=A0&amp;row=830&amp;col=19&amp;number=&amp;sourceID=1","")</f>
        <v/>
      </c>
      <c r="T830" s="4" t="str">
        <f>HYPERLINK("http://141.218.60.56/~jnz1568/getInfo.php?workbook=08_02.xlsx&amp;sheet=A0&amp;row=830&amp;col=20&amp;number=&amp;sourceID=1","")</f>
        <v/>
      </c>
    </row>
    <row r="831" spans="1:20">
      <c r="A831" s="3">
        <v>8</v>
      </c>
      <c r="B831" s="3">
        <v>2</v>
      </c>
      <c r="C831" s="3">
        <v>46</v>
      </c>
      <c r="D831" s="3">
        <v>4</v>
      </c>
      <c r="E831" s="3">
        <f>((1/(INDEX(E0!J$4:J$52,C831,1)-INDEX(E0!J$4:J$52,D831,1))))*100000000</f>
        <v>0</v>
      </c>
      <c r="F831" s="4" t="str">
        <f>HYPERLINK("http://141.218.60.56/~jnz1568/getInfo.php?workbook=08_02.xlsx&amp;sheet=A0&amp;row=831&amp;col=6&amp;number=&amp;sourceID=27","")</f>
        <v/>
      </c>
      <c r="G831" s="4" t="str">
        <f>HYPERLINK("http://141.218.60.56/~jnz1568/getInfo.php?workbook=08_02.xlsx&amp;sheet=A0&amp;row=831&amp;col=7&amp;number=&amp;sourceID=34","")</f>
        <v/>
      </c>
      <c r="H831" s="4" t="str">
        <f>HYPERLINK("http://141.218.60.56/~jnz1568/getInfo.php?workbook=08_02.xlsx&amp;sheet=A0&amp;row=831&amp;col=8&amp;number=&amp;sourceID=34","")</f>
        <v/>
      </c>
      <c r="I831" s="4" t="str">
        <f>HYPERLINK("http://141.218.60.56/~jnz1568/getInfo.php?workbook=08_02.xlsx&amp;sheet=A0&amp;row=831&amp;col=9&amp;number=&amp;sourceID=34","")</f>
        <v/>
      </c>
      <c r="J831" s="4" t="str">
        <f>HYPERLINK("http://141.218.60.56/~jnz1568/getInfo.php?workbook=08_02.xlsx&amp;sheet=A0&amp;row=831&amp;col=10&amp;number=&amp;sourceID=34","")</f>
        <v/>
      </c>
      <c r="K831" s="4" t="str">
        <f>HYPERLINK("http://141.218.60.56/~jnz1568/getInfo.php?workbook=08_02.xlsx&amp;sheet=A0&amp;row=831&amp;col=11&amp;number=&amp;sourceID=30","")</f>
        <v/>
      </c>
      <c r="L831" s="4" t="str">
        <f>HYPERLINK("http://141.218.60.56/~jnz1568/getInfo.php?workbook=08_02.xlsx&amp;sheet=A0&amp;row=831&amp;col=12&amp;number=&amp;sourceID=30","")</f>
        <v/>
      </c>
      <c r="M831" s="4" t="str">
        <f>HYPERLINK("http://141.218.60.56/~jnz1568/getInfo.php?workbook=08_02.xlsx&amp;sheet=A0&amp;row=831&amp;col=13&amp;number=&amp;sourceID=30","")</f>
        <v/>
      </c>
      <c r="N831" s="4" t="str">
        <f>HYPERLINK("http://141.218.60.56/~jnz1568/getInfo.php?workbook=08_02.xlsx&amp;sheet=A0&amp;row=831&amp;col=14&amp;number=1.154e-07&amp;sourceID=30","1.154e-07")</f>
        <v>1.154e-07</v>
      </c>
      <c r="O831" s="4" t="str">
        <f>HYPERLINK("http://141.218.60.56/~jnz1568/getInfo.php?workbook=08_02.xlsx&amp;sheet=A0&amp;row=831&amp;col=15&amp;number=&amp;sourceID=32","")</f>
        <v/>
      </c>
      <c r="P831" s="4" t="str">
        <f>HYPERLINK("http://141.218.60.56/~jnz1568/getInfo.php?workbook=08_02.xlsx&amp;sheet=A0&amp;row=831&amp;col=16&amp;number=&amp;sourceID=32","")</f>
        <v/>
      </c>
      <c r="Q831" s="4" t="str">
        <f>HYPERLINK("http://141.218.60.56/~jnz1568/getInfo.php?workbook=08_02.xlsx&amp;sheet=A0&amp;row=831&amp;col=17&amp;number=&amp;sourceID=32","")</f>
        <v/>
      </c>
      <c r="R831" s="4" t="str">
        <f>HYPERLINK("http://141.218.60.56/~jnz1568/getInfo.php?workbook=08_02.xlsx&amp;sheet=A0&amp;row=831&amp;col=18&amp;number=5.737e-08&amp;sourceID=32","5.737e-08")</f>
        <v>5.737e-08</v>
      </c>
      <c r="S831" s="4" t="str">
        <f>HYPERLINK("http://141.218.60.56/~jnz1568/getInfo.php?workbook=08_02.xlsx&amp;sheet=A0&amp;row=831&amp;col=19&amp;number=&amp;sourceID=1","")</f>
        <v/>
      </c>
      <c r="T831" s="4" t="str">
        <f>HYPERLINK("http://141.218.60.56/~jnz1568/getInfo.php?workbook=08_02.xlsx&amp;sheet=A0&amp;row=831&amp;col=20&amp;number=&amp;sourceID=1","")</f>
        <v/>
      </c>
    </row>
    <row r="832" spans="1:20">
      <c r="A832" s="3">
        <v>8</v>
      </c>
      <c r="B832" s="3">
        <v>2</v>
      </c>
      <c r="C832" s="3">
        <v>46</v>
      </c>
      <c r="D832" s="3">
        <v>5</v>
      </c>
      <c r="E832" s="3">
        <f>((1/(INDEX(E0!J$4:J$52,C832,1)-INDEX(E0!J$4:J$52,D832,1))))*100000000</f>
        <v>0</v>
      </c>
      <c r="F832" s="4" t="str">
        <f>HYPERLINK("http://141.218.60.56/~jnz1568/getInfo.php?workbook=08_02.xlsx&amp;sheet=A0&amp;row=832&amp;col=6&amp;number=&amp;sourceID=27","")</f>
        <v/>
      </c>
      <c r="G832" s="4" t="str">
        <f>HYPERLINK("http://141.218.60.56/~jnz1568/getInfo.php?workbook=08_02.xlsx&amp;sheet=A0&amp;row=832&amp;col=7&amp;number=&amp;sourceID=34","")</f>
        <v/>
      </c>
      <c r="H832" s="4" t="str">
        <f>HYPERLINK("http://141.218.60.56/~jnz1568/getInfo.php?workbook=08_02.xlsx&amp;sheet=A0&amp;row=832&amp;col=8&amp;number=&amp;sourceID=34","")</f>
        <v/>
      </c>
      <c r="I832" s="4" t="str">
        <f>HYPERLINK("http://141.218.60.56/~jnz1568/getInfo.php?workbook=08_02.xlsx&amp;sheet=A0&amp;row=832&amp;col=9&amp;number=&amp;sourceID=34","")</f>
        <v/>
      </c>
      <c r="J832" s="4" t="str">
        <f>HYPERLINK("http://141.218.60.56/~jnz1568/getInfo.php?workbook=08_02.xlsx&amp;sheet=A0&amp;row=832&amp;col=10&amp;number=&amp;sourceID=34","")</f>
        <v/>
      </c>
      <c r="K832" s="4" t="str">
        <f>HYPERLINK("http://141.218.60.56/~jnz1568/getInfo.php?workbook=08_02.xlsx&amp;sheet=A0&amp;row=832&amp;col=11&amp;number=1.329&amp;sourceID=30","1.329")</f>
        <v>1.329</v>
      </c>
      <c r="L832" s="4" t="str">
        <f>HYPERLINK("http://141.218.60.56/~jnz1568/getInfo.php?workbook=08_02.xlsx&amp;sheet=A0&amp;row=832&amp;col=12&amp;number=&amp;sourceID=30","")</f>
        <v/>
      </c>
      <c r="M832" s="4" t="str">
        <f>HYPERLINK("http://141.218.60.56/~jnz1568/getInfo.php?workbook=08_02.xlsx&amp;sheet=A0&amp;row=832&amp;col=13&amp;number=&amp;sourceID=30","")</f>
        <v/>
      </c>
      <c r="N832" s="4" t="str">
        <f>HYPERLINK("http://141.218.60.56/~jnz1568/getInfo.php?workbook=08_02.xlsx&amp;sheet=A0&amp;row=832&amp;col=14&amp;number=1.218e-08&amp;sourceID=30","1.218e-08")</f>
        <v>1.218e-08</v>
      </c>
      <c r="O832" s="4" t="str">
        <f>HYPERLINK("http://141.218.60.56/~jnz1568/getInfo.php?workbook=08_02.xlsx&amp;sheet=A0&amp;row=832&amp;col=15&amp;number=2.261&amp;sourceID=32","2.261")</f>
        <v>2.261</v>
      </c>
      <c r="P832" s="4" t="str">
        <f>HYPERLINK("http://141.218.60.56/~jnz1568/getInfo.php?workbook=08_02.xlsx&amp;sheet=A0&amp;row=832&amp;col=16&amp;number=&amp;sourceID=32","")</f>
        <v/>
      </c>
      <c r="Q832" s="4" t="str">
        <f>HYPERLINK("http://141.218.60.56/~jnz1568/getInfo.php?workbook=08_02.xlsx&amp;sheet=A0&amp;row=832&amp;col=17&amp;number=&amp;sourceID=32","")</f>
        <v/>
      </c>
      <c r="R832" s="4" t="str">
        <f>HYPERLINK("http://141.218.60.56/~jnz1568/getInfo.php?workbook=08_02.xlsx&amp;sheet=A0&amp;row=832&amp;col=18&amp;number=4.394e-10&amp;sourceID=32","4.394e-10")</f>
        <v>4.394e-10</v>
      </c>
      <c r="S832" s="4" t="str">
        <f>HYPERLINK("http://141.218.60.56/~jnz1568/getInfo.php?workbook=08_02.xlsx&amp;sheet=A0&amp;row=832&amp;col=19&amp;number=&amp;sourceID=1","")</f>
        <v/>
      </c>
      <c r="T832" s="4" t="str">
        <f>HYPERLINK("http://141.218.60.56/~jnz1568/getInfo.php?workbook=08_02.xlsx&amp;sheet=A0&amp;row=832&amp;col=20&amp;number=&amp;sourceID=1","")</f>
        <v/>
      </c>
    </row>
    <row r="833" spans="1:20">
      <c r="A833" s="3">
        <v>8</v>
      </c>
      <c r="B833" s="3">
        <v>2</v>
      </c>
      <c r="C833" s="3">
        <v>46</v>
      </c>
      <c r="D833" s="3">
        <v>7</v>
      </c>
      <c r="E833" s="3">
        <f>((1/(INDEX(E0!J$4:J$52,C833,1)-INDEX(E0!J$4:J$52,D833,1))))*100000000</f>
        <v>0</v>
      </c>
      <c r="F833" s="4" t="str">
        <f>HYPERLINK("http://141.218.60.56/~jnz1568/getInfo.php?workbook=08_02.xlsx&amp;sheet=A0&amp;row=833&amp;col=6&amp;number=&amp;sourceID=27","")</f>
        <v/>
      </c>
      <c r="G833" s="4" t="str">
        <f>HYPERLINK("http://141.218.60.56/~jnz1568/getInfo.php?workbook=08_02.xlsx&amp;sheet=A0&amp;row=833&amp;col=7&amp;number=&amp;sourceID=34","")</f>
        <v/>
      </c>
      <c r="H833" s="4" t="str">
        <f>HYPERLINK("http://141.218.60.56/~jnz1568/getInfo.php?workbook=08_02.xlsx&amp;sheet=A0&amp;row=833&amp;col=8&amp;number=&amp;sourceID=34","")</f>
        <v/>
      </c>
      <c r="I833" s="4" t="str">
        <f>HYPERLINK("http://141.218.60.56/~jnz1568/getInfo.php?workbook=08_02.xlsx&amp;sheet=A0&amp;row=833&amp;col=9&amp;number=&amp;sourceID=34","")</f>
        <v/>
      </c>
      <c r="J833" s="4" t="str">
        <f>HYPERLINK("http://141.218.60.56/~jnz1568/getInfo.php?workbook=08_02.xlsx&amp;sheet=A0&amp;row=833&amp;col=10&amp;number=&amp;sourceID=34","")</f>
        <v/>
      </c>
      <c r="K833" s="4" t="str">
        <f>HYPERLINK("http://141.218.60.56/~jnz1568/getInfo.php?workbook=08_02.xlsx&amp;sheet=A0&amp;row=833&amp;col=11&amp;number=&amp;sourceID=30","")</f>
        <v/>
      </c>
      <c r="L833" s="4" t="str">
        <f>HYPERLINK("http://141.218.60.56/~jnz1568/getInfo.php?workbook=08_02.xlsx&amp;sheet=A0&amp;row=833&amp;col=12&amp;number=&amp;sourceID=30","")</f>
        <v/>
      </c>
      <c r="M833" s="4" t="str">
        <f>HYPERLINK("http://141.218.60.56/~jnz1568/getInfo.php?workbook=08_02.xlsx&amp;sheet=A0&amp;row=833&amp;col=13&amp;number=&amp;sourceID=30","")</f>
        <v/>
      </c>
      <c r="N833" s="4" t="str">
        <f>HYPERLINK("http://141.218.60.56/~jnz1568/getInfo.php?workbook=08_02.xlsx&amp;sheet=A0&amp;row=833&amp;col=14&amp;number=6.612e-09&amp;sourceID=30","6.612e-09")</f>
        <v>6.612e-09</v>
      </c>
      <c r="O833" s="4" t="str">
        <f>HYPERLINK("http://141.218.60.56/~jnz1568/getInfo.php?workbook=08_02.xlsx&amp;sheet=A0&amp;row=833&amp;col=15&amp;number=&amp;sourceID=32","")</f>
        <v/>
      </c>
      <c r="P833" s="4" t="str">
        <f>HYPERLINK("http://141.218.60.56/~jnz1568/getInfo.php?workbook=08_02.xlsx&amp;sheet=A0&amp;row=833&amp;col=16&amp;number=&amp;sourceID=32","")</f>
        <v/>
      </c>
      <c r="Q833" s="4" t="str">
        <f>HYPERLINK("http://141.218.60.56/~jnz1568/getInfo.php?workbook=08_02.xlsx&amp;sheet=A0&amp;row=833&amp;col=17&amp;number=&amp;sourceID=32","")</f>
        <v/>
      </c>
      <c r="R833" s="4" t="str">
        <f>HYPERLINK("http://141.218.60.56/~jnz1568/getInfo.php?workbook=08_02.xlsx&amp;sheet=A0&amp;row=833&amp;col=18&amp;number=1.663e-07&amp;sourceID=32","1.663e-07")</f>
        <v>1.663e-07</v>
      </c>
      <c r="S833" s="4" t="str">
        <f>HYPERLINK("http://141.218.60.56/~jnz1568/getInfo.php?workbook=08_02.xlsx&amp;sheet=A0&amp;row=833&amp;col=19&amp;number=&amp;sourceID=1","")</f>
        <v/>
      </c>
      <c r="T833" s="4" t="str">
        <f>HYPERLINK("http://141.218.60.56/~jnz1568/getInfo.php?workbook=08_02.xlsx&amp;sheet=A0&amp;row=833&amp;col=20&amp;number=&amp;sourceID=1","")</f>
        <v/>
      </c>
    </row>
    <row r="834" spans="1:20">
      <c r="A834" s="3">
        <v>8</v>
      </c>
      <c r="B834" s="3">
        <v>2</v>
      </c>
      <c r="C834" s="3">
        <v>46</v>
      </c>
      <c r="D834" s="3">
        <v>8</v>
      </c>
      <c r="E834" s="3">
        <f>((1/(INDEX(E0!J$4:J$52,C834,1)-INDEX(E0!J$4:J$52,D834,1))))*100000000</f>
        <v>0</v>
      </c>
      <c r="F834" s="4" t="str">
        <f>HYPERLINK("http://141.218.60.56/~jnz1568/getInfo.php?workbook=08_02.xlsx&amp;sheet=A0&amp;row=834&amp;col=6&amp;number=&amp;sourceID=27","")</f>
        <v/>
      </c>
      <c r="G834" s="4" t="str">
        <f>HYPERLINK("http://141.218.60.56/~jnz1568/getInfo.php?workbook=08_02.xlsx&amp;sheet=A0&amp;row=834&amp;col=7&amp;number=&amp;sourceID=34","")</f>
        <v/>
      </c>
      <c r="H834" s="4" t="str">
        <f>HYPERLINK("http://141.218.60.56/~jnz1568/getInfo.php?workbook=08_02.xlsx&amp;sheet=A0&amp;row=834&amp;col=8&amp;number=&amp;sourceID=34","")</f>
        <v/>
      </c>
      <c r="I834" s="4" t="str">
        <f>HYPERLINK("http://141.218.60.56/~jnz1568/getInfo.php?workbook=08_02.xlsx&amp;sheet=A0&amp;row=834&amp;col=9&amp;number=&amp;sourceID=34","")</f>
        <v/>
      </c>
      <c r="J834" s="4" t="str">
        <f>HYPERLINK("http://141.218.60.56/~jnz1568/getInfo.php?workbook=08_02.xlsx&amp;sheet=A0&amp;row=834&amp;col=10&amp;number=&amp;sourceID=34","")</f>
        <v/>
      </c>
      <c r="K834" s="4" t="str">
        <f>HYPERLINK("http://141.218.60.56/~jnz1568/getInfo.php?workbook=08_02.xlsx&amp;sheet=A0&amp;row=834&amp;col=11&amp;number=&amp;sourceID=30","")</f>
        <v/>
      </c>
      <c r="L834" s="4" t="str">
        <f>HYPERLINK("http://141.218.60.56/~jnz1568/getInfo.php?workbook=08_02.xlsx&amp;sheet=A0&amp;row=834&amp;col=12&amp;number=0.02422&amp;sourceID=30","0.02422")</f>
        <v>0.02422</v>
      </c>
      <c r="M834" s="4" t="str">
        <f>HYPERLINK("http://141.218.60.56/~jnz1568/getInfo.php?workbook=08_02.xlsx&amp;sheet=A0&amp;row=834&amp;col=13&amp;number=&amp;sourceID=30","")</f>
        <v/>
      </c>
      <c r="N834" s="4" t="str">
        <f>HYPERLINK("http://141.218.60.56/~jnz1568/getInfo.php?workbook=08_02.xlsx&amp;sheet=A0&amp;row=834&amp;col=14&amp;number=&amp;sourceID=30","")</f>
        <v/>
      </c>
      <c r="O834" s="4" t="str">
        <f>HYPERLINK("http://141.218.60.56/~jnz1568/getInfo.php?workbook=08_02.xlsx&amp;sheet=A0&amp;row=834&amp;col=15&amp;number=&amp;sourceID=32","")</f>
        <v/>
      </c>
      <c r="P834" s="4" t="str">
        <f>HYPERLINK("http://141.218.60.56/~jnz1568/getInfo.php?workbook=08_02.xlsx&amp;sheet=A0&amp;row=834&amp;col=16&amp;number=0.02092&amp;sourceID=32","0.02092")</f>
        <v>0.02092</v>
      </c>
      <c r="Q834" s="4" t="str">
        <f>HYPERLINK("http://141.218.60.56/~jnz1568/getInfo.php?workbook=08_02.xlsx&amp;sheet=A0&amp;row=834&amp;col=17&amp;number=&amp;sourceID=32","")</f>
        <v/>
      </c>
      <c r="R834" s="4" t="str">
        <f>HYPERLINK("http://141.218.60.56/~jnz1568/getInfo.php?workbook=08_02.xlsx&amp;sheet=A0&amp;row=834&amp;col=18&amp;number=&amp;sourceID=32","")</f>
        <v/>
      </c>
      <c r="S834" s="4" t="str">
        <f>HYPERLINK("http://141.218.60.56/~jnz1568/getInfo.php?workbook=08_02.xlsx&amp;sheet=A0&amp;row=834&amp;col=19&amp;number=&amp;sourceID=1","")</f>
        <v/>
      </c>
      <c r="T834" s="4" t="str">
        <f>HYPERLINK("http://141.218.60.56/~jnz1568/getInfo.php?workbook=08_02.xlsx&amp;sheet=A0&amp;row=834&amp;col=20&amp;number=&amp;sourceID=1","")</f>
        <v/>
      </c>
    </row>
    <row r="835" spans="1:20">
      <c r="A835" s="3">
        <v>8</v>
      </c>
      <c r="B835" s="3">
        <v>2</v>
      </c>
      <c r="C835" s="3">
        <v>46</v>
      </c>
      <c r="D835" s="3">
        <v>10</v>
      </c>
      <c r="E835" s="3">
        <f>((1/(INDEX(E0!J$4:J$52,C835,1)-INDEX(E0!J$4:J$52,D835,1))))*100000000</f>
        <v>0</v>
      </c>
      <c r="F835" s="4" t="str">
        <f>HYPERLINK("http://141.218.60.56/~jnz1568/getInfo.php?workbook=08_02.xlsx&amp;sheet=A0&amp;row=835&amp;col=6&amp;number=&amp;sourceID=27","")</f>
        <v/>
      </c>
      <c r="G835" s="4" t="str">
        <f>HYPERLINK("http://141.218.60.56/~jnz1568/getInfo.php?workbook=08_02.xlsx&amp;sheet=A0&amp;row=835&amp;col=7&amp;number=&amp;sourceID=34","")</f>
        <v/>
      </c>
      <c r="H835" s="4" t="str">
        <f>HYPERLINK("http://141.218.60.56/~jnz1568/getInfo.php?workbook=08_02.xlsx&amp;sheet=A0&amp;row=835&amp;col=8&amp;number=&amp;sourceID=34","")</f>
        <v/>
      </c>
      <c r="I835" s="4" t="str">
        <f>HYPERLINK("http://141.218.60.56/~jnz1568/getInfo.php?workbook=08_02.xlsx&amp;sheet=A0&amp;row=835&amp;col=9&amp;number=&amp;sourceID=34","")</f>
        <v/>
      </c>
      <c r="J835" s="4" t="str">
        <f>HYPERLINK("http://141.218.60.56/~jnz1568/getInfo.php?workbook=08_02.xlsx&amp;sheet=A0&amp;row=835&amp;col=10&amp;number=&amp;sourceID=34","")</f>
        <v/>
      </c>
      <c r="K835" s="4" t="str">
        <f>HYPERLINK("http://141.218.60.56/~jnz1568/getInfo.php?workbook=08_02.xlsx&amp;sheet=A0&amp;row=835&amp;col=11&amp;number=&amp;sourceID=30","")</f>
        <v/>
      </c>
      <c r="L835" s="4" t="str">
        <f>HYPERLINK("http://141.218.60.56/~jnz1568/getInfo.php?workbook=08_02.xlsx&amp;sheet=A0&amp;row=835&amp;col=12&amp;number=&amp;sourceID=30","")</f>
        <v/>
      </c>
      <c r="M835" s="4" t="str">
        <f>HYPERLINK("http://141.218.60.56/~jnz1568/getInfo.php?workbook=08_02.xlsx&amp;sheet=A0&amp;row=835&amp;col=13&amp;number=&amp;sourceID=30","")</f>
        <v/>
      </c>
      <c r="N835" s="4" t="str">
        <f>HYPERLINK("http://141.218.60.56/~jnz1568/getInfo.php?workbook=08_02.xlsx&amp;sheet=A0&amp;row=835&amp;col=14&amp;number=8.534e-09&amp;sourceID=30","8.534e-09")</f>
        <v>8.534e-09</v>
      </c>
      <c r="O835" s="4" t="str">
        <f>HYPERLINK("http://141.218.60.56/~jnz1568/getInfo.php?workbook=08_02.xlsx&amp;sheet=A0&amp;row=835&amp;col=15&amp;number=&amp;sourceID=32","")</f>
        <v/>
      </c>
      <c r="P835" s="4" t="str">
        <f>HYPERLINK("http://141.218.60.56/~jnz1568/getInfo.php?workbook=08_02.xlsx&amp;sheet=A0&amp;row=835&amp;col=16&amp;number=&amp;sourceID=32","")</f>
        <v/>
      </c>
      <c r="Q835" s="4" t="str">
        <f>HYPERLINK("http://141.218.60.56/~jnz1568/getInfo.php?workbook=08_02.xlsx&amp;sheet=A0&amp;row=835&amp;col=17&amp;number=&amp;sourceID=32","")</f>
        <v/>
      </c>
      <c r="R835" s="4" t="str">
        <f>HYPERLINK("http://141.218.60.56/~jnz1568/getInfo.php?workbook=08_02.xlsx&amp;sheet=A0&amp;row=835&amp;col=18&amp;number=1.173e-08&amp;sourceID=32","1.173e-08")</f>
        <v>1.173e-08</v>
      </c>
      <c r="S835" s="4" t="str">
        <f>HYPERLINK("http://141.218.60.56/~jnz1568/getInfo.php?workbook=08_02.xlsx&amp;sheet=A0&amp;row=835&amp;col=19&amp;number=&amp;sourceID=1","")</f>
        <v/>
      </c>
      <c r="T835" s="4" t="str">
        <f>HYPERLINK("http://141.218.60.56/~jnz1568/getInfo.php?workbook=08_02.xlsx&amp;sheet=A0&amp;row=835&amp;col=20&amp;number=&amp;sourceID=1","")</f>
        <v/>
      </c>
    </row>
    <row r="836" spans="1:20">
      <c r="A836" s="3">
        <v>8</v>
      </c>
      <c r="B836" s="3">
        <v>2</v>
      </c>
      <c r="C836" s="3">
        <v>46</v>
      </c>
      <c r="D836" s="3">
        <v>11</v>
      </c>
      <c r="E836" s="3">
        <f>((1/(INDEX(E0!J$4:J$52,C836,1)-INDEX(E0!J$4:J$52,D836,1))))*100000000</f>
        <v>0</v>
      </c>
      <c r="F836" s="4" t="str">
        <f>HYPERLINK("http://141.218.60.56/~jnz1568/getInfo.php?workbook=08_02.xlsx&amp;sheet=A0&amp;row=836&amp;col=6&amp;number=&amp;sourceID=27","")</f>
        <v/>
      </c>
      <c r="G836" s="4" t="str">
        <f>HYPERLINK("http://141.218.60.56/~jnz1568/getInfo.php?workbook=08_02.xlsx&amp;sheet=A0&amp;row=836&amp;col=7&amp;number=&amp;sourceID=34","")</f>
        <v/>
      </c>
      <c r="H836" s="4" t="str">
        <f>HYPERLINK("http://141.218.60.56/~jnz1568/getInfo.php?workbook=08_02.xlsx&amp;sheet=A0&amp;row=836&amp;col=8&amp;number=&amp;sourceID=34","")</f>
        <v/>
      </c>
      <c r="I836" s="4" t="str">
        <f>HYPERLINK("http://141.218.60.56/~jnz1568/getInfo.php?workbook=08_02.xlsx&amp;sheet=A0&amp;row=836&amp;col=9&amp;number=&amp;sourceID=34","")</f>
        <v/>
      </c>
      <c r="J836" s="4" t="str">
        <f>HYPERLINK("http://141.218.60.56/~jnz1568/getInfo.php?workbook=08_02.xlsx&amp;sheet=A0&amp;row=836&amp;col=10&amp;number=&amp;sourceID=34","")</f>
        <v/>
      </c>
      <c r="K836" s="4" t="str">
        <f>HYPERLINK("http://141.218.60.56/~jnz1568/getInfo.php?workbook=08_02.xlsx&amp;sheet=A0&amp;row=836&amp;col=11&amp;number=0.4892&amp;sourceID=30","0.4892")</f>
        <v>0.4892</v>
      </c>
      <c r="L836" s="4" t="str">
        <f>HYPERLINK("http://141.218.60.56/~jnz1568/getInfo.php?workbook=08_02.xlsx&amp;sheet=A0&amp;row=836&amp;col=12&amp;number=&amp;sourceID=30","")</f>
        <v/>
      </c>
      <c r="M836" s="4" t="str">
        <f>HYPERLINK("http://141.218.60.56/~jnz1568/getInfo.php?workbook=08_02.xlsx&amp;sheet=A0&amp;row=836&amp;col=13&amp;number=&amp;sourceID=30","")</f>
        <v/>
      </c>
      <c r="N836" s="4" t="str">
        <f>HYPERLINK("http://141.218.60.56/~jnz1568/getInfo.php?workbook=08_02.xlsx&amp;sheet=A0&amp;row=836&amp;col=14&amp;number=1.024e-08&amp;sourceID=30","1.024e-08")</f>
        <v>1.024e-08</v>
      </c>
      <c r="O836" s="4" t="str">
        <f>HYPERLINK("http://141.218.60.56/~jnz1568/getInfo.php?workbook=08_02.xlsx&amp;sheet=A0&amp;row=836&amp;col=15&amp;number=0.1702&amp;sourceID=32","0.1702")</f>
        <v>0.1702</v>
      </c>
      <c r="P836" s="4" t="str">
        <f>HYPERLINK("http://141.218.60.56/~jnz1568/getInfo.php?workbook=08_02.xlsx&amp;sheet=A0&amp;row=836&amp;col=16&amp;number=&amp;sourceID=32","")</f>
        <v/>
      </c>
      <c r="Q836" s="4" t="str">
        <f>HYPERLINK("http://141.218.60.56/~jnz1568/getInfo.php?workbook=08_02.xlsx&amp;sheet=A0&amp;row=836&amp;col=17&amp;number=&amp;sourceID=32","")</f>
        <v/>
      </c>
      <c r="R836" s="4" t="str">
        <f>HYPERLINK("http://141.218.60.56/~jnz1568/getInfo.php?workbook=08_02.xlsx&amp;sheet=A0&amp;row=836&amp;col=18&amp;number=1.041e-08&amp;sourceID=32","1.041e-08")</f>
        <v>1.041e-08</v>
      </c>
      <c r="S836" s="4" t="str">
        <f>HYPERLINK("http://141.218.60.56/~jnz1568/getInfo.php?workbook=08_02.xlsx&amp;sheet=A0&amp;row=836&amp;col=19&amp;number=&amp;sourceID=1","")</f>
        <v/>
      </c>
      <c r="T836" s="4" t="str">
        <f>HYPERLINK("http://141.218.60.56/~jnz1568/getInfo.php?workbook=08_02.xlsx&amp;sheet=A0&amp;row=836&amp;col=20&amp;number=&amp;sourceID=1","")</f>
        <v/>
      </c>
    </row>
    <row r="837" spans="1:20">
      <c r="A837" s="3">
        <v>8</v>
      </c>
      <c r="B837" s="3">
        <v>2</v>
      </c>
      <c r="C837" s="3">
        <v>46</v>
      </c>
      <c r="D837" s="3">
        <v>13</v>
      </c>
      <c r="E837" s="3">
        <f>((1/(INDEX(E0!J$4:J$52,C837,1)-INDEX(E0!J$4:J$52,D837,1))))*100000000</f>
        <v>0</v>
      </c>
      <c r="F837" s="4" t="str">
        <f>HYPERLINK("http://141.218.60.56/~jnz1568/getInfo.php?workbook=08_02.xlsx&amp;sheet=A0&amp;row=837&amp;col=6&amp;number=&amp;sourceID=27","")</f>
        <v/>
      </c>
      <c r="G837" s="4" t="str">
        <f>HYPERLINK("http://141.218.60.56/~jnz1568/getInfo.php?workbook=08_02.xlsx&amp;sheet=A0&amp;row=837&amp;col=7&amp;number=&amp;sourceID=34","")</f>
        <v/>
      </c>
      <c r="H837" s="4" t="str">
        <f>HYPERLINK("http://141.218.60.56/~jnz1568/getInfo.php?workbook=08_02.xlsx&amp;sheet=A0&amp;row=837&amp;col=8&amp;number=&amp;sourceID=34","")</f>
        <v/>
      </c>
      <c r="I837" s="4" t="str">
        <f>HYPERLINK("http://141.218.60.56/~jnz1568/getInfo.php?workbook=08_02.xlsx&amp;sheet=A0&amp;row=837&amp;col=9&amp;number=&amp;sourceID=34","")</f>
        <v/>
      </c>
      <c r="J837" s="4" t="str">
        <f>HYPERLINK("http://141.218.60.56/~jnz1568/getInfo.php?workbook=08_02.xlsx&amp;sheet=A0&amp;row=837&amp;col=10&amp;number=&amp;sourceID=34","")</f>
        <v/>
      </c>
      <c r="K837" s="4" t="str">
        <f>HYPERLINK("http://141.218.60.56/~jnz1568/getInfo.php?workbook=08_02.xlsx&amp;sheet=A0&amp;row=837&amp;col=11&amp;number=&amp;sourceID=30","")</f>
        <v/>
      </c>
      <c r="L837" s="4" t="str">
        <f>HYPERLINK("http://141.218.60.56/~jnz1568/getInfo.php?workbook=08_02.xlsx&amp;sheet=A0&amp;row=837&amp;col=12&amp;number=1054000&amp;sourceID=30","1054000")</f>
        <v>1054000</v>
      </c>
      <c r="M837" s="4" t="str">
        <f>HYPERLINK("http://141.218.60.56/~jnz1568/getInfo.php?workbook=08_02.xlsx&amp;sheet=A0&amp;row=837&amp;col=13&amp;number=&amp;sourceID=30","")</f>
        <v/>
      </c>
      <c r="N837" s="4" t="str">
        <f>HYPERLINK("http://141.218.60.56/~jnz1568/getInfo.php?workbook=08_02.xlsx&amp;sheet=A0&amp;row=837&amp;col=14&amp;number=&amp;sourceID=30","")</f>
        <v/>
      </c>
      <c r="O837" s="4" t="str">
        <f>HYPERLINK("http://141.218.60.56/~jnz1568/getInfo.php?workbook=08_02.xlsx&amp;sheet=A0&amp;row=837&amp;col=15&amp;number=&amp;sourceID=32","")</f>
        <v/>
      </c>
      <c r="P837" s="4" t="str">
        <f>HYPERLINK("http://141.218.60.56/~jnz1568/getInfo.php?workbook=08_02.xlsx&amp;sheet=A0&amp;row=837&amp;col=16&amp;number=1054000&amp;sourceID=32","1054000")</f>
        <v>1054000</v>
      </c>
      <c r="Q837" s="4" t="str">
        <f>HYPERLINK("http://141.218.60.56/~jnz1568/getInfo.php?workbook=08_02.xlsx&amp;sheet=A0&amp;row=837&amp;col=17&amp;number=&amp;sourceID=32","")</f>
        <v/>
      </c>
      <c r="R837" s="4" t="str">
        <f>HYPERLINK("http://141.218.60.56/~jnz1568/getInfo.php?workbook=08_02.xlsx&amp;sheet=A0&amp;row=837&amp;col=18&amp;number=&amp;sourceID=32","")</f>
        <v/>
      </c>
      <c r="S837" s="4" t="str">
        <f>HYPERLINK("http://141.218.60.56/~jnz1568/getInfo.php?workbook=08_02.xlsx&amp;sheet=A0&amp;row=837&amp;col=19&amp;number=&amp;sourceID=1","")</f>
        <v/>
      </c>
      <c r="T837" s="4" t="str">
        <f>HYPERLINK("http://141.218.60.56/~jnz1568/getInfo.php?workbook=08_02.xlsx&amp;sheet=A0&amp;row=837&amp;col=20&amp;number=&amp;sourceID=1","")</f>
        <v/>
      </c>
    </row>
    <row r="838" spans="1:20">
      <c r="A838" s="3">
        <v>8</v>
      </c>
      <c r="B838" s="3">
        <v>2</v>
      </c>
      <c r="C838" s="3">
        <v>46</v>
      </c>
      <c r="D838" s="3">
        <v>14</v>
      </c>
      <c r="E838" s="3">
        <f>((1/(INDEX(E0!J$4:J$52,C838,1)-INDEX(E0!J$4:J$52,D838,1))))*100000000</f>
        <v>0</v>
      </c>
      <c r="F838" s="4" t="str">
        <f>HYPERLINK("http://141.218.60.56/~jnz1568/getInfo.php?workbook=08_02.xlsx&amp;sheet=A0&amp;row=838&amp;col=6&amp;number=&amp;sourceID=27","")</f>
        <v/>
      </c>
      <c r="G838" s="4" t="str">
        <f>HYPERLINK("http://141.218.60.56/~jnz1568/getInfo.php?workbook=08_02.xlsx&amp;sheet=A0&amp;row=838&amp;col=7&amp;number=&amp;sourceID=34","")</f>
        <v/>
      </c>
      <c r="H838" s="4" t="str">
        <f>HYPERLINK("http://141.218.60.56/~jnz1568/getInfo.php?workbook=08_02.xlsx&amp;sheet=A0&amp;row=838&amp;col=8&amp;number=&amp;sourceID=34","")</f>
        <v/>
      </c>
      <c r="I838" s="4" t="str">
        <f>HYPERLINK("http://141.218.60.56/~jnz1568/getInfo.php?workbook=08_02.xlsx&amp;sheet=A0&amp;row=838&amp;col=9&amp;number=&amp;sourceID=34","")</f>
        <v/>
      </c>
      <c r="J838" s="4" t="str">
        <f>HYPERLINK("http://141.218.60.56/~jnz1568/getInfo.php?workbook=08_02.xlsx&amp;sheet=A0&amp;row=838&amp;col=10&amp;number=&amp;sourceID=34","")</f>
        <v/>
      </c>
      <c r="K838" s="4" t="str">
        <f>HYPERLINK("http://141.218.60.56/~jnz1568/getInfo.php?workbook=08_02.xlsx&amp;sheet=A0&amp;row=838&amp;col=11&amp;number=&amp;sourceID=30","")</f>
        <v/>
      </c>
      <c r="L838" s="4" t="str">
        <f>HYPERLINK("http://141.218.60.56/~jnz1568/getInfo.php?workbook=08_02.xlsx&amp;sheet=A0&amp;row=838&amp;col=12&amp;number=289200&amp;sourceID=30","289200")</f>
        <v>289200</v>
      </c>
      <c r="M838" s="4" t="str">
        <f>HYPERLINK("http://141.218.60.56/~jnz1568/getInfo.php?workbook=08_02.xlsx&amp;sheet=A0&amp;row=838&amp;col=13&amp;number=0.0001366&amp;sourceID=30","0.0001366")</f>
        <v>0.0001366</v>
      </c>
      <c r="N838" s="4" t="str">
        <f>HYPERLINK("http://141.218.60.56/~jnz1568/getInfo.php?workbook=08_02.xlsx&amp;sheet=A0&amp;row=838&amp;col=14&amp;number=&amp;sourceID=30","")</f>
        <v/>
      </c>
      <c r="O838" s="4" t="str">
        <f>HYPERLINK("http://141.218.60.56/~jnz1568/getInfo.php?workbook=08_02.xlsx&amp;sheet=A0&amp;row=838&amp;col=15&amp;number=&amp;sourceID=32","")</f>
        <v/>
      </c>
      <c r="P838" s="4" t="str">
        <f>HYPERLINK("http://141.218.60.56/~jnz1568/getInfo.php?workbook=08_02.xlsx&amp;sheet=A0&amp;row=838&amp;col=16&amp;number=288100&amp;sourceID=32","288100")</f>
        <v>288100</v>
      </c>
      <c r="Q838" s="4" t="str">
        <f>HYPERLINK("http://141.218.60.56/~jnz1568/getInfo.php?workbook=08_02.xlsx&amp;sheet=A0&amp;row=838&amp;col=17&amp;number=0.0001764&amp;sourceID=32","0.0001764")</f>
        <v>0.0001764</v>
      </c>
      <c r="R838" s="4" t="str">
        <f>HYPERLINK("http://141.218.60.56/~jnz1568/getInfo.php?workbook=08_02.xlsx&amp;sheet=A0&amp;row=838&amp;col=18&amp;number=&amp;sourceID=32","")</f>
        <v/>
      </c>
      <c r="S838" s="4" t="str">
        <f>HYPERLINK("http://141.218.60.56/~jnz1568/getInfo.php?workbook=08_02.xlsx&amp;sheet=A0&amp;row=838&amp;col=19&amp;number=&amp;sourceID=1","")</f>
        <v/>
      </c>
      <c r="T838" s="4" t="str">
        <f>HYPERLINK("http://141.218.60.56/~jnz1568/getInfo.php?workbook=08_02.xlsx&amp;sheet=A0&amp;row=838&amp;col=20&amp;number=&amp;sourceID=1","")</f>
        <v/>
      </c>
    </row>
    <row r="839" spans="1:20">
      <c r="A839" s="3">
        <v>8</v>
      </c>
      <c r="B839" s="3">
        <v>2</v>
      </c>
      <c r="C839" s="3">
        <v>46</v>
      </c>
      <c r="D839" s="3">
        <v>15</v>
      </c>
      <c r="E839" s="3">
        <f>((1/(INDEX(E0!J$4:J$52,C839,1)-INDEX(E0!J$4:J$52,D839,1))))*100000000</f>
        <v>0</v>
      </c>
      <c r="F839" s="4" t="str">
        <f>HYPERLINK("http://141.218.60.56/~jnz1568/getInfo.php?workbook=08_02.xlsx&amp;sheet=A0&amp;row=839&amp;col=6&amp;number=&amp;sourceID=27","")</f>
        <v/>
      </c>
      <c r="G839" s="4" t="str">
        <f>HYPERLINK("http://141.218.60.56/~jnz1568/getInfo.php?workbook=08_02.xlsx&amp;sheet=A0&amp;row=839&amp;col=7&amp;number=&amp;sourceID=34","")</f>
        <v/>
      </c>
      <c r="H839" s="4" t="str">
        <f>HYPERLINK("http://141.218.60.56/~jnz1568/getInfo.php?workbook=08_02.xlsx&amp;sheet=A0&amp;row=839&amp;col=8&amp;number=&amp;sourceID=34","")</f>
        <v/>
      </c>
      <c r="I839" s="4" t="str">
        <f>HYPERLINK("http://141.218.60.56/~jnz1568/getInfo.php?workbook=08_02.xlsx&amp;sheet=A0&amp;row=839&amp;col=9&amp;number=&amp;sourceID=34","")</f>
        <v/>
      </c>
      <c r="J839" s="4" t="str">
        <f>HYPERLINK("http://141.218.60.56/~jnz1568/getInfo.php?workbook=08_02.xlsx&amp;sheet=A0&amp;row=839&amp;col=10&amp;number=&amp;sourceID=34","")</f>
        <v/>
      </c>
      <c r="K839" s="4" t="str">
        <f>HYPERLINK("http://141.218.60.56/~jnz1568/getInfo.php?workbook=08_02.xlsx&amp;sheet=A0&amp;row=839&amp;col=11&amp;number=&amp;sourceID=30","")</f>
        <v/>
      </c>
      <c r="L839" s="4" t="str">
        <f>HYPERLINK("http://141.218.60.56/~jnz1568/getInfo.php?workbook=08_02.xlsx&amp;sheet=A0&amp;row=839&amp;col=12&amp;number=19520&amp;sourceID=30","19520")</f>
        <v>19520</v>
      </c>
      <c r="M839" s="4" t="str">
        <f>HYPERLINK("http://141.218.60.56/~jnz1568/getInfo.php?workbook=08_02.xlsx&amp;sheet=A0&amp;row=839&amp;col=13&amp;number=5.463e-05&amp;sourceID=30","5.463e-05")</f>
        <v>5.463e-05</v>
      </c>
      <c r="N839" s="4" t="str">
        <f>HYPERLINK("http://141.218.60.56/~jnz1568/getInfo.php?workbook=08_02.xlsx&amp;sheet=A0&amp;row=839&amp;col=14&amp;number=&amp;sourceID=30","")</f>
        <v/>
      </c>
      <c r="O839" s="4" t="str">
        <f>HYPERLINK("http://141.218.60.56/~jnz1568/getInfo.php?workbook=08_02.xlsx&amp;sheet=A0&amp;row=839&amp;col=15&amp;number=&amp;sourceID=32","")</f>
        <v/>
      </c>
      <c r="P839" s="4" t="str">
        <f>HYPERLINK("http://141.218.60.56/~jnz1568/getInfo.php?workbook=08_02.xlsx&amp;sheet=A0&amp;row=839&amp;col=16&amp;number=19520&amp;sourceID=32","19520")</f>
        <v>19520</v>
      </c>
      <c r="Q839" s="4" t="str">
        <f>HYPERLINK("http://141.218.60.56/~jnz1568/getInfo.php?workbook=08_02.xlsx&amp;sheet=A0&amp;row=839&amp;col=17&amp;number=6.656e-05&amp;sourceID=32","6.656e-05")</f>
        <v>6.656e-05</v>
      </c>
      <c r="R839" s="4" t="str">
        <f>HYPERLINK("http://141.218.60.56/~jnz1568/getInfo.php?workbook=08_02.xlsx&amp;sheet=A0&amp;row=839&amp;col=18&amp;number=&amp;sourceID=32","")</f>
        <v/>
      </c>
      <c r="S839" s="4" t="str">
        <f>HYPERLINK("http://141.218.60.56/~jnz1568/getInfo.php?workbook=08_02.xlsx&amp;sheet=A0&amp;row=839&amp;col=19&amp;number=&amp;sourceID=1","")</f>
        <v/>
      </c>
      <c r="T839" s="4" t="str">
        <f>HYPERLINK("http://141.218.60.56/~jnz1568/getInfo.php?workbook=08_02.xlsx&amp;sheet=A0&amp;row=839&amp;col=20&amp;number=&amp;sourceID=1","")</f>
        <v/>
      </c>
    </row>
    <row r="840" spans="1:20">
      <c r="A840" s="3">
        <v>8</v>
      </c>
      <c r="B840" s="3">
        <v>2</v>
      </c>
      <c r="C840" s="3">
        <v>46</v>
      </c>
      <c r="D840" s="3">
        <v>16</v>
      </c>
      <c r="E840" s="3">
        <f>((1/(INDEX(E0!J$4:J$52,C840,1)-INDEX(E0!J$4:J$52,D840,1))))*100000000</f>
        <v>0</v>
      </c>
      <c r="F840" s="4" t="str">
        <f>HYPERLINK("http://141.218.60.56/~jnz1568/getInfo.php?workbook=08_02.xlsx&amp;sheet=A0&amp;row=840&amp;col=6&amp;number=&amp;sourceID=27","")</f>
        <v/>
      </c>
      <c r="G840" s="4" t="str">
        <f>HYPERLINK("http://141.218.60.56/~jnz1568/getInfo.php?workbook=08_02.xlsx&amp;sheet=A0&amp;row=840&amp;col=7&amp;number=&amp;sourceID=34","")</f>
        <v/>
      </c>
      <c r="H840" s="4" t="str">
        <f>HYPERLINK("http://141.218.60.56/~jnz1568/getInfo.php?workbook=08_02.xlsx&amp;sheet=A0&amp;row=840&amp;col=8&amp;number=&amp;sourceID=34","")</f>
        <v/>
      </c>
      <c r="I840" s="4" t="str">
        <f>HYPERLINK("http://141.218.60.56/~jnz1568/getInfo.php?workbook=08_02.xlsx&amp;sheet=A0&amp;row=840&amp;col=9&amp;number=&amp;sourceID=34","")</f>
        <v/>
      </c>
      <c r="J840" s="4" t="str">
        <f>HYPERLINK("http://141.218.60.56/~jnz1568/getInfo.php?workbook=08_02.xlsx&amp;sheet=A0&amp;row=840&amp;col=10&amp;number=&amp;sourceID=34","")</f>
        <v/>
      </c>
      <c r="K840" s="4" t="str">
        <f>HYPERLINK("http://141.218.60.56/~jnz1568/getInfo.php?workbook=08_02.xlsx&amp;sheet=A0&amp;row=840&amp;col=11&amp;number=&amp;sourceID=30","")</f>
        <v/>
      </c>
      <c r="L840" s="4" t="str">
        <f>HYPERLINK("http://141.218.60.56/~jnz1568/getInfo.php?workbook=08_02.xlsx&amp;sheet=A0&amp;row=840&amp;col=12&amp;number=3716&amp;sourceID=30","3716")</f>
        <v>3716</v>
      </c>
      <c r="M840" s="4" t="str">
        <f>HYPERLINK("http://141.218.60.56/~jnz1568/getInfo.php?workbook=08_02.xlsx&amp;sheet=A0&amp;row=840&amp;col=13&amp;number=0.000269&amp;sourceID=30","0.000269")</f>
        <v>0.000269</v>
      </c>
      <c r="N840" s="4" t="str">
        <f>HYPERLINK("http://141.218.60.56/~jnz1568/getInfo.php?workbook=08_02.xlsx&amp;sheet=A0&amp;row=840&amp;col=14&amp;number=&amp;sourceID=30","")</f>
        <v/>
      </c>
      <c r="O840" s="4" t="str">
        <f>HYPERLINK("http://141.218.60.56/~jnz1568/getInfo.php?workbook=08_02.xlsx&amp;sheet=A0&amp;row=840&amp;col=15&amp;number=&amp;sourceID=32","")</f>
        <v/>
      </c>
      <c r="P840" s="4" t="str">
        <f>HYPERLINK("http://141.218.60.56/~jnz1568/getInfo.php?workbook=08_02.xlsx&amp;sheet=A0&amp;row=840&amp;col=16&amp;number=4637&amp;sourceID=32","4637")</f>
        <v>4637</v>
      </c>
      <c r="Q840" s="4" t="str">
        <f>HYPERLINK("http://141.218.60.56/~jnz1568/getInfo.php?workbook=08_02.xlsx&amp;sheet=A0&amp;row=840&amp;col=17&amp;number=0.0003797&amp;sourceID=32","0.0003797")</f>
        <v>0.0003797</v>
      </c>
      <c r="R840" s="4" t="str">
        <f>HYPERLINK("http://141.218.60.56/~jnz1568/getInfo.php?workbook=08_02.xlsx&amp;sheet=A0&amp;row=840&amp;col=18&amp;number=&amp;sourceID=32","")</f>
        <v/>
      </c>
      <c r="S840" s="4" t="str">
        <f>HYPERLINK("http://141.218.60.56/~jnz1568/getInfo.php?workbook=08_02.xlsx&amp;sheet=A0&amp;row=840&amp;col=19&amp;number=&amp;sourceID=1","")</f>
        <v/>
      </c>
      <c r="T840" s="4" t="str">
        <f>HYPERLINK("http://141.218.60.56/~jnz1568/getInfo.php?workbook=08_02.xlsx&amp;sheet=A0&amp;row=840&amp;col=20&amp;number=&amp;sourceID=1","")</f>
        <v/>
      </c>
    </row>
    <row r="841" spans="1:20">
      <c r="A841" s="3">
        <v>8</v>
      </c>
      <c r="B841" s="3">
        <v>2</v>
      </c>
      <c r="C841" s="3">
        <v>46</v>
      </c>
      <c r="D841" s="3">
        <v>17</v>
      </c>
      <c r="E841" s="3">
        <f>((1/(INDEX(E0!J$4:J$52,C841,1)-INDEX(E0!J$4:J$52,D841,1))))*100000000</f>
        <v>0</v>
      </c>
      <c r="F841" s="4" t="str">
        <f>HYPERLINK("http://141.218.60.56/~jnz1568/getInfo.php?workbook=08_02.xlsx&amp;sheet=A0&amp;row=841&amp;col=6&amp;number=&amp;sourceID=27","")</f>
        <v/>
      </c>
      <c r="G841" s="4" t="str">
        <f>HYPERLINK("http://141.218.60.56/~jnz1568/getInfo.php?workbook=08_02.xlsx&amp;sheet=A0&amp;row=841&amp;col=7&amp;number=&amp;sourceID=34","")</f>
        <v/>
      </c>
      <c r="H841" s="4" t="str">
        <f>HYPERLINK("http://141.218.60.56/~jnz1568/getInfo.php?workbook=08_02.xlsx&amp;sheet=A0&amp;row=841&amp;col=8&amp;number=&amp;sourceID=34","")</f>
        <v/>
      </c>
      <c r="I841" s="4" t="str">
        <f>HYPERLINK("http://141.218.60.56/~jnz1568/getInfo.php?workbook=08_02.xlsx&amp;sheet=A0&amp;row=841&amp;col=9&amp;number=&amp;sourceID=34","")</f>
        <v/>
      </c>
      <c r="J841" s="4" t="str">
        <f>HYPERLINK("http://141.218.60.56/~jnz1568/getInfo.php?workbook=08_02.xlsx&amp;sheet=A0&amp;row=841&amp;col=10&amp;number=&amp;sourceID=34","")</f>
        <v/>
      </c>
      <c r="K841" s="4" t="str">
        <f>HYPERLINK("http://141.218.60.56/~jnz1568/getInfo.php?workbook=08_02.xlsx&amp;sheet=A0&amp;row=841&amp;col=11&amp;number=&amp;sourceID=30","")</f>
        <v/>
      </c>
      <c r="L841" s="4" t="str">
        <f>HYPERLINK("http://141.218.60.56/~jnz1568/getInfo.php?workbook=08_02.xlsx&amp;sheet=A0&amp;row=841&amp;col=12&amp;number=&amp;sourceID=30","")</f>
        <v/>
      </c>
      <c r="M841" s="4" t="str">
        <f>HYPERLINK("http://141.218.60.56/~jnz1568/getInfo.php?workbook=08_02.xlsx&amp;sheet=A0&amp;row=841&amp;col=13&amp;number=&amp;sourceID=30","")</f>
        <v/>
      </c>
      <c r="N841" s="4" t="str">
        <f>HYPERLINK("http://141.218.60.56/~jnz1568/getInfo.php?workbook=08_02.xlsx&amp;sheet=A0&amp;row=841&amp;col=14&amp;number=6.285e-09&amp;sourceID=30","6.285e-09")</f>
        <v>6.285e-09</v>
      </c>
      <c r="O841" s="4" t="str">
        <f>HYPERLINK("http://141.218.60.56/~jnz1568/getInfo.php?workbook=08_02.xlsx&amp;sheet=A0&amp;row=841&amp;col=15&amp;number=&amp;sourceID=32","")</f>
        <v/>
      </c>
      <c r="P841" s="4" t="str">
        <f>HYPERLINK("http://141.218.60.56/~jnz1568/getInfo.php?workbook=08_02.xlsx&amp;sheet=A0&amp;row=841&amp;col=16&amp;number=&amp;sourceID=32","")</f>
        <v/>
      </c>
      <c r="Q841" s="4" t="str">
        <f>HYPERLINK("http://141.218.60.56/~jnz1568/getInfo.php?workbook=08_02.xlsx&amp;sheet=A0&amp;row=841&amp;col=17&amp;number=&amp;sourceID=32","")</f>
        <v/>
      </c>
      <c r="R841" s="4" t="str">
        <f>HYPERLINK("http://141.218.60.56/~jnz1568/getInfo.php?workbook=08_02.xlsx&amp;sheet=A0&amp;row=841&amp;col=18&amp;number=1.075e-08&amp;sourceID=32","1.075e-08")</f>
        <v>1.075e-08</v>
      </c>
      <c r="S841" s="4" t="str">
        <f>HYPERLINK("http://141.218.60.56/~jnz1568/getInfo.php?workbook=08_02.xlsx&amp;sheet=A0&amp;row=841&amp;col=19&amp;number=&amp;sourceID=1","")</f>
        <v/>
      </c>
      <c r="T841" s="4" t="str">
        <f>HYPERLINK("http://141.218.60.56/~jnz1568/getInfo.php?workbook=08_02.xlsx&amp;sheet=A0&amp;row=841&amp;col=20&amp;number=&amp;sourceID=1","")</f>
        <v/>
      </c>
    </row>
    <row r="842" spans="1:20">
      <c r="A842" s="3">
        <v>8</v>
      </c>
      <c r="B842" s="3">
        <v>2</v>
      </c>
      <c r="C842" s="3">
        <v>46</v>
      </c>
      <c r="D842" s="3">
        <v>18</v>
      </c>
      <c r="E842" s="3">
        <f>((1/(INDEX(E0!J$4:J$52,C842,1)-INDEX(E0!J$4:J$52,D842,1))))*100000000</f>
        <v>0</v>
      </c>
      <c r="F842" s="4" t="str">
        <f>HYPERLINK("http://141.218.60.56/~jnz1568/getInfo.php?workbook=08_02.xlsx&amp;sheet=A0&amp;row=842&amp;col=6&amp;number=&amp;sourceID=27","")</f>
        <v/>
      </c>
      <c r="G842" s="4" t="str">
        <f>HYPERLINK("http://141.218.60.56/~jnz1568/getInfo.php?workbook=08_02.xlsx&amp;sheet=A0&amp;row=842&amp;col=7&amp;number=&amp;sourceID=34","")</f>
        <v/>
      </c>
      <c r="H842" s="4" t="str">
        <f>HYPERLINK("http://141.218.60.56/~jnz1568/getInfo.php?workbook=08_02.xlsx&amp;sheet=A0&amp;row=842&amp;col=8&amp;number=&amp;sourceID=34","")</f>
        <v/>
      </c>
      <c r="I842" s="4" t="str">
        <f>HYPERLINK("http://141.218.60.56/~jnz1568/getInfo.php?workbook=08_02.xlsx&amp;sheet=A0&amp;row=842&amp;col=9&amp;number=&amp;sourceID=34","")</f>
        <v/>
      </c>
      <c r="J842" s="4" t="str">
        <f>HYPERLINK("http://141.218.60.56/~jnz1568/getInfo.php?workbook=08_02.xlsx&amp;sheet=A0&amp;row=842&amp;col=10&amp;number=&amp;sourceID=34","")</f>
        <v/>
      </c>
      <c r="K842" s="4" t="str">
        <f>HYPERLINK("http://141.218.60.56/~jnz1568/getInfo.php?workbook=08_02.xlsx&amp;sheet=A0&amp;row=842&amp;col=11&amp;number=&amp;sourceID=30","")</f>
        <v/>
      </c>
      <c r="L842" s="4" t="str">
        <f>HYPERLINK("http://141.218.60.56/~jnz1568/getInfo.php?workbook=08_02.xlsx&amp;sheet=A0&amp;row=842&amp;col=12&amp;number=0.003004&amp;sourceID=30","0.003004")</f>
        <v>0.003004</v>
      </c>
      <c r="M842" s="4" t="str">
        <f>HYPERLINK("http://141.218.60.56/~jnz1568/getInfo.php?workbook=08_02.xlsx&amp;sheet=A0&amp;row=842&amp;col=13&amp;number=&amp;sourceID=30","")</f>
        <v/>
      </c>
      <c r="N842" s="4" t="str">
        <f>HYPERLINK("http://141.218.60.56/~jnz1568/getInfo.php?workbook=08_02.xlsx&amp;sheet=A0&amp;row=842&amp;col=14&amp;number=&amp;sourceID=30","")</f>
        <v/>
      </c>
      <c r="O842" s="4" t="str">
        <f>HYPERLINK("http://141.218.60.56/~jnz1568/getInfo.php?workbook=08_02.xlsx&amp;sheet=A0&amp;row=842&amp;col=15&amp;number=&amp;sourceID=32","")</f>
        <v/>
      </c>
      <c r="P842" s="4" t="str">
        <f>HYPERLINK("http://141.218.60.56/~jnz1568/getInfo.php?workbook=08_02.xlsx&amp;sheet=A0&amp;row=842&amp;col=16&amp;number=0.003257&amp;sourceID=32","0.003257")</f>
        <v>0.003257</v>
      </c>
      <c r="Q842" s="4" t="str">
        <f>HYPERLINK("http://141.218.60.56/~jnz1568/getInfo.php?workbook=08_02.xlsx&amp;sheet=A0&amp;row=842&amp;col=17&amp;number=&amp;sourceID=32","")</f>
        <v/>
      </c>
      <c r="R842" s="4" t="str">
        <f>HYPERLINK("http://141.218.60.56/~jnz1568/getInfo.php?workbook=08_02.xlsx&amp;sheet=A0&amp;row=842&amp;col=18&amp;number=&amp;sourceID=32","")</f>
        <v/>
      </c>
      <c r="S842" s="4" t="str">
        <f>HYPERLINK("http://141.218.60.56/~jnz1568/getInfo.php?workbook=08_02.xlsx&amp;sheet=A0&amp;row=842&amp;col=19&amp;number=&amp;sourceID=1","")</f>
        <v/>
      </c>
      <c r="T842" s="4" t="str">
        <f>HYPERLINK("http://141.218.60.56/~jnz1568/getInfo.php?workbook=08_02.xlsx&amp;sheet=A0&amp;row=842&amp;col=20&amp;number=&amp;sourceID=1","")</f>
        <v/>
      </c>
    </row>
    <row r="843" spans="1:20">
      <c r="A843" s="3">
        <v>8</v>
      </c>
      <c r="B843" s="3">
        <v>2</v>
      </c>
      <c r="C843" s="3">
        <v>46</v>
      </c>
      <c r="D843" s="3">
        <v>20</v>
      </c>
      <c r="E843" s="3">
        <f>((1/(INDEX(E0!J$4:J$52,C843,1)-INDEX(E0!J$4:J$52,D843,1))))*100000000</f>
        <v>0</v>
      </c>
      <c r="F843" s="4" t="str">
        <f>HYPERLINK("http://141.218.60.56/~jnz1568/getInfo.php?workbook=08_02.xlsx&amp;sheet=A0&amp;row=843&amp;col=6&amp;number=&amp;sourceID=27","")</f>
        <v/>
      </c>
      <c r="G843" s="4" t="str">
        <f>HYPERLINK("http://141.218.60.56/~jnz1568/getInfo.php?workbook=08_02.xlsx&amp;sheet=A0&amp;row=843&amp;col=7&amp;number=&amp;sourceID=34","")</f>
        <v/>
      </c>
      <c r="H843" s="4" t="str">
        <f>HYPERLINK("http://141.218.60.56/~jnz1568/getInfo.php?workbook=08_02.xlsx&amp;sheet=A0&amp;row=843&amp;col=8&amp;number=&amp;sourceID=34","")</f>
        <v/>
      </c>
      <c r="I843" s="4" t="str">
        <f>HYPERLINK("http://141.218.60.56/~jnz1568/getInfo.php?workbook=08_02.xlsx&amp;sheet=A0&amp;row=843&amp;col=9&amp;number=&amp;sourceID=34","")</f>
        <v/>
      </c>
      <c r="J843" s="4" t="str">
        <f>HYPERLINK("http://141.218.60.56/~jnz1568/getInfo.php?workbook=08_02.xlsx&amp;sheet=A0&amp;row=843&amp;col=10&amp;number=&amp;sourceID=34","")</f>
        <v/>
      </c>
      <c r="K843" s="4" t="str">
        <f>HYPERLINK("http://141.218.60.56/~jnz1568/getInfo.php?workbook=08_02.xlsx&amp;sheet=A0&amp;row=843&amp;col=11&amp;number=&amp;sourceID=30","")</f>
        <v/>
      </c>
      <c r="L843" s="4" t="str">
        <f>HYPERLINK("http://141.218.60.56/~jnz1568/getInfo.php?workbook=08_02.xlsx&amp;sheet=A0&amp;row=843&amp;col=12&amp;number=&amp;sourceID=30","")</f>
        <v/>
      </c>
      <c r="M843" s="4" t="str">
        <f>HYPERLINK("http://141.218.60.56/~jnz1568/getInfo.php?workbook=08_02.xlsx&amp;sheet=A0&amp;row=843&amp;col=13&amp;number=&amp;sourceID=30","")</f>
        <v/>
      </c>
      <c r="N843" s="4" t="str">
        <f>HYPERLINK("http://141.218.60.56/~jnz1568/getInfo.php?workbook=08_02.xlsx&amp;sheet=A0&amp;row=843&amp;col=14&amp;number=3.102e-11&amp;sourceID=30","3.102e-11")</f>
        <v>3.102e-11</v>
      </c>
      <c r="O843" s="4" t="str">
        <f>HYPERLINK("http://141.218.60.56/~jnz1568/getInfo.php?workbook=08_02.xlsx&amp;sheet=A0&amp;row=843&amp;col=15&amp;number=&amp;sourceID=32","")</f>
        <v/>
      </c>
      <c r="P843" s="4" t="str">
        <f>HYPERLINK("http://141.218.60.56/~jnz1568/getInfo.php?workbook=08_02.xlsx&amp;sheet=A0&amp;row=843&amp;col=16&amp;number=&amp;sourceID=32","")</f>
        <v/>
      </c>
      <c r="Q843" s="4" t="str">
        <f>HYPERLINK("http://141.218.60.56/~jnz1568/getInfo.php?workbook=08_02.xlsx&amp;sheet=A0&amp;row=843&amp;col=17&amp;number=&amp;sourceID=32","")</f>
        <v/>
      </c>
      <c r="R843" s="4" t="str">
        <f>HYPERLINK("http://141.218.60.56/~jnz1568/getInfo.php?workbook=08_02.xlsx&amp;sheet=A0&amp;row=843&amp;col=18&amp;number=5.812e-11&amp;sourceID=32","5.812e-11")</f>
        <v>5.812e-11</v>
      </c>
      <c r="S843" s="4" t="str">
        <f>HYPERLINK("http://141.218.60.56/~jnz1568/getInfo.php?workbook=08_02.xlsx&amp;sheet=A0&amp;row=843&amp;col=19&amp;number=&amp;sourceID=1","")</f>
        <v/>
      </c>
      <c r="T843" s="4" t="str">
        <f>HYPERLINK("http://141.218.60.56/~jnz1568/getInfo.php?workbook=08_02.xlsx&amp;sheet=A0&amp;row=843&amp;col=20&amp;number=&amp;sourceID=1","")</f>
        <v/>
      </c>
    </row>
    <row r="844" spans="1:20">
      <c r="A844" s="3">
        <v>8</v>
      </c>
      <c r="B844" s="3">
        <v>2</v>
      </c>
      <c r="C844" s="3">
        <v>46</v>
      </c>
      <c r="D844" s="3">
        <v>21</v>
      </c>
      <c r="E844" s="3">
        <f>((1/(INDEX(E0!J$4:J$52,C844,1)-INDEX(E0!J$4:J$52,D844,1))))*100000000</f>
        <v>0</v>
      </c>
      <c r="F844" s="4" t="str">
        <f>HYPERLINK("http://141.218.60.56/~jnz1568/getInfo.php?workbook=08_02.xlsx&amp;sheet=A0&amp;row=844&amp;col=6&amp;number=&amp;sourceID=27","")</f>
        <v/>
      </c>
      <c r="G844" s="4" t="str">
        <f>HYPERLINK("http://141.218.60.56/~jnz1568/getInfo.php?workbook=08_02.xlsx&amp;sheet=A0&amp;row=844&amp;col=7&amp;number=&amp;sourceID=34","")</f>
        <v/>
      </c>
      <c r="H844" s="4" t="str">
        <f>HYPERLINK("http://141.218.60.56/~jnz1568/getInfo.php?workbook=08_02.xlsx&amp;sheet=A0&amp;row=844&amp;col=8&amp;number=&amp;sourceID=34","")</f>
        <v/>
      </c>
      <c r="I844" s="4" t="str">
        <f>HYPERLINK("http://141.218.60.56/~jnz1568/getInfo.php?workbook=08_02.xlsx&amp;sheet=A0&amp;row=844&amp;col=9&amp;number=&amp;sourceID=34","")</f>
        <v/>
      </c>
      <c r="J844" s="4" t="str">
        <f>HYPERLINK("http://141.218.60.56/~jnz1568/getInfo.php?workbook=08_02.xlsx&amp;sheet=A0&amp;row=844&amp;col=10&amp;number=&amp;sourceID=34","")</f>
        <v/>
      </c>
      <c r="K844" s="4" t="str">
        <f>HYPERLINK("http://141.218.60.56/~jnz1568/getInfo.php?workbook=08_02.xlsx&amp;sheet=A0&amp;row=844&amp;col=11&amp;number=6.058&amp;sourceID=30","6.058")</f>
        <v>6.058</v>
      </c>
      <c r="L844" s="4" t="str">
        <f>HYPERLINK("http://141.218.60.56/~jnz1568/getInfo.php?workbook=08_02.xlsx&amp;sheet=A0&amp;row=844&amp;col=12&amp;number=&amp;sourceID=30","")</f>
        <v/>
      </c>
      <c r="M844" s="4" t="str">
        <f>HYPERLINK("http://141.218.60.56/~jnz1568/getInfo.php?workbook=08_02.xlsx&amp;sheet=A0&amp;row=844&amp;col=13&amp;number=&amp;sourceID=30","")</f>
        <v/>
      </c>
      <c r="N844" s="4" t="str">
        <f>HYPERLINK("http://141.218.60.56/~jnz1568/getInfo.php?workbook=08_02.xlsx&amp;sheet=A0&amp;row=844&amp;col=14&amp;number=6.961e-10&amp;sourceID=30","6.961e-10")</f>
        <v>6.961e-10</v>
      </c>
      <c r="O844" s="4" t="str">
        <f>HYPERLINK("http://141.218.60.56/~jnz1568/getInfo.php?workbook=08_02.xlsx&amp;sheet=A0&amp;row=844&amp;col=15&amp;number=7.07&amp;sourceID=32","7.07")</f>
        <v>7.07</v>
      </c>
      <c r="P844" s="4" t="str">
        <f>HYPERLINK("http://141.218.60.56/~jnz1568/getInfo.php?workbook=08_02.xlsx&amp;sheet=A0&amp;row=844&amp;col=16&amp;number=&amp;sourceID=32","")</f>
        <v/>
      </c>
      <c r="Q844" s="4" t="str">
        <f>HYPERLINK("http://141.218.60.56/~jnz1568/getInfo.php?workbook=08_02.xlsx&amp;sheet=A0&amp;row=844&amp;col=17&amp;number=&amp;sourceID=32","")</f>
        <v/>
      </c>
      <c r="R844" s="4" t="str">
        <f>HYPERLINK("http://141.218.60.56/~jnz1568/getInfo.php?workbook=08_02.xlsx&amp;sheet=A0&amp;row=844&amp;col=18&amp;number=9.138e-10&amp;sourceID=32","9.138e-10")</f>
        <v>9.138e-10</v>
      </c>
      <c r="S844" s="4" t="str">
        <f>HYPERLINK("http://141.218.60.56/~jnz1568/getInfo.php?workbook=08_02.xlsx&amp;sheet=A0&amp;row=844&amp;col=19&amp;number=&amp;sourceID=1","")</f>
        <v/>
      </c>
      <c r="T844" s="4" t="str">
        <f>HYPERLINK("http://141.218.60.56/~jnz1568/getInfo.php?workbook=08_02.xlsx&amp;sheet=A0&amp;row=844&amp;col=20&amp;number=&amp;sourceID=1","")</f>
        <v/>
      </c>
    </row>
    <row r="845" spans="1:20">
      <c r="A845" s="3">
        <v>8</v>
      </c>
      <c r="B845" s="3">
        <v>2</v>
      </c>
      <c r="C845" s="3">
        <v>46</v>
      </c>
      <c r="D845" s="3">
        <v>23</v>
      </c>
      <c r="E845" s="3">
        <f>((1/(INDEX(E0!J$4:J$52,C845,1)-INDEX(E0!J$4:J$52,D845,1))))*100000000</f>
        <v>0</v>
      </c>
      <c r="F845" s="4" t="str">
        <f>HYPERLINK("http://141.218.60.56/~jnz1568/getInfo.php?workbook=08_02.xlsx&amp;sheet=A0&amp;row=845&amp;col=6&amp;number=&amp;sourceID=27","")</f>
        <v/>
      </c>
      <c r="G845" s="4" t="str">
        <f>HYPERLINK("http://141.218.60.56/~jnz1568/getInfo.php?workbook=08_02.xlsx&amp;sheet=A0&amp;row=845&amp;col=7&amp;number=&amp;sourceID=34","")</f>
        <v/>
      </c>
      <c r="H845" s="4" t="str">
        <f>HYPERLINK("http://141.218.60.56/~jnz1568/getInfo.php?workbook=08_02.xlsx&amp;sheet=A0&amp;row=845&amp;col=8&amp;number=&amp;sourceID=34","")</f>
        <v/>
      </c>
      <c r="I845" s="4" t="str">
        <f>HYPERLINK("http://141.218.60.56/~jnz1568/getInfo.php?workbook=08_02.xlsx&amp;sheet=A0&amp;row=845&amp;col=9&amp;number=&amp;sourceID=34","")</f>
        <v/>
      </c>
      <c r="J845" s="4" t="str">
        <f>HYPERLINK("http://141.218.60.56/~jnz1568/getInfo.php?workbook=08_02.xlsx&amp;sheet=A0&amp;row=845&amp;col=10&amp;number=&amp;sourceID=34","")</f>
        <v/>
      </c>
      <c r="K845" s="4" t="str">
        <f>HYPERLINK("http://141.218.60.56/~jnz1568/getInfo.php?workbook=08_02.xlsx&amp;sheet=A0&amp;row=845&amp;col=11&amp;number=&amp;sourceID=30","")</f>
        <v/>
      </c>
      <c r="L845" s="4" t="str">
        <f>HYPERLINK("http://141.218.60.56/~jnz1568/getInfo.php?workbook=08_02.xlsx&amp;sheet=A0&amp;row=845&amp;col=12&amp;number=91270&amp;sourceID=30","91270")</f>
        <v>91270</v>
      </c>
      <c r="M845" s="4" t="str">
        <f>HYPERLINK("http://141.218.60.56/~jnz1568/getInfo.php?workbook=08_02.xlsx&amp;sheet=A0&amp;row=845&amp;col=13&amp;number=&amp;sourceID=30","")</f>
        <v/>
      </c>
      <c r="N845" s="4" t="str">
        <f>HYPERLINK("http://141.218.60.56/~jnz1568/getInfo.php?workbook=08_02.xlsx&amp;sheet=A0&amp;row=845&amp;col=14&amp;number=&amp;sourceID=30","")</f>
        <v/>
      </c>
      <c r="O845" s="4" t="str">
        <f>HYPERLINK("http://141.218.60.56/~jnz1568/getInfo.php?workbook=08_02.xlsx&amp;sheet=A0&amp;row=845&amp;col=15&amp;number=&amp;sourceID=32","")</f>
        <v/>
      </c>
      <c r="P845" s="4" t="str">
        <f>HYPERLINK("http://141.218.60.56/~jnz1568/getInfo.php?workbook=08_02.xlsx&amp;sheet=A0&amp;row=845&amp;col=16&amp;number=91380&amp;sourceID=32","91380")</f>
        <v>91380</v>
      </c>
      <c r="Q845" s="4" t="str">
        <f>HYPERLINK("http://141.218.60.56/~jnz1568/getInfo.php?workbook=08_02.xlsx&amp;sheet=A0&amp;row=845&amp;col=17&amp;number=&amp;sourceID=32","")</f>
        <v/>
      </c>
      <c r="R845" s="4" t="str">
        <f>HYPERLINK("http://141.218.60.56/~jnz1568/getInfo.php?workbook=08_02.xlsx&amp;sheet=A0&amp;row=845&amp;col=18&amp;number=&amp;sourceID=32","")</f>
        <v/>
      </c>
      <c r="S845" s="4" t="str">
        <f>HYPERLINK("http://141.218.60.56/~jnz1568/getInfo.php?workbook=08_02.xlsx&amp;sheet=A0&amp;row=845&amp;col=19&amp;number=&amp;sourceID=1","")</f>
        <v/>
      </c>
      <c r="T845" s="4" t="str">
        <f>HYPERLINK("http://141.218.60.56/~jnz1568/getInfo.php?workbook=08_02.xlsx&amp;sheet=A0&amp;row=845&amp;col=20&amp;number=&amp;sourceID=1","")</f>
        <v/>
      </c>
    </row>
    <row r="846" spans="1:20">
      <c r="A846" s="3">
        <v>8</v>
      </c>
      <c r="B846" s="3">
        <v>2</v>
      </c>
      <c r="C846" s="3">
        <v>46</v>
      </c>
      <c r="D846" s="3">
        <v>24</v>
      </c>
      <c r="E846" s="3">
        <f>((1/(INDEX(E0!J$4:J$52,C846,1)-INDEX(E0!J$4:J$52,D846,1))))*100000000</f>
        <v>0</v>
      </c>
      <c r="F846" s="4" t="str">
        <f>HYPERLINK("http://141.218.60.56/~jnz1568/getInfo.php?workbook=08_02.xlsx&amp;sheet=A0&amp;row=846&amp;col=6&amp;number=&amp;sourceID=27","")</f>
        <v/>
      </c>
      <c r="G846" s="4" t="str">
        <f>HYPERLINK("http://141.218.60.56/~jnz1568/getInfo.php?workbook=08_02.xlsx&amp;sheet=A0&amp;row=846&amp;col=7&amp;number=&amp;sourceID=34","")</f>
        <v/>
      </c>
      <c r="H846" s="4" t="str">
        <f>HYPERLINK("http://141.218.60.56/~jnz1568/getInfo.php?workbook=08_02.xlsx&amp;sheet=A0&amp;row=846&amp;col=8&amp;number=&amp;sourceID=34","")</f>
        <v/>
      </c>
      <c r="I846" s="4" t="str">
        <f>HYPERLINK("http://141.218.60.56/~jnz1568/getInfo.php?workbook=08_02.xlsx&amp;sheet=A0&amp;row=846&amp;col=9&amp;number=&amp;sourceID=34","")</f>
        <v/>
      </c>
      <c r="J846" s="4" t="str">
        <f>HYPERLINK("http://141.218.60.56/~jnz1568/getInfo.php?workbook=08_02.xlsx&amp;sheet=A0&amp;row=846&amp;col=10&amp;number=&amp;sourceID=34","")</f>
        <v/>
      </c>
      <c r="K846" s="4" t="str">
        <f>HYPERLINK("http://141.218.60.56/~jnz1568/getInfo.php?workbook=08_02.xlsx&amp;sheet=A0&amp;row=846&amp;col=11&amp;number=&amp;sourceID=30","")</f>
        <v/>
      </c>
      <c r="L846" s="4" t="str">
        <f>HYPERLINK("http://141.218.60.56/~jnz1568/getInfo.php?workbook=08_02.xlsx&amp;sheet=A0&amp;row=846&amp;col=12&amp;number=25150&amp;sourceID=30","25150")</f>
        <v>25150</v>
      </c>
      <c r="M846" s="4" t="str">
        <f>HYPERLINK("http://141.218.60.56/~jnz1568/getInfo.php?workbook=08_02.xlsx&amp;sheet=A0&amp;row=846&amp;col=13&amp;number=5.33e-06&amp;sourceID=30","5.33e-06")</f>
        <v>5.33e-06</v>
      </c>
      <c r="N846" s="4" t="str">
        <f>HYPERLINK("http://141.218.60.56/~jnz1568/getInfo.php?workbook=08_02.xlsx&amp;sheet=A0&amp;row=846&amp;col=14&amp;number=&amp;sourceID=30","")</f>
        <v/>
      </c>
      <c r="O846" s="4" t="str">
        <f>HYPERLINK("http://141.218.60.56/~jnz1568/getInfo.php?workbook=08_02.xlsx&amp;sheet=A0&amp;row=846&amp;col=15&amp;number=&amp;sourceID=32","")</f>
        <v/>
      </c>
      <c r="P846" s="4" t="str">
        <f>HYPERLINK("http://141.218.60.56/~jnz1568/getInfo.php?workbook=08_02.xlsx&amp;sheet=A0&amp;row=846&amp;col=16&amp;number=25130&amp;sourceID=32","25130")</f>
        <v>25130</v>
      </c>
      <c r="Q846" s="4" t="str">
        <f>HYPERLINK("http://141.218.60.56/~jnz1568/getInfo.php?workbook=08_02.xlsx&amp;sheet=A0&amp;row=846&amp;col=17&amp;number=7.671e-06&amp;sourceID=32","7.671e-06")</f>
        <v>7.671e-06</v>
      </c>
      <c r="R846" s="4" t="str">
        <f>HYPERLINK("http://141.218.60.56/~jnz1568/getInfo.php?workbook=08_02.xlsx&amp;sheet=A0&amp;row=846&amp;col=18&amp;number=&amp;sourceID=32","")</f>
        <v/>
      </c>
      <c r="S846" s="4" t="str">
        <f>HYPERLINK("http://141.218.60.56/~jnz1568/getInfo.php?workbook=08_02.xlsx&amp;sheet=A0&amp;row=846&amp;col=19&amp;number=&amp;sourceID=1","")</f>
        <v/>
      </c>
      <c r="T846" s="4" t="str">
        <f>HYPERLINK("http://141.218.60.56/~jnz1568/getInfo.php?workbook=08_02.xlsx&amp;sheet=A0&amp;row=846&amp;col=20&amp;number=&amp;sourceID=1","")</f>
        <v/>
      </c>
    </row>
    <row r="847" spans="1:20">
      <c r="A847" s="3">
        <v>8</v>
      </c>
      <c r="B847" s="3">
        <v>2</v>
      </c>
      <c r="C847" s="3">
        <v>46</v>
      </c>
      <c r="D847" s="3">
        <v>25</v>
      </c>
      <c r="E847" s="3">
        <f>((1/(INDEX(E0!J$4:J$52,C847,1)-INDEX(E0!J$4:J$52,D847,1))))*100000000</f>
        <v>0</v>
      </c>
      <c r="F847" s="4" t="str">
        <f>HYPERLINK("http://141.218.60.56/~jnz1568/getInfo.php?workbook=08_02.xlsx&amp;sheet=A0&amp;row=847&amp;col=6&amp;number=&amp;sourceID=27","")</f>
        <v/>
      </c>
      <c r="G847" s="4" t="str">
        <f>HYPERLINK("http://141.218.60.56/~jnz1568/getInfo.php?workbook=08_02.xlsx&amp;sheet=A0&amp;row=847&amp;col=7&amp;number=&amp;sourceID=34","")</f>
        <v/>
      </c>
      <c r="H847" s="4" t="str">
        <f>HYPERLINK("http://141.218.60.56/~jnz1568/getInfo.php?workbook=08_02.xlsx&amp;sheet=A0&amp;row=847&amp;col=8&amp;number=&amp;sourceID=34","")</f>
        <v/>
      </c>
      <c r="I847" s="4" t="str">
        <f>HYPERLINK("http://141.218.60.56/~jnz1568/getInfo.php?workbook=08_02.xlsx&amp;sheet=A0&amp;row=847&amp;col=9&amp;number=&amp;sourceID=34","")</f>
        <v/>
      </c>
      <c r="J847" s="4" t="str">
        <f>HYPERLINK("http://141.218.60.56/~jnz1568/getInfo.php?workbook=08_02.xlsx&amp;sheet=A0&amp;row=847&amp;col=10&amp;number=&amp;sourceID=34","")</f>
        <v/>
      </c>
      <c r="K847" s="4" t="str">
        <f>HYPERLINK("http://141.218.60.56/~jnz1568/getInfo.php?workbook=08_02.xlsx&amp;sheet=A0&amp;row=847&amp;col=11&amp;number=13040000&amp;sourceID=30","13040000")</f>
        <v>13040000</v>
      </c>
      <c r="L847" s="4" t="str">
        <f>HYPERLINK("http://141.218.60.56/~jnz1568/getInfo.php?workbook=08_02.xlsx&amp;sheet=A0&amp;row=847&amp;col=12&amp;number=&amp;sourceID=30","")</f>
        <v/>
      </c>
      <c r="M847" s="4" t="str">
        <f>HYPERLINK("http://141.218.60.56/~jnz1568/getInfo.php?workbook=08_02.xlsx&amp;sheet=A0&amp;row=847&amp;col=13&amp;number=&amp;sourceID=30","")</f>
        <v/>
      </c>
      <c r="N847" s="4" t="str">
        <f>HYPERLINK("http://141.218.60.56/~jnz1568/getInfo.php?workbook=08_02.xlsx&amp;sheet=A0&amp;row=847&amp;col=14&amp;number=9.75e-13&amp;sourceID=30","9.75e-13")</f>
        <v>9.75e-13</v>
      </c>
      <c r="O847" s="4" t="str">
        <f>HYPERLINK("http://141.218.60.56/~jnz1568/getInfo.php?workbook=08_02.xlsx&amp;sheet=A0&amp;row=847&amp;col=15&amp;number=&amp;sourceID=32","")</f>
        <v/>
      </c>
      <c r="P847" s="4" t="str">
        <f>HYPERLINK("http://141.218.60.56/~jnz1568/getInfo.php?workbook=08_02.xlsx&amp;sheet=A0&amp;row=847&amp;col=16&amp;number=&amp;sourceID=32","")</f>
        <v/>
      </c>
      <c r="Q847" s="4" t="str">
        <f>HYPERLINK("http://141.218.60.56/~jnz1568/getInfo.php?workbook=08_02.xlsx&amp;sheet=A0&amp;row=847&amp;col=17&amp;number=&amp;sourceID=32","")</f>
        <v/>
      </c>
      <c r="R847" s="4" t="str">
        <f>HYPERLINK("http://141.218.60.56/~jnz1568/getInfo.php?workbook=08_02.xlsx&amp;sheet=A0&amp;row=847&amp;col=18&amp;number=&amp;sourceID=32","")</f>
        <v/>
      </c>
      <c r="S847" s="4" t="str">
        <f>HYPERLINK("http://141.218.60.56/~jnz1568/getInfo.php?workbook=08_02.xlsx&amp;sheet=A0&amp;row=847&amp;col=19&amp;number=&amp;sourceID=1","")</f>
        <v/>
      </c>
      <c r="T847" s="4" t="str">
        <f>HYPERLINK("http://141.218.60.56/~jnz1568/getInfo.php?workbook=08_02.xlsx&amp;sheet=A0&amp;row=847&amp;col=20&amp;number=&amp;sourceID=1","")</f>
        <v/>
      </c>
    </row>
    <row r="848" spans="1:20">
      <c r="A848" s="3">
        <v>8</v>
      </c>
      <c r="B848" s="3">
        <v>2</v>
      </c>
      <c r="C848" s="3">
        <v>46</v>
      </c>
      <c r="D848" s="3">
        <v>26</v>
      </c>
      <c r="E848" s="3">
        <f>((1/(INDEX(E0!J$4:J$52,C848,1)-INDEX(E0!J$4:J$52,D848,1))))*100000000</f>
        <v>0</v>
      </c>
      <c r="F848" s="4" t="str">
        <f>HYPERLINK("http://141.218.60.56/~jnz1568/getInfo.php?workbook=08_02.xlsx&amp;sheet=A0&amp;row=848&amp;col=6&amp;number=&amp;sourceID=27","")</f>
        <v/>
      </c>
      <c r="G848" s="4" t="str">
        <f>HYPERLINK("http://141.218.60.56/~jnz1568/getInfo.php?workbook=08_02.xlsx&amp;sheet=A0&amp;row=848&amp;col=7&amp;number=&amp;sourceID=34","")</f>
        <v/>
      </c>
      <c r="H848" s="4" t="str">
        <f>HYPERLINK("http://141.218.60.56/~jnz1568/getInfo.php?workbook=08_02.xlsx&amp;sheet=A0&amp;row=848&amp;col=8&amp;number=&amp;sourceID=34","")</f>
        <v/>
      </c>
      <c r="I848" s="4" t="str">
        <f>HYPERLINK("http://141.218.60.56/~jnz1568/getInfo.php?workbook=08_02.xlsx&amp;sheet=A0&amp;row=848&amp;col=9&amp;number=&amp;sourceID=34","")</f>
        <v/>
      </c>
      <c r="J848" s="4" t="str">
        <f>HYPERLINK("http://141.218.60.56/~jnz1568/getInfo.php?workbook=08_02.xlsx&amp;sheet=A0&amp;row=848&amp;col=10&amp;number=&amp;sourceID=34","")</f>
        <v/>
      </c>
      <c r="K848" s="4" t="str">
        <f>HYPERLINK("http://141.218.60.56/~jnz1568/getInfo.php?workbook=08_02.xlsx&amp;sheet=A0&amp;row=848&amp;col=11&amp;number=&amp;sourceID=30","")</f>
        <v/>
      </c>
      <c r="L848" s="4" t="str">
        <f>HYPERLINK("http://141.218.60.56/~jnz1568/getInfo.php?workbook=08_02.xlsx&amp;sheet=A0&amp;row=848&amp;col=12&amp;number=1689&amp;sourceID=30","1689")</f>
        <v>1689</v>
      </c>
      <c r="M848" s="4" t="str">
        <f>HYPERLINK("http://141.218.60.56/~jnz1568/getInfo.php?workbook=08_02.xlsx&amp;sheet=A0&amp;row=848&amp;col=13&amp;number=1.617e-06&amp;sourceID=30","1.617e-06")</f>
        <v>1.617e-06</v>
      </c>
      <c r="N848" s="4" t="str">
        <f>HYPERLINK("http://141.218.60.56/~jnz1568/getInfo.php?workbook=08_02.xlsx&amp;sheet=A0&amp;row=848&amp;col=14&amp;number=&amp;sourceID=30","")</f>
        <v/>
      </c>
      <c r="O848" s="4" t="str">
        <f>HYPERLINK("http://141.218.60.56/~jnz1568/getInfo.php?workbook=08_02.xlsx&amp;sheet=A0&amp;row=848&amp;col=15&amp;number=&amp;sourceID=32","")</f>
        <v/>
      </c>
      <c r="P848" s="4" t="str">
        <f>HYPERLINK("http://141.218.60.56/~jnz1568/getInfo.php?workbook=08_02.xlsx&amp;sheet=A0&amp;row=848&amp;col=16&amp;number=1691&amp;sourceID=32","1691")</f>
        <v>1691</v>
      </c>
      <c r="Q848" s="4" t="str">
        <f>HYPERLINK("http://141.218.60.56/~jnz1568/getInfo.php?workbook=08_02.xlsx&amp;sheet=A0&amp;row=848&amp;col=17&amp;number=2.167e-06&amp;sourceID=32","2.167e-06")</f>
        <v>2.167e-06</v>
      </c>
      <c r="R848" s="4" t="str">
        <f>HYPERLINK("http://141.218.60.56/~jnz1568/getInfo.php?workbook=08_02.xlsx&amp;sheet=A0&amp;row=848&amp;col=18&amp;number=&amp;sourceID=32","")</f>
        <v/>
      </c>
      <c r="S848" s="4" t="str">
        <f>HYPERLINK("http://141.218.60.56/~jnz1568/getInfo.php?workbook=08_02.xlsx&amp;sheet=A0&amp;row=848&amp;col=19&amp;number=&amp;sourceID=1","")</f>
        <v/>
      </c>
      <c r="T848" s="4" t="str">
        <f>HYPERLINK("http://141.218.60.56/~jnz1568/getInfo.php?workbook=08_02.xlsx&amp;sheet=A0&amp;row=848&amp;col=20&amp;number=&amp;sourceID=1","")</f>
        <v/>
      </c>
    </row>
    <row r="849" spans="1:20">
      <c r="A849" s="3">
        <v>8</v>
      </c>
      <c r="B849" s="3">
        <v>2</v>
      </c>
      <c r="C849" s="3">
        <v>46</v>
      </c>
      <c r="D849" s="3">
        <v>27</v>
      </c>
      <c r="E849" s="3">
        <f>((1/(INDEX(E0!J$4:J$52,C849,1)-INDEX(E0!J$4:J$52,D849,1))))*100000000</f>
        <v>0</v>
      </c>
      <c r="F849" s="4" t="str">
        <f>HYPERLINK("http://141.218.60.56/~jnz1568/getInfo.php?workbook=08_02.xlsx&amp;sheet=A0&amp;row=849&amp;col=6&amp;number=&amp;sourceID=27","")</f>
        <v/>
      </c>
      <c r="G849" s="4" t="str">
        <f>HYPERLINK("http://141.218.60.56/~jnz1568/getInfo.php?workbook=08_02.xlsx&amp;sheet=A0&amp;row=849&amp;col=7&amp;number=&amp;sourceID=34","")</f>
        <v/>
      </c>
      <c r="H849" s="4" t="str">
        <f>HYPERLINK("http://141.218.60.56/~jnz1568/getInfo.php?workbook=08_02.xlsx&amp;sheet=A0&amp;row=849&amp;col=8&amp;number=&amp;sourceID=34","")</f>
        <v/>
      </c>
      <c r="I849" s="4" t="str">
        <f>HYPERLINK("http://141.218.60.56/~jnz1568/getInfo.php?workbook=08_02.xlsx&amp;sheet=A0&amp;row=849&amp;col=9&amp;number=&amp;sourceID=34","")</f>
        <v/>
      </c>
      <c r="J849" s="4" t="str">
        <f>HYPERLINK("http://141.218.60.56/~jnz1568/getInfo.php?workbook=08_02.xlsx&amp;sheet=A0&amp;row=849&amp;col=10&amp;number=&amp;sourceID=34","")</f>
        <v/>
      </c>
      <c r="K849" s="4" t="str">
        <f>HYPERLINK("http://141.218.60.56/~jnz1568/getInfo.php?workbook=08_02.xlsx&amp;sheet=A0&amp;row=849&amp;col=11&amp;number=504900000&amp;sourceID=30","504900000")</f>
        <v>504900000</v>
      </c>
      <c r="L849" s="4" t="str">
        <f>HYPERLINK("http://141.218.60.56/~jnz1568/getInfo.php?workbook=08_02.xlsx&amp;sheet=A0&amp;row=849&amp;col=12&amp;number=&amp;sourceID=30","")</f>
        <v/>
      </c>
      <c r="M849" s="4" t="str">
        <f>HYPERLINK("http://141.218.60.56/~jnz1568/getInfo.php?workbook=08_02.xlsx&amp;sheet=A0&amp;row=849&amp;col=13&amp;number=&amp;sourceID=30","")</f>
        <v/>
      </c>
      <c r="N849" s="4" t="str">
        <f>HYPERLINK("http://141.218.60.56/~jnz1568/getInfo.php?workbook=08_02.xlsx&amp;sheet=A0&amp;row=849&amp;col=14&amp;number=0.1374&amp;sourceID=30","0.1374")</f>
        <v>0.1374</v>
      </c>
      <c r="O849" s="4" t="str">
        <f>HYPERLINK("http://141.218.60.56/~jnz1568/getInfo.php?workbook=08_02.xlsx&amp;sheet=A0&amp;row=849&amp;col=15&amp;number=498000000&amp;sourceID=32","498000000")</f>
        <v>498000000</v>
      </c>
      <c r="P849" s="4" t="str">
        <f>HYPERLINK("http://141.218.60.56/~jnz1568/getInfo.php?workbook=08_02.xlsx&amp;sheet=A0&amp;row=849&amp;col=16&amp;number=&amp;sourceID=32","")</f>
        <v/>
      </c>
      <c r="Q849" s="4" t="str">
        <f>HYPERLINK("http://141.218.60.56/~jnz1568/getInfo.php?workbook=08_02.xlsx&amp;sheet=A0&amp;row=849&amp;col=17&amp;number=&amp;sourceID=32","")</f>
        <v/>
      </c>
      <c r="R849" s="4" t="str">
        <f>HYPERLINK("http://141.218.60.56/~jnz1568/getInfo.php?workbook=08_02.xlsx&amp;sheet=A0&amp;row=849&amp;col=18&amp;number=0.1376&amp;sourceID=32","0.1376")</f>
        <v>0.1376</v>
      </c>
      <c r="S849" s="4" t="str">
        <f>HYPERLINK("http://141.218.60.56/~jnz1568/getInfo.php?workbook=08_02.xlsx&amp;sheet=A0&amp;row=849&amp;col=19&amp;number=&amp;sourceID=1","")</f>
        <v/>
      </c>
      <c r="T849" s="4" t="str">
        <f>HYPERLINK("http://141.218.60.56/~jnz1568/getInfo.php?workbook=08_02.xlsx&amp;sheet=A0&amp;row=849&amp;col=20&amp;number=&amp;sourceID=1","")</f>
        <v/>
      </c>
    </row>
    <row r="850" spans="1:20">
      <c r="A850" s="3">
        <v>8</v>
      </c>
      <c r="B850" s="3">
        <v>2</v>
      </c>
      <c r="C850" s="3">
        <v>46</v>
      </c>
      <c r="D850" s="3">
        <v>28</v>
      </c>
      <c r="E850" s="3">
        <f>((1/(INDEX(E0!J$4:J$52,C850,1)-INDEX(E0!J$4:J$52,D850,1))))*100000000</f>
        <v>0</v>
      </c>
      <c r="F850" s="4" t="str">
        <f>HYPERLINK("http://141.218.60.56/~jnz1568/getInfo.php?workbook=08_02.xlsx&amp;sheet=A0&amp;row=850&amp;col=6&amp;number=&amp;sourceID=27","")</f>
        <v/>
      </c>
      <c r="G850" s="4" t="str">
        <f>HYPERLINK("http://141.218.60.56/~jnz1568/getInfo.php?workbook=08_02.xlsx&amp;sheet=A0&amp;row=850&amp;col=7&amp;number=&amp;sourceID=34","")</f>
        <v/>
      </c>
      <c r="H850" s="4" t="str">
        <f>HYPERLINK("http://141.218.60.56/~jnz1568/getInfo.php?workbook=08_02.xlsx&amp;sheet=A0&amp;row=850&amp;col=8&amp;number=&amp;sourceID=34","")</f>
        <v/>
      </c>
      <c r="I850" s="4" t="str">
        <f>HYPERLINK("http://141.218.60.56/~jnz1568/getInfo.php?workbook=08_02.xlsx&amp;sheet=A0&amp;row=850&amp;col=9&amp;number=&amp;sourceID=34","")</f>
        <v/>
      </c>
      <c r="J850" s="4" t="str">
        <f>HYPERLINK("http://141.218.60.56/~jnz1568/getInfo.php?workbook=08_02.xlsx&amp;sheet=A0&amp;row=850&amp;col=10&amp;number=&amp;sourceID=34","")</f>
        <v/>
      </c>
      <c r="K850" s="4" t="str">
        <f>HYPERLINK("http://141.218.60.56/~jnz1568/getInfo.php?workbook=08_02.xlsx&amp;sheet=A0&amp;row=850&amp;col=11&amp;number=9387000000&amp;sourceID=30","9387000000")</f>
        <v>9387000000</v>
      </c>
      <c r="L850" s="4" t="str">
        <f>HYPERLINK("http://141.218.60.56/~jnz1568/getInfo.php?workbook=08_02.xlsx&amp;sheet=A0&amp;row=850&amp;col=12&amp;number=&amp;sourceID=30","")</f>
        <v/>
      </c>
      <c r="M850" s="4" t="str">
        <f>HYPERLINK("http://141.218.60.56/~jnz1568/getInfo.php?workbook=08_02.xlsx&amp;sheet=A0&amp;row=850&amp;col=13&amp;number=&amp;sourceID=30","")</f>
        <v/>
      </c>
      <c r="N850" s="4" t="str">
        <f>HYPERLINK("http://141.218.60.56/~jnz1568/getInfo.php?workbook=08_02.xlsx&amp;sheet=A0&amp;row=850&amp;col=14&amp;number=0.8259&amp;sourceID=30","0.8259")</f>
        <v>0.8259</v>
      </c>
      <c r="O850" s="4" t="str">
        <f>HYPERLINK("http://141.218.60.56/~jnz1568/getInfo.php?workbook=08_02.xlsx&amp;sheet=A0&amp;row=850&amp;col=15&amp;number=9387000000&amp;sourceID=32","9387000000")</f>
        <v>9387000000</v>
      </c>
      <c r="P850" s="4" t="str">
        <f>HYPERLINK("http://141.218.60.56/~jnz1568/getInfo.php?workbook=08_02.xlsx&amp;sheet=A0&amp;row=850&amp;col=16&amp;number=&amp;sourceID=32","")</f>
        <v/>
      </c>
      <c r="Q850" s="4" t="str">
        <f>HYPERLINK("http://141.218.60.56/~jnz1568/getInfo.php?workbook=08_02.xlsx&amp;sheet=A0&amp;row=850&amp;col=17&amp;number=&amp;sourceID=32","")</f>
        <v/>
      </c>
      <c r="R850" s="4" t="str">
        <f>HYPERLINK("http://141.218.60.56/~jnz1568/getInfo.php?workbook=08_02.xlsx&amp;sheet=A0&amp;row=850&amp;col=18&amp;number=0.8262&amp;sourceID=32","0.8262")</f>
        <v>0.8262</v>
      </c>
      <c r="S850" s="4" t="str">
        <f>HYPERLINK("http://141.218.60.56/~jnz1568/getInfo.php?workbook=08_02.xlsx&amp;sheet=A0&amp;row=850&amp;col=19&amp;number=&amp;sourceID=1","")</f>
        <v/>
      </c>
      <c r="T850" s="4" t="str">
        <f>HYPERLINK("http://141.218.60.56/~jnz1568/getInfo.php?workbook=08_02.xlsx&amp;sheet=A0&amp;row=850&amp;col=20&amp;number=&amp;sourceID=1","")</f>
        <v/>
      </c>
    </row>
    <row r="851" spans="1:20">
      <c r="A851" s="3">
        <v>8</v>
      </c>
      <c r="B851" s="3">
        <v>2</v>
      </c>
      <c r="C851" s="3">
        <v>46</v>
      </c>
      <c r="D851" s="3">
        <v>29</v>
      </c>
      <c r="E851" s="3">
        <f>((1/(INDEX(E0!J$4:J$52,C851,1)-INDEX(E0!J$4:J$52,D851,1))))*100000000</f>
        <v>0</v>
      </c>
      <c r="F851" s="4" t="str">
        <f>HYPERLINK("http://141.218.60.56/~jnz1568/getInfo.php?workbook=08_02.xlsx&amp;sheet=A0&amp;row=851&amp;col=6&amp;number=&amp;sourceID=27","")</f>
        <v/>
      </c>
      <c r="G851" s="4" t="str">
        <f>HYPERLINK("http://141.218.60.56/~jnz1568/getInfo.php?workbook=08_02.xlsx&amp;sheet=A0&amp;row=851&amp;col=7&amp;number=&amp;sourceID=34","")</f>
        <v/>
      </c>
      <c r="H851" s="4" t="str">
        <f>HYPERLINK("http://141.218.60.56/~jnz1568/getInfo.php?workbook=08_02.xlsx&amp;sheet=A0&amp;row=851&amp;col=8&amp;number=&amp;sourceID=34","")</f>
        <v/>
      </c>
      <c r="I851" s="4" t="str">
        <f>HYPERLINK("http://141.218.60.56/~jnz1568/getInfo.php?workbook=08_02.xlsx&amp;sheet=A0&amp;row=851&amp;col=9&amp;number=&amp;sourceID=34","")</f>
        <v/>
      </c>
      <c r="J851" s="4" t="str">
        <f>HYPERLINK("http://141.218.60.56/~jnz1568/getInfo.php?workbook=08_02.xlsx&amp;sheet=A0&amp;row=851&amp;col=10&amp;number=&amp;sourceID=34","")</f>
        <v/>
      </c>
      <c r="K851" s="4" t="str">
        <f>HYPERLINK("http://141.218.60.56/~jnz1568/getInfo.php?workbook=08_02.xlsx&amp;sheet=A0&amp;row=851&amp;col=11&amp;number=&amp;sourceID=30","")</f>
        <v/>
      </c>
      <c r="L851" s="4" t="str">
        <f>HYPERLINK("http://141.218.60.56/~jnz1568/getInfo.php?workbook=08_02.xlsx&amp;sheet=A0&amp;row=851&amp;col=12&amp;number=195.6&amp;sourceID=30","195.6")</f>
        <v>195.6</v>
      </c>
      <c r="M851" s="4" t="str">
        <f>HYPERLINK("http://141.218.60.56/~jnz1568/getInfo.php?workbook=08_02.xlsx&amp;sheet=A0&amp;row=851&amp;col=13&amp;number=9.935e-06&amp;sourceID=30","9.935e-06")</f>
        <v>9.935e-06</v>
      </c>
      <c r="N851" s="4" t="str">
        <f>HYPERLINK("http://141.218.60.56/~jnz1568/getInfo.php?workbook=08_02.xlsx&amp;sheet=A0&amp;row=851&amp;col=14&amp;number=&amp;sourceID=30","")</f>
        <v/>
      </c>
      <c r="O851" s="4" t="str">
        <f>HYPERLINK("http://141.218.60.56/~jnz1568/getInfo.php?workbook=08_02.xlsx&amp;sheet=A0&amp;row=851&amp;col=15&amp;number=&amp;sourceID=32","")</f>
        <v/>
      </c>
      <c r="P851" s="4" t="str">
        <f>HYPERLINK("http://141.218.60.56/~jnz1568/getInfo.php?workbook=08_02.xlsx&amp;sheet=A0&amp;row=851&amp;col=16&amp;number=246.6&amp;sourceID=32","246.6")</f>
        <v>246.6</v>
      </c>
      <c r="Q851" s="4" t="str">
        <f>HYPERLINK("http://141.218.60.56/~jnz1568/getInfo.php?workbook=08_02.xlsx&amp;sheet=A0&amp;row=851&amp;col=17&amp;number=1.541e-05&amp;sourceID=32","1.541e-05")</f>
        <v>1.541e-05</v>
      </c>
      <c r="R851" s="4" t="str">
        <f>HYPERLINK("http://141.218.60.56/~jnz1568/getInfo.php?workbook=08_02.xlsx&amp;sheet=A0&amp;row=851&amp;col=18&amp;number=&amp;sourceID=32","")</f>
        <v/>
      </c>
      <c r="S851" s="4" t="str">
        <f>HYPERLINK("http://141.218.60.56/~jnz1568/getInfo.php?workbook=08_02.xlsx&amp;sheet=A0&amp;row=851&amp;col=19&amp;number=&amp;sourceID=1","")</f>
        <v/>
      </c>
      <c r="T851" s="4" t="str">
        <f>HYPERLINK("http://141.218.60.56/~jnz1568/getInfo.php?workbook=08_02.xlsx&amp;sheet=A0&amp;row=851&amp;col=20&amp;number=&amp;sourceID=1","")</f>
        <v/>
      </c>
    </row>
    <row r="852" spans="1:20">
      <c r="A852" s="3">
        <v>8</v>
      </c>
      <c r="B852" s="3">
        <v>2</v>
      </c>
      <c r="C852" s="3">
        <v>46</v>
      </c>
      <c r="D852" s="3">
        <v>30</v>
      </c>
      <c r="E852" s="3">
        <f>((1/(INDEX(E0!J$4:J$52,C852,1)-INDEX(E0!J$4:J$52,D852,1))))*100000000</f>
        <v>0</v>
      </c>
      <c r="F852" s="4" t="str">
        <f>HYPERLINK("http://141.218.60.56/~jnz1568/getInfo.php?workbook=08_02.xlsx&amp;sheet=A0&amp;row=852&amp;col=6&amp;number=&amp;sourceID=27","")</f>
        <v/>
      </c>
      <c r="G852" s="4" t="str">
        <f>HYPERLINK("http://141.218.60.56/~jnz1568/getInfo.php?workbook=08_02.xlsx&amp;sheet=A0&amp;row=852&amp;col=7&amp;number=&amp;sourceID=34","")</f>
        <v/>
      </c>
      <c r="H852" s="4" t="str">
        <f>HYPERLINK("http://141.218.60.56/~jnz1568/getInfo.php?workbook=08_02.xlsx&amp;sheet=A0&amp;row=852&amp;col=8&amp;number=&amp;sourceID=34","")</f>
        <v/>
      </c>
      <c r="I852" s="4" t="str">
        <f>HYPERLINK("http://141.218.60.56/~jnz1568/getInfo.php?workbook=08_02.xlsx&amp;sheet=A0&amp;row=852&amp;col=9&amp;number=&amp;sourceID=34","")</f>
        <v/>
      </c>
      <c r="J852" s="4" t="str">
        <f>HYPERLINK("http://141.218.60.56/~jnz1568/getInfo.php?workbook=08_02.xlsx&amp;sheet=A0&amp;row=852&amp;col=10&amp;number=&amp;sourceID=34","")</f>
        <v/>
      </c>
      <c r="K852" s="4" t="str">
        <f>HYPERLINK("http://141.218.60.56/~jnz1568/getInfo.php?workbook=08_02.xlsx&amp;sheet=A0&amp;row=852&amp;col=11&amp;number=316400000&amp;sourceID=30","316400000")</f>
        <v>316400000</v>
      </c>
      <c r="L852" s="4" t="str">
        <f>HYPERLINK("http://141.218.60.56/~jnz1568/getInfo.php?workbook=08_02.xlsx&amp;sheet=A0&amp;row=852&amp;col=12&amp;number=&amp;sourceID=30","")</f>
        <v/>
      </c>
      <c r="M852" s="4" t="str">
        <f>HYPERLINK("http://141.218.60.56/~jnz1568/getInfo.php?workbook=08_02.xlsx&amp;sheet=A0&amp;row=852&amp;col=13&amp;number=&amp;sourceID=30","")</f>
        <v/>
      </c>
      <c r="N852" s="4" t="str">
        <f>HYPERLINK("http://141.218.60.56/~jnz1568/getInfo.php?workbook=08_02.xlsx&amp;sheet=A0&amp;row=852&amp;col=14&amp;number=0.0002673&amp;sourceID=30","0.0002673")</f>
        <v>0.0002673</v>
      </c>
      <c r="O852" s="4" t="str">
        <f>HYPERLINK("http://141.218.60.56/~jnz1568/getInfo.php?workbook=08_02.xlsx&amp;sheet=A0&amp;row=852&amp;col=15&amp;number=323300000&amp;sourceID=32","323300000")</f>
        <v>323300000</v>
      </c>
      <c r="P852" s="4" t="str">
        <f>HYPERLINK("http://141.218.60.56/~jnz1568/getInfo.php?workbook=08_02.xlsx&amp;sheet=A0&amp;row=852&amp;col=16&amp;number=&amp;sourceID=32","")</f>
        <v/>
      </c>
      <c r="Q852" s="4" t="str">
        <f>HYPERLINK("http://141.218.60.56/~jnz1568/getInfo.php?workbook=08_02.xlsx&amp;sheet=A0&amp;row=852&amp;col=17&amp;number=&amp;sourceID=32","")</f>
        <v/>
      </c>
      <c r="R852" s="4" t="str">
        <f>HYPERLINK("http://141.218.60.56/~jnz1568/getInfo.php?workbook=08_02.xlsx&amp;sheet=A0&amp;row=852&amp;col=18&amp;number=0.0001722&amp;sourceID=32","0.0001722")</f>
        <v>0.0001722</v>
      </c>
      <c r="S852" s="4" t="str">
        <f>HYPERLINK("http://141.218.60.56/~jnz1568/getInfo.php?workbook=08_02.xlsx&amp;sheet=A0&amp;row=852&amp;col=19&amp;number=&amp;sourceID=1","")</f>
        <v/>
      </c>
      <c r="T852" s="4" t="str">
        <f>HYPERLINK("http://141.218.60.56/~jnz1568/getInfo.php?workbook=08_02.xlsx&amp;sheet=A0&amp;row=852&amp;col=20&amp;number=&amp;sourceID=1","")</f>
        <v/>
      </c>
    </row>
    <row r="853" spans="1:20">
      <c r="A853" s="3">
        <v>8</v>
      </c>
      <c r="B853" s="3">
        <v>2</v>
      </c>
      <c r="C853" s="3">
        <v>46</v>
      </c>
      <c r="D853" s="3">
        <v>31</v>
      </c>
      <c r="E853" s="3">
        <f>((1/(INDEX(E0!J$4:J$52,C853,1)-INDEX(E0!J$4:J$52,D853,1))))*100000000</f>
        <v>0</v>
      </c>
      <c r="F853" s="4" t="str">
        <f>HYPERLINK("http://141.218.60.56/~jnz1568/getInfo.php?workbook=08_02.xlsx&amp;sheet=A0&amp;row=853&amp;col=6&amp;number=&amp;sourceID=27","")</f>
        <v/>
      </c>
      <c r="G853" s="4" t="str">
        <f>HYPERLINK("http://141.218.60.56/~jnz1568/getInfo.php?workbook=08_02.xlsx&amp;sheet=A0&amp;row=853&amp;col=7&amp;number=&amp;sourceID=34","")</f>
        <v/>
      </c>
      <c r="H853" s="4" t="str">
        <f>HYPERLINK("http://141.218.60.56/~jnz1568/getInfo.php?workbook=08_02.xlsx&amp;sheet=A0&amp;row=853&amp;col=8&amp;number=&amp;sourceID=34","")</f>
        <v/>
      </c>
      <c r="I853" s="4" t="str">
        <f>HYPERLINK("http://141.218.60.56/~jnz1568/getInfo.php?workbook=08_02.xlsx&amp;sheet=A0&amp;row=853&amp;col=9&amp;number=&amp;sourceID=34","")</f>
        <v/>
      </c>
      <c r="J853" s="4" t="str">
        <f>HYPERLINK("http://141.218.60.56/~jnz1568/getInfo.php?workbook=08_02.xlsx&amp;sheet=A0&amp;row=853&amp;col=10&amp;number=&amp;sourceID=34","")</f>
        <v/>
      </c>
      <c r="K853" s="4" t="str">
        <f>HYPERLINK("http://141.218.60.56/~jnz1568/getInfo.php?workbook=08_02.xlsx&amp;sheet=A0&amp;row=853&amp;col=11&amp;number=&amp;sourceID=30","")</f>
        <v/>
      </c>
      <c r="L853" s="4" t="str">
        <f>HYPERLINK("http://141.218.60.56/~jnz1568/getInfo.php?workbook=08_02.xlsx&amp;sheet=A0&amp;row=853&amp;col=12&amp;number=&amp;sourceID=30","")</f>
        <v/>
      </c>
      <c r="M853" s="4" t="str">
        <f>HYPERLINK("http://141.218.60.56/~jnz1568/getInfo.php?workbook=08_02.xlsx&amp;sheet=A0&amp;row=853&amp;col=13&amp;number=&amp;sourceID=30","")</f>
        <v/>
      </c>
      <c r="N853" s="4" t="str">
        <f>HYPERLINK("http://141.218.60.56/~jnz1568/getInfo.php?workbook=08_02.xlsx&amp;sheet=A0&amp;row=853&amp;col=14&amp;number=1.705e-10&amp;sourceID=30","1.705e-10")</f>
        <v>1.705e-10</v>
      </c>
      <c r="O853" s="4" t="str">
        <f>HYPERLINK("http://141.218.60.56/~jnz1568/getInfo.php?workbook=08_02.xlsx&amp;sheet=A0&amp;row=853&amp;col=15&amp;number=&amp;sourceID=32","")</f>
        <v/>
      </c>
      <c r="P853" s="4" t="str">
        <f>HYPERLINK("http://141.218.60.56/~jnz1568/getInfo.php?workbook=08_02.xlsx&amp;sheet=A0&amp;row=853&amp;col=16&amp;number=&amp;sourceID=32","")</f>
        <v/>
      </c>
      <c r="Q853" s="4" t="str">
        <f>HYPERLINK("http://141.218.60.56/~jnz1568/getInfo.php?workbook=08_02.xlsx&amp;sheet=A0&amp;row=853&amp;col=17&amp;number=&amp;sourceID=32","")</f>
        <v/>
      </c>
      <c r="R853" s="4" t="str">
        <f>HYPERLINK("http://141.218.60.56/~jnz1568/getInfo.php?workbook=08_02.xlsx&amp;sheet=A0&amp;row=853&amp;col=18&amp;number=1.982e-10&amp;sourceID=32","1.982e-10")</f>
        <v>1.982e-10</v>
      </c>
      <c r="S853" s="4" t="str">
        <f>HYPERLINK("http://141.218.60.56/~jnz1568/getInfo.php?workbook=08_02.xlsx&amp;sheet=A0&amp;row=853&amp;col=19&amp;number=&amp;sourceID=1","")</f>
        <v/>
      </c>
      <c r="T853" s="4" t="str">
        <f>HYPERLINK("http://141.218.60.56/~jnz1568/getInfo.php?workbook=08_02.xlsx&amp;sheet=A0&amp;row=853&amp;col=20&amp;number=&amp;sourceID=1","")</f>
        <v/>
      </c>
    </row>
    <row r="854" spans="1:20">
      <c r="A854" s="3">
        <v>8</v>
      </c>
      <c r="B854" s="3">
        <v>2</v>
      </c>
      <c r="C854" s="3">
        <v>46</v>
      </c>
      <c r="D854" s="3">
        <v>32</v>
      </c>
      <c r="E854" s="3">
        <f>((1/(INDEX(E0!J$4:J$52,C854,1)-INDEX(E0!J$4:J$52,D854,1))))*100000000</f>
        <v>0</v>
      </c>
      <c r="F854" s="4" t="str">
        <f>HYPERLINK("http://141.218.60.56/~jnz1568/getInfo.php?workbook=08_02.xlsx&amp;sheet=A0&amp;row=854&amp;col=6&amp;number=&amp;sourceID=27","")</f>
        <v/>
      </c>
      <c r="G854" s="4" t="str">
        <f>HYPERLINK("http://141.218.60.56/~jnz1568/getInfo.php?workbook=08_02.xlsx&amp;sheet=A0&amp;row=854&amp;col=7&amp;number=&amp;sourceID=34","")</f>
        <v/>
      </c>
      <c r="H854" s="4" t="str">
        <f>HYPERLINK("http://141.218.60.56/~jnz1568/getInfo.php?workbook=08_02.xlsx&amp;sheet=A0&amp;row=854&amp;col=8&amp;number=&amp;sourceID=34","")</f>
        <v/>
      </c>
      <c r="I854" s="4" t="str">
        <f>HYPERLINK("http://141.218.60.56/~jnz1568/getInfo.php?workbook=08_02.xlsx&amp;sheet=A0&amp;row=854&amp;col=9&amp;number=&amp;sourceID=34","")</f>
        <v/>
      </c>
      <c r="J854" s="4" t="str">
        <f>HYPERLINK("http://141.218.60.56/~jnz1568/getInfo.php?workbook=08_02.xlsx&amp;sheet=A0&amp;row=854&amp;col=10&amp;number=&amp;sourceID=34","")</f>
        <v/>
      </c>
      <c r="K854" s="4" t="str">
        <f>HYPERLINK("http://141.218.60.56/~jnz1568/getInfo.php?workbook=08_02.xlsx&amp;sheet=A0&amp;row=854&amp;col=11&amp;number=&amp;sourceID=30","")</f>
        <v/>
      </c>
      <c r="L854" s="4" t="str">
        <f>HYPERLINK("http://141.218.60.56/~jnz1568/getInfo.php?workbook=08_02.xlsx&amp;sheet=A0&amp;row=854&amp;col=12&amp;number=7.072e-10&amp;sourceID=30","7.072e-10")</f>
        <v>7.072e-10</v>
      </c>
      <c r="M854" s="4" t="str">
        <f>HYPERLINK("http://141.218.60.56/~jnz1568/getInfo.php?workbook=08_02.xlsx&amp;sheet=A0&amp;row=854&amp;col=13&amp;number=&amp;sourceID=30","")</f>
        <v/>
      </c>
      <c r="N854" s="4" t="str">
        <f>HYPERLINK("http://141.218.60.56/~jnz1568/getInfo.php?workbook=08_02.xlsx&amp;sheet=A0&amp;row=854&amp;col=14&amp;number=&amp;sourceID=30","")</f>
        <v/>
      </c>
      <c r="O854" s="4" t="str">
        <f>HYPERLINK("http://141.218.60.56/~jnz1568/getInfo.php?workbook=08_02.xlsx&amp;sheet=A0&amp;row=854&amp;col=15&amp;number=&amp;sourceID=32","")</f>
        <v/>
      </c>
      <c r="P854" s="4" t="str">
        <f>HYPERLINK("http://141.218.60.56/~jnz1568/getInfo.php?workbook=08_02.xlsx&amp;sheet=A0&amp;row=854&amp;col=16&amp;number=8.162e-10&amp;sourceID=32","8.162e-10")</f>
        <v>8.162e-10</v>
      </c>
      <c r="Q854" s="4" t="str">
        <f>HYPERLINK("http://141.218.60.56/~jnz1568/getInfo.php?workbook=08_02.xlsx&amp;sheet=A0&amp;row=854&amp;col=17&amp;number=&amp;sourceID=32","")</f>
        <v/>
      </c>
      <c r="R854" s="4" t="str">
        <f>HYPERLINK("http://141.218.60.56/~jnz1568/getInfo.php?workbook=08_02.xlsx&amp;sheet=A0&amp;row=854&amp;col=18&amp;number=&amp;sourceID=32","")</f>
        <v/>
      </c>
      <c r="S854" s="4" t="str">
        <f>HYPERLINK("http://141.218.60.56/~jnz1568/getInfo.php?workbook=08_02.xlsx&amp;sheet=A0&amp;row=854&amp;col=19&amp;number=&amp;sourceID=1","")</f>
        <v/>
      </c>
      <c r="T854" s="4" t="str">
        <f>HYPERLINK("http://141.218.60.56/~jnz1568/getInfo.php?workbook=08_02.xlsx&amp;sheet=A0&amp;row=854&amp;col=20&amp;number=&amp;sourceID=1","")</f>
        <v/>
      </c>
    </row>
    <row r="855" spans="1:20">
      <c r="A855" s="3">
        <v>8</v>
      </c>
      <c r="B855" s="3">
        <v>2</v>
      </c>
      <c r="C855" s="3">
        <v>46</v>
      </c>
      <c r="D855" s="3">
        <v>35</v>
      </c>
      <c r="E855" s="3">
        <f>((1/(INDEX(E0!J$4:J$52,C855,1)-INDEX(E0!J$4:J$52,D855,1))))*100000000</f>
        <v>0</v>
      </c>
      <c r="F855" s="4" t="str">
        <f>HYPERLINK("http://141.218.60.56/~jnz1568/getInfo.php?workbook=08_02.xlsx&amp;sheet=A0&amp;row=855&amp;col=6&amp;number=&amp;sourceID=27","")</f>
        <v/>
      </c>
      <c r="G855" s="4" t="str">
        <f>HYPERLINK("http://141.218.60.56/~jnz1568/getInfo.php?workbook=08_02.xlsx&amp;sheet=A0&amp;row=855&amp;col=7&amp;number=&amp;sourceID=34","")</f>
        <v/>
      </c>
      <c r="H855" s="4" t="str">
        <f>HYPERLINK("http://141.218.60.56/~jnz1568/getInfo.php?workbook=08_02.xlsx&amp;sheet=A0&amp;row=855&amp;col=8&amp;number=&amp;sourceID=34","")</f>
        <v/>
      </c>
      <c r="I855" s="4" t="str">
        <f>HYPERLINK("http://141.218.60.56/~jnz1568/getInfo.php?workbook=08_02.xlsx&amp;sheet=A0&amp;row=855&amp;col=9&amp;number=&amp;sourceID=34","")</f>
        <v/>
      </c>
      <c r="J855" s="4" t="str">
        <f>HYPERLINK("http://141.218.60.56/~jnz1568/getInfo.php?workbook=08_02.xlsx&amp;sheet=A0&amp;row=855&amp;col=10&amp;number=&amp;sourceID=34","")</f>
        <v/>
      </c>
      <c r="K855" s="4" t="str">
        <f>HYPERLINK("http://141.218.60.56/~jnz1568/getInfo.php?workbook=08_02.xlsx&amp;sheet=A0&amp;row=855&amp;col=11&amp;number=&amp;sourceID=30","")</f>
        <v/>
      </c>
      <c r="L855" s="4" t="str">
        <f>HYPERLINK("http://141.218.60.56/~jnz1568/getInfo.php?workbook=08_02.xlsx&amp;sheet=A0&amp;row=855&amp;col=12&amp;number=&amp;sourceID=30","")</f>
        <v/>
      </c>
      <c r="M855" s="4" t="str">
        <f>HYPERLINK("http://141.218.60.56/~jnz1568/getInfo.php?workbook=08_02.xlsx&amp;sheet=A0&amp;row=855&amp;col=13&amp;number=&amp;sourceID=30","")</f>
        <v/>
      </c>
      <c r="N855" s="4" t="str">
        <f>HYPERLINK("http://141.218.60.56/~jnz1568/getInfo.php?workbook=08_02.xlsx&amp;sheet=A0&amp;row=855&amp;col=14&amp;number=0&amp;sourceID=30","0")</f>
        <v>0</v>
      </c>
      <c r="O855" s="4" t="str">
        <f>HYPERLINK("http://141.218.60.56/~jnz1568/getInfo.php?workbook=08_02.xlsx&amp;sheet=A0&amp;row=855&amp;col=15&amp;number=&amp;sourceID=32","")</f>
        <v/>
      </c>
      <c r="P855" s="4" t="str">
        <f>HYPERLINK("http://141.218.60.56/~jnz1568/getInfo.php?workbook=08_02.xlsx&amp;sheet=A0&amp;row=855&amp;col=16&amp;number=&amp;sourceID=32","")</f>
        <v/>
      </c>
      <c r="Q855" s="4" t="str">
        <f>HYPERLINK("http://141.218.60.56/~jnz1568/getInfo.php?workbook=08_02.xlsx&amp;sheet=A0&amp;row=855&amp;col=17&amp;number=&amp;sourceID=32","")</f>
        <v/>
      </c>
      <c r="R855" s="4" t="str">
        <f>HYPERLINK("http://141.218.60.56/~jnz1568/getInfo.php?workbook=08_02.xlsx&amp;sheet=A0&amp;row=855&amp;col=18&amp;number=0&amp;sourceID=32","0")</f>
        <v>0</v>
      </c>
      <c r="S855" s="4" t="str">
        <f>HYPERLINK("http://141.218.60.56/~jnz1568/getInfo.php?workbook=08_02.xlsx&amp;sheet=A0&amp;row=855&amp;col=19&amp;number=&amp;sourceID=1","")</f>
        <v/>
      </c>
      <c r="T855" s="4" t="str">
        <f>HYPERLINK("http://141.218.60.56/~jnz1568/getInfo.php?workbook=08_02.xlsx&amp;sheet=A0&amp;row=855&amp;col=20&amp;number=&amp;sourceID=1","")</f>
        <v/>
      </c>
    </row>
    <row r="856" spans="1:20">
      <c r="A856" s="3">
        <v>8</v>
      </c>
      <c r="B856" s="3">
        <v>2</v>
      </c>
      <c r="C856" s="3">
        <v>46</v>
      </c>
      <c r="D856" s="3">
        <v>36</v>
      </c>
      <c r="E856" s="3">
        <f>((1/(INDEX(E0!J$4:J$52,C856,1)-INDEX(E0!J$4:J$52,D856,1))))*100000000</f>
        <v>0</v>
      </c>
      <c r="F856" s="4" t="str">
        <f>HYPERLINK("http://141.218.60.56/~jnz1568/getInfo.php?workbook=08_02.xlsx&amp;sheet=A0&amp;row=856&amp;col=6&amp;number=&amp;sourceID=27","")</f>
        <v/>
      </c>
      <c r="G856" s="4" t="str">
        <f>HYPERLINK("http://141.218.60.56/~jnz1568/getInfo.php?workbook=08_02.xlsx&amp;sheet=A0&amp;row=856&amp;col=7&amp;number=&amp;sourceID=34","")</f>
        <v/>
      </c>
      <c r="H856" s="4" t="str">
        <f>HYPERLINK("http://141.218.60.56/~jnz1568/getInfo.php?workbook=08_02.xlsx&amp;sheet=A0&amp;row=856&amp;col=8&amp;number=&amp;sourceID=34","")</f>
        <v/>
      </c>
      <c r="I856" s="4" t="str">
        <f>HYPERLINK("http://141.218.60.56/~jnz1568/getInfo.php?workbook=08_02.xlsx&amp;sheet=A0&amp;row=856&amp;col=9&amp;number=&amp;sourceID=34","")</f>
        <v/>
      </c>
      <c r="J856" s="4" t="str">
        <f>HYPERLINK("http://141.218.60.56/~jnz1568/getInfo.php?workbook=08_02.xlsx&amp;sheet=A0&amp;row=856&amp;col=10&amp;number=&amp;sourceID=34","")</f>
        <v/>
      </c>
      <c r="K856" s="4" t="str">
        <f>HYPERLINK("http://141.218.60.56/~jnz1568/getInfo.php?workbook=08_02.xlsx&amp;sheet=A0&amp;row=856&amp;col=11&amp;number=3.463e-05&amp;sourceID=30","3.463e-05")</f>
        <v>3.463e-05</v>
      </c>
      <c r="L856" s="4" t="str">
        <f>HYPERLINK("http://141.218.60.56/~jnz1568/getInfo.php?workbook=08_02.xlsx&amp;sheet=A0&amp;row=856&amp;col=12&amp;number=&amp;sourceID=30","")</f>
        <v/>
      </c>
      <c r="M856" s="4" t="str">
        <f>HYPERLINK("http://141.218.60.56/~jnz1568/getInfo.php?workbook=08_02.xlsx&amp;sheet=A0&amp;row=856&amp;col=13&amp;number=&amp;sourceID=30","")</f>
        <v/>
      </c>
      <c r="N856" s="4" t="str">
        <f>HYPERLINK("http://141.218.60.56/~jnz1568/getInfo.php?workbook=08_02.xlsx&amp;sheet=A0&amp;row=856&amp;col=14&amp;number=0&amp;sourceID=30","0")</f>
        <v>0</v>
      </c>
      <c r="O856" s="4" t="str">
        <f>HYPERLINK("http://141.218.60.56/~jnz1568/getInfo.php?workbook=08_02.xlsx&amp;sheet=A0&amp;row=856&amp;col=15&amp;number=5.536e-05&amp;sourceID=32","5.536e-05")</f>
        <v>5.536e-05</v>
      </c>
      <c r="P856" s="4" t="str">
        <f>HYPERLINK("http://141.218.60.56/~jnz1568/getInfo.php?workbook=08_02.xlsx&amp;sheet=A0&amp;row=856&amp;col=16&amp;number=&amp;sourceID=32","")</f>
        <v/>
      </c>
      <c r="Q856" s="4" t="str">
        <f>HYPERLINK("http://141.218.60.56/~jnz1568/getInfo.php?workbook=08_02.xlsx&amp;sheet=A0&amp;row=856&amp;col=17&amp;number=&amp;sourceID=32","")</f>
        <v/>
      </c>
      <c r="R856" s="4" t="str">
        <f>HYPERLINK("http://141.218.60.56/~jnz1568/getInfo.php?workbook=08_02.xlsx&amp;sheet=A0&amp;row=856&amp;col=18&amp;number=0&amp;sourceID=32","0")</f>
        <v>0</v>
      </c>
      <c r="S856" s="4" t="str">
        <f>HYPERLINK("http://141.218.60.56/~jnz1568/getInfo.php?workbook=08_02.xlsx&amp;sheet=A0&amp;row=856&amp;col=19&amp;number=&amp;sourceID=1","")</f>
        <v/>
      </c>
      <c r="T856" s="4" t="str">
        <f>HYPERLINK("http://141.218.60.56/~jnz1568/getInfo.php?workbook=08_02.xlsx&amp;sheet=A0&amp;row=856&amp;col=20&amp;number=&amp;sourceID=1","")</f>
        <v/>
      </c>
    </row>
    <row r="857" spans="1:20">
      <c r="A857" s="3">
        <v>8</v>
      </c>
      <c r="B857" s="3">
        <v>2</v>
      </c>
      <c r="C857" s="3">
        <v>46</v>
      </c>
      <c r="D857" s="3">
        <v>37</v>
      </c>
      <c r="E857" s="3">
        <f>((1/(INDEX(E0!J$4:J$52,C857,1)-INDEX(E0!J$4:J$52,D857,1))))*100000000</f>
        <v>0</v>
      </c>
      <c r="F857" s="4" t="str">
        <f>HYPERLINK("http://141.218.60.56/~jnz1568/getInfo.php?workbook=08_02.xlsx&amp;sheet=A0&amp;row=857&amp;col=6&amp;number=&amp;sourceID=27","")</f>
        <v/>
      </c>
      <c r="G857" s="4" t="str">
        <f>HYPERLINK("http://141.218.60.56/~jnz1568/getInfo.php?workbook=08_02.xlsx&amp;sheet=A0&amp;row=857&amp;col=7&amp;number=&amp;sourceID=34","")</f>
        <v/>
      </c>
      <c r="H857" s="4" t="str">
        <f>HYPERLINK("http://141.218.60.56/~jnz1568/getInfo.php?workbook=08_02.xlsx&amp;sheet=A0&amp;row=857&amp;col=8&amp;number=&amp;sourceID=34","")</f>
        <v/>
      </c>
      <c r="I857" s="4" t="str">
        <f>HYPERLINK("http://141.218.60.56/~jnz1568/getInfo.php?workbook=08_02.xlsx&amp;sheet=A0&amp;row=857&amp;col=9&amp;number=&amp;sourceID=34","")</f>
        <v/>
      </c>
      <c r="J857" s="4" t="str">
        <f>HYPERLINK("http://141.218.60.56/~jnz1568/getInfo.php?workbook=08_02.xlsx&amp;sheet=A0&amp;row=857&amp;col=10&amp;number=&amp;sourceID=34","")</f>
        <v/>
      </c>
      <c r="K857" s="4" t="str">
        <f>HYPERLINK("http://141.218.60.56/~jnz1568/getInfo.php?workbook=08_02.xlsx&amp;sheet=A0&amp;row=857&amp;col=11&amp;number=5.385e-07&amp;sourceID=30","5.385e-07")</f>
        <v>5.385e-07</v>
      </c>
      <c r="L857" s="4" t="str">
        <f>HYPERLINK("http://141.218.60.56/~jnz1568/getInfo.php?workbook=08_02.xlsx&amp;sheet=A0&amp;row=857&amp;col=12&amp;number=&amp;sourceID=30","")</f>
        <v/>
      </c>
      <c r="M857" s="4" t="str">
        <f>HYPERLINK("http://141.218.60.56/~jnz1568/getInfo.php?workbook=08_02.xlsx&amp;sheet=A0&amp;row=857&amp;col=13&amp;number=&amp;sourceID=30","")</f>
        <v/>
      </c>
      <c r="N857" s="4" t="str">
        <f>HYPERLINK("http://141.218.60.56/~jnz1568/getInfo.php?workbook=08_02.xlsx&amp;sheet=A0&amp;row=857&amp;col=14&amp;number=0&amp;sourceID=30","0")</f>
        <v>0</v>
      </c>
      <c r="O857" s="4" t="str">
        <f>HYPERLINK("http://141.218.60.56/~jnz1568/getInfo.php?workbook=08_02.xlsx&amp;sheet=A0&amp;row=857&amp;col=15&amp;number=&amp;sourceID=32","")</f>
        <v/>
      </c>
      <c r="P857" s="4" t="str">
        <f>HYPERLINK("http://141.218.60.56/~jnz1568/getInfo.php?workbook=08_02.xlsx&amp;sheet=A0&amp;row=857&amp;col=16&amp;number=&amp;sourceID=32","")</f>
        <v/>
      </c>
      <c r="Q857" s="4" t="str">
        <f>HYPERLINK("http://141.218.60.56/~jnz1568/getInfo.php?workbook=08_02.xlsx&amp;sheet=A0&amp;row=857&amp;col=17&amp;number=&amp;sourceID=32","")</f>
        <v/>
      </c>
      <c r="R857" s="4" t="str">
        <f>HYPERLINK("http://141.218.60.56/~jnz1568/getInfo.php?workbook=08_02.xlsx&amp;sheet=A0&amp;row=857&amp;col=18&amp;number=&amp;sourceID=32","")</f>
        <v/>
      </c>
      <c r="S857" s="4" t="str">
        <f>HYPERLINK("http://141.218.60.56/~jnz1568/getInfo.php?workbook=08_02.xlsx&amp;sheet=A0&amp;row=857&amp;col=19&amp;number=&amp;sourceID=1","")</f>
        <v/>
      </c>
      <c r="T857" s="4" t="str">
        <f>HYPERLINK("http://141.218.60.56/~jnz1568/getInfo.php?workbook=08_02.xlsx&amp;sheet=A0&amp;row=857&amp;col=20&amp;number=&amp;sourceID=1","")</f>
        <v/>
      </c>
    </row>
    <row r="858" spans="1:20">
      <c r="A858" s="3">
        <v>8</v>
      </c>
      <c r="B858" s="3">
        <v>2</v>
      </c>
      <c r="C858" s="3">
        <v>46</v>
      </c>
      <c r="D858" s="3">
        <v>38</v>
      </c>
      <c r="E858" s="3">
        <f>((1/(INDEX(E0!J$4:J$52,C858,1)-INDEX(E0!J$4:J$52,D858,1))))*100000000</f>
        <v>0</v>
      </c>
      <c r="F858" s="4" t="str">
        <f>HYPERLINK("http://141.218.60.56/~jnz1568/getInfo.php?workbook=08_02.xlsx&amp;sheet=A0&amp;row=858&amp;col=6&amp;number=&amp;sourceID=27","")</f>
        <v/>
      </c>
      <c r="G858" s="4" t="str">
        <f>HYPERLINK("http://141.218.60.56/~jnz1568/getInfo.php?workbook=08_02.xlsx&amp;sheet=A0&amp;row=858&amp;col=7&amp;number=&amp;sourceID=34","")</f>
        <v/>
      </c>
      <c r="H858" s="4" t="str">
        <f>HYPERLINK("http://141.218.60.56/~jnz1568/getInfo.php?workbook=08_02.xlsx&amp;sheet=A0&amp;row=858&amp;col=8&amp;number=&amp;sourceID=34","")</f>
        <v/>
      </c>
      <c r="I858" s="4" t="str">
        <f>HYPERLINK("http://141.218.60.56/~jnz1568/getInfo.php?workbook=08_02.xlsx&amp;sheet=A0&amp;row=858&amp;col=9&amp;number=&amp;sourceID=34","")</f>
        <v/>
      </c>
      <c r="J858" s="4" t="str">
        <f>HYPERLINK("http://141.218.60.56/~jnz1568/getInfo.php?workbook=08_02.xlsx&amp;sheet=A0&amp;row=858&amp;col=10&amp;number=&amp;sourceID=34","")</f>
        <v/>
      </c>
      <c r="K858" s="4" t="str">
        <f>HYPERLINK("http://141.218.60.56/~jnz1568/getInfo.php?workbook=08_02.xlsx&amp;sheet=A0&amp;row=858&amp;col=11&amp;number=&amp;sourceID=30","")</f>
        <v/>
      </c>
      <c r="L858" s="4" t="str">
        <f>HYPERLINK("http://141.218.60.56/~jnz1568/getInfo.php?workbook=08_02.xlsx&amp;sheet=A0&amp;row=858&amp;col=12&amp;number=1.438e-10&amp;sourceID=30","1.438e-10")</f>
        <v>1.438e-10</v>
      </c>
      <c r="M858" s="4" t="str">
        <f>HYPERLINK("http://141.218.60.56/~jnz1568/getInfo.php?workbook=08_02.xlsx&amp;sheet=A0&amp;row=858&amp;col=13&amp;number=&amp;sourceID=30","")</f>
        <v/>
      </c>
      <c r="N858" s="4" t="str">
        <f>HYPERLINK("http://141.218.60.56/~jnz1568/getInfo.php?workbook=08_02.xlsx&amp;sheet=A0&amp;row=858&amp;col=14&amp;number=&amp;sourceID=30","")</f>
        <v/>
      </c>
      <c r="O858" s="4" t="str">
        <f>HYPERLINK("http://141.218.60.56/~jnz1568/getInfo.php?workbook=08_02.xlsx&amp;sheet=A0&amp;row=858&amp;col=15&amp;number=&amp;sourceID=32","")</f>
        <v/>
      </c>
      <c r="P858" s="4" t="str">
        <f>HYPERLINK("http://141.218.60.56/~jnz1568/getInfo.php?workbook=08_02.xlsx&amp;sheet=A0&amp;row=858&amp;col=16&amp;number=3.14e-10&amp;sourceID=32","3.14e-10")</f>
        <v>3.14e-10</v>
      </c>
      <c r="Q858" s="4" t="str">
        <f>HYPERLINK("http://141.218.60.56/~jnz1568/getInfo.php?workbook=08_02.xlsx&amp;sheet=A0&amp;row=858&amp;col=17&amp;number=&amp;sourceID=32","")</f>
        <v/>
      </c>
      <c r="R858" s="4" t="str">
        <f>HYPERLINK("http://141.218.60.56/~jnz1568/getInfo.php?workbook=08_02.xlsx&amp;sheet=A0&amp;row=858&amp;col=18&amp;number=&amp;sourceID=32","")</f>
        <v/>
      </c>
      <c r="S858" s="4" t="str">
        <f>HYPERLINK("http://141.218.60.56/~jnz1568/getInfo.php?workbook=08_02.xlsx&amp;sheet=A0&amp;row=858&amp;col=19&amp;number=&amp;sourceID=1","")</f>
        <v/>
      </c>
      <c r="T858" s="4" t="str">
        <f>HYPERLINK("http://141.218.60.56/~jnz1568/getInfo.php?workbook=08_02.xlsx&amp;sheet=A0&amp;row=858&amp;col=20&amp;number=&amp;sourceID=1","")</f>
        <v/>
      </c>
    </row>
    <row r="859" spans="1:20">
      <c r="A859" s="3">
        <v>8</v>
      </c>
      <c r="B859" s="3">
        <v>2</v>
      </c>
      <c r="C859" s="3">
        <v>46</v>
      </c>
      <c r="D859" s="3">
        <v>39</v>
      </c>
      <c r="E859" s="3">
        <f>((1/(INDEX(E0!J$4:J$52,C859,1)-INDEX(E0!J$4:J$52,D859,1))))*100000000</f>
        <v>0</v>
      </c>
      <c r="F859" s="4" t="str">
        <f>HYPERLINK("http://141.218.60.56/~jnz1568/getInfo.php?workbook=08_02.xlsx&amp;sheet=A0&amp;row=859&amp;col=6&amp;number=&amp;sourceID=27","")</f>
        <v/>
      </c>
      <c r="G859" s="4" t="str">
        <f>HYPERLINK("http://141.218.60.56/~jnz1568/getInfo.php?workbook=08_02.xlsx&amp;sheet=A0&amp;row=859&amp;col=7&amp;number=&amp;sourceID=34","")</f>
        <v/>
      </c>
      <c r="H859" s="4" t="str">
        <f>HYPERLINK("http://141.218.60.56/~jnz1568/getInfo.php?workbook=08_02.xlsx&amp;sheet=A0&amp;row=859&amp;col=8&amp;number=&amp;sourceID=34","")</f>
        <v/>
      </c>
      <c r="I859" s="4" t="str">
        <f>HYPERLINK("http://141.218.60.56/~jnz1568/getInfo.php?workbook=08_02.xlsx&amp;sheet=A0&amp;row=859&amp;col=9&amp;number=&amp;sourceID=34","")</f>
        <v/>
      </c>
      <c r="J859" s="4" t="str">
        <f>HYPERLINK("http://141.218.60.56/~jnz1568/getInfo.php?workbook=08_02.xlsx&amp;sheet=A0&amp;row=859&amp;col=10&amp;number=&amp;sourceID=34","")</f>
        <v/>
      </c>
      <c r="K859" s="4" t="str">
        <f>HYPERLINK("http://141.218.60.56/~jnz1568/getInfo.php?workbook=08_02.xlsx&amp;sheet=A0&amp;row=859&amp;col=11&amp;number=&amp;sourceID=30","")</f>
        <v/>
      </c>
      <c r="L859" s="4" t="str">
        <f>HYPERLINK("http://141.218.60.56/~jnz1568/getInfo.php?workbook=08_02.xlsx&amp;sheet=A0&amp;row=859&amp;col=12&amp;number=3.605e-11&amp;sourceID=30","3.605e-11")</f>
        <v>3.605e-11</v>
      </c>
      <c r="M859" s="4" t="str">
        <f>HYPERLINK("http://141.218.60.56/~jnz1568/getInfo.php?workbook=08_02.xlsx&amp;sheet=A0&amp;row=859&amp;col=13&amp;number=2e-15&amp;sourceID=30","2e-15")</f>
        <v>2e-15</v>
      </c>
      <c r="N859" s="4" t="str">
        <f>HYPERLINK("http://141.218.60.56/~jnz1568/getInfo.php?workbook=08_02.xlsx&amp;sheet=A0&amp;row=859&amp;col=14&amp;number=&amp;sourceID=30","")</f>
        <v/>
      </c>
      <c r="O859" s="4" t="str">
        <f>HYPERLINK("http://141.218.60.56/~jnz1568/getInfo.php?workbook=08_02.xlsx&amp;sheet=A0&amp;row=859&amp;col=15&amp;number=&amp;sourceID=32","")</f>
        <v/>
      </c>
      <c r="P859" s="4" t="str">
        <f>HYPERLINK("http://141.218.60.56/~jnz1568/getInfo.php?workbook=08_02.xlsx&amp;sheet=A0&amp;row=859&amp;col=16&amp;number=7.993e-11&amp;sourceID=32","7.993e-11")</f>
        <v>7.993e-11</v>
      </c>
      <c r="Q859" s="4" t="str">
        <f>HYPERLINK("http://141.218.60.56/~jnz1568/getInfo.php?workbook=08_02.xlsx&amp;sheet=A0&amp;row=859&amp;col=17&amp;number=2e-15&amp;sourceID=32","2e-15")</f>
        <v>2e-15</v>
      </c>
      <c r="R859" s="4" t="str">
        <f>HYPERLINK("http://141.218.60.56/~jnz1568/getInfo.php?workbook=08_02.xlsx&amp;sheet=A0&amp;row=859&amp;col=18&amp;number=&amp;sourceID=32","")</f>
        <v/>
      </c>
      <c r="S859" s="4" t="str">
        <f>HYPERLINK("http://141.218.60.56/~jnz1568/getInfo.php?workbook=08_02.xlsx&amp;sheet=A0&amp;row=859&amp;col=19&amp;number=&amp;sourceID=1","")</f>
        <v/>
      </c>
      <c r="T859" s="4" t="str">
        <f>HYPERLINK("http://141.218.60.56/~jnz1568/getInfo.php?workbook=08_02.xlsx&amp;sheet=A0&amp;row=859&amp;col=20&amp;number=&amp;sourceID=1","")</f>
        <v/>
      </c>
    </row>
    <row r="860" spans="1:20">
      <c r="A860" s="3">
        <v>8</v>
      </c>
      <c r="B860" s="3">
        <v>2</v>
      </c>
      <c r="C860" s="3">
        <v>46</v>
      </c>
      <c r="D860" s="3">
        <v>40</v>
      </c>
      <c r="E860" s="3">
        <f>((1/(INDEX(E0!J$4:J$52,C860,1)-INDEX(E0!J$4:J$52,D860,1))))*100000000</f>
        <v>0</v>
      </c>
      <c r="F860" s="4" t="str">
        <f>HYPERLINK("http://141.218.60.56/~jnz1568/getInfo.php?workbook=08_02.xlsx&amp;sheet=A0&amp;row=860&amp;col=6&amp;number=&amp;sourceID=27","")</f>
        <v/>
      </c>
      <c r="G860" s="4" t="str">
        <f>HYPERLINK("http://141.218.60.56/~jnz1568/getInfo.php?workbook=08_02.xlsx&amp;sheet=A0&amp;row=860&amp;col=7&amp;number=&amp;sourceID=34","")</f>
        <v/>
      </c>
      <c r="H860" s="4" t="str">
        <f>HYPERLINK("http://141.218.60.56/~jnz1568/getInfo.php?workbook=08_02.xlsx&amp;sheet=A0&amp;row=860&amp;col=8&amp;number=&amp;sourceID=34","")</f>
        <v/>
      </c>
      <c r="I860" s="4" t="str">
        <f>HYPERLINK("http://141.218.60.56/~jnz1568/getInfo.php?workbook=08_02.xlsx&amp;sheet=A0&amp;row=860&amp;col=9&amp;number=&amp;sourceID=34","")</f>
        <v/>
      </c>
      <c r="J860" s="4" t="str">
        <f>HYPERLINK("http://141.218.60.56/~jnz1568/getInfo.php?workbook=08_02.xlsx&amp;sheet=A0&amp;row=860&amp;col=10&amp;number=&amp;sourceID=34","")</f>
        <v/>
      </c>
      <c r="K860" s="4" t="str">
        <f>HYPERLINK("http://141.218.60.56/~jnz1568/getInfo.php?workbook=08_02.xlsx&amp;sheet=A0&amp;row=860&amp;col=11&amp;number=&amp;sourceID=30","")</f>
        <v/>
      </c>
      <c r="L860" s="4" t="str">
        <f>HYPERLINK("http://141.218.60.56/~jnz1568/getInfo.php?workbook=08_02.xlsx&amp;sheet=A0&amp;row=860&amp;col=12&amp;number=1.536e-12&amp;sourceID=30","1.536e-12")</f>
        <v>1.536e-12</v>
      </c>
      <c r="M860" s="4" t="str">
        <f>HYPERLINK("http://141.218.60.56/~jnz1568/getInfo.php?workbook=08_02.xlsx&amp;sheet=A0&amp;row=860&amp;col=13&amp;number=1.6e-14&amp;sourceID=30","1.6e-14")</f>
        <v>1.6e-14</v>
      </c>
      <c r="N860" s="4" t="str">
        <f>HYPERLINK("http://141.218.60.56/~jnz1568/getInfo.php?workbook=08_02.xlsx&amp;sheet=A0&amp;row=860&amp;col=14&amp;number=&amp;sourceID=30","")</f>
        <v/>
      </c>
      <c r="O860" s="4" t="str">
        <f>HYPERLINK("http://141.218.60.56/~jnz1568/getInfo.php?workbook=08_02.xlsx&amp;sheet=A0&amp;row=860&amp;col=15&amp;number=&amp;sourceID=32","")</f>
        <v/>
      </c>
      <c r="P860" s="4" t="str">
        <f>HYPERLINK("http://141.218.60.56/~jnz1568/getInfo.php?workbook=08_02.xlsx&amp;sheet=A0&amp;row=860&amp;col=16&amp;number=3.612e-12&amp;sourceID=32","3.612e-12")</f>
        <v>3.612e-12</v>
      </c>
      <c r="Q860" s="4" t="str">
        <f>HYPERLINK("http://141.218.60.56/~jnz1568/getInfo.php?workbook=08_02.xlsx&amp;sheet=A0&amp;row=860&amp;col=17&amp;number=1.5e-14&amp;sourceID=32","1.5e-14")</f>
        <v>1.5e-14</v>
      </c>
      <c r="R860" s="4" t="str">
        <f>HYPERLINK("http://141.218.60.56/~jnz1568/getInfo.php?workbook=08_02.xlsx&amp;sheet=A0&amp;row=860&amp;col=18&amp;number=&amp;sourceID=32","")</f>
        <v/>
      </c>
      <c r="S860" s="4" t="str">
        <f>HYPERLINK("http://141.218.60.56/~jnz1568/getInfo.php?workbook=08_02.xlsx&amp;sheet=A0&amp;row=860&amp;col=19&amp;number=&amp;sourceID=1","")</f>
        <v/>
      </c>
      <c r="T860" s="4" t="str">
        <f>HYPERLINK("http://141.218.60.56/~jnz1568/getInfo.php?workbook=08_02.xlsx&amp;sheet=A0&amp;row=860&amp;col=20&amp;number=&amp;sourceID=1","")</f>
        <v/>
      </c>
    </row>
    <row r="861" spans="1:20">
      <c r="A861" s="3">
        <v>8</v>
      </c>
      <c r="B861" s="3">
        <v>2</v>
      </c>
      <c r="C861" s="3">
        <v>46</v>
      </c>
      <c r="D861" s="3">
        <v>41</v>
      </c>
      <c r="E861" s="3">
        <f>((1/(INDEX(E0!J$4:J$52,C861,1)-INDEX(E0!J$4:J$52,D861,1))))*100000000</f>
        <v>0</v>
      </c>
      <c r="F861" s="4" t="str">
        <f>HYPERLINK("http://141.218.60.56/~jnz1568/getInfo.php?workbook=08_02.xlsx&amp;sheet=A0&amp;row=861&amp;col=6&amp;number=&amp;sourceID=27","")</f>
        <v/>
      </c>
      <c r="G861" s="4" t="str">
        <f>HYPERLINK("http://141.218.60.56/~jnz1568/getInfo.php?workbook=08_02.xlsx&amp;sheet=A0&amp;row=861&amp;col=7&amp;number=&amp;sourceID=34","")</f>
        <v/>
      </c>
      <c r="H861" s="4" t="str">
        <f>HYPERLINK("http://141.218.60.56/~jnz1568/getInfo.php?workbook=08_02.xlsx&amp;sheet=A0&amp;row=861&amp;col=8&amp;number=&amp;sourceID=34","")</f>
        <v/>
      </c>
      <c r="I861" s="4" t="str">
        <f>HYPERLINK("http://141.218.60.56/~jnz1568/getInfo.php?workbook=08_02.xlsx&amp;sheet=A0&amp;row=861&amp;col=9&amp;number=&amp;sourceID=34","")</f>
        <v/>
      </c>
      <c r="J861" s="4" t="str">
        <f>HYPERLINK("http://141.218.60.56/~jnz1568/getInfo.php?workbook=08_02.xlsx&amp;sheet=A0&amp;row=861&amp;col=10&amp;number=&amp;sourceID=34","")</f>
        <v/>
      </c>
      <c r="K861" s="4" t="str">
        <f>HYPERLINK("http://141.218.60.56/~jnz1568/getInfo.php?workbook=08_02.xlsx&amp;sheet=A0&amp;row=861&amp;col=11&amp;number=0.0008975&amp;sourceID=30","0.0008975")</f>
        <v>0.0008975</v>
      </c>
      <c r="L861" s="4" t="str">
        <f>HYPERLINK("http://141.218.60.56/~jnz1568/getInfo.php?workbook=08_02.xlsx&amp;sheet=A0&amp;row=861&amp;col=12&amp;number=&amp;sourceID=30","")</f>
        <v/>
      </c>
      <c r="M861" s="4" t="str">
        <f>HYPERLINK("http://141.218.60.56/~jnz1568/getInfo.php?workbook=08_02.xlsx&amp;sheet=A0&amp;row=861&amp;col=13&amp;number=&amp;sourceID=30","")</f>
        <v/>
      </c>
      <c r="N861" s="4" t="str">
        <f>HYPERLINK("http://141.218.60.56/~jnz1568/getInfo.php?workbook=08_02.xlsx&amp;sheet=A0&amp;row=861&amp;col=14&amp;number=0&amp;sourceID=30","0")</f>
        <v>0</v>
      </c>
      <c r="O861" s="4" t="str">
        <f>HYPERLINK("http://141.218.60.56/~jnz1568/getInfo.php?workbook=08_02.xlsx&amp;sheet=A0&amp;row=861&amp;col=15&amp;number=&amp;sourceID=32","")</f>
        <v/>
      </c>
      <c r="P861" s="4" t="str">
        <f>HYPERLINK("http://141.218.60.56/~jnz1568/getInfo.php?workbook=08_02.xlsx&amp;sheet=A0&amp;row=861&amp;col=16&amp;number=&amp;sourceID=32","")</f>
        <v/>
      </c>
      <c r="Q861" s="4" t="str">
        <f>HYPERLINK("http://141.218.60.56/~jnz1568/getInfo.php?workbook=08_02.xlsx&amp;sheet=A0&amp;row=861&amp;col=17&amp;number=&amp;sourceID=32","")</f>
        <v/>
      </c>
      <c r="R861" s="4" t="str">
        <f>HYPERLINK("http://141.218.60.56/~jnz1568/getInfo.php?workbook=08_02.xlsx&amp;sheet=A0&amp;row=861&amp;col=18&amp;number=&amp;sourceID=32","")</f>
        <v/>
      </c>
      <c r="S861" s="4" t="str">
        <f>HYPERLINK("http://141.218.60.56/~jnz1568/getInfo.php?workbook=08_02.xlsx&amp;sheet=A0&amp;row=861&amp;col=19&amp;number=&amp;sourceID=1","")</f>
        <v/>
      </c>
      <c r="T861" s="4" t="str">
        <f>HYPERLINK("http://141.218.60.56/~jnz1568/getInfo.php?workbook=08_02.xlsx&amp;sheet=A0&amp;row=861&amp;col=20&amp;number=&amp;sourceID=1","")</f>
        <v/>
      </c>
    </row>
    <row r="862" spans="1:20">
      <c r="A862" s="3">
        <v>8</v>
      </c>
      <c r="B862" s="3">
        <v>2</v>
      </c>
      <c r="C862" s="3">
        <v>46</v>
      </c>
      <c r="D862" s="3">
        <v>42</v>
      </c>
      <c r="E862" s="3">
        <f>((1/(INDEX(E0!J$4:J$52,C862,1)-INDEX(E0!J$4:J$52,D862,1))))*100000000</f>
        <v>0</v>
      </c>
      <c r="F862" s="4" t="str">
        <f>HYPERLINK("http://141.218.60.56/~jnz1568/getInfo.php?workbook=08_02.xlsx&amp;sheet=A0&amp;row=862&amp;col=6&amp;number=&amp;sourceID=27","")</f>
        <v/>
      </c>
      <c r="G862" s="4" t="str">
        <f>HYPERLINK("http://141.218.60.56/~jnz1568/getInfo.php?workbook=08_02.xlsx&amp;sheet=A0&amp;row=862&amp;col=7&amp;number=&amp;sourceID=34","")</f>
        <v/>
      </c>
      <c r="H862" s="4" t="str">
        <f>HYPERLINK("http://141.218.60.56/~jnz1568/getInfo.php?workbook=08_02.xlsx&amp;sheet=A0&amp;row=862&amp;col=8&amp;number=&amp;sourceID=34","")</f>
        <v/>
      </c>
      <c r="I862" s="4" t="str">
        <f>HYPERLINK("http://141.218.60.56/~jnz1568/getInfo.php?workbook=08_02.xlsx&amp;sheet=A0&amp;row=862&amp;col=9&amp;number=&amp;sourceID=34","")</f>
        <v/>
      </c>
      <c r="J862" s="4" t="str">
        <f>HYPERLINK("http://141.218.60.56/~jnz1568/getInfo.php?workbook=08_02.xlsx&amp;sheet=A0&amp;row=862&amp;col=10&amp;number=&amp;sourceID=34","")</f>
        <v/>
      </c>
      <c r="K862" s="4" t="str">
        <f>HYPERLINK("http://141.218.60.56/~jnz1568/getInfo.php?workbook=08_02.xlsx&amp;sheet=A0&amp;row=862&amp;col=11&amp;number=0.008727&amp;sourceID=30","0.008727")</f>
        <v>0.008727</v>
      </c>
      <c r="L862" s="4" t="str">
        <f>HYPERLINK("http://141.218.60.56/~jnz1568/getInfo.php?workbook=08_02.xlsx&amp;sheet=A0&amp;row=862&amp;col=12&amp;number=&amp;sourceID=30","")</f>
        <v/>
      </c>
      <c r="M862" s="4" t="str">
        <f>HYPERLINK("http://141.218.60.56/~jnz1568/getInfo.php?workbook=08_02.xlsx&amp;sheet=A0&amp;row=862&amp;col=13&amp;number=&amp;sourceID=30","")</f>
        <v/>
      </c>
      <c r="N862" s="4" t="str">
        <f>HYPERLINK("http://141.218.60.56/~jnz1568/getInfo.php?workbook=08_02.xlsx&amp;sheet=A0&amp;row=862&amp;col=14&amp;number=0&amp;sourceID=30","0")</f>
        <v>0</v>
      </c>
      <c r="O862" s="4" t="str">
        <f>HYPERLINK("http://141.218.60.56/~jnz1568/getInfo.php?workbook=08_02.xlsx&amp;sheet=A0&amp;row=862&amp;col=15&amp;number=&amp;sourceID=32","")</f>
        <v/>
      </c>
      <c r="P862" s="4" t="str">
        <f>HYPERLINK("http://141.218.60.56/~jnz1568/getInfo.php?workbook=08_02.xlsx&amp;sheet=A0&amp;row=862&amp;col=16&amp;number=&amp;sourceID=32","")</f>
        <v/>
      </c>
      <c r="Q862" s="4" t="str">
        <f>HYPERLINK("http://141.218.60.56/~jnz1568/getInfo.php?workbook=08_02.xlsx&amp;sheet=A0&amp;row=862&amp;col=17&amp;number=&amp;sourceID=32","")</f>
        <v/>
      </c>
      <c r="R862" s="4" t="str">
        <f>HYPERLINK("http://141.218.60.56/~jnz1568/getInfo.php?workbook=08_02.xlsx&amp;sheet=A0&amp;row=862&amp;col=18&amp;number=&amp;sourceID=32","")</f>
        <v/>
      </c>
      <c r="S862" s="4" t="str">
        <f>HYPERLINK("http://141.218.60.56/~jnz1568/getInfo.php?workbook=08_02.xlsx&amp;sheet=A0&amp;row=862&amp;col=19&amp;number=&amp;sourceID=1","")</f>
        <v/>
      </c>
      <c r="T862" s="4" t="str">
        <f>HYPERLINK("http://141.218.60.56/~jnz1568/getInfo.php?workbook=08_02.xlsx&amp;sheet=A0&amp;row=862&amp;col=20&amp;number=&amp;sourceID=1","")</f>
        <v/>
      </c>
    </row>
    <row r="863" spans="1:20">
      <c r="A863" s="3">
        <v>8</v>
      </c>
      <c r="B863" s="3">
        <v>2</v>
      </c>
      <c r="C863" s="3">
        <v>46</v>
      </c>
      <c r="D863" s="3">
        <v>43</v>
      </c>
      <c r="E863" s="3">
        <f>((1/(INDEX(E0!J$4:J$52,C863,1)-INDEX(E0!J$4:J$52,D863,1))))*100000000</f>
        <v>0</v>
      </c>
      <c r="F863" s="4" t="str">
        <f>HYPERLINK("http://141.218.60.56/~jnz1568/getInfo.php?workbook=08_02.xlsx&amp;sheet=A0&amp;row=863&amp;col=6&amp;number=&amp;sourceID=27","")</f>
        <v/>
      </c>
      <c r="G863" s="4" t="str">
        <f>HYPERLINK("http://141.218.60.56/~jnz1568/getInfo.php?workbook=08_02.xlsx&amp;sheet=A0&amp;row=863&amp;col=7&amp;number=&amp;sourceID=34","")</f>
        <v/>
      </c>
      <c r="H863" s="4" t="str">
        <f>HYPERLINK("http://141.218.60.56/~jnz1568/getInfo.php?workbook=08_02.xlsx&amp;sheet=A0&amp;row=863&amp;col=8&amp;number=&amp;sourceID=34","")</f>
        <v/>
      </c>
      <c r="I863" s="4" t="str">
        <f>HYPERLINK("http://141.218.60.56/~jnz1568/getInfo.php?workbook=08_02.xlsx&amp;sheet=A0&amp;row=863&amp;col=9&amp;number=&amp;sourceID=34","")</f>
        <v/>
      </c>
      <c r="J863" s="4" t="str">
        <f>HYPERLINK("http://141.218.60.56/~jnz1568/getInfo.php?workbook=08_02.xlsx&amp;sheet=A0&amp;row=863&amp;col=10&amp;number=&amp;sourceID=34","")</f>
        <v/>
      </c>
      <c r="K863" s="4" t="str">
        <f>HYPERLINK("http://141.218.60.56/~jnz1568/getInfo.php?workbook=08_02.xlsx&amp;sheet=A0&amp;row=863&amp;col=11&amp;number=1.383e-09&amp;sourceID=30","1.383e-09")</f>
        <v>1.383e-09</v>
      </c>
      <c r="L863" s="4" t="str">
        <f>HYPERLINK("http://141.218.60.56/~jnz1568/getInfo.php?workbook=08_02.xlsx&amp;sheet=A0&amp;row=863&amp;col=12&amp;number=&amp;sourceID=30","")</f>
        <v/>
      </c>
      <c r="M863" s="4" t="str">
        <f>HYPERLINK("http://141.218.60.56/~jnz1568/getInfo.php?workbook=08_02.xlsx&amp;sheet=A0&amp;row=863&amp;col=13&amp;number=&amp;sourceID=30","")</f>
        <v/>
      </c>
      <c r="N863" s="4" t="str">
        <f>HYPERLINK("http://141.218.60.56/~jnz1568/getInfo.php?workbook=08_02.xlsx&amp;sheet=A0&amp;row=863&amp;col=14&amp;number=0&amp;sourceID=30","0")</f>
        <v>0</v>
      </c>
      <c r="O863" s="4" t="str">
        <f>HYPERLINK("http://141.218.60.56/~jnz1568/getInfo.php?workbook=08_02.xlsx&amp;sheet=A0&amp;row=863&amp;col=15&amp;number=&amp;sourceID=32","")</f>
        <v/>
      </c>
      <c r="P863" s="4" t="str">
        <f>HYPERLINK("http://141.218.60.56/~jnz1568/getInfo.php?workbook=08_02.xlsx&amp;sheet=A0&amp;row=863&amp;col=16&amp;number=&amp;sourceID=32","")</f>
        <v/>
      </c>
      <c r="Q863" s="4" t="str">
        <f>HYPERLINK("http://141.218.60.56/~jnz1568/getInfo.php?workbook=08_02.xlsx&amp;sheet=A0&amp;row=863&amp;col=17&amp;number=&amp;sourceID=32","")</f>
        <v/>
      </c>
      <c r="R863" s="4" t="str">
        <f>HYPERLINK("http://141.218.60.56/~jnz1568/getInfo.php?workbook=08_02.xlsx&amp;sheet=A0&amp;row=863&amp;col=18&amp;number=&amp;sourceID=32","")</f>
        <v/>
      </c>
      <c r="S863" s="4" t="str">
        <f>HYPERLINK("http://141.218.60.56/~jnz1568/getInfo.php?workbook=08_02.xlsx&amp;sheet=A0&amp;row=863&amp;col=19&amp;number=&amp;sourceID=1","")</f>
        <v/>
      </c>
      <c r="T863" s="4" t="str">
        <f>HYPERLINK("http://141.218.60.56/~jnz1568/getInfo.php?workbook=08_02.xlsx&amp;sheet=A0&amp;row=863&amp;col=20&amp;number=&amp;sourceID=1","")</f>
        <v/>
      </c>
    </row>
    <row r="864" spans="1:20">
      <c r="A864" s="3">
        <v>8</v>
      </c>
      <c r="B864" s="3">
        <v>2</v>
      </c>
      <c r="C864" s="3">
        <v>47</v>
      </c>
      <c r="D864" s="3">
        <v>15</v>
      </c>
      <c r="E864" s="3">
        <f>((1/(INDEX(E0!J$4:J$52,C864,1)-INDEX(E0!J$4:J$52,D864,1))))*100000000</f>
        <v>0</v>
      </c>
      <c r="F864" s="4" t="str">
        <f>HYPERLINK("http://141.218.60.56/~jnz1568/getInfo.php?workbook=08_02.xlsx&amp;sheet=A0&amp;row=864&amp;col=6&amp;number=&amp;sourceID=27","")</f>
        <v/>
      </c>
      <c r="G864" s="4" t="str">
        <f>HYPERLINK("http://141.218.60.56/~jnz1568/getInfo.php?workbook=08_02.xlsx&amp;sheet=A0&amp;row=864&amp;col=7&amp;number=&amp;sourceID=34","")</f>
        <v/>
      </c>
      <c r="H864" s="4" t="str">
        <f>HYPERLINK("http://141.218.60.56/~jnz1568/getInfo.php?workbook=08_02.xlsx&amp;sheet=A0&amp;row=864&amp;col=8&amp;number=&amp;sourceID=34","")</f>
        <v/>
      </c>
      <c r="I864" s="4" t="str">
        <f>HYPERLINK("http://141.218.60.56/~jnz1568/getInfo.php?workbook=08_02.xlsx&amp;sheet=A0&amp;row=864&amp;col=9&amp;number=&amp;sourceID=34","")</f>
        <v/>
      </c>
      <c r="J864" s="4" t="str">
        <f>HYPERLINK("http://141.218.60.56/~jnz1568/getInfo.php?workbook=08_02.xlsx&amp;sheet=A0&amp;row=864&amp;col=10&amp;number=&amp;sourceID=34","")</f>
        <v/>
      </c>
      <c r="K864" s="4" t="str">
        <f>HYPERLINK("http://141.218.60.56/~jnz1568/getInfo.php?workbook=08_02.xlsx&amp;sheet=A0&amp;row=864&amp;col=11&amp;number=&amp;sourceID=30","")</f>
        <v/>
      </c>
      <c r="L864" s="4" t="str">
        <f>HYPERLINK("http://141.218.60.56/~jnz1568/getInfo.php?workbook=08_02.xlsx&amp;sheet=A0&amp;row=864&amp;col=12&amp;number=1367000&amp;sourceID=30","1367000")</f>
        <v>1367000</v>
      </c>
      <c r="M864" s="4" t="str">
        <f>HYPERLINK("http://141.218.60.56/~jnz1568/getInfo.php?workbook=08_02.xlsx&amp;sheet=A0&amp;row=864&amp;col=13&amp;number=&amp;sourceID=30","")</f>
        <v/>
      </c>
      <c r="N864" s="4" t="str">
        <f>HYPERLINK("http://141.218.60.56/~jnz1568/getInfo.php?workbook=08_02.xlsx&amp;sheet=A0&amp;row=864&amp;col=14&amp;number=&amp;sourceID=30","")</f>
        <v/>
      </c>
      <c r="O864" s="4" t="str">
        <f>HYPERLINK("http://141.218.60.56/~jnz1568/getInfo.php?workbook=08_02.xlsx&amp;sheet=A0&amp;row=864&amp;col=15&amp;number=&amp;sourceID=32","")</f>
        <v/>
      </c>
      <c r="P864" s="4" t="str">
        <f>HYPERLINK("http://141.218.60.56/~jnz1568/getInfo.php?workbook=08_02.xlsx&amp;sheet=A0&amp;row=864&amp;col=16&amp;number=&amp;sourceID=32","")</f>
        <v/>
      </c>
      <c r="Q864" s="4" t="str">
        <f>HYPERLINK("http://141.218.60.56/~jnz1568/getInfo.php?workbook=08_02.xlsx&amp;sheet=A0&amp;row=864&amp;col=17&amp;number=&amp;sourceID=32","")</f>
        <v/>
      </c>
      <c r="R864" s="4" t="str">
        <f>HYPERLINK("http://141.218.60.56/~jnz1568/getInfo.php?workbook=08_02.xlsx&amp;sheet=A0&amp;row=864&amp;col=18&amp;number=&amp;sourceID=32","")</f>
        <v/>
      </c>
      <c r="S864" s="4" t="str">
        <f>HYPERLINK("http://141.218.60.56/~jnz1568/getInfo.php?workbook=08_02.xlsx&amp;sheet=A0&amp;row=864&amp;col=19&amp;number=&amp;sourceID=1","")</f>
        <v/>
      </c>
      <c r="T864" s="4" t="str">
        <f>HYPERLINK("http://141.218.60.56/~jnz1568/getInfo.php?workbook=08_02.xlsx&amp;sheet=A0&amp;row=864&amp;col=20&amp;number=&amp;sourceID=1","")</f>
        <v/>
      </c>
    </row>
    <row r="865" spans="1:20">
      <c r="A865" s="3">
        <v>8</v>
      </c>
      <c r="B865" s="3">
        <v>2</v>
      </c>
      <c r="C865" s="3">
        <v>47</v>
      </c>
      <c r="D865" s="3">
        <v>25</v>
      </c>
      <c r="E865" s="3">
        <f>((1/(INDEX(E0!J$4:J$52,C865,1)-INDEX(E0!J$4:J$52,D865,1))))*100000000</f>
        <v>0</v>
      </c>
      <c r="F865" s="4" t="str">
        <f>HYPERLINK("http://141.218.60.56/~jnz1568/getInfo.php?workbook=08_02.xlsx&amp;sheet=A0&amp;row=865&amp;col=6&amp;number=&amp;sourceID=27","")</f>
        <v/>
      </c>
      <c r="G865" s="4" t="str">
        <f>HYPERLINK("http://141.218.60.56/~jnz1568/getInfo.php?workbook=08_02.xlsx&amp;sheet=A0&amp;row=865&amp;col=7&amp;number=&amp;sourceID=34","")</f>
        <v/>
      </c>
      <c r="H865" s="4" t="str">
        <f>HYPERLINK("http://141.218.60.56/~jnz1568/getInfo.php?workbook=08_02.xlsx&amp;sheet=A0&amp;row=865&amp;col=8&amp;number=&amp;sourceID=34","")</f>
        <v/>
      </c>
      <c r="I865" s="4" t="str">
        <f>HYPERLINK("http://141.218.60.56/~jnz1568/getInfo.php?workbook=08_02.xlsx&amp;sheet=A0&amp;row=865&amp;col=9&amp;number=&amp;sourceID=34","")</f>
        <v/>
      </c>
      <c r="J865" s="4" t="str">
        <f>HYPERLINK("http://141.218.60.56/~jnz1568/getInfo.php?workbook=08_02.xlsx&amp;sheet=A0&amp;row=865&amp;col=10&amp;number=&amp;sourceID=34","")</f>
        <v/>
      </c>
      <c r="K865" s="4" t="str">
        <f>HYPERLINK("http://141.218.60.56/~jnz1568/getInfo.php?workbook=08_02.xlsx&amp;sheet=A0&amp;row=865&amp;col=11&amp;number=10220000000&amp;sourceID=30","10220000000")</f>
        <v>10220000000</v>
      </c>
      <c r="L865" s="4" t="str">
        <f>HYPERLINK("http://141.218.60.56/~jnz1568/getInfo.php?workbook=08_02.xlsx&amp;sheet=A0&amp;row=865&amp;col=12&amp;number=&amp;sourceID=30","")</f>
        <v/>
      </c>
      <c r="M865" s="4" t="str">
        <f>HYPERLINK("http://141.218.60.56/~jnz1568/getInfo.php?workbook=08_02.xlsx&amp;sheet=A0&amp;row=865&amp;col=13&amp;number=&amp;sourceID=30","")</f>
        <v/>
      </c>
      <c r="N865" s="4" t="str">
        <f>HYPERLINK("http://141.218.60.56/~jnz1568/getInfo.php?workbook=08_02.xlsx&amp;sheet=A0&amp;row=865&amp;col=14&amp;number=4.459&amp;sourceID=30","4.459")</f>
        <v>4.459</v>
      </c>
      <c r="O865" s="4" t="str">
        <f>HYPERLINK("http://141.218.60.56/~jnz1568/getInfo.php?workbook=08_02.xlsx&amp;sheet=A0&amp;row=865&amp;col=15&amp;number=&amp;sourceID=32","")</f>
        <v/>
      </c>
      <c r="P865" s="4" t="str">
        <f>HYPERLINK("http://141.218.60.56/~jnz1568/getInfo.php?workbook=08_02.xlsx&amp;sheet=A0&amp;row=865&amp;col=16&amp;number=&amp;sourceID=32","")</f>
        <v/>
      </c>
      <c r="Q865" s="4" t="str">
        <f>HYPERLINK("http://141.218.60.56/~jnz1568/getInfo.php?workbook=08_02.xlsx&amp;sheet=A0&amp;row=865&amp;col=17&amp;number=&amp;sourceID=32","")</f>
        <v/>
      </c>
      <c r="R865" s="4" t="str">
        <f>HYPERLINK("http://141.218.60.56/~jnz1568/getInfo.php?workbook=08_02.xlsx&amp;sheet=A0&amp;row=865&amp;col=18&amp;number=&amp;sourceID=32","")</f>
        <v/>
      </c>
      <c r="S865" s="4" t="str">
        <f>HYPERLINK("http://141.218.60.56/~jnz1568/getInfo.php?workbook=08_02.xlsx&amp;sheet=A0&amp;row=865&amp;col=19&amp;number=&amp;sourceID=1","")</f>
        <v/>
      </c>
      <c r="T865" s="4" t="str">
        <f>HYPERLINK("http://141.218.60.56/~jnz1568/getInfo.php?workbook=08_02.xlsx&amp;sheet=A0&amp;row=865&amp;col=20&amp;number=&amp;sourceID=1","")</f>
        <v/>
      </c>
    </row>
    <row r="866" spans="1:20">
      <c r="A866" s="3">
        <v>8</v>
      </c>
      <c r="B866" s="3">
        <v>2</v>
      </c>
      <c r="C866" s="3">
        <v>47</v>
      </c>
      <c r="D866" s="3">
        <v>26</v>
      </c>
      <c r="E866" s="3">
        <f>((1/(INDEX(E0!J$4:J$52,C866,1)-INDEX(E0!J$4:J$52,D866,1))))*100000000</f>
        <v>0</v>
      </c>
      <c r="F866" s="4" t="str">
        <f>HYPERLINK("http://141.218.60.56/~jnz1568/getInfo.php?workbook=08_02.xlsx&amp;sheet=A0&amp;row=866&amp;col=6&amp;number=&amp;sourceID=27","")</f>
        <v/>
      </c>
      <c r="G866" s="4" t="str">
        <f>HYPERLINK("http://141.218.60.56/~jnz1568/getInfo.php?workbook=08_02.xlsx&amp;sheet=A0&amp;row=866&amp;col=7&amp;number=&amp;sourceID=34","")</f>
        <v/>
      </c>
      <c r="H866" s="4" t="str">
        <f>HYPERLINK("http://141.218.60.56/~jnz1568/getInfo.php?workbook=08_02.xlsx&amp;sheet=A0&amp;row=866&amp;col=8&amp;number=&amp;sourceID=34","")</f>
        <v/>
      </c>
      <c r="I866" s="4" t="str">
        <f>HYPERLINK("http://141.218.60.56/~jnz1568/getInfo.php?workbook=08_02.xlsx&amp;sheet=A0&amp;row=866&amp;col=9&amp;number=&amp;sourceID=34","")</f>
        <v/>
      </c>
      <c r="J866" s="4" t="str">
        <f>HYPERLINK("http://141.218.60.56/~jnz1568/getInfo.php?workbook=08_02.xlsx&amp;sheet=A0&amp;row=866&amp;col=10&amp;number=&amp;sourceID=34","")</f>
        <v/>
      </c>
      <c r="K866" s="4" t="str">
        <f>HYPERLINK("http://141.218.60.56/~jnz1568/getInfo.php?workbook=08_02.xlsx&amp;sheet=A0&amp;row=866&amp;col=11&amp;number=&amp;sourceID=30","")</f>
        <v/>
      </c>
      <c r="L866" s="4" t="str">
        <f>HYPERLINK("http://141.218.60.56/~jnz1568/getInfo.php?workbook=08_02.xlsx&amp;sheet=A0&amp;row=866&amp;col=12&amp;number=118200&amp;sourceID=30","118200")</f>
        <v>118200</v>
      </c>
      <c r="M866" s="4" t="str">
        <f>HYPERLINK("http://141.218.60.56/~jnz1568/getInfo.php?workbook=08_02.xlsx&amp;sheet=A0&amp;row=866&amp;col=13&amp;number=&amp;sourceID=30","")</f>
        <v/>
      </c>
      <c r="N866" s="4" t="str">
        <f>HYPERLINK("http://141.218.60.56/~jnz1568/getInfo.php?workbook=08_02.xlsx&amp;sheet=A0&amp;row=866&amp;col=14&amp;number=&amp;sourceID=30","")</f>
        <v/>
      </c>
      <c r="O866" s="4" t="str">
        <f>HYPERLINK("http://141.218.60.56/~jnz1568/getInfo.php?workbook=08_02.xlsx&amp;sheet=A0&amp;row=866&amp;col=15&amp;number=&amp;sourceID=32","")</f>
        <v/>
      </c>
      <c r="P866" s="4" t="str">
        <f>HYPERLINK("http://141.218.60.56/~jnz1568/getInfo.php?workbook=08_02.xlsx&amp;sheet=A0&amp;row=866&amp;col=16&amp;number=&amp;sourceID=32","")</f>
        <v/>
      </c>
      <c r="Q866" s="4" t="str">
        <f>HYPERLINK("http://141.218.60.56/~jnz1568/getInfo.php?workbook=08_02.xlsx&amp;sheet=A0&amp;row=866&amp;col=17&amp;number=&amp;sourceID=32","")</f>
        <v/>
      </c>
      <c r="R866" s="4" t="str">
        <f>HYPERLINK("http://141.218.60.56/~jnz1568/getInfo.php?workbook=08_02.xlsx&amp;sheet=A0&amp;row=866&amp;col=18&amp;number=&amp;sourceID=32","")</f>
        <v/>
      </c>
      <c r="S866" s="4" t="str">
        <f>HYPERLINK("http://141.218.60.56/~jnz1568/getInfo.php?workbook=08_02.xlsx&amp;sheet=A0&amp;row=866&amp;col=19&amp;number=&amp;sourceID=1","")</f>
        <v/>
      </c>
      <c r="T866" s="4" t="str">
        <f>HYPERLINK("http://141.218.60.56/~jnz1568/getInfo.php?workbook=08_02.xlsx&amp;sheet=A0&amp;row=866&amp;col=20&amp;number=&amp;sourceID=1","")</f>
        <v/>
      </c>
    </row>
    <row r="867" spans="1:20">
      <c r="A867" s="3">
        <v>8</v>
      </c>
      <c r="B867" s="3">
        <v>2</v>
      </c>
      <c r="C867" s="3">
        <v>47</v>
      </c>
      <c r="D867" s="3">
        <v>27</v>
      </c>
      <c r="E867" s="3">
        <f>((1/(INDEX(E0!J$4:J$52,C867,1)-INDEX(E0!J$4:J$52,D867,1))))*100000000</f>
        <v>0</v>
      </c>
      <c r="F867" s="4" t="str">
        <f>HYPERLINK("http://141.218.60.56/~jnz1568/getInfo.php?workbook=08_02.xlsx&amp;sheet=A0&amp;row=867&amp;col=6&amp;number=&amp;sourceID=27","")</f>
        <v/>
      </c>
      <c r="G867" s="4" t="str">
        <f>HYPERLINK("http://141.218.60.56/~jnz1568/getInfo.php?workbook=08_02.xlsx&amp;sheet=A0&amp;row=867&amp;col=7&amp;number=&amp;sourceID=34","")</f>
        <v/>
      </c>
      <c r="H867" s="4" t="str">
        <f>HYPERLINK("http://141.218.60.56/~jnz1568/getInfo.php?workbook=08_02.xlsx&amp;sheet=A0&amp;row=867&amp;col=8&amp;number=&amp;sourceID=34","")</f>
        <v/>
      </c>
      <c r="I867" s="4" t="str">
        <f>HYPERLINK("http://141.218.60.56/~jnz1568/getInfo.php?workbook=08_02.xlsx&amp;sheet=A0&amp;row=867&amp;col=9&amp;number=&amp;sourceID=34","")</f>
        <v/>
      </c>
      <c r="J867" s="4" t="str">
        <f>HYPERLINK("http://141.218.60.56/~jnz1568/getInfo.php?workbook=08_02.xlsx&amp;sheet=A0&amp;row=867&amp;col=10&amp;number=&amp;sourceID=34","")</f>
        <v/>
      </c>
      <c r="K867" s="4" t="str">
        <f>HYPERLINK("http://141.218.60.56/~jnz1568/getInfo.php?workbook=08_02.xlsx&amp;sheet=A0&amp;row=867&amp;col=11&amp;number=&amp;sourceID=30","")</f>
        <v/>
      </c>
      <c r="L867" s="4" t="str">
        <f>HYPERLINK("http://141.218.60.56/~jnz1568/getInfo.php?workbook=08_02.xlsx&amp;sheet=A0&amp;row=867&amp;col=12&amp;number=&amp;sourceID=30","")</f>
        <v/>
      </c>
      <c r="M867" s="4" t="str">
        <f>HYPERLINK("http://141.218.60.56/~jnz1568/getInfo.php?workbook=08_02.xlsx&amp;sheet=A0&amp;row=867&amp;col=13&amp;number=&amp;sourceID=30","")</f>
        <v/>
      </c>
      <c r="N867" s="4" t="str">
        <f>HYPERLINK("http://141.218.60.56/~jnz1568/getInfo.php?workbook=08_02.xlsx&amp;sheet=A0&amp;row=867&amp;col=14&amp;number=0.4742&amp;sourceID=30","0.4742")</f>
        <v>0.4742</v>
      </c>
      <c r="O867" s="4" t="str">
        <f>HYPERLINK("http://141.218.60.56/~jnz1568/getInfo.php?workbook=08_02.xlsx&amp;sheet=A0&amp;row=867&amp;col=15&amp;number=&amp;sourceID=32","")</f>
        <v/>
      </c>
      <c r="P867" s="4" t="str">
        <f>HYPERLINK("http://141.218.60.56/~jnz1568/getInfo.php?workbook=08_02.xlsx&amp;sheet=A0&amp;row=867&amp;col=16&amp;number=&amp;sourceID=32","")</f>
        <v/>
      </c>
      <c r="Q867" s="4" t="str">
        <f>HYPERLINK("http://141.218.60.56/~jnz1568/getInfo.php?workbook=08_02.xlsx&amp;sheet=A0&amp;row=867&amp;col=17&amp;number=&amp;sourceID=32","")</f>
        <v/>
      </c>
      <c r="R867" s="4" t="str">
        <f>HYPERLINK("http://141.218.60.56/~jnz1568/getInfo.php?workbook=08_02.xlsx&amp;sheet=A0&amp;row=867&amp;col=18&amp;number=&amp;sourceID=32","")</f>
        <v/>
      </c>
      <c r="S867" s="4" t="str">
        <f>HYPERLINK("http://141.218.60.56/~jnz1568/getInfo.php?workbook=08_02.xlsx&amp;sheet=A0&amp;row=867&amp;col=19&amp;number=&amp;sourceID=1","")</f>
        <v/>
      </c>
      <c r="T867" s="4" t="str">
        <f>HYPERLINK("http://141.218.60.56/~jnz1568/getInfo.php?workbook=08_02.xlsx&amp;sheet=A0&amp;row=867&amp;col=20&amp;number=&amp;sourceID=1","")</f>
        <v/>
      </c>
    </row>
    <row r="868" spans="1:20">
      <c r="A868" s="3">
        <v>8</v>
      </c>
      <c r="B868" s="3">
        <v>2</v>
      </c>
      <c r="C868" s="3">
        <v>47</v>
      </c>
      <c r="D868" s="3">
        <v>30</v>
      </c>
      <c r="E868" s="3">
        <f>((1/(INDEX(E0!J$4:J$52,C868,1)-INDEX(E0!J$4:J$52,D868,1))))*100000000</f>
        <v>0</v>
      </c>
      <c r="F868" s="4" t="str">
        <f>HYPERLINK("http://141.218.60.56/~jnz1568/getInfo.php?workbook=08_02.xlsx&amp;sheet=A0&amp;row=868&amp;col=6&amp;number=&amp;sourceID=27","")</f>
        <v/>
      </c>
      <c r="G868" s="4" t="str">
        <f>HYPERLINK("http://141.218.60.56/~jnz1568/getInfo.php?workbook=08_02.xlsx&amp;sheet=A0&amp;row=868&amp;col=7&amp;number=&amp;sourceID=34","")</f>
        <v/>
      </c>
      <c r="H868" s="4" t="str">
        <f>HYPERLINK("http://141.218.60.56/~jnz1568/getInfo.php?workbook=08_02.xlsx&amp;sheet=A0&amp;row=868&amp;col=8&amp;number=&amp;sourceID=34","")</f>
        <v/>
      </c>
      <c r="I868" s="4" t="str">
        <f>HYPERLINK("http://141.218.60.56/~jnz1568/getInfo.php?workbook=08_02.xlsx&amp;sheet=A0&amp;row=868&amp;col=9&amp;number=&amp;sourceID=34","")</f>
        <v/>
      </c>
      <c r="J868" s="4" t="str">
        <f>HYPERLINK("http://141.218.60.56/~jnz1568/getInfo.php?workbook=08_02.xlsx&amp;sheet=A0&amp;row=868&amp;col=10&amp;number=&amp;sourceID=34","")</f>
        <v/>
      </c>
      <c r="K868" s="4" t="str">
        <f>HYPERLINK("http://141.218.60.56/~jnz1568/getInfo.php?workbook=08_02.xlsx&amp;sheet=A0&amp;row=868&amp;col=11&amp;number=&amp;sourceID=30","")</f>
        <v/>
      </c>
      <c r="L868" s="4" t="str">
        <f>HYPERLINK("http://141.218.60.56/~jnz1568/getInfo.php?workbook=08_02.xlsx&amp;sheet=A0&amp;row=868&amp;col=12&amp;number=&amp;sourceID=30","")</f>
        <v/>
      </c>
      <c r="M868" s="4" t="str">
        <f>HYPERLINK("http://141.218.60.56/~jnz1568/getInfo.php?workbook=08_02.xlsx&amp;sheet=A0&amp;row=868&amp;col=13&amp;number=&amp;sourceID=30","")</f>
        <v/>
      </c>
      <c r="N868" s="4" t="str">
        <f>HYPERLINK("http://141.218.60.56/~jnz1568/getInfo.php?workbook=08_02.xlsx&amp;sheet=A0&amp;row=868&amp;col=14&amp;number=0.2416&amp;sourceID=30","0.2416")</f>
        <v>0.2416</v>
      </c>
      <c r="O868" s="4" t="str">
        <f>HYPERLINK("http://141.218.60.56/~jnz1568/getInfo.php?workbook=08_02.xlsx&amp;sheet=A0&amp;row=868&amp;col=15&amp;number=&amp;sourceID=32","")</f>
        <v/>
      </c>
      <c r="P868" s="4" t="str">
        <f>HYPERLINK("http://141.218.60.56/~jnz1568/getInfo.php?workbook=08_02.xlsx&amp;sheet=A0&amp;row=868&amp;col=16&amp;number=&amp;sourceID=32","")</f>
        <v/>
      </c>
      <c r="Q868" s="4" t="str">
        <f>HYPERLINK("http://141.218.60.56/~jnz1568/getInfo.php?workbook=08_02.xlsx&amp;sheet=A0&amp;row=868&amp;col=17&amp;number=&amp;sourceID=32","")</f>
        <v/>
      </c>
      <c r="R868" s="4" t="str">
        <f>HYPERLINK("http://141.218.60.56/~jnz1568/getInfo.php?workbook=08_02.xlsx&amp;sheet=A0&amp;row=868&amp;col=18&amp;number=&amp;sourceID=32","")</f>
        <v/>
      </c>
      <c r="S868" s="4" t="str">
        <f>HYPERLINK("http://141.218.60.56/~jnz1568/getInfo.php?workbook=08_02.xlsx&amp;sheet=A0&amp;row=868&amp;col=19&amp;number=&amp;sourceID=1","")</f>
        <v/>
      </c>
      <c r="T868" s="4" t="str">
        <f>HYPERLINK("http://141.218.60.56/~jnz1568/getInfo.php?workbook=08_02.xlsx&amp;sheet=A0&amp;row=868&amp;col=20&amp;number=&amp;sourceID=1","")</f>
        <v/>
      </c>
    </row>
    <row r="869" spans="1:20">
      <c r="A869" s="3">
        <v>8</v>
      </c>
      <c r="B869" s="3">
        <v>2</v>
      </c>
      <c r="C869" s="3">
        <v>47</v>
      </c>
      <c r="D869" s="3">
        <v>37</v>
      </c>
      <c r="E869" s="3">
        <f>((1/(INDEX(E0!J$4:J$52,C869,1)-INDEX(E0!J$4:J$52,D869,1))))*100000000</f>
        <v>0</v>
      </c>
      <c r="F869" s="4" t="str">
        <f>HYPERLINK("http://141.218.60.56/~jnz1568/getInfo.php?workbook=08_02.xlsx&amp;sheet=A0&amp;row=869&amp;col=6&amp;number=&amp;sourceID=27","")</f>
        <v/>
      </c>
      <c r="G869" s="4" t="str">
        <f>HYPERLINK("http://141.218.60.56/~jnz1568/getInfo.php?workbook=08_02.xlsx&amp;sheet=A0&amp;row=869&amp;col=7&amp;number=&amp;sourceID=34","")</f>
        <v/>
      </c>
      <c r="H869" s="4" t="str">
        <f>HYPERLINK("http://141.218.60.56/~jnz1568/getInfo.php?workbook=08_02.xlsx&amp;sheet=A0&amp;row=869&amp;col=8&amp;number=&amp;sourceID=34","")</f>
        <v/>
      </c>
      <c r="I869" s="4" t="str">
        <f>HYPERLINK("http://141.218.60.56/~jnz1568/getInfo.php?workbook=08_02.xlsx&amp;sheet=A0&amp;row=869&amp;col=9&amp;number=&amp;sourceID=34","")</f>
        <v/>
      </c>
      <c r="J869" s="4" t="str">
        <f>HYPERLINK("http://141.218.60.56/~jnz1568/getInfo.php?workbook=08_02.xlsx&amp;sheet=A0&amp;row=869&amp;col=10&amp;number=&amp;sourceID=34","")</f>
        <v/>
      </c>
      <c r="K869" s="4" t="str">
        <f>HYPERLINK("http://141.218.60.56/~jnz1568/getInfo.php?workbook=08_02.xlsx&amp;sheet=A0&amp;row=869&amp;col=11&amp;number=0.003951&amp;sourceID=30","0.003951")</f>
        <v>0.003951</v>
      </c>
      <c r="L869" s="4" t="str">
        <f>HYPERLINK("http://141.218.60.56/~jnz1568/getInfo.php?workbook=08_02.xlsx&amp;sheet=A0&amp;row=869&amp;col=12&amp;number=&amp;sourceID=30","")</f>
        <v/>
      </c>
      <c r="M869" s="4" t="str">
        <f>HYPERLINK("http://141.218.60.56/~jnz1568/getInfo.php?workbook=08_02.xlsx&amp;sheet=A0&amp;row=869&amp;col=13&amp;number=&amp;sourceID=30","")</f>
        <v/>
      </c>
      <c r="N869" s="4" t="str">
        <f>HYPERLINK("http://141.218.60.56/~jnz1568/getInfo.php?workbook=08_02.xlsx&amp;sheet=A0&amp;row=869&amp;col=14&amp;number=0&amp;sourceID=30","0")</f>
        <v>0</v>
      </c>
      <c r="O869" s="4" t="str">
        <f>HYPERLINK("http://141.218.60.56/~jnz1568/getInfo.php?workbook=08_02.xlsx&amp;sheet=A0&amp;row=869&amp;col=15&amp;number=&amp;sourceID=32","")</f>
        <v/>
      </c>
      <c r="P869" s="4" t="str">
        <f>HYPERLINK("http://141.218.60.56/~jnz1568/getInfo.php?workbook=08_02.xlsx&amp;sheet=A0&amp;row=869&amp;col=16&amp;number=&amp;sourceID=32","")</f>
        <v/>
      </c>
      <c r="Q869" s="4" t="str">
        <f>HYPERLINK("http://141.218.60.56/~jnz1568/getInfo.php?workbook=08_02.xlsx&amp;sheet=A0&amp;row=869&amp;col=17&amp;number=&amp;sourceID=32","")</f>
        <v/>
      </c>
      <c r="R869" s="4" t="str">
        <f>HYPERLINK("http://141.218.60.56/~jnz1568/getInfo.php?workbook=08_02.xlsx&amp;sheet=A0&amp;row=869&amp;col=18&amp;number=&amp;sourceID=32","")</f>
        <v/>
      </c>
      <c r="S869" s="4" t="str">
        <f>HYPERLINK("http://141.218.60.56/~jnz1568/getInfo.php?workbook=08_02.xlsx&amp;sheet=A0&amp;row=869&amp;col=19&amp;number=&amp;sourceID=1","")</f>
        <v/>
      </c>
      <c r="T869" s="4" t="str">
        <f>HYPERLINK("http://141.218.60.56/~jnz1568/getInfo.php?workbook=08_02.xlsx&amp;sheet=A0&amp;row=869&amp;col=20&amp;number=&amp;sourceID=1","")</f>
        <v/>
      </c>
    </row>
    <row r="870" spans="1:20">
      <c r="A870" s="3">
        <v>8</v>
      </c>
      <c r="B870" s="3">
        <v>2</v>
      </c>
      <c r="C870" s="3">
        <v>47</v>
      </c>
      <c r="D870" s="3">
        <v>40</v>
      </c>
      <c r="E870" s="3">
        <f>((1/(INDEX(E0!J$4:J$52,C870,1)-INDEX(E0!J$4:J$52,D870,1))))*100000000</f>
        <v>0</v>
      </c>
      <c r="F870" s="4" t="str">
        <f>HYPERLINK("http://141.218.60.56/~jnz1568/getInfo.php?workbook=08_02.xlsx&amp;sheet=A0&amp;row=870&amp;col=6&amp;number=&amp;sourceID=27","")</f>
        <v/>
      </c>
      <c r="G870" s="4" t="str">
        <f>HYPERLINK("http://141.218.60.56/~jnz1568/getInfo.php?workbook=08_02.xlsx&amp;sheet=A0&amp;row=870&amp;col=7&amp;number=&amp;sourceID=34","")</f>
        <v/>
      </c>
      <c r="H870" s="4" t="str">
        <f>HYPERLINK("http://141.218.60.56/~jnz1568/getInfo.php?workbook=08_02.xlsx&amp;sheet=A0&amp;row=870&amp;col=8&amp;number=&amp;sourceID=34","")</f>
        <v/>
      </c>
      <c r="I870" s="4" t="str">
        <f>HYPERLINK("http://141.218.60.56/~jnz1568/getInfo.php?workbook=08_02.xlsx&amp;sheet=A0&amp;row=870&amp;col=9&amp;number=&amp;sourceID=34","")</f>
        <v/>
      </c>
      <c r="J870" s="4" t="str">
        <f>HYPERLINK("http://141.218.60.56/~jnz1568/getInfo.php?workbook=08_02.xlsx&amp;sheet=A0&amp;row=870&amp;col=10&amp;number=&amp;sourceID=34","")</f>
        <v/>
      </c>
      <c r="K870" s="4" t="str">
        <f>HYPERLINK("http://141.218.60.56/~jnz1568/getInfo.php?workbook=08_02.xlsx&amp;sheet=A0&amp;row=870&amp;col=11&amp;number=&amp;sourceID=30","")</f>
        <v/>
      </c>
      <c r="L870" s="4" t="str">
        <f>HYPERLINK("http://141.218.60.56/~jnz1568/getInfo.php?workbook=08_02.xlsx&amp;sheet=A0&amp;row=870&amp;col=12&amp;number=1.288e-10&amp;sourceID=30","1.288e-10")</f>
        <v>1.288e-10</v>
      </c>
      <c r="M870" s="4" t="str">
        <f>HYPERLINK("http://141.218.60.56/~jnz1568/getInfo.php?workbook=08_02.xlsx&amp;sheet=A0&amp;row=870&amp;col=13&amp;number=&amp;sourceID=30","")</f>
        <v/>
      </c>
      <c r="N870" s="4" t="str">
        <f>HYPERLINK("http://141.218.60.56/~jnz1568/getInfo.php?workbook=08_02.xlsx&amp;sheet=A0&amp;row=870&amp;col=14&amp;number=&amp;sourceID=30","")</f>
        <v/>
      </c>
      <c r="O870" s="4" t="str">
        <f>HYPERLINK("http://141.218.60.56/~jnz1568/getInfo.php?workbook=08_02.xlsx&amp;sheet=A0&amp;row=870&amp;col=15&amp;number=&amp;sourceID=32","")</f>
        <v/>
      </c>
      <c r="P870" s="4" t="str">
        <f>HYPERLINK("http://141.218.60.56/~jnz1568/getInfo.php?workbook=08_02.xlsx&amp;sheet=A0&amp;row=870&amp;col=16&amp;number=&amp;sourceID=32","")</f>
        <v/>
      </c>
      <c r="Q870" s="4" t="str">
        <f>HYPERLINK("http://141.218.60.56/~jnz1568/getInfo.php?workbook=08_02.xlsx&amp;sheet=A0&amp;row=870&amp;col=17&amp;number=&amp;sourceID=32","")</f>
        <v/>
      </c>
      <c r="R870" s="4" t="str">
        <f>HYPERLINK("http://141.218.60.56/~jnz1568/getInfo.php?workbook=08_02.xlsx&amp;sheet=A0&amp;row=870&amp;col=18&amp;number=&amp;sourceID=32","")</f>
        <v/>
      </c>
      <c r="S870" s="4" t="str">
        <f>HYPERLINK("http://141.218.60.56/~jnz1568/getInfo.php?workbook=08_02.xlsx&amp;sheet=A0&amp;row=870&amp;col=19&amp;number=&amp;sourceID=1","")</f>
        <v/>
      </c>
      <c r="T870" s="4" t="str">
        <f>HYPERLINK("http://141.218.60.56/~jnz1568/getInfo.php?workbook=08_02.xlsx&amp;sheet=A0&amp;row=870&amp;col=20&amp;number=&amp;sourceID=1","")</f>
        <v/>
      </c>
    </row>
    <row r="871" spans="1:20">
      <c r="A871" s="3">
        <v>8</v>
      </c>
      <c r="B871" s="3">
        <v>2</v>
      </c>
      <c r="C871" s="3">
        <v>47</v>
      </c>
      <c r="D871" s="3">
        <v>41</v>
      </c>
      <c r="E871" s="3">
        <f>((1/(INDEX(E0!J$4:J$52,C871,1)-INDEX(E0!J$4:J$52,D871,1))))*100000000</f>
        <v>0</v>
      </c>
      <c r="F871" s="4" t="str">
        <f>HYPERLINK("http://141.218.60.56/~jnz1568/getInfo.php?workbook=08_02.xlsx&amp;sheet=A0&amp;row=871&amp;col=6&amp;number=&amp;sourceID=27","")</f>
        <v/>
      </c>
      <c r="G871" s="4" t="str">
        <f>HYPERLINK("http://141.218.60.56/~jnz1568/getInfo.php?workbook=08_02.xlsx&amp;sheet=A0&amp;row=871&amp;col=7&amp;number=&amp;sourceID=34","")</f>
        <v/>
      </c>
      <c r="H871" s="4" t="str">
        <f>HYPERLINK("http://141.218.60.56/~jnz1568/getInfo.php?workbook=08_02.xlsx&amp;sheet=A0&amp;row=871&amp;col=8&amp;number=&amp;sourceID=34","")</f>
        <v/>
      </c>
      <c r="I871" s="4" t="str">
        <f>HYPERLINK("http://141.218.60.56/~jnz1568/getInfo.php?workbook=08_02.xlsx&amp;sheet=A0&amp;row=871&amp;col=9&amp;number=&amp;sourceID=34","")</f>
        <v/>
      </c>
      <c r="J871" s="4" t="str">
        <f>HYPERLINK("http://141.218.60.56/~jnz1568/getInfo.php?workbook=08_02.xlsx&amp;sheet=A0&amp;row=871&amp;col=10&amp;number=&amp;sourceID=34","")</f>
        <v/>
      </c>
      <c r="K871" s="4" t="str">
        <f>HYPERLINK("http://141.218.60.56/~jnz1568/getInfo.php?workbook=08_02.xlsx&amp;sheet=A0&amp;row=871&amp;col=11&amp;number=&amp;sourceID=30","")</f>
        <v/>
      </c>
      <c r="L871" s="4" t="str">
        <f>HYPERLINK("http://141.218.60.56/~jnz1568/getInfo.php?workbook=08_02.xlsx&amp;sheet=A0&amp;row=871&amp;col=12&amp;number=&amp;sourceID=30","")</f>
        <v/>
      </c>
      <c r="M871" s="4" t="str">
        <f>HYPERLINK("http://141.218.60.56/~jnz1568/getInfo.php?workbook=08_02.xlsx&amp;sheet=A0&amp;row=871&amp;col=13&amp;number=&amp;sourceID=30","")</f>
        <v/>
      </c>
      <c r="N871" s="4" t="str">
        <f>HYPERLINK("http://141.218.60.56/~jnz1568/getInfo.php?workbook=08_02.xlsx&amp;sheet=A0&amp;row=871&amp;col=14&amp;number=0&amp;sourceID=30","0")</f>
        <v>0</v>
      </c>
      <c r="O871" s="4" t="str">
        <f>HYPERLINK("http://141.218.60.56/~jnz1568/getInfo.php?workbook=08_02.xlsx&amp;sheet=A0&amp;row=871&amp;col=15&amp;number=&amp;sourceID=32","")</f>
        <v/>
      </c>
      <c r="P871" s="4" t="str">
        <f>HYPERLINK("http://141.218.60.56/~jnz1568/getInfo.php?workbook=08_02.xlsx&amp;sheet=A0&amp;row=871&amp;col=16&amp;number=&amp;sourceID=32","")</f>
        <v/>
      </c>
      <c r="Q871" s="4" t="str">
        <f>HYPERLINK("http://141.218.60.56/~jnz1568/getInfo.php?workbook=08_02.xlsx&amp;sheet=A0&amp;row=871&amp;col=17&amp;number=&amp;sourceID=32","")</f>
        <v/>
      </c>
      <c r="R871" s="4" t="str">
        <f>HYPERLINK("http://141.218.60.56/~jnz1568/getInfo.php?workbook=08_02.xlsx&amp;sheet=A0&amp;row=871&amp;col=18&amp;number=&amp;sourceID=32","")</f>
        <v/>
      </c>
      <c r="S871" s="4" t="str">
        <f>HYPERLINK("http://141.218.60.56/~jnz1568/getInfo.php?workbook=08_02.xlsx&amp;sheet=A0&amp;row=871&amp;col=19&amp;number=&amp;sourceID=1","")</f>
        <v/>
      </c>
      <c r="T871" s="4" t="str">
        <f>HYPERLINK("http://141.218.60.56/~jnz1568/getInfo.php?workbook=08_02.xlsx&amp;sheet=A0&amp;row=871&amp;col=20&amp;number=&amp;sourceID=1","")</f>
        <v/>
      </c>
    </row>
    <row r="872" spans="1:20">
      <c r="A872" s="3">
        <v>8</v>
      </c>
      <c r="B872" s="3">
        <v>2</v>
      </c>
      <c r="C872" s="3">
        <v>47</v>
      </c>
      <c r="D872" s="3">
        <v>43</v>
      </c>
      <c r="E872" s="3">
        <f>((1/(INDEX(E0!J$4:J$52,C872,1)-INDEX(E0!J$4:J$52,D872,1))))*100000000</f>
        <v>0</v>
      </c>
      <c r="F872" s="4" t="str">
        <f>HYPERLINK("http://141.218.60.56/~jnz1568/getInfo.php?workbook=08_02.xlsx&amp;sheet=A0&amp;row=872&amp;col=6&amp;number=&amp;sourceID=27","")</f>
        <v/>
      </c>
      <c r="G872" s="4" t="str">
        <f>HYPERLINK("http://141.218.60.56/~jnz1568/getInfo.php?workbook=08_02.xlsx&amp;sheet=A0&amp;row=872&amp;col=7&amp;number=&amp;sourceID=34","")</f>
        <v/>
      </c>
      <c r="H872" s="4" t="str">
        <f>HYPERLINK("http://141.218.60.56/~jnz1568/getInfo.php?workbook=08_02.xlsx&amp;sheet=A0&amp;row=872&amp;col=8&amp;number=&amp;sourceID=34","")</f>
        <v/>
      </c>
      <c r="I872" s="4" t="str">
        <f>HYPERLINK("http://141.218.60.56/~jnz1568/getInfo.php?workbook=08_02.xlsx&amp;sheet=A0&amp;row=872&amp;col=9&amp;number=&amp;sourceID=34","")</f>
        <v/>
      </c>
      <c r="J872" s="4" t="str">
        <f>HYPERLINK("http://141.218.60.56/~jnz1568/getInfo.php?workbook=08_02.xlsx&amp;sheet=A0&amp;row=872&amp;col=10&amp;number=&amp;sourceID=34","")</f>
        <v/>
      </c>
      <c r="K872" s="4" t="str">
        <f>HYPERLINK("http://141.218.60.56/~jnz1568/getInfo.php?workbook=08_02.xlsx&amp;sheet=A0&amp;row=872&amp;col=11&amp;number=&amp;sourceID=30","")</f>
        <v/>
      </c>
      <c r="L872" s="4" t="str">
        <f>HYPERLINK("http://141.218.60.56/~jnz1568/getInfo.php?workbook=08_02.xlsx&amp;sheet=A0&amp;row=872&amp;col=12&amp;number=&amp;sourceID=30","")</f>
        <v/>
      </c>
      <c r="M872" s="4" t="str">
        <f>HYPERLINK("http://141.218.60.56/~jnz1568/getInfo.php?workbook=08_02.xlsx&amp;sheet=A0&amp;row=872&amp;col=13&amp;number=&amp;sourceID=30","")</f>
        <v/>
      </c>
      <c r="N872" s="4" t="str">
        <f>HYPERLINK("http://141.218.60.56/~jnz1568/getInfo.php?workbook=08_02.xlsx&amp;sheet=A0&amp;row=872&amp;col=14&amp;number=0&amp;sourceID=30","0")</f>
        <v>0</v>
      </c>
      <c r="O872" s="4" t="str">
        <f>HYPERLINK("http://141.218.60.56/~jnz1568/getInfo.php?workbook=08_02.xlsx&amp;sheet=A0&amp;row=872&amp;col=15&amp;number=&amp;sourceID=32","")</f>
        <v/>
      </c>
      <c r="P872" s="4" t="str">
        <f>HYPERLINK("http://141.218.60.56/~jnz1568/getInfo.php?workbook=08_02.xlsx&amp;sheet=A0&amp;row=872&amp;col=16&amp;number=&amp;sourceID=32","")</f>
        <v/>
      </c>
      <c r="Q872" s="4" t="str">
        <f>HYPERLINK("http://141.218.60.56/~jnz1568/getInfo.php?workbook=08_02.xlsx&amp;sheet=A0&amp;row=872&amp;col=17&amp;number=&amp;sourceID=32","")</f>
        <v/>
      </c>
      <c r="R872" s="4" t="str">
        <f>HYPERLINK("http://141.218.60.56/~jnz1568/getInfo.php?workbook=08_02.xlsx&amp;sheet=A0&amp;row=872&amp;col=18&amp;number=&amp;sourceID=32","")</f>
        <v/>
      </c>
      <c r="S872" s="4" t="str">
        <f>HYPERLINK("http://141.218.60.56/~jnz1568/getInfo.php?workbook=08_02.xlsx&amp;sheet=A0&amp;row=872&amp;col=19&amp;number=&amp;sourceID=1","")</f>
        <v/>
      </c>
      <c r="T872" s="4" t="str">
        <f>HYPERLINK("http://141.218.60.56/~jnz1568/getInfo.php?workbook=08_02.xlsx&amp;sheet=A0&amp;row=872&amp;col=20&amp;number=&amp;sourceID=1","")</f>
        <v/>
      </c>
    </row>
    <row r="873" spans="1:20">
      <c r="A873" s="3">
        <v>8</v>
      </c>
      <c r="B873" s="3">
        <v>2</v>
      </c>
      <c r="C873" s="3">
        <v>47</v>
      </c>
      <c r="D873" s="3">
        <v>45</v>
      </c>
      <c r="E873" s="3">
        <f>((1/(INDEX(E0!J$4:J$52,C873,1)-INDEX(E0!J$4:J$52,D873,1))))*100000000</f>
        <v>0</v>
      </c>
      <c r="F873" s="4" t="str">
        <f>HYPERLINK("http://141.218.60.56/~jnz1568/getInfo.php?workbook=08_02.xlsx&amp;sheet=A0&amp;row=873&amp;col=6&amp;number=&amp;sourceID=27","")</f>
        <v/>
      </c>
      <c r="G873" s="4" t="str">
        <f>HYPERLINK("http://141.218.60.56/~jnz1568/getInfo.php?workbook=08_02.xlsx&amp;sheet=A0&amp;row=873&amp;col=7&amp;number=&amp;sourceID=34","")</f>
        <v/>
      </c>
      <c r="H873" s="4" t="str">
        <f>HYPERLINK("http://141.218.60.56/~jnz1568/getInfo.php?workbook=08_02.xlsx&amp;sheet=A0&amp;row=873&amp;col=8&amp;number=&amp;sourceID=34","")</f>
        <v/>
      </c>
      <c r="I873" s="4" t="str">
        <f>HYPERLINK("http://141.218.60.56/~jnz1568/getInfo.php?workbook=08_02.xlsx&amp;sheet=A0&amp;row=873&amp;col=9&amp;number=&amp;sourceID=34","")</f>
        <v/>
      </c>
      <c r="J873" s="4" t="str">
        <f>HYPERLINK("http://141.218.60.56/~jnz1568/getInfo.php?workbook=08_02.xlsx&amp;sheet=A0&amp;row=873&amp;col=10&amp;number=&amp;sourceID=34","")</f>
        <v/>
      </c>
      <c r="K873" s="4" t="str">
        <f>HYPERLINK("http://141.218.60.56/~jnz1568/getInfo.php?workbook=08_02.xlsx&amp;sheet=A0&amp;row=873&amp;col=11&amp;number=&amp;sourceID=30","")</f>
        <v/>
      </c>
      <c r="L873" s="4" t="str">
        <f>HYPERLINK("http://141.218.60.56/~jnz1568/getInfo.php?workbook=08_02.xlsx&amp;sheet=A0&amp;row=873&amp;col=12&amp;number=0&amp;sourceID=30","0")</f>
        <v>0</v>
      </c>
      <c r="M873" s="4" t="str">
        <f>HYPERLINK("http://141.218.60.56/~jnz1568/getInfo.php?workbook=08_02.xlsx&amp;sheet=A0&amp;row=873&amp;col=13&amp;number=2.235e-09&amp;sourceID=30","2.235e-09")</f>
        <v>2.235e-09</v>
      </c>
      <c r="N873" s="4" t="str">
        <f>HYPERLINK("http://141.218.60.56/~jnz1568/getInfo.php?workbook=08_02.xlsx&amp;sheet=A0&amp;row=873&amp;col=14&amp;number=&amp;sourceID=30","")</f>
        <v/>
      </c>
      <c r="O873" s="4" t="str">
        <f>HYPERLINK("http://141.218.60.56/~jnz1568/getInfo.php?workbook=08_02.xlsx&amp;sheet=A0&amp;row=873&amp;col=15&amp;number=&amp;sourceID=32","")</f>
        <v/>
      </c>
      <c r="P873" s="4" t="str">
        <f>HYPERLINK("http://141.218.60.56/~jnz1568/getInfo.php?workbook=08_02.xlsx&amp;sheet=A0&amp;row=873&amp;col=16&amp;number=&amp;sourceID=32","")</f>
        <v/>
      </c>
      <c r="Q873" s="4" t="str">
        <f>HYPERLINK("http://141.218.60.56/~jnz1568/getInfo.php?workbook=08_02.xlsx&amp;sheet=A0&amp;row=873&amp;col=17&amp;number=&amp;sourceID=32","")</f>
        <v/>
      </c>
      <c r="R873" s="4" t="str">
        <f>HYPERLINK("http://141.218.60.56/~jnz1568/getInfo.php?workbook=08_02.xlsx&amp;sheet=A0&amp;row=873&amp;col=18&amp;number=&amp;sourceID=32","")</f>
        <v/>
      </c>
      <c r="S873" s="4" t="str">
        <f>HYPERLINK("http://141.218.60.56/~jnz1568/getInfo.php?workbook=08_02.xlsx&amp;sheet=A0&amp;row=873&amp;col=19&amp;number=&amp;sourceID=1","")</f>
        <v/>
      </c>
      <c r="T873" s="4" t="str">
        <f>HYPERLINK("http://141.218.60.56/~jnz1568/getInfo.php?workbook=08_02.xlsx&amp;sheet=A0&amp;row=873&amp;col=20&amp;number=&amp;sourceID=1","")</f>
        <v/>
      </c>
    </row>
    <row r="874" spans="1:20">
      <c r="A874" s="3">
        <v>8</v>
      </c>
      <c r="B874" s="3">
        <v>2</v>
      </c>
      <c r="C874" s="3">
        <v>47</v>
      </c>
      <c r="D874" s="3">
        <v>46</v>
      </c>
      <c r="E874" s="3">
        <f>((1/(INDEX(E0!J$4:J$52,C874,1)-INDEX(E0!J$4:J$52,D874,1))))*100000000</f>
        <v>0</v>
      </c>
      <c r="F874" s="4" t="str">
        <f>HYPERLINK("http://141.218.60.56/~jnz1568/getInfo.php?workbook=08_02.xlsx&amp;sheet=A0&amp;row=874&amp;col=6&amp;number=&amp;sourceID=27","")</f>
        <v/>
      </c>
      <c r="G874" s="4" t="str">
        <f>HYPERLINK("http://141.218.60.56/~jnz1568/getInfo.php?workbook=08_02.xlsx&amp;sheet=A0&amp;row=874&amp;col=7&amp;number=&amp;sourceID=34","")</f>
        <v/>
      </c>
      <c r="H874" s="4" t="str">
        <f>HYPERLINK("http://141.218.60.56/~jnz1568/getInfo.php?workbook=08_02.xlsx&amp;sheet=A0&amp;row=874&amp;col=8&amp;number=&amp;sourceID=34","")</f>
        <v/>
      </c>
      <c r="I874" s="4" t="str">
        <f>HYPERLINK("http://141.218.60.56/~jnz1568/getInfo.php?workbook=08_02.xlsx&amp;sheet=A0&amp;row=874&amp;col=9&amp;number=&amp;sourceID=34","")</f>
        <v/>
      </c>
      <c r="J874" s="4" t="str">
        <f>HYPERLINK("http://141.218.60.56/~jnz1568/getInfo.php?workbook=08_02.xlsx&amp;sheet=A0&amp;row=874&amp;col=10&amp;number=&amp;sourceID=34","")</f>
        <v/>
      </c>
      <c r="K874" s="4" t="str">
        <f>HYPERLINK("http://141.218.60.56/~jnz1568/getInfo.php?workbook=08_02.xlsx&amp;sheet=A0&amp;row=874&amp;col=11&amp;number=&amp;sourceID=30","")</f>
        <v/>
      </c>
      <c r="L874" s="4" t="str">
        <f>HYPERLINK("http://141.218.60.56/~jnz1568/getInfo.php?workbook=08_02.xlsx&amp;sheet=A0&amp;row=874&amp;col=12&amp;number=0&amp;sourceID=30","0")</f>
        <v>0</v>
      </c>
      <c r="M874" s="4" t="str">
        <f>HYPERLINK("http://141.218.60.56/~jnz1568/getInfo.php?workbook=08_02.xlsx&amp;sheet=A0&amp;row=874&amp;col=13&amp;number=&amp;sourceID=30","")</f>
        <v/>
      </c>
      <c r="N874" s="4" t="str">
        <f>HYPERLINK("http://141.218.60.56/~jnz1568/getInfo.php?workbook=08_02.xlsx&amp;sheet=A0&amp;row=874&amp;col=14&amp;number=&amp;sourceID=30","")</f>
        <v/>
      </c>
      <c r="O874" s="4" t="str">
        <f>HYPERLINK("http://141.218.60.56/~jnz1568/getInfo.php?workbook=08_02.xlsx&amp;sheet=A0&amp;row=874&amp;col=15&amp;number=&amp;sourceID=32","")</f>
        <v/>
      </c>
      <c r="P874" s="4" t="str">
        <f>HYPERLINK("http://141.218.60.56/~jnz1568/getInfo.php?workbook=08_02.xlsx&amp;sheet=A0&amp;row=874&amp;col=16&amp;number=&amp;sourceID=32","")</f>
        <v/>
      </c>
      <c r="Q874" s="4" t="str">
        <f>HYPERLINK("http://141.218.60.56/~jnz1568/getInfo.php?workbook=08_02.xlsx&amp;sheet=A0&amp;row=874&amp;col=17&amp;number=&amp;sourceID=32","")</f>
        <v/>
      </c>
      <c r="R874" s="4" t="str">
        <f>HYPERLINK("http://141.218.60.56/~jnz1568/getInfo.php?workbook=08_02.xlsx&amp;sheet=A0&amp;row=874&amp;col=18&amp;number=&amp;sourceID=32","")</f>
        <v/>
      </c>
      <c r="S874" s="4" t="str">
        <f>HYPERLINK("http://141.218.60.56/~jnz1568/getInfo.php?workbook=08_02.xlsx&amp;sheet=A0&amp;row=874&amp;col=19&amp;number=&amp;sourceID=1","")</f>
        <v/>
      </c>
      <c r="T874" s="4" t="str">
        <f>HYPERLINK("http://141.218.60.56/~jnz1568/getInfo.php?workbook=08_02.xlsx&amp;sheet=A0&amp;row=874&amp;col=20&amp;number=&amp;sourceID=1","")</f>
        <v/>
      </c>
    </row>
    <row r="875" spans="1:20">
      <c r="A875" s="3">
        <v>8</v>
      </c>
      <c r="B875" s="3">
        <v>2</v>
      </c>
      <c r="C875" s="3">
        <v>48</v>
      </c>
      <c r="D875" s="3">
        <v>5</v>
      </c>
      <c r="E875" s="3">
        <f>((1/(INDEX(E0!J$4:J$52,C875,1)-INDEX(E0!J$4:J$52,D875,1))))*100000000</f>
        <v>0</v>
      </c>
      <c r="F875" s="4" t="str">
        <f>HYPERLINK("http://141.218.60.56/~jnz1568/getInfo.php?workbook=08_02.xlsx&amp;sheet=A0&amp;row=875&amp;col=6&amp;number=&amp;sourceID=27","")</f>
        <v/>
      </c>
      <c r="G875" s="4" t="str">
        <f>HYPERLINK("http://141.218.60.56/~jnz1568/getInfo.php?workbook=08_02.xlsx&amp;sheet=A0&amp;row=875&amp;col=7&amp;number=&amp;sourceID=34","")</f>
        <v/>
      </c>
      <c r="H875" s="4" t="str">
        <f>HYPERLINK("http://141.218.60.56/~jnz1568/getInfo.php?workbook=08_02.xlsx&amp;sheet=A0&amp;row=875&amp;col=8&amp;number=&amp;sourceID=34","")</f>
        <v/>
      </c>
      <c r="I875" s="4" t="str">
        <f>HYPERLINK("http://141.218.60.56/~jnz1568/getInfo.php?workbook=08_02.xlsx&amp;sheet=A0&amp;row=875&amp;col=9&amp;number=&amp;sourceID=34","")</f>
        <v/>
      </c>
      <c r="J875" s="4" t="str">
        <f>HYPERLINK("http://141.218.60.56/~jnz1568/getInfo.php?workbook=08_02.xlsx&amp;sheet=A0&amp;row=875&amp;col=10&amp;number=&amp;sourceID=34","")</f>
        <v/>
      </c>
      <c r="K875" s="4" t="str">
        <f>HYPERLINK("http://141.218.60.56/~jnz1568/getInfo.php?workbook=08_02.xlsx&amp;sheet=A0&amp;row=875&amp;col=11&amp;number=&amp;sourceID=30","")</f>
        <v/>
      </c>
      <c r="L875" s="4" t="str">
        <f>HYPERLINK("http://141.218.60.56/~jnz1568/getInfo.php?workbook=08_02.xlsx&amp;sheet=A0&amp;row=875&amp;col=12&amp;number=&amp;sourceID=30","")</f>
        <v/>
      </c>
      <c r="M875" s="4" t="str">
        <f>HYPERLINK("http://141.218.60.56/~jnz1568/getInfo.php?workbook=08_02.xlsx&amp;sheet=A0&amp;row=875&amp;col=13&amp;number=&amp;sourceID=30","")</f>
        <v/>
      </c>
      <c r="N875" s="4" t="str">
        <f>HYPERLINK("http://141.218.60.56/~jnz1568/getInfo.php?workbook=08_02.xlsx&amp;sheet=A0&amp;row=875&amp;col=14&amp;number=3.217e-12&amp;sourceID=30","3.217e-12")</f>
        <v>3.217e-12</v>
      </c>
      <c r="O875" s="4" t="str">
        <f>HYPERLINK("http://141.218.60.56/~jnz1568/getInfo.php?workbook=08_02.xlsx&amp;sheet=A0&amp;row=875&amp;col=15&amp;number=&amp;sourceID=32","")</f>
        <v/>
      </c>
      <c r="P875" s="4" t="str">
        <f>HYPERLINK("http://141.218.60.56/~jnz1568/getInfo.php?workbook=08_02.xlsx&amp;sheet=A0&amp;row=875&amp;col=16&amp;number=&amp;sourceID=32","")</f>
        <v/>
      </c>
      <c r="Q875" s="4" t="str">
        <f>HYPERLINK("http://141.218.60.56/~jnz1568/getInfo.php?workbook=08_02.xlsx&amp;sheet=A0&amp;row=875&amp;col=17&amp;number=&amp;sourceID=32","")</f>
        <v/>
      </c>
      <c r="R875" s="4" t="str">
        <f>HYPERLINK("http://141.218.60.56/~jnz1568/getInfo.php?workbook=08_02.xlsx&amp;sheet=A0&amp;row=875&amp;col=18&amp;number=&amp;sourceID=32","")</f>
        <v/>
      </c>
      <c r="S875" s="4" t="str">
        <f>HYPERLINK("http://141.218.60.56/~jnz1568/getInfo.php?workbook=08_02.xlsx&amp;sheet=A0&amp;row=875&amp;col=19&amp;number=&amp;sourceID=1","")</f>
        <v/>
      </c>
      <c r="T875" s="4" t="str">
        <f>HYPERLINK("http://141.218.60.56/~jnz1568/getInfo.php?workbook=08_02.xlsx&amp;sheet=A0&amp;row=875&amp;col=20&amp;number=&amp;sourceID=1","")</f>
        <v/>
      </c>
    </row>
    <row r="876" spans="1:20">
      <c r="A876" s="3">
        <v>8</v>
      </c>
      <c r="B876" s="3">
        <v>2</v>
      </c>
      <c r="C876" s="3">
        <v>48</v>
      </c>
      <c r="D876" s="3">
        <v>11</v>
      </c>
      <c r="E876" s="3">
        <f>((1/(INDEX(E0!J$4:J$52,C876,1)-INDEX(E0!J$4:J$52,D876,1))))*100000000</f>
        <v>0</v>
      </c>
      <c r="F876" s="4" t="str">
        <f>HYPERLINK("http://141.218.60.56/~jnz1568/getInfo.php?workbook=08_02.xlsx&amp;sheet=A0&amp;row=876&amp;col=6&amp;number=&amp;sourceID=27","")</f>
        <v/>
      </c>
      <c r="G876" s="4" t="str">
        <f>HYPERLINK("http://141.218.60.56/~jnz1568/getInfo.php?workbook=08_02.xlsx&amp;sheet=A0&amp;row=876&amp;col=7&amp;number=&amp;sourceID=34","")</f>
        <v/>
      </c>
      <c r="H876" s="4" t="str">
        <f>HYPERLINK("http://141.218.60.56/~jnz1568/getInfo.php?workbook=08_02.xlsx&amp;sheet=A0&amp;row=876&amp;col=8&amp;number=&amp;sourceID=34","")</f>
        <v/>
      </c>
      <c r="I876" s="4" t="str">
        <f>HYPERLINK("http://141.218.60.56/~jnz1568/getInfo.php?workbook=08_02.xlsx&amp;sheet=A0&amp;row=876&amp;col=9&amp;number=&amp;sourceID=34","")</f>
        <v/>
      </c>
      <c r="J876" s="4" t="str">
        <f>HYPERLINK("http://141.218.60.56/~jnz1568/getInfo.php?workbook=08_02.xlsx&amp;sheet=A0&amp;row=876&amp;col=10&amp;number=&amp;sourceID=34","")</f>
        <v/>
      </c>
      <c r="K876" s="4" t="str">
        <f>HYPERLINK("http://141.218.60.56/~jnz1568/getInfo.php?workbook=08_02.xlsx&amp;sheet=A0&amp;row=876&amp;col=11&amp;number=&amp;sourceID=30","")</f>
        <v/>
      </c>
      <c r="L876" s="4" t="str">
        <f>HYPERLINK("http://141.218.60.56/~jnz1568/getInfo.php?workbook=08_02.xlsx&amp;sheet=A0&amp;row=876&amp;col=12&amp;number=&amp;sourceID=30","")</f>
        <v/>
      </c>
      <c r="M876" s="4" t="str">
        <f>HYPERLINK("http://141.218.60.56/~jnz1568/getInfo.php?workbook=08_02.xlsx&amp;sheet=A0&amp;row=876&amp;col=13&amp;number=&amp;sourceID=30","")</f>
        <v/>
      </c>
      <c r="N876" s="4" t="str">
        <f>HYPERLINK("http://141.218.60.56/~jnz1568/getInfo.php?workbook=08_02.xlsx&amp;sheet=A0&amp;row=876&amp;col=14&amp;number=3.566e-10&amp;sourceID=30","3.566e-10")</f>
        <v>3.566e-10</v>
      </c>
      <c r="O876" s="4" t="str">
        <f>HYPERLINK("http://141.218.60.56/~jnz1568/getInfo.php?workbook=08_02.xlsx&amp;sheet=A0&amp;row=876&amp;col=15&amp;number=&amp;sourceID=32","")</f>
        <v/>
      </c>
      <c r="P876" s="4" t="str">
        <f>HYPERLINK("http://141.218.60.56/~jnz1568/getInfo.php?workbook=08_02.xlsx&amp;sheet=A0&amp;row=876&amp;col=16&amp;number=&amp;sourceID=32","")</f>
        <v/>
      </c>
      <c r="Q876" s="4" t="str">
        <f>HYPERLINK("http://141.218.60.56/~jnz1568/getInfo.php?workbook=08_02.xlsx&amp;sheet=A0&amp;row=876&amp;col=17&amp;number=&amp;sourceID=32","")</f>
        <v/>
      </c>
      <c r="R876" s="4" t="str">
        <f>HYPERLINK("http://141.218.60.56/~jnz1568/getInfo.php?workbook=08_02.xlsx&amp;sheet=A0&amp;row=876&amp;col=18&amp;number=&amp;sourceID=32","")</f>
        <v/>
      </c>
      <c r="S876" s="4" t="str">
        <f>HYPERLINK("http://141.218.60.56/~jnz1568/getInfo.php?workbook=08_02.xlsx&amp;sheet=A0&amp;row=876&amp;col=19&amp;number=&amp;sourceID=1","")</f>
        <v/>
      </c>
      <c r="T876" s="4" t="str">
        <f>HYPERLINK("http://141.218.60.56/~jnz1568/getInfo.php?workbook=08_02.xlsx&amp;sheet=A0&amp;row=876&amp;col=20&amp;number=&amp;sourceID=1","")</f>
        <v/>
      </c>
    </row>
    <row r="877" spans="1:20">
      <c r="A877" s="3">
        <v>8</v>
      </c>
      <c r="B877" s="3">
        <v>2</v>
      </c>
      <c r="C877" s="3">
        <v>48</v>
      </c>
      <c r="D877" s="3">
        <v>14</v>
      </c>
      <c r="E877" s="3">
        <f>((1/(INDEX(E0!J$4:J$52,C877,1)-INDEX(E0!J$4:J$52,D877,1))))*100000000</f>
        <v>0</v>
      </c>
      <c r="F877" s="4" t="str">
        <f>HYPERLINK("http://141.218.60.56/~jnz1568/getInfo.php?workbook=08_02.xlsx&amp;sheet=A0&amp;row=877&amp;col=6&amp;number=&amp;sourceID=27","")</f>
        <v/>
      </c>
      <c r="G877" s="4" t="str">
        <f>HYPERLINK("http://141.218.60.56/~jnz1568/getInfo.php?workbook=08_02.xlsx&amp;sheet=A0&amp;row=877&amp;col=7&amp;number=&amp;sourceID=34","")</f>
        <v/>
      </c>
      <c r="H877" s="4" t="str">
        <f>HYPERLINK("http://141.218.60.56/~jnz1568/getInfo.php?workbook=08_02.xlsx&amp;sheet=A0&amp;row=877&amp;col=8&amp;number=&amp;sourceID=34","")</f>
        <v/>
      </c>
      <c r="I877" s="4" t="str">
        <f>HYPERLINK("http://141.218.60.56/~jnz1568/getInfo.php?workbook=08_02.xlsx&amp;sheet=A0&amp;row=877&amp;col=9&amp;number=&amp;sourceID=34","")</f>
        <v/>
      </c>
      <c r="J877" s="4" t="str">
        <f>HYPERLINK("http://141.218.60.56/~jnz1568/getInfo.php?workbook=08_02.xlsx&amp;sheet=A0&amp;row=877&amp;col=10&amp;number=&amp;sourceID=34","")</f>
        <v/>
      </c>
      <c r="K877" s="4" t="str">
        <f>HYPERLINK("http://141.218.60.56/~jnz1568/getInfo.php?workbook=08_02.xlsx&amp;sheet=A0&amp;row=877&amp;col=11&amp;number=&amp;sourceID=30","")</f>
        <v/>
      </c>
      <c r="L877" s="4" t="str">
        <f>HYPERLINK("http://141.218.60.56/~jnz1568/getInfo.php?workbook=08_02.xlsx&amp;sheet=A0&amp;row=877&amp;col=12&amp;number=382900&amp;sourceID=30","382900")</f>
        <v>382900</v>
      </c>
      <c r="M877" s="4" t="str">
        <f>HYPERLINK("http://141.218.60.56/~jnz1568/getInfo.php?workbook=08_02.xlsx&amp;sheet=A0&amp;row=877&amp;col=13&amp;number=&amp;sourceID=30","")</f>
        <v/>
      </c>
      <c r="N877" s="4" t="str">
        <f>HYPERLINK("http://141.218.60.56/~jnz1568/getInfo.php?workbook=08_02.xlsx&amp;sheet=A0&amp;row=877&amp;col=14&amp;number=&amp;sourceID=30","")</f>
        <v/>
      </c>
      <c r="O877" s="4" t="str">
        <f>HYPERLINK("http://141.218.60.56/~jnz1568/getInfo.php?workbook=08_02.xlsx&amp;sheet=A0&amp;row=877&amp;col=15&amp;number=&amp;sourceID=32","")</f>
        <v/>
      </c>
      <c r="P877" s="4" t="str">
        <f>HYPERLINK("http://141.218.60.56/~jnz1568/getInfo.php?workbook=08_02.xlsx&amp;sheet=A0&amp;row=877&amp;col=16&amp;number=&amp;sourceID=32","")</f>
        <v/>
      </c>
      <c r="Q877" s="4" t="str">
        <f>HYPERLINK("http://141.218.60.56/~jnz1568/getInfo.php?workbook=08_02.xlsx&amp;sheet=A0&amp;row=877&amp;col=17&amp;number=&amp;sourceID=32","")</f>
        <v/>
      </c>
      <c r="R877" s="4" t="str">
        <f>HYPERLINK("http://141.218.60.56/~jnz1568/getInfo.php?workbook=08_02.xlsx&amp;sheet=A0&amp;row=877&amp;col=18&amp;number=&amp;sourceID=32","")</f>
        <v/>
      </c>
      <c r="S877" s="4" t="str">
        <f>HYPERLINK("http://141.218.60.56/~jnz1568/getInfo.php?workbook=08_02.xlsx&amp;sheet=A0&amp;row=877&amp;col=19&amp;number=&amp;sourceID=1","")</f>
        <v/>
      </c>
      <c r="T877" s="4" t="str">
        <f>HYPERLINK("http://141.218.60.56/~jnz1568/getInfo.php?workbook=08_02.xlsx&amp;sheet=A0&amp;row=877&amp;col=20&amp;number=&amp;sourceID=1","")</f>
        <v/>
      </c>
    </row>
    <row r="878" spans="1:20">
      <c r="A878" s="3">
        <v>8</v>
      </c>
      <c r="B878" s="3">
        <v>2</v>
      </c>
      <c r="C878" s="3">
        <v>48</v>
      </c>
      <c r="D878" s="3">
        <v>15</v>
      </c>
      <c r="E878" s="3">
        <f>((1/(INDEX(E0!J$4:J$52,C878,1)-INDEX(E0!J$4:J$52,D878,1))))*100000000</f>
        <v>0</v>
      </c>
      <c r="F878" s="4" t="str">
        <f>HYPERLINK("http://141.218.60.56/~jnz1568/getInfo.php?workbook=08_02.xlsx&amp;sheet=A0&amp;row=878&amp;col=6&amp;number=&amp;sourceID=27","")</f>
        <v/>
      </c>
      <c r="G878" s="4" t="str">
        <f>HYPERLINK("http://141.218.60.56/~jnz1568/getInfo.php?workbook=08_02.xlsx&amp;sheet=A0&amp;row=878&amp;col=7&amp;number=&amp;sourceID=34","")</f>
        <v/>
      </c>
      <c r="H878" s="4" t="str">
        <f>HYPERLINK("http://141.218.60.56/~jnz1568/getInfo.php?workbook=08_02.xlsx&amp;sheet=A0&amp;row=878&amp;col=8&amp;number=&amp;sourceID=34","")</f>
        <v/>
      </c>
      <c r="I878" s="4" t="str">
        <f>HYPERLINK("http://141.218.60.56/~jnz1568/getInfo.php?workbook=08_02.xlsx&amp;sheet=A0&amp;row=878&amp;col=9&amp;number=&amp;sourceID=34","")</f>
        <v/>
      </c>
      <c r="J878" s="4" t="str">
        <f>HYPERLINK("http://141.218.60.56/~jnz1568/getInfo.php?workbook=08_02.xlsx&amp;sheet=A0&amp;row=878&amp;col=10&amp;number=&amp;sourceID=34","")</f>
        <v/>
      </c>
      <c r="K878" s="4" t="str">
        <f>HYPERLINK("http://141.218.60.56/~jnz1568/getInfo.php?workbook=08_02.xlsx&amp;sheet=A0&amp;row=878&amp;col=11&amp;number=&amp;sourceID=30","")</f>
        <v/>
      </c>
      <c r="L878" s="4" t="str">
        <f>HYPERLINK("http://141.218.60.56/~jnz1568/getInfo.php?workbook=08_02.xlsx&amp;sheet=A0&amp;row=878&amp;col=12&amp;number=103800&amp;sourceID=30","103800")</f>
        <v>103800</v>
      </c>
      <c r="M878" s="4" t="str">
        <f>HYPERLINK("http://141.218.60.56/~jnz1568/getInfo.php?workbook=08_02.xlsx&amp;sheet=A0&amp;row=878&amp;col=13&amp;number=6.148e-07&amp;sourceID=30","6.148e-07")</f>
        <v>6.148e-07</v>
      </c>
      <c r="N878" s="4" t="str">
        <f>HYPERLINK("http://141.218.60.56/~jnz1568/getInfo.php?workbook=08_02.xlsx&amp;sheet=A0&amp;row=878&amp;col=14&amp;number=&amp;sourceID=30","")</f>
        <v/>
      </c>
      <c r="O878" s="4" t="str">
        <f>HYPERLINK("http://141.218.60.56/~jnz1568/getInfo.php?workbook=08_02.xlsx&amp;sheet=A0&amp;row=878&amp;col=15&amp;number=&amp;sourceID=32","")</f>
        <v/>
      </c>
      <c r="P878" s="4" t="str">
        <f>HYPERLINK("http://141.218.60.56/~jnz1568/getInfo.php?workbook=08_02.xlsx&amp;sheet=A0&amp;row=878&amp;col=16&amp;number=&amp;sourceID=32","")</f>
        <v/>
      </c>
      <c r="Q878" s="4" t="str">
        <f>HYPERLINK("http://141.218.60.56/~jnz1568/getInfo.php?workbook=08_02.xlsx&amp;sheet=A0&amp;row=878&amp;col=17&amp;number=&amp;sourceID=32","")</f>
        <v/>
      </c>
      <c r="R878" s="4" t="str">
        <f>HYPERLINK("http://141.218.60.56/~jnz1568/getInfo.php?workbook=08_02.xlsx&amp;sheet=A0&amp;row=878&amp;col=18&amp;number=&amp;sourceID=32","")</f>
        <v/>
      </c>
      <c r="S878" s="4" t="str">
        <f>HYPERLINK("http://141.218.60.56/~jnz1568/getInfo.php?workbook=08_02.xlsx&amp;sheet=A0&amp;row=878&amp;col=19&amp;number=&amp;sourceID=1","")</f>
        <v/>
      </c>
      <c r="T878" s="4" t="str">
        <f>HYPERLINK("http://141.218.60.56/~jnz1568/getInfo.php?workbook=08_02.xlsx&amp;sheet=A0&amp;row=878&amp;col=20&amp;number=&amp;sourceID=1","")</f>
        <v/>
      </c>
    </row>
    <row r="879" spans="1:20">
      <c r="A879" s="3">
        <v>8</v>
      </c>
      <c r="B879" s="3">
        <v>2</v>
      </c>
      <c r="C879" s="3">
        <v>48</v>
      </c>
      <c r="D879" s="3">
        <v>16</v>
      </c>
      <c r="E879" s="3">
        <f>((1/(INDEX(E0!J$4:J$52,C879,1)-INDEX(E0!J$4:J$52,D879,1))))*100000000</f>
        <v>0</v>
      </c>
      <c r="F879" s="4" t="str">
        <f>HYPERLINK("http://141.218.60.56/~jnz1568/getInfo.php?workbook=08_02.xlsx&amp;sheet=A0&amp;row=879&amp;col=6&amp;number=&amp;sourceID=27","")</f>
        <v/>
      </c>
      <c r="G879" s="4" t="str">
        <f>HYPERLINK("http://141.218.60.56/~jnz1568/getInfo.php?workbook=08_02.xlsx&amp;sheet=A0&amp;row=879&amp;col=7&amp;number=&amp;sourceID=34","")</f>
        <v/>
      </c>
      <c r="H879" s="4" t="str">
        <f>HYPERLINK("http://141.218.60.56/~jnz1568/getInfo.php?workbook=08_02.xlsx&amp;sheet=A0&amp;row=879&amp;col=8&amp;number=&amp;sourceID=34","")</f>
        <v/>
      </c>
      <c r="I879" s="4" t="str">
        <f>HYPERLINK("http://141.218.60.56/~jnz1568/getInfo.php?workbook=08_02.xlsx&amp;sheet=A0&amp;row=879&amp;col=9&amp;number=&amp;sourceID=34","")</f>
        <v/>
      </c>
      <c r="J879" s="4" t="str">
        <f>HYPERLINK("http://141.218.60.56/~jnz1568/getInfo.php?workbook=08_02.xlsx&amp;sheet=A0&amp;row=879&amp;col=10&amp;number=&amp;sourceID=34","")</f>
        <v/>
      </c>
      <c r="K879" s="4" t="str">
        <f>HYPERLINK("http://141.218.60.56/~jnz1568/getInfo.php?workbook=08_02.xlsx&amp;sheet=A0&amp;row=879&amp;col=11&amp;number=&amp;sourceID=30","")</f>
        <v/>
      </c>
      <c r="L879" s="4" t="str">
        <f>HYPERLINK("http://141.218.60.56/~jnz1568/getInfo.php?workbook=08_02.xlsx&amp;sheet=A0&amp;row=879&amp;col=12&amp;number=878800&amp;sourceID=30","878800")</f>
        <v>878800</v>
      </c>
      <c r="M879" s="4" t="str">
        <f>HYPERLINK("http://141.218.60.56/~jnz1568/getInfo.php?workbook=08_02.xlsx&amp;sheet=A0&amp;row=879&amp;col=13&amp;number=&amp;sourceID=30","")</f>
        <v/>
      </c>
      <c r="N879" s="4" t="str">
        <f>HYPERLINK("http://141.218.60.56/~jnz1568/getInfo.php?workbook=08_02.xlsx&amp;sheet=A0&amp;row=879&amp;col=14&amp;number=&amp;sourceID=30","")</f>
        <v/>
      </c>
      <c r="O879" s="4" t="str">
        <f>HYPERLINK("http://141.218.60.56/~jnz1568/getInfo.php?workbook=08_02.xlsx&amp;sheet=A0&amp;row=879&amp;col=15&amp;number=&amp;sourceID=32","")</f>
        <v/>
      </c>
      <c r="P879" s="4" t="str">
        <f>HYPERLINK("http://141.218.60.56/~jnz1568/getInfo.php?workbook=08_02.xlsx&amp;sheet=A0&amp;row=879&amp;col=16&amp;number=&amp;sourceID=32","")</f>
        <v/>
      </c>
      <c r="Q879" s="4" t="str">
        <f>HYPERLINK("http://141.218.60.56/~jnz1568/getInfo.php?workbook=08_02.xlsx&amp;sheet=A0&amp;row=879&amp;col=17&amp;number=&amp;sourceID=32","")</f>
        <v/>
      </c>
      <c r="R879" s="4" t="str">
        <f>HYPERLINK("http://141.218.60.56/~jnz1568/getInfo.php?workbook=08_02.xlsx&amp;sheet=A0&amp;row=879&amp;col=18&amp;number=&amp;sourceID=32","")</f>
        <v/>
      </c>
      <c r="S879" s="4" t="str">
        <f>HYPERLINK("http://141.218.60.56/~jnz1568/getInfo.php?workbook=08_02.xlsx&amp;sheet=A0&amp;row=879&amp;col=19&amp;number=&amp;sourceID=1","")</f>
        <v/>
      </c>
      <c r="T879" s="4" t="str">
        <f>HYPERLINK("http://141.218.60.56/~jnz1568/getInfo.php?workbook=08_02.xlsx&amp;sheet=A0&amp;row=879&amp;col=20&amp;number=&amp;sourceID=1","")</f>
        <v/>
      </c>
    </row>
    <row r="880" spans="1:20">
      <c r="A880" s="3">
        <v>8</v>
      </c>
      <c r="B880" s="3">
        <v>2</v>
      </c>
      <c r="C880" s="3">
        <v>48</v>
      </c>
      <c r="D880" s="3">
        <v>21</v>
      </c>
      <c r="E880" s="3">
        <f>((1/(INDEX(E0!J$4:J$52,C880,1)-INDEX(E0!J$4:J$52,D880,1))))*100000000</f>
        <v>0</v>
      </c>
      <c r="F880" s="4" t="str">
        <f>HYPERLINK("http://141.218.60.56/~jnz1568/getInfo.php?workbook=08_02.xlsx&amp;sheet=A0&amp;row=880&amp;col=6&amp;number=&amp;sourceID=27","")</f>
        <v/>
      </c>
      <c r="G880" s="4" t="str">
        <f>HYPERLINK("http://141.218.60.56/~jnz1568/getInfo.php?workbook=08_02.xlsx&amp;sheet=A0&amp;row=880&amp;col=7&amp;number=&amp;sourceID=34","")</f>
        <v/>
      </c>
      <c r="H880" s="4" t="str">
        <f>HYPERLINK("http://141.218.60.56/~jnz1568/getInfo.php?workbook=08_02.xlsx&amp;sheet=A0&amp;row=880&amp;col=8&amp;number=&amp;sourceID=34","")</f>
        <v/>
      </c>
      <c r="I880" s="4" t="str">
        <f>HYPERLINK("http://141.218.60.56/~jnz1568/getInfo.php?workbook=08_02.xlsx&amp;sheet=A0&amp;row=880&amp;col=9&amp;number=&amp;sourceID=34","")</f>
        <v/>
      </c>
      <c r="J880" s="4" t="str">
        <f>HYPERLINK("http://141.218.60.56/~jnz1568/getInfo.php?workbook=08_02.xlsx&amp;sheet=A0&amp;row=880&amp;col=10&amp;number=&amp;sourceID=34","")</f>
        <v/>
      </c>
      <c r="K880" s="4" t="str">
        <f>HYPERLINK("http://141.218.60.56/~jnz1568/getInfo.php?workbook=08_02.xlsx&amp;sheet=A0&amp;row=880&amp;col=11&amp;number=&amp;sourceID=30","")</f>
        <v/>
      </c>
      <c r="L880" s="4" t="str">
        <f>HYPERLINK("http://141.218.60.56/~jnz1568/getInfo.php?workbook=08_02.xlsx&amp;sheet=A0&amp;row=880&amp;col=12&amp;number=&amp;sourceID=30","")</f>
        <v/>
      </c>
      <c r="M880" s="4" t="str">
        <f>HYPERLINK("http://141.218.60.56/~jnz1568/getInfo.php?workbook=08_02.xlsx&amp;sheet=A0&amp;row=880&amp;col=13&amp;number=&amp;sourceID=30","")</f>
        <v/>
      </c>
      <c r="N880" s="4" t="str">
        <f>HYPERLINK("http://141.218.60.56/~jnz1568/getInfo.php?workbook=08_02.xlsx&amp;sheet=A0&amp;row=880&amp;col=14&amp;number=4.732e-10&amp;sourceID=30","4.732e-10")</f>
        <v>4.732e-10</v>
      </c>
      <c r="O880" s="4" t="str">
        <f>HYPERLINK("http://141.218.60.56/~jnz1568/getInfo.php?workbook=08_02.xlsx&amp;sheet=A0&amp;row=880&amp;col=15&amp;number=&amp;sourceID=32","")</f>
        <v/>
      </c>
      <c r="P880" s="4" t="str">
        <f>HYPERLINK("http://141.218.60.56/~jnz1568/getInfo.php?workbook=08_02.xlsx&amp;sheet=A0&amp;row=880&amp;col=16&amp;number=&amp;sourceID=32","")</f>
        <v/>
      </c>
      <c r="Q880" s="4" t="str">
        <f>HYPERLINK("http://141.218.60.56/~jnz1568/getInfo.php?workbook=08_02.xlsx&amp;sheet=A0&amp;row=880&amp;col=17&amp;number=&amp;sourceID=32","")</f>
        <v/>
      </c>
      <c r="R880" s="4" t="str">
        <f>HYPERLINK("http://141.218.60.56/~jnz1568/getInfo.php?workbook=08_02.xlsx&amp;sheet=A0&amp;row=880&amp;col=18&amp;number=&amp;sourceID=32","")</f>
        <v/>
      </c>
      <c r="S880" s="4" t="str">
        <f>HYPERLINK("http://141.218.60.56/~jnz1568/getInfo.php?workbook=08_02.xlsx&amp;sheet=A0&amp;row=880&amp;col=19&amp;number=&amp;sourceID=1","")</f>
        <v/>
      </c>
      <c r="T880" s="4" t="str">
        <f>HYPERLINK("http://141.218.60.56/~jnz1568/getInfo.php?workbook=08_02.xlsx&amp;sheet=A0&amp;row=880&amp;col=20&amp;number=&amp;sourceID=1","")</f>
        <v/>
      </c>
    </row>
    <row r="881" spans="1:20">
      <c r="A881" s="3">
        <v>8</v>
      </c>
      <c r="B881" s="3">
        <v>2</v>
      </c>
      <c r="C881" s="3">
        <v>48</v>
      </c>
      <c r="D881" s="3">
        <v>24</v>
      </c>
      <c r="E881" s="3">
        <f>((1/(INDEX(E0!J$4:J$52,C881,1)-INDEX(E0!J$4:J$52,D881,1))))*100000000</f>
        <v>0</v>
      </c>
      <c r="F881" s="4" t="str">
        <f>HYPERLINK("http://141.218.60.56/~jnz1568/getInfo.php?workbook=08_02.xlsx&amp;sheet=A0&amp;row=881&amp;col=6&amp;number=&amp;sourceID=27","")</f>
        <v/>
      </c>
      <c r="G881" s="4" t="str">
        <f>HYPERLINK("http://141.218.60.56/~jnz1568/getInfo.php?workbook=08_02.xlsx&amp;sheet=A0&amp;row=881&amp;col=7&amp;number=&amp;sourceID=34","")</f>
        <v/>
      </c>
      <c r="H881" s="4" t="str">
        <f>HYPERLINK("http://141.218.60.56/~jnz1568/getInfo.php?workbook=08_02.xlsx&amp;sheet=A0&amp;row=881&amp;col=8&amp;number=&amp;sourceID=34","")</f>
        <v/>
      </c>
      <c r="I881" s="4" t="str">
        <f>HYPERLINK("http://141.218.60.56/~jnz1568/getInfo.php?workbook=08_02.xlsx&amp;sheet=A0&amp;row=881&amp;col=9&amp;number=&amp;sourceID=34","")</f>
        <v/>
      </c>
      <c r="J881" s="4" t="str">
        <f>HYPERLINK("http://141.218.60.56/~jnz1568/getInfo.php?workbook=08_02.xlsx&amp;sheet=A0&amp;row=881&amp;col=10&amp;number=&amp;sourceID=34","")</f>
        <v/>
      </c>
      <c r="K881" s="4" t="str">
        <f>HYPERLINK("http://141.218.60.56/~jnz1568/getInfo.php?workbook=08_02.xlsx&amp;sheet=A0&amp;row=881&amp;col=11&amp;number=&amp;sourceID=30","")</f>
        <v/>
      </c>
      <c r="L881" s="4" t="str">
        <f>HYPERLINK("http://141.218.60.56/~jnz1568/getInfo.php?workbook=08_02.xlsx&amp;sheet=A0&amp;row=881&amp;col=12&amp;number=35650&amp;sourceID=30","35650")</f>
        <v>35650</v>
      </c>
      <c r="M881" s="4" t="str">
        <f>HYPERLINK("http://141.218.60.56/~jnz1568/getInfo.php?workbook=08_02.xlsx&amp;sheet=A0&amp;row=881&amp;col=13&amp;number=&amp;sourceID=30","")</f>
        <v/>
      </c>
      <c r="N881" s="4" t="str">
        <f>HYPERLINK("http://141.218.60.56/~jnz1568/getInfo.php?workbook=08_02.xlsx&amp;sheet=A0&amp;row=881&amp;col=14&amp;number=&amp;sourceID=30","")</f>
        <v/>
      </c>
      <c r="O881" s="4" t="str">
        <f>HYPERLINK("http://141.218.60.56/~jnz1568/getInfo.php?workbook=08_02.xlsx&amp;sheet=A0&amp;row=881&amp;col=15&amp;number=&amp;sourceID=32","")</f>
        <v/>
      </c>
      <c r="P881" s="4" t="str">
        <f>HYPERLINK("http://141.218.60.56/~jnz1568/getInfo.php?workbook=08_02.xlsx&amp;sheet=A0&amp;row=881&amp;col=16&amp;number=&amp;sourceID=32","")</f>
        <v/>
      </c>
      <c r="Q881" s="4" t="str">
        <f>HYPERLINK("http://141.218.60.56/~jnz1568/getInfo.php?workbook=08_02.xlsx&amp;sheet=A0&amp;row=881&amp;col=17&amp;number=&amp;sourceID=32","")</f>
        <v/>
      </c>
      <c r="R881" s="4" t="str">
        <f>HYPERLINK("http://141.218.60.56/~jnz1568/getInfo.php?workbook=08_02.xlsx&amp;sheet=A0&amp;row=881&amp;col=18&amp;number=&amp;sourceID=32","")</f>
        <v/>
      </c>
      <c r="S881" s="4" t="str">
        <f>HYPERLINK("http://141.218.60.56/~jnz1568/getInfo.php?workbook=08_02.xlsx&amp;sheet=A0&amp;row=881&amp;col=19&amp;number=&amp;sourceID=1","")</f>
        <v/>
      </c>
      <c r="T881" s="4" t="str">
        <f>HYPERLINK("http://141.218.60.56/~jnz1568/getInfo.php?workbook=08_02.xlsx&amp;sheet=A0&amp;row=881&amp;col=20&amp;number=&amp;sourceID=1","")</f>
        <v/>
      </c>
    </row>
    <row r="882" spans="1:20">
      <c r="A882" s="3">
        <v>8</v>
      </c>
      <c r="B882" s="3">
        <v>2</v>
      </c>
      <c r="C882" s="3">
        <v>48</v>
      </c>
      <c r="D882" s="3">
        <v>25</v>
      </c>
      <c r="E882" s="3">
        <f>((1/(INDEX(E0!J$4:J$52,C882,1)-INDEX(E0!J$4:J$52,D882,1))))*100000000</f>
        <v>0</v>
      </c>
      <c r="F882" s="4" t="str">
        <f>HYPERLINK("http://141.218.60.56/~jnz1568/getInfo.php?workbook=08_02.xlsx&amp;sheet=A0&amp;row=882&amp;col=6&amp;number=&amp;sourceID=27","")</f>
        <v/>
      </c>
      <c r="G882" s="4" t="str">
        <f>HYPERLINK("http://141.218.60.56/~jnz1568/getInfo.php?workbook=08_02.xlsx&amp;sheet=A0&amp;row=882&amp;col=7&amp;number=&amp;sourceID=34","")</f>
        <v/>
      </c>
      <c r="H882" s="4" t="str">
        <f>HYPERLINK("http://141.218.60.56/~jnz1568/getInfo.php?workbook=08_02.xlsx&amp;sheet=A0&amp;row=882&amp;col=8&amp;number=&amp;sourceID=34","")</f>
        <v/>
      </c>
      <c r="I882" s="4" t="str">
        <f>HYPERLINK("http://141.218.60.56/~jnz1568/getInfo.php?workbook=08_02.xlsx&amp;sheet=A0&amp;row=882&amp;col=9&amp;number=&amp;sourceID=34","")</f>
        <v/>
      </c>
      <c r="J882" s="4" t="str">
        <f>HYPERLINK("http://141.218.60.56/~jnz1568/getInfo.php?workbook=08_02.xlsx&amp;sheet=A0&amp;row=882&amp;col=10&amp;number=&amp;sourceID=34","")</f>
        <v/>
      </c>
      <c r="K882" s="4" t="str">
        <f>HYPERLINK("http://141.218.60.56/~jnz1568/getInfo.php?workbook=08_02.xlsx&amp;sheet=A0&amp;row=882&amp;col=11&amp;number=291200000&amp;sourceID=30","291200000")</f>
        <v>291200000</v>
      </c>
      <c r="L882" s="4" t="str">
        <f>HYPERLINK("http://141.218.60.56/~jnz1568/getInfo.php?workbook=08_02.xlsx&amp;sheet=A0&amp;row=882&amp;col=12&amp;number=&amp;sourceID=30","")</f>
        <v/>
      </c>
      <c r="M882" s="4" t="str">
        <f>HYPERLINK("http://141.218.60.56/~jnz1568/getInfo.php?workbook=08_02.xlsx&amp;sheet=A0&amp;row=882&amp;col=13&amp;number=&amp;sourceID=30","")</f>
        <v/>
      </c>
      <c r="N882" s="4" t="str">
        <f>HYPERLINK("http://141.218.60.56/~jnz1568/getInfo.php?workbook=08_02.xlsx&amp;sheet=A0&amp;row=882&amp;col=14&amp;number=0.3892&amp;sourceID=30","0.3892")</f>
        <v>0.3892</v>
      </c>
      <c r="O882" s="4" t="str">
        <f>HYPERLINK("http://141.218.60.56/~jnz1568/getInfo.php?workbook=08_02.xlsx&amp;sheet=A0&amp;row=882&amp;col=15&amp;number=&amp;sourceID=32","")</f>
        <v/>
      </c>
      <c r="P882" s="4" t="str">
        <f>HYPERLINK("http://141.218.60.56/~jnz1568/getInfo.php?workbook=08_02.xlsx&amp;sheet=A0&amp;row=882&amp;col=16&amp;number=&amp;sourceID=32","")</f>
        <v/>
      </c>
      <c r="Q882" s="4" t="str">
        <f>HYPERLINK("http://141.218.60.56/~jnz1568/getInfo.php?workbook=08_02.xlsx&amp;sheet=A0&amp;row=882&amp;col=17&amp;number=&amp;sourceID=32","")</f>
        <v/>
      </c>
      <c r="R882" s="4" t="str">
        <f>HYPERLINK("http://141.218.60.56/~jnz1568/getInfo.php?workbook=08_02.xlsx&amp;sheet=A0&amp;row=882&amp;col=18&amp;number=&amp;sourceID=32","")</f>
        <v/>
      </c>
      <c r="S882" s="4" t="str">
        <f>HYPERLINK("http://141.218.60.56/~jnz1568/getInfo.php?workbook=08_02.xlsx&amp;sheet=A0&amp;row=882&amp;col=19&amp;number=&amp;sourceID=1","")</f>
        <v/>
      </c>
      <c r="T882" s="4" t="str">
        <f>HYPERLINK("http://141.218.60.56/~jnz1568/getInfo.php?workbook=08_02.xlsx&amp;sheet=A0&amp;row=882&amp;col=20&amp;number=&amp;sourceID=1","")</f>
        <v/>
      </c>
    </row>
    <row r="883" spans="1:20">
      <c r="A883" s="3">
        <v>8</v>
      </c>
      <c r="B883" s="3">
        <v>2</v>
      </c>
      <c r="C883" s="3">
        <v>48</v>
      </c>
      <c r="D883" s="3">
        <v>26</v>
      </c>
      <c r="E883" s="3">
        <f>((1/(INDEX(E0!J$4:J$52,C883,1)-INDEX(E0!J$4:J$52,D883,1))))*100000000</f>
        <v>0</v>
      </c>
      <c r="F883" s="4" t="str">
        <f>HYPERLINK("http://141.218.60.56/~jnz1568/getInfo.php?workbook=08_02.xlsx&amp;sheet=A0&amp;row=883&amp;col=6&amp;number=&amp;sourceID=27","")</f>
        <v/>
      </c>
      <c r="G883" s="4" t="str">
        <f>HYPERLINK("http://141.218.60.56/~jnz1568/getInfo.php?workbook=08_02.xlsx&amp;sheet=A0&amp;row=883&amp;col=7&amp;number=&amp;sourceID=34","")</f>
        <v/>
      </c>
      <c r="H883" s="4" t="str">
        <f>HYPERLINK("http://141.218.60.56/~jnz1568/getInfo.php?workbook=08_02.xlsx&amp;sheet=A0&amp;row=883&amp;col=8&amp;number=&amp;sourceID=34","")</f>
        <v/>
      </c>
      <c r="I883" s="4" t="str">
        <f>HYPERLINK("http://141.218.60.56/~jnz1568/getInfo.php?workbook=08_02.xlsx&amp;sheet=A0&amp;row=883&amp;col=9&amp;number=&amp;sourceID=34","")</f>
        <v/>
      </c>
      <c r="J883" s="4" t="str">
        <f>HYPERLINK("http://141.218.60.56/~jnz1568/getInfo.php?workbook=08_02.xlsx&amp;sheet=A0&amp;row=883&amp;col=10&amp;number=&amp;sourceID=34","")</f>
        <v/>
      </c>
      <c r="K883" s="4" t="str">
        <f>HYPERLINK("http://141.218.60.56/~jnz1568/getInfo.php?workbook=08_02.xlsx&amp;sheet=A0&amp;row=883&amp;col=11&amp;number=&amp;sourceID=30","")</f>
        <v/>
      </c>
      <c r="L883" s="4" t="str">
        <f>HYPERLINK("http://141.218.60.56/~jnz1568/getInfo.php?workbook=08_02.xlsx&amp;sheet=A0&amp;row=883&amp;col=12&amp;number=8985&amp;sourceID=30","8985")</f>
        <v>8985</v>
      </c>
      <c r="M883" s="4" t="str">
        <f>HYPERLINK("http://141.218.60.56/~jnz1568/getInfo.php?workbook=08_02.xlsx&amp;sheet=A0&amp;row=883&amp;col=13&amp;number=8.837e-09&amp;sourceID=30","8.837e-09")</f>
        <v>8.837e-09</v>
      </c>
      <c r="N883" s="4" t="str">
        <f>HYPERLINK("http://141.218.60.56/~jnz1568/getInfo.php?workbook=08_02.xlsx&amp;sheet=A0&amp;row=883&amp;col=14&amp;number=&amp;sourceID=30","")</f>
        <v/>
      </c>
      <c r="O883" s="4" t="str">
        <f>HYPERLINK("http://141.218.60.56/~jnz1568/getInfo.php?workbook=08_02.xlsx&amp;sheet=A0&amp;row=883&amp;col=15&amp;number=&amp;sourceID=32","")</f>
        <v/>
      </c>
      <c r="P883" s="4" t="str">
        <f>HYPERLINK("http://141.218.60.56/~jnz1568/getInfo.php?workbook=08_02.xlsx&amp;sheet=A0&amp;row=883&amp;col=16&amp;number=&amp;sourceID=32","")</f>
        <v/>
      </c>
      <c r="Q883" s="4" t="str">
        <f>HYPERLINK("http://141.218.60.56/~jnz1568/getInfo.php?workbook=08_02.xlsx&amp;sheet=A0&amp;row=883&amp;col=17&amp;number=&amp;sourceID=32","")</f>
        <v/>
      </c>
      <c r="R883" s="4" t="str">
        <f>HYPERLINK("http://141.218.60.56/~jnz1568/getInfo.php?workbook=08_02.xlsx&amp;sheet=A0&amp;row=883&amp;col=18&amp;number=&amp;sourceID=32","")</f>
        <v/>
      </c>
      <c r="S883" s="4" t="str">
        <f>HYPERLINK("http://141.218.60.56/~jnz1568/getInfo.php?workbook=08_02.xlsx&amp;sheet=A0&amp;row=883&amp;col=19&amp;number=&amp;sourceID=1","")</f>
        <v/>
      </c>
      <c r="T883" s="4" t="str">
        <f>HYPERLINK("http://141.218.60.56/~jnz1568/getInfo.php?workbook=08_02.xlsx&amp;sheet=A0&amp;row=883&amp;col=20&amp;number=&amp;sourceID=1","")</f>
        <v/>
      </c>
    </row>
    <row r="884" spans="1:20">
      <c r="A884" s="3">
        <v>8</v>
      </c>
      <c r="B884" s="3">
        <v>2</v>
      </c>
      <c r="C884" s="3">
        <v>48</v>
      </c>
      <c r="D884" s="3">
        <v>27</v>
      </c>
      <c r="E884" s="3">
        <f>((1/(INDEX(E0!J$4:J$52,C884,1)-INDEX(E0!J$4:J$52,D884,1))))*100000000</f>
        <v>0</v>
      </c>
      <c r="F884" s="4" t="str">
        <f>HYPERLINK("http://141.218.60.56/~jnz1568/getInfo.php?workbook=08_02.xlsx&amp;sheet=A0&amp;row=884&amp;col=6&amp;number=&amp;sourceID=27","")</f>
        <v/>
      </c>
      <c r="G884" s="4" t="str">
        <f>HYPERLINK("http://141.218.60.56/~jnz1568/getInfo.php?workbook=08_02.xlsx&amp;sheet=A0&amp;row=884&amp;col=7&amp;number=&amp;sourceID=34","")</f>
        <v/>
      </c>
      <c r="H884" s="4" t="str">
        <f>HYPERLINK("http://141.218.60.56/~jnz1568/getInfo.php?workbook=08_02.xlsx&amp;sheet=A0&amp;row=884&amp;col=8&amp;number=&amp;sourceID=34","")</f>
        <v/>
      </c>
      <c r="I884" s="4" t="str">
        <f>HYPERLINK("http://141.218.60.56/~jnz1568/getInfo.php?workbook=08_02.xlsx&amp;sheet=A0&amp;row=884&amp;col=9&amp;number=&amp;sourceID=34","")</f>
        <v/>
      </c>
      <c r="J884" s="4" t="str">
        <f>HYPERLINK("http://141.218.60.56/~jnz1568/getInfo.php?workbook=08_02.xlsx&amp;sheet=A0&amp;row=884&amp;col=10&amp;number=&amp;sourceID=34","")</f>
        <v/>
      </c>
      <c r="K884" s="4" t="str">
        <f>HYPERLINK("http://141.218.60.56/~jnz1568/getInfo.php?workbook=08_02.xlsx&amp;sheet=A0&amp;row=884&amp;col=11&amp;number=30580000&amp;sourceID=30","30580000")</f>
        <v>30580000</v>
      </c>
      <c r="L884" s="4" t="str">
        <f>HYPERLINK("http://141.218.60.56/~jnz1568/getInfo.php?workbook=08_02.xlsx&amp;sheet=A0&amp;row=884&amp;col=12&amp;number=&amp;sourceID=30","")</f>
        <v/>
      </c>
      <c r="M884" s="4" t="str">
        <f>HYPERLINK("http://141.218.60.56/~jnz1568/getInfo.php?workbook=08_02.xlsx&amp;sheet=A0&amp;row=884&amp;col=13&amp;number=&amp;sourceID=30","")</f>
        <v/>
      </c>
      <c r="N884" s="4" t="str">
        <f>HYPERLINK("http://141.218.60.56/~jnz1568/getInfo.php?workbook=08_02.xlsx&amp;sheet=A0&amp;row=884&amp;col=14&amp;number=0.08701&amp;sourceID=30","0.08701")</f>
        <v>0.08701</v>
      </c>
      <c r="O884" s="4" t="str">
        <f>HYPERLINK("http://141.218.60.56/~jnz1568/getInfo.php?workbook=08_02.xlsx&amp;sheet=A0&amp;row=884&amp;col=15&amp;number=&amp;sourceID=32","")</f>
        <v/>
      </c>
      <c r="P884" s="4" t="str">
        <f>HYPERLINK("http://141.218.60.56/~jnz1568/getInfo.php?workbook=08_02.xlsx&amp;sheet=A0&amp;row=884&amp;col=16&amp;number=&amp;sourceID=32","")</f>
        <v/>
      </c>
      <c r="Q884" s="4" t="str">
        <f>HYPERLINK("http://141.218.60.56/~jnz1568/getInfo.php?workbook=08_02.xlsx&amp;sheet=A0&amp;row=884&amp;col=17&amp;number=&amp;sourceID=32","")</f>
        <v/>
      </c>
      <c r="R884" s="4" t="str">
        <f>HYPERLINK("http://141.218.60.56/~jnz1568/getInfo.php?workbook=08_02.xlsx&amp;sheet=A0&amp;row=884&amp;col=18&amp;number=&amp;sourceID=32","")</f>
        <v/>
      </c>
      <c r="S884" s="4" t="str">
        <f>HYPERLINK("http://141.218.60.56/~jnz1568/getInfo.php?workbook=08_02.xlsx&amp;sheet=A0&amp;row=884&amp;col=19&amp;number=&amp;sourceID=1","")</f>
        <v/>
      </c>
      <c r="T884" s="4" t="str">
        <f>HYPERLINK("http://141.218.60.56/~jnz1568/getInfo.php?workbook=08_02.xlsx&amp;sheet=A0&amp;row=884&amp;col=20&amp;number=&amp;sourceID=1","")</f>
        <v/>
      </c>
    </row>
    <row r="885" spans="1:20">
      <c r="A885" s="3">
        <v>8</v>
      </c>
      <c r="B885" s="3">
        <v>2</v>
      </c>
      <c r="C885" s="3">
        <v>48</v>
      </c>
      <c r="D885" s="3">
        <v>28</v>
      </c>
      <c r="E885" s="3">
        <f>((1/(INDEX(E0!J$4:J$52,C885,1)-INDEX(E0!J$4:J$52,D885,1))))*100000000</f>
        <v>0</v>
      </c>
      <c r="F885" s="4" t="str">
        <f>HYPERLINK("http://141.218.60.56/~jnz1568/getInfo.php?workbook=08_02.xlsx&amp;sheet=A0&amp;row=885&amp;col=6&amp;number=&amp;sourceID=27","")</f>
        <v/>
      </c>
      <c r="G885" s="4" t="str">
        <f>HYPERLINK("http://141.218.60.56/~jnz1568/getInfo.php?workbook=08_02.xlsx&amp;sheet=A0&amp;row=885&amp;col=7&amp;number=&amp;sourceID=34","")</f>
        <v/>
      </c>
      <c r="H885" s="4" t="str">
        <f>HYPERLINK("http://141.218.60.56/~jnz1568/getInfo.php?workbook=08_02.xlsx&amp;sheet=A0&amp;row=885&amp;col=8&amp;number=&amp;sourceID=34","")</f>
        <v/>
      </c>
      <c r="I885" s="4" t="str">
        <f>HYPERLINK("http://141.218.60.56/~jnz1568/getInfo.php?workbook=08_02.xlsx&amp;sheet=A0&amp;row=885&amp;col=9&amp;number=&amp;sourceID=34","")</f>
        <v/>
      </c>
      <c r="J885" s="4" t="str">
        <f>HYPERLINK("http://141.218.60.56/~jnz1568/getInfo.php?workbook=08_02.xlsx&amp;sheet=A0&amp;row=885&amp;col=10&amp;number=&amp;sourceID=34","")</f>
        <v/>
      </c>
      <c r="K885" s="4" t="str">
        <f>HYPERLINK("http://141.218.60.56/~jnz1568/getInfo.php?workbook=08_02.xlsx&amp;sheet=A0&amp;row=885&amp;col=11&amp;number=&amp;sourceID=30","")</f>
        <v/>
      </c>
      <c r="L885" s="4" t="str">
        <f>HYPERLINK("http://141.218.60.56/~jnz1568/getInfo.php?workbook=08_02.xlsx&amp;sheet=A0&amp;row=885&amp;col=12&amp;number=&amp;sourceID=30","")</f>
        <v/>
      </c>
      <c r="M885" s="4" t="str">
        <f>HYPERLINK("http://141.218.60.56/~jnz1568/getInfo.php?workbook=08_02.xlsx&amp;sheet=A0&amp;row=885&amp;col=13&amp;number=&amp;sourceID=30","")</f>
        <v/>
      </c>
      <c r="N885" s="4" t="str">
        <f>HYPERLINK("http://141.218.60.56/~jnz1568/getInfo.php?workbook=08_02.xlsx&amp;sheet=A0&amp;row=885&amp;col=14&amp;number=0.462&amp;sourceID=30","0.462")</f>
        <v>0.462</v>
      </c>
      <c r="O885" s="4" t="str">
        <f>HYPERLINK("http://141.218.60.56/~jnz1568/getInfo.php?workbook=08_02.xlsx&amp;sheet=A0&amp;row=885&amp;col=15&amp;number=&amp;sourceID=32","")</f>
        <v/>
      </c>
      <c r="P885" s="4" t="str">
        <f>HYPERLINK("http://141.218.60.56/~jnz1568/getInfo.php?workbook=08_02.xlsx&amp;sheet=A0&amp;row=885&amp;col=16&amp;number=&amp;sourceID=32","")</f>
        <v/>
      </c>
      <c r="Q885" s="4" t="str">
        <f>HYPERLINK("http://141.218.60.56/~jnz1568/getInfo.php?workbook=08_02.xlsx&amp;sheet=A0&amp;row=885&amp;col=17&amp;number=&amp;sourceID=32","")</f>
        <v/>
      </c>
      <c r="R885" s="4" t="str">
        <f>HYPERLINK("http://141.218.60.56/~jnz1568/getInfo.php?workbook=08_02.xlsx&amp;sheet=A0&amp;row=885&amp;col=18&amp;number=&amp;sourceID=32","")</f>
        <v/>
      </c>
      <c r="S885" s="4" t="str">
        <f>HYPERLINK("http://141.218.60.56/~jnz1568/getInfo.php?workbook=08_02.xlsx&amp;sheet=A0&amp;row=885&amp;col=19&amp;number=&amp;sourceID=1","")</f>
        <v/>
      </c>
      <c r="T885" s="4" t="str">
        <f>HYPERLINK("http://141.218.60.56/~jnz1568/getInfo.php?workbook=08_02.xlsx&amp;sheet=A0&amp;row=885&amp;col=20&amp;number=&amp;sourceID=1","")</f>
        <v/>
      </c>
    </row>
    <row r="886" spans="1:20">
      <c r="A886" s="3">
        <v>8</v>
      </c>
      <c r="B886" s="3">
        <v>2</v>
      </c>
      <c r="C886" s="3">
        <v>48</v>
      </c>
      <c r="D886" s="3">
        <v>29</v>
      </c>
      <c r="E886" s="3">
        <f>((1/(INDEX(E0!J$4:J$52,C886,1)-INDEX(E0!J$4:J$52,D886,1))))*100000000</f>
        <v>0</v>
      </c>
      <c r="F886" s="4" t="str">
        <f>HYPERLINK("http://141.218.60.56/~jnz1568/getInfo.php?workbook=08_02.xlsx&amp;sheet=A0&amp;row=886&amp;col=6&amp;number=&amp;sourceID=27","")</f>
        <v/>
      </c>
      <c r="G886" s="4" t="str">
        <f>HYPERLINK("http://141.218.60.56/~jnz1568/getInfo.php?workbook=08_02.xlsx&amp;sheet=A0&amp;row=886&amp;col=7&amp;number=&amp;sourceID=34","")</f>
        <v/>
      </c>
      <c r="H886" s="4" t="str">
        <f>HYPERLINK("http://141.218.60.56/~jnz1568/getInfo.php?workbook=08_02.xlsx&amp;sheet=A0&amp;row=886&amp;col=8&amp;number=&amp;sourceID=34","")</f>
        <v/>
      </c>
      <c r="I886" s="4" t="str">
        <f>HYPERLINK("http://141.218.60.56/~jnz1568/getInfo.php?workbook=08_02.xlsx&amp;sheet=A0&amp;row=886&amp;col=9&amp;number=&amp;sourceID=34","")</f>
        <v/>
      </c>
      <c r="J886" s="4" t="str">
        <f>HYPERLINK("http://141.218.60.56/~jnz1568/getInfo.php?workbook=08_02.xlsx&amp;sheet=A0&amp;row=886&amp;col=10&amp;number=&amp;sourceID=34","")</f>
        <v/>
      </c>
      <c r="K886" s="4" t="str">
        <f>HYPERLINK("http://141.218.60.56/~jnz1568/getInfo.php?workbook=08_02.xlsx&amp;sheet=A0&amp;row=886&amp;col=11&amp;number=&amp;sourceID=30","")</f>
        <v/>
      </c>
      <c r="L886" s="4" t="str">
        <f>HYPERLINK("http://141.218.60.56/~jnz1568/getInfo.php?workbook=08_02.xlsx&amp;sheet=A0&amp;row=886&amp;col=12&amp;number=73160&amp;sourceID=30","73160")</f>
        <v>73160</v>
      </c>
      <c r="M886" s="4" t="str">
        <f>HYPERLINK("http://141.218.60.56/~jnz1568/getInfo.php?workbook=08_02.xlsx&amp;sheet=A0&amp;row=886&amp;col=13&amp;number=&amp;sourceID=30","")</f>
        <v/>
      </c>
      <c r="N886" s="4" t="str">
        <f>HYPERLINK("http://141.218.60.56/~jnz1568/getInfo.php?workbook=08_02.xlsx&amp;sheet=A0&amp;row=886&amp;col=14&amp;number=&amp;sourceID=30","")</f>
        <v/>
      </c>
      <c r="O886" s="4" t="str">
        <f>HYPERLINK("http://141.218.60.56/~jnz1568/getInfo.php?workbook=08_02.xlsx&amp;sheet=A0&amp;row=886&amp;col=15&amp;number=&amp;sourceID=32","")</f>
        <v/>
      </c>
      <c r="P886" s="4" t="str">
        <f>HYPERLINK("http://141.218.60.56/~jnz1568/getInfo.php?workbook=08_02.xlsx&amp;sheet=A0&amp;row=886&amp;col=16&amp;number=&amp;sourceID=32","")</f>
        <v/>
      </c>
      <c r="Q886" s="4" t="str">
        <f>HYPERLINK("http://141.218.60.56/~jnz1568/getInfo.php?workbook=08_02.xlsx&amp;sheet=A0&amp;row=886&amp;col=17&amp;number=&amp;sourceID=32","")</f>
        <v/>
      </c>
      <c r="R886" s="4" t="str">
        <f>HYPERLINK("http://141.218.60.56/~jnz1568/getInfo.php?workbook=08_02.xlsx&amp;sheet=A0&amp;row=886&amp;col=18&amp;number=&amp;sourceID=32","")</f>
        <v/>
      </c>
      <c r="S886" s="4" t="str">
        <f>HYPERLINK("http://141.218.60.56/~jnz1568/getInfo.php?workbook=08_02.xlsx&amp;sheet=A0&amp;row=886&amp;col=19&amp;number=&amp;sourceID=1","")</f>
        <v/>
      </c>
      <c r="T886" s="4" t="str">
        <f>HYPERLINK("http://141.218.60.56/~jnz1568/getInfo.php?workbook=08_02.xlsx&amp;sheet=A0&amp;row=886&amp;col=20&amp;number=&amp;sourceID=1","")</f>
        <v/>
      </c>
    </row>
    <row r="887" spans="1:20">
      <c r="A887" s="3">
        <v>8</v>
      </c>
      <c r="B887" s="3">
        <v>2</v>
      </c>
      <c r="C887" s="3">
        <v>48</v>
      </c>
      <c r="D887" s="3">
        <v>30</v>
      </c>
      <c r="E887" s="3">
        <f>((1/(INDEX(E0!J$4:J$52,C887,1)-INDEX(E0!J$4:J$52,D887,1))))*100000000</f>
        <v>0</v>
      </c>
      <c r="F887" s="4" t="str">
        <f>HYPERLINK("http://141.218.60.56/~jnz1568/getInfo.php?workbook=08_02.xlsx&amp;sheet=A0&amp;row=887&amp;col=6&amp;number=&amp;sourceID=27","")</f>
        <v/>
      </c>
      <c r="G887" s="4" t="str">
        <f>HYPERLINK("http://141.218.60.56/~jnz1568/getInfo.php?workbook=08_02.xlsx&amp;sheet=A0&amp;row=887&amp;col=7&amp;number=&amp;sourceID=34","")</f>
        <v/>
      </c>
      <c r="H887" s="4" t="str">
        <f>HYPERLINK("http://141.218.60.56/~jnz1568/getInfo.php?workbook=08_02.xlsx&amp;sheet=A0&amp;row=887&amp;col=8&amp;number=&amp;sourceID=34","")</f>
        <v/>
      </c>
      <c r="I887" s="4" t="str">
        <f>HYPERLINK("http://141.218.60.56/~jnz1568/getInfo.php?workbook=08_02.xlsx&amp;sheet=A0&amp;row=887&amp;col=9&amp;number=&amp;sourceID=34","")</f>
        <v/>
      </c>
      <c r="J887" s="4" t="str">
        <f>HYPERLINK("http://141.218.60.56/~jnz1568/getInfo.php?workbook=08_02.xlsx&amp;sheet=A0&amp;row=887&amp;col=10&amp;number=&amp;sourceID=34","")</f>
        <v/>
      </c>
      <c r="K887" s="4" t="str">
        <f>HYPERLINK("http://141.218.60.56/~jnz1568/getInfo.php?workbook=08_02.xlsx&amp;sheet=A0&amp;row=887&amp;col=11&amp;number=9898000000&amp;sourceID=30","9898000000")</f>
        <v>9898000000</v>
      </c>
      <c r="L887" s="4" t="str">
        <f>HYPERLINK("http://141.218.60.56/~jnz1568/getInfo.php?workbook=08_02.xlsx&amp;sheet=A0&amp;row=887&amp;col=12&amp;number=&amp;sourceID=30","")</f>
        <v/>
      </c>
      <c r="M887" s="4" t="str">
        <f>HYPERLINK("http://141.218.60.56/~jnz1568/getInfo.php?workbook=08_02.xlsx&amp;sheet=A0&amp;row=887&amp;col=13&amp;number=&amp;sourceID=30","")</f>
        <v/>
      </c>
      <c r="N887" s="4" t="str">
        <f>HYPERLINK("http://141.218.60.56/~jnz1568/getInfo.php?workbook=08_02.xlsx&amp;sheet=A0&amp;row=887&amp;col=14&amp;number=4.235&amp;sourceID=30","4.235")</f>
        <v>4.235</v>
      </c>
      <c r="O887" s="4" t="str">
        <f>HYPERLINK("http://141.218.60.56/~jnz1568/getInfo.php?workbook=08_02.xlsx&amp;sheet=A0&amp;row=887&amp;col=15&amp;number=&amp;sourceID=32","")</f>
        <v/>
      </c>
      <c r="P887" s="4" t="str">
        <f>HYPERLINK("http://141.218.60.56/~jnz1568/getInfo.php?workbook=08_02.xlsx&amp;sheet=A0&amp;row=887&amp;col=16&amp;number=&amp;sourceID=32","")</f>
        <v/>
      </c>
      <c r="Q887" s="4" t="str">
        <f>HYPERLINK("http://141.218.60.56/~jnz1568/getInfo.php?workbook=08_02.xlsx&amp;sheet=A0&amp;row=887&amp;col=17&amp;number=&amp;sourceID=32","")</f>
        <v/>
      </c>
      <c r="R887" s="4" t="str">
        <f>HYPERLINK("http://141.218.60.56/~jnz1568/getInfo.php?workbook=08_02.xlsx&amp;sheet=A0&amp;row=887&amp;col=18&amp;number=&amp;sourceID=32","")</f>
        <v/>
      </c>
      <c r="S887" s="4" t="str">
        <f>HYPERLINK("http://141.218.60.56/~jnz1568/getInfo.php?workbook=08_02.xlsx&amp;sheet=A0&amp;row=887&amp;col=19&amp;number=&amp;sourceID=1","")</f>
        <v/>
      </c>
      <c r="T887" s="4" t="str">
        <f>HYPERLINK("http://141.218.60.56/~jnz1568/getInfo.php?workbook=08_02.xlsx&amp;sheet=A0&amp;row=887&amp;col=20&amp;number=&amp;sourceID=1","")</f>
        <v/>
      </c>
    </row>
    <row r="888" spans="1:20">
      <c r="A888" s="3">
        <v>8</v>
      </c>
      <c r="B888" s="3">
        <v>2</v>
      </c>
      <c r="C888" s="3">
        <v>48</v>
      </c>
      <c r="D888" s="3">
        <v>36</v>
      </c>
      <c r="E888" s="3">
        <f>((1/(INDEX(E0!J$4:J$52,C888,1)-INDEX(E0!J$4:J$52,D888,1))))*100000000</f>
        <v>0</v>
      </c>
      <c r="F888" s="4" t="str">
        <f>HYPERLINK("http://141.218.60.56/~jnz1568/getInfo.php?workbook=08_02.xlsx&amp;sheet=A0&amp;row=888&amp;col=6&amp;number=&amp;sourceID=27","")</f>
        <v/>
      </c>
      <c r="G888" s="4" t="str">
        <f>HYPERLINK("http://141.218.60.56/~jnz1568/getInfo.php?workbook=08_02.xlsx&amp;sheet=A0&amp;row=888&amp;col=7&amp;number=&amp;sourceID=34","")</f>
        <v/>
      </c>
      <c r="H888" s="4" t="str">
        <f>HYPERLINK("http://141.218.60.56/~jnz1568/getInfo.php?workbook=08_02.xlsx&amp;sheet=A0&amp;row=888&amp;col=8&amp;number=&amp;sourceID=34","")</f>
        <v/>
      </c>
      <c r="I888" s="4" t="str">
        <f>HYPERLINK("http://141.218.60.56/~jnz1568/getInfo.php?workbook=08_02.xlsx&amp;sheet=A0&amp;row=888&amp;col=9&amp;number=&amp;sourceID=34","")</f>
        <v/>
      </c>
      <c r="J888" s="4" t="str">
        <f>HYPERLINK("http://141.218.60.56/~jnz1568/getInfo.php?workbook=08_02.xlsx&amp;sheet=A0&amp;row=888&amp;col=10&amp;number=&amp;sourceID=34","")</f>
        <v/>
      </c>
      <c r="K888" s="4" t="str">
        <f>HYPERLINK("http://141.218.60.56/~jnz1568/getInfo.php?workbook=08_02.xlsx&amp;sheet=A0&amp;row=888&amp;col=11&amp;number=&amp;sourceID=30","")</f>
        <v/>
      </c>
      <c r="L888" s="4" t="str">
        <f>HYPERLINK("http://141.218.60.56/~jnz1568/getInfo.php?workbook=08_02.xlsx&amp;sheet=A0&amp;row=888&amp;col=12&amp;number=&amp;sourceID=30","")</f>
        <v/>
      </c>
      <c r="M888" s="4" t="str">
        <f>HYPERLINK("http://141.218.60.56/~jnz1568/getInfo.php?workbook=08_02.xlsx&amp;sheet=A0&amp;row=888&amp;col=13&amp;number=&amp;sourceID=30","")</f>
        <v/>
      </c>
      <c r="N888" s="4" t="str">
        <f>HYPERLINK("http://141.218.60.56/~jnz1568/getInfo.php?workbook=08_02.xlsx&amp;sheet=A0&amp;row=888&amp;col=14&amp;number=0&amp;sourceID=30","0")</f>
        <v>0</v>
      </c>
      <c r="O888" s="4" t="str">
        <f>HYPERLINK("http://141.218.60.56/~jnz1568/getInfo.php?workbook=08_02.xlsx&amp;sheet=A0&amp;row=888&amp;col=15&amp;number=&amp;sourceID=32","")</f>
        <v/>
      </c>
      <c r="P888" s="4" t="str">
        <f>HYPERLINK("http://141.218.60.56/~jnz1568/getInfo.php?workbook=08_02.xlsx&amp;sheet=A0&amp;row=888&amp;col=16&amp;number=&amp;sourceID=32","")</f>
        <v/>
      </c>
      <c r="Q888" s="4" t="str">
        <f>HYPERLINK("http://141.218.60.56/~jnz1568/getInfo.php?workbook=08_02.xlsx&amp;sheet=A0&amp;row=888&amp;col=17&amp;number=&amp;sourceID=32","")</f>
        <v/>
      </c>
      <c r="R888" s="4" t="str">
        <f>HYPERLINK("http://141.218.60.56/~jnz1568/getInfo.php?workbook=08_02.xlsx&amp;sheet=A0&amp;row=888&amp;col=18&amp;number=&amp;sourceID=32","")</f>
        <v/>
      </c>
      <c r="S888" s="4" t="str">
        <f>HYPERLINK("http://141.218.60.56/~jnz1568/getInfo.php?workbook=08_02.xlsx&amp;sheet=A0&amp;row=888&amp;col=19&amp;number=&amp;sourceID=1","")</f>
        <v/>
      </c>
      <c r="T888" s="4" t="str">
        <f>HYPERLINK("http://141.218.60.56/~jnz1568/getInfo.php?workbook=08_02.xlsx&amp;sheet=A0&amp;row=888&amp;col=20&amp;number=&amp;sourceID=1","")</f>
        <v/>
      </c>
    </row>
    <row r="889" spans="1:20">
      <c r="A889" s="3">
        <v>8</v>
      </c>
      <c r="B889" s="3">
        <v>2</v>
      </c>
      <c r="C889" s="3">
        <v>48</v>
      </c>
      <c r="D889" s="3">
        <v>37</v>
      </c>
      <c r="E889" s="3">
        <f>((1/(INDEX(E0!J$4:J$52,C889,1)-INDEX(E0!J$4:J$52,D889,1))))*100000000</f>
        <v>0</v>
      </c>
      <c r="F889" s="4" t="str">
        <f>HYPERLINK("http://141.218.60.56/~jnz1568/getInfo.php?workbook=08_02.xlsx&amp;sheet=A0&amp;row=889&amp;col=6&amp;number=&amp;sourceID=27","")</f>
        <v/>
      </c>
      <c r="G889" s="4" t="str">
        <f>HYPERLINK("http://141.218.60.56/~jnz1568/getInfo.php?workbook=08_02.xlsx&amp;sheet=A0&amp;row=889&amp;col=7&amp;number=&amp;sourceID=34","")</f>
        <v/>
      </c>
      <c r="H889" s="4" t="str">
        <f>HYPERLINK("http://141.218.60.56/~jnz1568/getInfo.php?workbook=08_02.xlsx&amp;sheet=A0&amp;row=889&amp;col=8&amp;number=&amp;sourceID=34","")</f>
        <v/>
      </c>
      <c r="I889" s="4" t="str">
        <f>HYPERLINK("http://141.218.60.56/~jnz1568/getInfo.php?workbook=08_02.xlsx&amp;sheet=A0&amp;row=889&amp;col=9&amp;number=&amp;sourceID=34","")</f>
        <v/>
      </c>
      <c r="J889" s="4" t="str">
        <f>HYPERLINK("http://141.218.60.56/~jnz1568/getInfo.php?workbook=08_02.xlsx&amp;sheet=A0&amp;row=889&amp;col=10&amp;number=&amp;sourceID=34","")</f>
        <v/>
      </c>
      <c r="K889" s="4" t="str">
        <f>HYPERLINK("http://141.218.60.56/~jnz1568/getInfo.php?workbook=08_02.xlsx&amp;sheet=A0&amp;row=889&amp;col=11&amp;number=0.0001908&amp;sourceID=30","0.0001908")</f>
        <v>0.0001908</v>
      </c>
      <c r="L889" s="4" t="str">
        <f>HYPERLINK("http://141.218.60.56/~jnz1568/getInfo.php?workbook=08_02.xlsx&amp;sheet=A0&amp;row=889&amp;col=12&amp;number=&amp;sourceID=30","")</f>
        <v/>
      </c>
      <c r="M889" s="4" t="str">
        <f>HYPERLINK("http://141.218.60.56/~jnz1568/getInfo.php?workbook=08_02.xlsx&amp;sheet=A0&amp;row=889&amp;col=13&amp;number=&amp;sourceID=30","")</f>
        <v/>
      </c>
      <c r="N889" s="4" t="str">
        <f>HYPERLINK("http://141.218.60.56/~jnz1568/getInfo.php?workbook=08_02.xlsx&amp;sheet=A0&amp;row=889&amp;col=14&amp;number=0&amp;sourceID=30","0")</f>
        <v>0</v>
      </c>
      <c r="O889" s="4" t="str">
        <f>HYPERLINK("http://141.218.60.56/~jnz1568/getInfo.php?workbook=08_02.xlsx&amp;sheet=A0&amp;row=889&amp;col=15&amp;number=&amp;sourceID=32","")</f>
        <v/>
      </c>
      <c r="P889" s="4" t="str">
        <f>HYPERLINK("http://141.218.60.56/~jnz1568/getInfo.php?workbook=08_02.xlsx&amp;sheet=A0&amp;row=889&amp;col=16&amp;number=&amp;sourceID=32","")</f>
        <v/>
      </c>
      <c r="Q889" s="4" t="str">
        <f>HYPERLINK("http://141.218.60.56/~jnz1568/getInfo.php?workbook=08_02.xlsx&amp;sheet=A0&amp;row=889&amp;col=17&amp;number=&amp;sourceID=32","")</f>
        <v/>
      </c>
      <c r="R889" s="4" t="str">
        <f>HYPERLINK("http://141.218.60.56/~jnz1568/getInfo.php?workbook=08_02.xlsx&amp;sheet=A0&amp;row=889&amp;col=18&amp;number=&amp;sourceID=32","")</f>
        <v/>
      </c>
      <c r="S889" s="4" t="str">
        <f>HYPERLINK("http://141.218.60.56/~jnz1568/getInfo.php?workbook=08_02.xlsx&amp;sheet=A0&amp;row=889&amp;col=19&amp;number=&amp;sourceID=1","")</f>
        <v/>
      </c>
      <c r="T889" s="4" t="str">
        <f>HYPERLINK("http://141.218.60.56/~jnz1568/getInfo.php?workbook=08_02.xlsx&amp;sheet=A0&amp;row=889&amp;col=20&amp;number=&amp;sourceID=1","")</f>
        <v/>
      </c>
    </row>
    <row r="890" spans="1:20">
      <c r="A890" s="3">
        <v>8</v>
      </c>
      <c r="B890" s="3">
        <v>2</v>
      </c>
      <c r="C890" s="3">
        <v>48</v>
      </c>
      <c r="D890" s="3">
        <v>39</v>
      </c>
      <c r="E890" s="3">
        <f>((1/(INDEX(E0!J$4:J$52,C890,1)-INDEX(E0!J$4:J$52,D890,1))))*100000000</f>
        <v>0</v>
      </c>
      <c r="F890" s="4" t="str">
        <f>HYPERLINK("http://141.218.60.56/~jnz1568/getInfo.php?workbook=08_02.xlsx&amp;sheet=A0&amp;row=890&amp;col=6&amp;number=&amp;sourceID=27","")</f>
        <v/>
      </c>
      <c r="G890" s="4" t="str">
        <f>HYPERLINK("http://141.218.60.56/~jnz1568/getInfo.php?workbook=08_02.xlsx&amp;sheet=A0&amp;row=890&amp;col=7&amp;number=&amp;sourceID=34","")</f>
        <v/>
      </c>
      <c r="H890" s="4" t="str">
        <f>HYPERLINK("http://141.218.60.56/~jnz1568/getInfo.php?workbook=08_02.xlsx&amp;sheet=A0&amp;row=890&amp;col=8&amp;number=&amp;sourceID=34","")</f>
        <v/>
      </c>
      <c r="I890" s="4" t="str">
        <f>HYPERLINK("http://141.218.60.56/~jnz1568/getInfo.php?workbook=08_02.xlsx&amp;sheet=A0&amp;row=890&amp;col=9&amp;number=&amp;sourceID=34","")</f>
        <v/>
      </c>
      <c r="J890" s="4" t="str">
        <f>HYPERLINK("http://141.218.60.56/~jnz1568/getInfo.php?workbook=08_02.xlsx&amp;sheet=A0&amp;row=890&amp;col=10&amp;number=&amp;sourceID=34","")</f>
        <v/>
      </c>
      <c r="K890" s="4" t="str">
        <f>HYPERLINK("http://141.218.60.56/~jnz1568/getInfo.php?workbook=08_02.xlsx&amp;sheet=A0&amp;row=890&amp;col=11&amp;number=&amp;sourceID=30","")</f>
        <v/>
      </c>
      <c r="L890" s="4" t="str">
        <f>HYPERLINK("http://141.218.60.56/~jnz1568/getInfo.php?workbook=08_02.xlsx&amp;sheet=A0&amp;row=890&amp;col=12&amp;number=6.526e-11&amp;sourceID=30","6.526e-11")</f>
        <v>6.526e-11</v>
      </c>
      <c r="M890" s="4" t="str">
        <f>HYPERLINK("http://141.218.60.56/~jnz1568/getInfo.php?workbook=08_02.xlsx&amp;sheet=A0&amp;row=890&amp;col=13&amp;number=&amp;sourceID=30","")</f>
        <v/>
      </c>
      <c r="N890" s="4" t="str">
        <f>HYPERLINK("http://141.218.60.56/~jnz1568/getInfo.php?workbook=08_02.xlsx&amp;sheet=A0&amp;row=890&amp;col=14&amp;number=&amp;sourceID=30","")</f>
        <v/>
      </c>
      <c r="O890" s="4" t="str">
        <f>HYPERLINK("http://141.218.60.56/~jnz1568/getInfo.php?workbook=08_02.xlsx&amp;sheet=A0&amp;row=890&amp;col=15&amp;number=&amp;sourceID=32","")</f>
        <v/>
      </c>
      <c r="P890" s="4" t="str">
        <f>HYPERLINK("http://141.218.60.56/~jnz1568/getInfo.php?workbook=08_02.xlsx&amp;sheet=A0&amp;row=890&amp;col=16&amp;number=&amp;sourceID=32","")</f>
        <v/>
      </c>
      <c r="Q890" s="4" t="str">
        <f>HYPERLINK("http://141.218.60.56/~jnz1568/getInfo.php?workbook=08_02.xlsx&amp;sheet=A0&amp;row=890&amp;col=17&amp;number=&amp;sourceID=32","")</f>
        <v/>
      </c>
      <c r="R890" s="4" t="str">
        <f>HYPERLINK("http://141.218.60.56/~jnz1568/getInfo.php?workbook=08_02.xlsx&amp;sheet=A0&amp;row=890&amp;col=18&amp;number=&amp;sourceID=32","")</f>
        <v/>
      </c>
      <c r="S890" s="4" t="str">
        <f>HYPERLINK("http://141.218.60.56/~jnz1568/getInfo.php?workbook=08_02.xlsx&amp;sheet=A0&amp;row=890&amp;col=19&amp;number=&amp;sourceID=1","")</f>
        <v/>
      </c>
      <c r="T890" s="4" t="str">
        <f>HYPERLINK("http://141.218.60.56/~jnz1568/getInfo.php?workbook=08_02.xlsx&amp;sheet=A0&amp;row=890&amp;col=20&amp;number=&amp;sourceID=1","")</f>
        <v/>
      </c>
    </row>
    <row r="891" spans="1:20">
      <c r="A891" s="3">
        <v>8</v>
      </c>
      <c r="B891" s="3">
        <v>2</v>
      </c>
      <c r="C891" s="3">
        <v>48</v>
      </c>
      <c r="D891" s="3">
        <v>40</v>
      </c>
      <c r="E891" s="3">
        <f>((1/(INDEX(E0!J$4:J$52,C891,1)-INDEX(E0!J$4:J$52,D891,1))))*100000000</f>
        <v>0</v>
      </c>
      <c r="F891" s="4" t="str">
        <f>HYPERLINK("http://141.218.60.56/~jnz1568/getInfo.php?workbook=08_02.xlsx&amp;sheet=A0&amp;row=891&amp;col=6&amp;number=&amp;sourceID=27","")</f>
        <v/>
      </c>
      <c r="G891" s="4" t="str">
        <f>HYPERLINK("http://141.218.60.56/~jnz1568/getInfo.php?workbook=08_02.xlsx&amp;sheet=A0&amp;row=891&amp;col=7&amp;number=&amp;sourceID=34","")</f>
        <v/>
      </c>
      <c r="H891" s="4" t="str">
        <f>HYPERLINK("http://141.218.60.56/~jnz1568/getInfo.php?workbook=08_02.xlsx&amp;sheet=A0&amp;row=891&amp;col=8&amp;number=&amp;sourceID=34","")</f>
        <v/>
      </c>
      <c r="I891" s="4" t="str">
        <f>HYPERLINK("http://141.218.60.56/~jnz1568/getInfo.php?workbook=08_02.xlsx&amp;sheet=A0&amp;row=891&amp;col=9&amp;number=&amp;sourceID=34","")</f>
        <v/>
      </c>
      <c r="J891" s="4" t="str">
        <f>HYPERLINK("http://141.218.60.56/~jnz1568/getInfo.php?workbook=08_02.xlsx&amp;sheet=A0&amp;row=891&amp;col=10&amp;number=&amp;sourceID=34","")</f>
        <v/>
      </c>
      <c r="K891" s="4" t="str">
        <f>HYPERLINK("http://141.218.60.56/~jnz1568/getInfo.php?workbook=08_02.xlsx&amp;sheet=A0&amp;row=891&amp;col=11&amp;number=&amp;sourceID=30","")</f>
        <v/>
      </c>
      <c r="L891" s="4" t="str">
        <f>HYPERLINK("http://141.218.60.56/~jnz1568/getInfo.php?workbook=08_02.xlsx&amp;sheet=A0&amp;row=891&amp;col=12&amp;number=1.044e-11&amp;sourceID=30","1.044e-11")</f>
        <v>1.044e-11</v>
      </c>
      <c r="M891" s="4" t="str">
        <f>HYPERLINK("http://141.218.60.56/~jnz1568/getInfo.php?workbook=08_02.xlsx&amp;sheet=A0&amp;row=891&amp;col=13&amp;number=2e-15&amp;sourceID=30","2e-15")</f>
        <v>2e-15</v>
      </c>
      <c r="N891" s="4" t="str">
        <f>HYPERLINK("http://141.218.60.56/~jnz1568/getInfo.php?workbook=08_02.xlsx&amp;sheet=A0&amp;row=891&amp;col=14&amp;number=&amp;sourceID=30","")</f>
        <v/>
      </c>
      <c r="O891" s="4" t="str">
        <f>HYPERLINK("http://141.218.60.56/~jnz1568/getInfo.php?workbook=08_02.xlsx&amp;sheet=A0&amp;row=891&amp;col=15&amp;number=&amp;sourceID=32","")</f>
        <v/>
      </c>
      <c r="P891" s="4" t="str">
        <f>HYPERLINK("http://141.218.60.56/~jnz1568/getInfo.php?workbook=08_02.xlsx&amp;sheet=A0&amp;row=891&amp;col=16&amp;number=&amp;sourceID=32","")</f>
        <v/>
      </c>
      <c r="Q891" s="4" t="str">
        <f>HYPERLINK("http://141.218.60.56/~jnz1568/getInfo.php?workbook=08_02.xlsx&amp;sheet=A0&amp;row=891&amp;col=17&amp;number=&amp;sourceID=32","")</f>
        <v/>
      </c>
      <c r="R891" s="4" t="str">
        <f>HYPERLINK("http://141.218.60.56/~jnz1568/getInfo.php?workbook=08_02.xlsx&amp;sheet=A0&amp;row=891&amp;col=18&amp;number=&amp;sourceID=32","")</f>
        <v/>
      </c>
      <c r="S891" s="4" t="str">
        <f>HYPERLINK("http://141.218.60.56/~jnz1568/getInfo.php?workbook=08_02.xlsx&amp;sheet=A0&amp;row=891&amp;col=19&amp;number=&amp;sourceID=1","")</f>
        <v/>
      </c>
      <c r="T891" s="4" t="str">
        <f>HYPERLINK("http://141.218.60.56/~jnz1568/getInfo.php?workbook=08_02.xlsx&amp;sheet=A0&amp;row=891&amp;col=20&amp;number=&amp;sourceID=1","")</f>
        <v/>
      </c>
    </row>
    <row r="892" spans="1:20">
      <c r="A892" s="3">
        <v>8</v>
      </c>
      <c r="B892" s="3">
        <v>2</v>
      </c>
      <c r="C892" s="3">
        <v>48</v>
      </c>
      <c r="D892" s="3">
        <v>41</v>
      </c>
      <c r="E892" s="3">
        <f>((1/(INDEX(E0!J$4:J$52,C892,1)-INDEX(E0!J$4:J$52,D892,1))))*100000000</f>
        <v>0</v>
      </c>
      <c r="F892" s="4" t="str">
        <f>HYPERLINK("http://141.218.60.56/~jnz1568/getInfo.php?workbook=08_02.xlsx&amp;sheet=A0&amp;row=892&amp;col=6&amp;number=&amp;sourceID=27","")</f>
        <v/>
      </c>
      <c r="G892" s="4" t="str">
        <f>HYPERLINK("http://141.218.60.56/~jnz1568/getInfo.php?workbook=08_02.xlsx&amp;sheet=A0&amp;row=892&amp;col=7&amp;number=&amp;sourceID=34","")</f>
        <v/>
      </c>
      <c r="H892" s="4" t="str">
        <f>HYPERLINK("http://141.218.60.56/~jnz1568/getInfo.php?workbook=08_02.xlsx&amp;sheet=A0&amp;row=892&amp;col=8&amp;number=&amp;sourceID=34","")</f>
        <v/>
      </c>
      <c r="I892" s="4" t="str">
        <f>HYPERLINK("http://141.218.60.56/~jnz1568/getInfo.php?workbook=08_02.xlsx&amp;sheet=A0&amp;row=892&amp;col=9&amp;number=&amp;sourceID=34","")</f>
        <v/>
      </c>
      <c r="J892" s="4" t="str">
        <f>HYPERLINK("http://141.218.60.56/~jnz1568/getInfo.php?workbook=08_02.xlsx&amp;sheet=A0&amp;row=892&amp;col=10&amp;number=&amp;sourceID=34","")</f>
        <v/>
      </c>
      <c r="K892" s="4" t="str">
        <f>HYPERLINK("http://141.218.60.56/~jnz1568/getInfo.php?workbook=08_02.xlsx&amp;sheet=A0&amp;row=892&amp;col=11&amp;number=0.0004&amp;sourceID=30","0.0004")</f>
        <v>0.0004</v>
      </c>
      <c r="L892" s="4" t="str">
        <f>HYPERLINK("http://141.218.60.56/~jnz1568/getInfo.php?workbook=08_02.xlsx&amp;sheet=A0&amp;row=892&amp;col=12&amp;number=&amp;sourceID=30","")</f>
        <v/>
      </c>
      <c r="M892" s="4" t="str">
        <f>HYPERLINK("http://141.218.60.56/~jnz1568/getInfo.php?workbook=08_02.xlsx&amp;sheet=A0&amp;row=892&amp;col=13&amp;number=&amp;sourceID=30","")</f>
        <v/>
      </c>
      <c r="N892" s="4" t="str">
        <f>HYPERLINK("http://141.218.60.56/~jnz1568/getInfo.php?workbook=08_02.xlsx&amp;sheet=A0&amp;row=892&amp;col=14&amp;number=0&amp;sourceID=30","0")</f>
        <v>0</v>
      </c>
      <c r="O892" s="4" t="str">
        <f>HYPERLINK("http://141.218.60.56/~jnz1568/getInfo.php?workbook=08_02.xlsx&amp;sheet=A0&amp;row=892&amp;col=15&amp;number=&amp;sourceID=32","")</f>
        <v/>
      </c>
      <c r="P892" s="4" t="str">
        <f>HYPERLINK("http://141.218.60.56/~jnz1568/getInfo.php?workbook=08_02.xlsx&amp;sheet=A0&amp;row=892&amp;col=16&amp;number=&amp;sourceID=32","")</f>
        <v/>
      </c>
      <c r="Q892" s="4" t="str">
        <f>HYPERLINK("http://141.218.60.56/~jnz1568/getInfo.php?workbook=08_02.xlsx&amp;sheet=A0&amp;row=892&amp;col=17&amp;number=&amp;sourceID=32","")</f>
        <v/>
      </c>
      <c r="R892" s="4" t="str">
        <f>HYPERLINK("http://141.218.60.56/~jnz1568/getInfo.php?workbook=08_02.xlsx&amp;sheet=A0&amp;row=892&amp;col=18&amp;number=&amp;sourceID=32","")</f>
        <v/>
      </c>
      <c r="S892" s="4" t="str">
        <f>HYPERLINK("http://141.218.60.56/~jnz1568/getInfo.php?workbook=08_02.xlsx&amp;sheet=A0&amp;row=892&amp;col=19&amp;number=&amp;sourceID=1","")</f>
        <v/>
      </c>
      <c r="T892" s="4" t="str">
        <f>HYPERLINK("http://141.218.60.56/~jnz1568/getInfo.php?workbook=08_02.xlsx&amp;sheet=A0&amp;row=892&amp;col=20&amp;number=&amp;sourceID=1","")</f>
        <v/>
      </c>
    </row>
    <row r="893" spans="1:20">
      <c r="A893" s="3">
        <v>8</v>
      </c>
      <c r="B893" s="3">
        <v>2</v>
      </c>
      <c r="C893" s="3">
        <v>48</v>
      </c>
      <c r="D893" s="3">
        <v>42</v>
      </c>
      <c r="E893" s="3">
        <f>((1/(INDEX(E0!J$4:J$52,C893,1)-INDEX(E0!J$4:J$52,D893,1))))*100000000</f>
        <v>0</v>
      </c>
      <c r="F893" s="4" t="str">
        <f>HYPERLINK("http://141.218.60.56/~jnz1568/getInfo.php?workbook=08_02.xlsx&amp;sheet=A0&amp;row=893&amp;col=6&amp;number=&amp;sourceID=27","")</f>
        <v/>
      </c>
      <c r="G893" s="4" t="str">
        <f>HYPERLINK("http://141.218.60.56/~jnz1568/getInfo.php?workbook=08_02.xlsx&amp;sheet=A0&amp;row=893&amp;col=7&amp;number=&amp;sourceID=34","")</f>
        <v/>
      </c>
      <c r="H893" s="4" t="str">
        <f>HYPERLINK("http://141.218.60.56/~jnz1568/getInfo.php?workbook=08_02.xlsx&amp;sheet=A0&amp;row=893&amp;col=8&amp;number=&amp;sourceID=34","")</f>
        <v/>
      </c>
      <c r="I893" s="4" t="str">
        <f>HYPERLINK("http://141.218.60.56/~jnz1568/getInfo.php?workbook=08_02.xlsx&amp;sheet=A0&amp;row=893&amp;col=9&amp;number=&amp;sourceID=34","")</f>
        <v/>
      </c>
      <c r="J893" s="4" t="str">
        <f>HYPERLINK("http://141.218.60.56/~jnz1568/getInfo.php?workbook=08_02.xlsx&amp;sheet=A0&amp;row=893&amp;col=10&amp;number=&amp;sourceID=34","")</f>
        <v/>
      </c>
      <c r="K893" s="4" t="str">
        <f>HYPERLINK("http://141.218.60.56/~jnz1568/getInfo.php?workbook=08_02.xlsx&amp;sheet=A0&amp;row=893&amp;col=11&amp;number=&amp;sourceID=30","")</f>
        <v/>
      </c>
      <c r="L893" s="4" t="str">
        <f>HYPERLINK("http://141.218.60.56/~jnz1568/getInfo.php?workbook=08_02.xlsx&amp;sheet=A0&amp;row=893&amp;col=12&amp;number=&amp;sourceID=30","")</f>
        <v/>
      </c>
      <c r="M893" s="4" t="str">
        <f>HYPERLINK("http://141.218.60.56/~jnz1568/getInfo.php?workbook=08_02.xlsx&amp;sheet=A0&amp;row=893&amp;col=13&amp;number=&amp;sourceID=30","")</f>
        <v/>
      </c>
      <c r="N893" s="4" t="str">
        <f>HYPERLINK("http://141.218.60.56/~jnz1568/getInfo.php?workbook=08_02.xlsx&amp;sheet=A0&amp;row=893&amp;col=14&amp;number=0&amp;sourceID=30","0")</f>
        <v>0</v>
      </c>
      <c r="O893" s="4" t="str">
        <f>HYPERLINK("http://141.218.60.56/~jnz1568/getInfo.php?workbook=08_02.xlsx&amp;sheet=A0&amp;row=893&amp;col=15&amp;number=&amp;sourceID=32","")</f>
        <v/>
      </c>
      <c r="P893" s="4" t="str">
        <f>HYPERLINK("http://141.218.60.56/~jnz1568/getInfo.php?workbook=08_02.xlsx&amp;sheet=A0&amp;row=893&amp;col=16&amp;number=&amp;sourceID=32","")</f>
        <v/>
      </c>
      <c r="Q893" s="4" t="str">
        <f>HYPERLINK("http://141.218.60.56/~jnz1568/getInfo.php?workbook=08_02.xlsx&amp;sheet=A0&amp;row=893&amp;col=17&amp;number=&amp;sourceID=32","")</f>
        <v/>
      </c>
      <c r="R893" s="4" t="str">
        <f>HYPERLINK("http://141.218.60.56/~jnz1568/getInfo.php?workbook=08_02.xlsx&amp;sheet=A0&amp;row=893&amp;col=18&amp;number=&amp;sourceID=32","")</f>
        <v/>
      </c>
      <c r="S893" s="4" t="str">
        <f>HYPERLINK("http://141.218.60.56/~jnz1568/getInfo.php?workbook=08_02.xlsx&amp;sheet=A0&amp;row=893&amp;col=19&amp;number=&amp;sourceID=1","")</f>
        <v/>
      </c>
      <c r="T893" s="4" t="str">
        <f>HYPERLINK("http://141.218.60.56/~jnz1568/getInfo.php?workbook=08_02.xlsx&amp;sheet=A0&amp;row=893&amp;col=20&amp;number=&amp;sourceID=1","")</f>
        <v/>
      </c>
    </row>
    <row r="894" spans="1:20">
      <c r="A894" s="3">
        <v>8</v>
      </c>
      <c r="B894" s="3">
        <v>2</v>
      </c>
      <c r="C894" s="3">
        <v>48</v>
      </c>
      <c r="D894" s="3">
        <v>43</v>
      </c>
      <c r="E894" s="3">
        <f>((1/(INDEX(E0!J$4:J$52,C894,1)-INDEX(E0!J$4:J$52,D894,1))))*100000000</f>
        <v>0</v>
      </c>
      <c r="F894" s="4" t="str">
        <f>HYPERLINK("http://141.218.60.56/~jnz1568/getInfo.php?workbook=08_02.xlsx&amp;sheet=A0&amp;row=894&amp;col=6&amp;number=&amp;sourceID=27","")</f>
        <v/>
      </c>
      <c r="G894" s="4" t="str">
        <f>HYPERLINK("http://141.218.60.56/~jnz1568/getInfo.php?workbook=08_02.xlsx&amp;sheet=A0&amp;row=894&amp;col=7&amp;number=&amp;sourceID=34","")</f>
        <v/>
      </c>
      <c r="H894" s="4" t="str">
        <f>HYPERLINK("http://141.218.60.56/~jnz1568/getInfo.php?workbook=08_02.xlsx&amp;sheet=A0&amp;row=894&amp;col=8&amp;number=&amp;sourceID=34","")</f>
        <v/>
      </c>
      <c r="I894" s="4" t="str">
        <f>HYPERLINK("http://141.218.60.56/~jnz1568/getInfo.php?workbook=08_02.xlsx&amp;sheet=A0&amp;row=894&amp;col=9&amp;number=&amp;sourceID=34","")</f>
        <v/>
      </c>
      <c r="J894" s="4" t="str">
        <f>HYPERLINK("http://141.218.60.56/~jnz1568/getInfo.php?workbook=08_02.xlsx&amp;sheet=A0&amp;row=894&amp;col=10&amp;number=&amp;sourceID=34","")</f>
        <v/>
      </c>
      <c r="K894" s="4" t="str">
        <f>HYPERLINK("http://141.218.60.56/~jnz1568/getInfo.php?workbook=08_02.xlsx&amp;sheet=A0&amp;row=894&amp;col=11&amp;number=0.001276&amp;sourceID=30","0.001276")</f>
        <v>0.001276</v>
      </c>
      <c r="L894" s="4" t="str">
        <f>HYPERLINK("http://141.218.60.56/~jnz1568/getInfo.php?workbook=08_02.xlsx&amp;sheet=A0&amp;row=894&amp;col=12&amp;number=&amp;sourceID=30","")</f>
        <v/>
      </c>
      <c r="M894" s="4" t="str">
        <f>HYPERLINK("http://141.218.60.56/~jnz1568/getInfo.php?workbook=08_02.xlsx&amp;sheet=A0&amp;row=894&amp;col=13&amp;number=&amp;sourceID=30","")</f>
        <v/>
      </c>
      <c r="N894" s="4" t="str">
        <f>HYPERLINK("http://141.218.60.56/~jnz1568/getInfo.php?workbook=08_02.xlsx&amp;sheet=A0&amp;row=894&amp;col=14&amp;number=0&amp;sourceID=30","0")</f>
        <v>0</v>
      </c>
      <c r="O894" s="4" t="str">
        <f>HYPERLINK("http://141.218.60.56/~jnz1568/getInfo.php?workbook=08_02.xlsx&amp;sheet=A0&amp;row=894&amp;col=15&amp;number=&amp;sourceID=32","")</f>
        <v/>
      </c>
      <c r="P894" s="4" t="str">
        <f>HYPERLINK("http://141.218.60.56/~jnz1568/getInfo.php?workbook=08_02.xlsx&amp;sheet=A0&amp;row=894&amp;col=16&amp;number=&amp;sourceID=32","")</f>
        <v/>
      </c>
      <c r="Q894" s="4" t="str">
        <f>HYPERLINK("http://141.218.60.56/~jnz1568/getInfo.php?workbook=08_02.xlsx&amp;sheet=A0&amp;row=894&amp;col=17&amp;number=&amp;sourceID=32","")</f>
        <v/>
      </c>
      <c r="R894" s="4" t="str">
        <f>HYPERLINK("http://141.218.60.56/~jnz1568/getInfo.php?workbook=08_02.xlsx&amp;sheet=A0&amp;row=894&amp;col=18&amp;number=&amp;sourceID=32","")</f>
        <v/>
      </c>
      <c r="S894" s="4" t="str">
        <f>HYPERLINK("http://141.218.60.56/~jnz1568/getInfo.php?workbook=08_02.xlsx&amp;sheet=A0&amp;row=894&amp;col=19&amp;number=&amp;sourceID=1","")</f>
        <v/>
      </c>
      <c r="T894" s="4" t="str">
        <f>HYPERLINK("http://141.218.60.56/~jnz1568/getInfo.php?workbook=08_02.xlsx&amp;sheet=A0&amp;row=894&amp;col=20&amp;number=&amp;sourceID=1","")</f>
        <v/>
      </c>
    </row>
    <row r="895" spans="1:20">
      <c r="A895" s="3">
        <v>8</v>
      </c>
      <c r="B895" s="3">
        <v>2</v>
      </c>
      <c r="C895" s="3">
        <v>48</v>
      </c>
      <c r="D895" s="3">
        <v>45</v>
      </c>
      <c r="E895" s="3">
        <f>((1/(INDEX(E0!J$4:J$52,C895,1)-INDEX(E0!J$4:J$52,D895,1))))*100000000</f>
        <v>0</v>
      </c>
      <c r="F895" s="4" t="str">
        <f>HYPERLINK("http://141.218.60.56/~jnz1568/getInfo.php?workbook=08_02.xlsx&amp;sheet=A0&amp;row=895&amp;col=6&amp;number=&amp;sourceID=27","")</f>
        <v/>
      </c>
      <c r="G895" s="4" t="str">
        <f>HYPERLINK("http://141.218.60.56/~jnz1568/getInfo.php?workbook=08_02.xlsx&amp;sheet=A0&amp;row=895&amp;col=7&amp;number=&amp;sourceID=34","")</f>
        <v/>
      </c>
      <c r="H895" s="4" t="str">
        <f>HYPERLINK("http://141.218.60.56/~jnz1568/getInfo.php?workbook=08_02.xlsx&amp;sheet=A0&amp;row=895&amp;col=8&amp;number=&amp;sourceID=34","")</f>
        <v/>
      </c>
      <c r="I895" s="4" t="str">
        <f>HYPERLINK("http://141.218.60.56/~jnz1568/getInfo.php?workbook=08_02.xlsx&amp;sheet=A0&amp;row=895&amp;col=9&amp;number=&amp;sourceID=34","")</f>
        <v/>
      </c>
      <c r="J895" s="4" t="str">
        <f>HYPERLINK("http://141.218.60.56/~jnz1568/getInfo.php?workbook=08_02.xlsx&amp;sheet=A0&amp;row=895&amp;col=10&amp;number=&amp;sourceID=34","")</f>
        <v/>
      </c>
      <c r="K895" s="4" t="str">
        <f>HYPERLINK("http://141.218.60.56/~jnz1568/getInfo.php?workbook=08_02.xlsx&amp;sheet=A0&amp;row=895&amp;col=11&amp;number=&amp;sourceID=30","")</f>
        <v/>
      </c>
      <c r="L895" s="4" t="str">
        <f>HYPERLINK("http://141.218.60.56/~jnz1568/getInfo.php?workbook=08_02.xlsx&amp;sheet=A0&amp;row=895&amp;col=12&amp;number=0&amp;sourceID=30","0")</f>
        <v>0</v>
      </c>
      <c r="M895" s="4" t="str">
        <f>HYPERLINK("http://141.218.60.56/~jnz1568/getInfo.php?workbook=08_02.xlsx&amp;sheet=A0&amp;row=895&amp;col=13&amp;number=1.247e-10&amp;sourceID=30","1.247e-10")</f>
        <v>1.247e-10</v>
      </c>
      <c r="N895" s="4" t="str">
        <f>HYPERLINK("http://141.218.60.56/~jnz1568/getInfo.php?workbook=08_02.xlsx&amp;sheet=A0&amp;row=895&amp;col=14&amp;number=&amp;sourceID=30","")</f>
        <v/>
      </c>
      <c r="O895" s="4" t="str">
        <f>HYPERLINK("http://141.218.60.56/~jnz1568/getInfo.php?workbook=08_02.xlsx&amp;sheet=A0&amp;row=895&amp;col=15&amp;number=&amp;sourceID=32","")</f>
        <v/>
      </c>
      <c r="P895" s="4" t="str">
        <f>HYPERLINK("http://141.218.60.56/~jnz1568/getInfo.php?workbook=08_02.xlsx&amp;sheet=A0&amp;row=895&amp;col=16&amp;number=&amp;sourceID=32","")</f>
        <v/>
      </c>
      <c r="Q895" s="4" t="str">
        <f>HYPERLINK("http://141.218.60.56/~jnz1568/getInfo.php?workbook=08_02.xlsx&amp;sheet=A0&amp;row=895&amp;col=17&amp;number=&amp;sourceID=32","")</f>
        <v/>
      </c>
      <c r="R895" s="4" t="str">
        <f>HYPERLINK("http://141.218.60.56/~jnz1568/getInfo.php?workbook=08_02.xlsx&amp;sheet=A0&amp;row=895&amp;col=18&amp;number=&amp;sourceID=32","")</f>
        <v/>
      </c>
      <c r="S895" s="4" t="str">
        <f>HYPERLINK("http://141.218.60.56/~jnz1568/getInfo.php?workbook=08_02.xlsx&amp;sheet=A0&amp;row=895&amp;col=19&amp;number=&amp;sourceID=1","")</f>
        <v/>
      </c>
      <c r="T895" s="4" t="str">
        <f>HYPERLINK("http://141.218.60.56/~jnz1568/getInfo.php?workbook=08_02.xlsx&amp;sheet=A0&amp;row=895&amp;col=20&amp;number=&amp;sourceID=1","")</f>
        <v/>
      </c>
    </row>
    <row r="896" spans="1:20">
      <c r="A896" s="3">
        <v>8</v>
      </c>
      <c r="B896" s="3">
        <v>2</v>
      </c>
      <c r="C896" s="3">
        <v>48</v>
      </c>
      <c r="D896" s="3">
        <v>46</v>
      </c>
      <c r="E896" s="3">
        <f>((1/(INDEX(E0!J$4:J$52,C896,1)-INDEX(E0!J$4:J$52,D896,1))))*100000000</f>
        <v>0</v>
      </c>
      <c r="F896" s="4" t="str">
        <f>HYPERLINK("http://141.218.60.56/~jnz1568/getInfo.php?workbook=08_02.xlsx&amp;sheet=A0&amp;row=896&amp;col=6&amp;number=&amp;sourceID=27","")</f>
        <v/>
      </c>
      <c r="G896" s="4" t="str">
        <f>HYPERLINK("http://141.218.60.56/~jnz1568/getInfo.php?workbook=08_02.xlsx&amp;sheet=A0&amp;row=896&amp;col=7&amp;number=&amp;sourceID=34","")</f>
        <v/>
      </c>
      <c r="H896" s="4" t="str">
        <f>HYPERLINK("http://141.218.60.56/~jnz1568/getInfo.php?workbook=08_02.xlsx&amp;sheet=A0&amp;row=896&amp;col=8&amp;number=&amp;sourceID=34","")</f>
        <v/>
      </c>
      <c r="I896" s="4" t="str">
        <f>HYPERLINK("http://141.218.60.56/~jnz1568/getInfo.php?workbook=08_02.xlsx&amp;sheet=A0&amp;row=896&amp;col=9&amp;number=&amp;sourceID=34","")</f>
        <v/>
      </c>
      <c r="J896" s="4" t="str">
        <f>HYPERLINK("http://141.218.60.56/~jnz1568/getInfo.php?workbook=08_02.xlsx&amp;sheet=A0&amp;row=896&amp;col=10&amp;number=&amp;sourceID=34","")</f>
        <v/>
      </c>
      <c r="K896" s="4" t="str">
        <f>HYPERLINK("http://141.218.60.56/~jnz1568/getInfo.php?workbook=08_02.xlsx&amp;sheet=A0&amp;row=896&amp;col=11&amp;number=&amp;sourceID=30","")</f>
        <v/>
      </c>
      <c r="L896" s="4" t="str">
        <f>HYPERLINK("http://141.218.60.56/~jnz1568/getInfo.php?workbook=08_02.xlsx&amp;sheet=A0&amp;row=896&amp;col=12&amp;number=0&amp;sourceID=30","0")</f>
        <v>0</v>
      </c>
      <c r="M896" s="4" t="str">
        <f>HYPERLINK("http://141.218.60.56/~jnz1568/getInfo.php?workbook=08_02.xlsx&amp;sheet=A0&amp;row=896&amp;col=13&amp;number=1.876e-09&amp;sourceID=30","1.876e-09")</f>
        <v>1.876e-09</v>
      </c>
      <c r="N896" s="4" t="str">
        <f>HYPERLINK("http://141.218.60.56/~jnz1568/getInfo.php?workbook=08_02.xlsx&amp;sheet=A0&amp;row=896&amp;col=14&amp;number=&amp;sourceID=30","")</f>
        <v/>
      </c>
      <c r="O896" s="4" t="str">
        <f>HYPERLINK("http://141.218.60.56/~jnz1568/getInfo.php?workbook=08_02.xlsx&amp;sheet=A0&amp;row=896&amp;col=15&amp;number=&amp;sourceID=32","")</f>
        <v/>
      </c>
      <c r="P896" s="4" t="str">
        <f>HYPERLINK("http://141.218.60.56/~jnz1568/getInfo.php?workbook=08_02.xlsx&amp;sheet=A0&amp;row=896&amp;col=16&amp;number=&amp;sourceID=32","")</f>
        <v/>
      </c>
      <c r="Q896" s="4" t="str">
        <f>HYPERLINK("http://141.218.60.56/~jnz1568/getInfo.php?workbook=08_02.xlsx&amp;sheet=A0&amp;row=896&amp;col=17&amp;number=&amp;sourceID=32","")</f>
        <v/>
      </c>
      <c r="R896" s="4" t="str">
        <f>HYPERLINK("http://141.218.60.56/~jnz1568/getInfo.php?workbook=08_02.xlsx&amp;sheet=A0&amp;row=896&amp;col=18&amp;number=&amp;sourceID=32","")</f>
        <v/>
      </c>
      <c r="S896" s="4" t="str">
        <f>HYPERLINK("http://141.218.60.56/~jnz1568/getInfo.php?workbook=08_02.xlsx&amp;sheet=A0&amp;row=896&amp;col=19&amp;number=&amp;sourceID=1","")</f>
        <v/>
      </c>
      <c r="T896" s="4" t="str">
        <f>HYPERLINK("http://141.218.60.56/~jnz1568/getInfo.php?workbook=08_02.xlsx&amp;sheet=A0&amp;row=896&amp;col=20&amp;number=&amp;sourceID=1","")</f>
        <v/>
      </c>
    </row>
    <row r="897" spans="1:20">
      <c r="A897" s="3">
        <v>8</v>
      </c>
      <c r="B897" s="3">
        <v>2</v>
      </c>
      <c r="C897" s="3">
        <v>48</v>
      </c>
      <c r="D897" s="3">
        <v>47</v>
      </c>
      <c r="E897" s="3">
        <f>((1/(INDEX(E0!J$4:J$52,C897,1)-INDEX(E0!J$4:J$52,D897,1))))*100000000</f>
        <v>0</v>
      </c>
      <c r="F897" s="4" t="str">
        <f>HYPERLINK("http://141.218.60.56/~jnz1568/getInfo.php?workbook=08_02.xlsx&amp;sheet=A0&amp;row=897&amp;col=6&amp;number=&amp;sourceID=27","")</f>
        <v/>
      </c>
      <c r="G897" s="4" t="str">
        <f>HYPERLINK("http://141.218.60.56/~jnz1568/getInfo.php?workbook=08_02.xlsx&amp;sheet=A0&amp;row=897&amp;col=7&amp;number=&amp;sourceID=34","")</f>
        <v/>
      </c>
      <c r="H897" s="4" t="str">
        <f>HYPERLINK("http://141.218.60.56/~jnz1568/getInfo.php?workbook=08_02.xlsx&amp;sheet=A0&amp;row=897&amp;col=8&amp;number=&amp;sourceID=34","")</f>
        <v/>
      </c>
      <c r="I897" s="4" t="str">
        <f>HYPERLINK("http://141.218.60.56/~jnz1568/getInfo.php?workbook=08_02.xlsx&amp;sheet=A0&amp;row=897&amp;col=9&amp;number=&amp;sourceID=34","")</f>
        <v/>
      </c>
      <c r="J897" s="4" t="str">
        <f>HYPERLINK("http://141.218.60.56/~jnz1568/getInfo.php?workbook=08_02.xlsx&amp;sheet=A0&amp;row=897&amp;col=10&amp;number=&amp;sourceID=34","")</f>
        <v/>
      </c>
      <c r="K897" s="4" t="str">
        <f>HYPERLINK("http://141.218.60.56/~jnz1568/getInfo.php?workbook=08_02.xlsx&amp;sheet=A0&amp;row=897&amp;col=11&amp;number=&amp;sourceID=30","")</f>
        <v/>
      </c>
      <c r="L897" s="4" t="str">
        <f>HYPERLINK("http://141.218.60.56/~jnz1568/getInfo.php?workbook=08_02.xlsx&amp;sheet=A0&amp;row=897&amp;col=12&amp;number=0&amp;sourceID=30","0")</f>
        <v>0</v>
      </c>
      <c r="M897" s="4" t="str">
        <f>HYPERLINK("http://141.218.60.56/~jnz1568/getInfo.php?workbook=08_02.xlsx&amp;sheet=A0&amp;row=897&amp;col=13&amp;number=3.615e-11&amp;sourceID=30","3.615e-11")</f>
        <v>3.615e-11</v>
      </c>
      <c r="N897" s="4" t="str">
        <f>HYPERLINK("http://141.218.60.56/~jnz1568/getInfo.php?workbook=08_02.xlsx&amp;sheet=A0&amp;row=897&amp;col=14&amp;number=&amp;sourceID=30","")</f>
        <v/>
      </c>
      <c r="O897" s="4" t="str">
        <f>HYPERLINK("http://141.218.60.56/~jnz1568/getInfo.php?workbook=08_02.xlsx&amp;sheet=A0&amp;row=897&amp;col=15&amp;number=&amp;sourceID=32","")</f>
        <v/>
      </c>
      <c r="P897" s="4" t="str">
        <f>HYPERLINK("http://141.218.60.56/~jnz1568/getInfo.php?workbook=08_02.xlsx&amp;sheet=A0&amp;row=897&amp;col=16&amp;number=&amp;sourceID=32","")</f>
        <v/>
      </c>
      <c r="Q897" s="4" t="str">
        <f>HYPERLINK("http://141.218.60.56/~jnz1568/getInfo.php?workbook=08_02.xlsx&amp;sheet=A0&amp;row=897&amp;col=17&amp;number=&amp;sourceID=32","")</f>
        <v/>
      </c>
      <c r="R897" s="4" t="str">
        <f>HYPERLINK("http://141.218.60.56/~jnz1568/getInfo.php?workbook=08_02.xlsx&amp;sheet=A0&amp;row=897&amp;col=18&amp;number=&amp;sourceID=32","")</f>
        <v/>
      </c>
      <c r="S897" s="4" t="str">
        <f>HYPERLINK("http://141.218.60.56/~jnz1568/getInfo.php?workbook=08_02.xlsx&amp;sheet=A0&amp;row=897&amp;col=19&amp;number=&amp;sourceID=1","")</f>
        <v/>
      </c>
      <c r="T897" s="4" t="str">
        <f>HYPERLINK("http://141.218.60.56/~jnz1568/getInfo.php?workbook=08_02.xlsx&amp;sheet=A0&amp;row=897&amp;col=20&amp;number=&amp;sourceID=1","")</f>
        <v/>
      </c>
    </row>
    <row r="898" spans="1:20">
      <c r="A898" s="3">
        <v>8</v>
      </c>
      <c r="B898" s="3">
        <v>2</v>
      </c>
      <c r="C898" s="3">
        <v>49</v>
      </c>
      <c r="D898" s="3">
        <v>1</v>
      </c>
      <c r="E898" s="3">
        <f>((1/(INDEX(E0!J$4:J$52,C898,1)-INDEX(E0!J$4:J$52,D898,1))))*100000000</f>
        <v>0</v>
      </c>
      <c r="F898" s="4" t="str">
        <f>HYPERLINK("http://141.218.60.56/~jnz1568/getInfo.php?workbook=08_02.xlsx&amp;sheet=A0&amp;row=898&amp;col=6&amp;number=&amp;sourceID=27","")</f>
        <v/>
      </c>
      <c r="G898" s="4" t="str">
        <f>HYPERLINK("http://141.218.60.56/~jnz1568/getInfo.php?workbook=08_02.xlsx&amp;sheet=A0&amp;row=898&amp;col=7&amp;number=&amp;sourceID=34","")</f>
        <v/>
      </c>
      <c r="H898" s="4" t="str">
        <f>HYPERLINK("http://141.218.60.56/~jnz1568/getInfo.php?workbook=08_02.xlsx&amp;sheet=A0&amp;row=898&amp;col=8&amp;number=&amp;sourceID=34","")</f>
        <v/>
      </c>
      <c r="I898" s="4" t="str">
        <f>HYPERLINK("http://141.218.60.56/~jnz1568/getInfo.php?workbook=08_02.xlsx&amp;sheet=A0&amp;row=898&amp;col=9&amp;number=&amp;sourceID=34","")</f>
        <v/>
      </c>
      <c r="J898" s="4" t="str">
        <f>HYPERLINK("http://141.218.60.56/~jnz1568/getInfo.php?workbook=08_02.xlsx&amp;sheet=A0&amp;row=898&amp;col=10&amp;number=&amp;sourceID=34","")</f>
        <v/>
      </c>
      <c r="K898" s="4" t="str">
        <f>HYPERLINK("http://141.218.60.56/~jnz1568/getInfo.php?workbook=08_02.xlsx&amp;sheet=A0&amp;row=898&amp;col=11&amp;number=406100000000&amp;sourceID=30","406100000000")</f>
        <v>406100000000</v>
      </c>
      <c r="L898" s="4" t="str">
        <f>HYPERLINK("http://141.218.60.56/~jnz1568/getInfo.php?workbook=08_02.xlsx&amp;sheet=A0&amp;row=898&amp;col=12&amp;number=&amp;sourceID=30","")</f>
        <v/>
      </c>
      <c r="M898" s="4" t="str">
        <f>HYPERLINK("http://141.218.60.56/~jnz1568/getInfo.php?workbook=08_02.xlsx&amp;sheet=A0&amp;row=898&amp;col=13&amp;number=&amp;sourceID=30","")</f>
        <v/>
      </c>
      <c r="N898" s="4" t="str">
        <f>HYPERLINK("http://141.218.60.56/~jnz1568/getInfo.php?workbook=08_02.xlsx&amp;sheet=A0&amp;row=898&amp;col=14&amp;number=&amp;sourceID=30","")</f>
        <v/>
      </c>
      <c r="O898" s="4" t="str">
        <f>HYPERLINK("http://141.218.60.56/~jnz1568/getInfo.php?workbook=08_02.xlsx&amp;sheet=A0&amp;row=898&amp;col=15&amp;number=196900000000&amp;sourceID=32","196900000000")</f>
        <v>196900000000</v>
      </c>
      <c r="P898" s="4" t="str">
        <f>HYPERLINK("http://141.218.60.56/~jnz1568/getInfo.php?workbook=08_02.xlsx&amp;sheet=A0&amp;row=898&amp;col=16&amp;number=&amp;sourceID=32","")</f>
        <v/>
      </c>
      <c r="Q898" s="4" t="str">
        <f>HYPERLINK("http://141.218.60.56/~jnz1568/getInfo.php?workbook=08_02.xlsx&amp;sheet=A0&amp;row=898&amp;col=17&amp;number=&amp;sourceID=32","")</f>
        <v/>
      </c>
      <c r="R898" s="4" t="str">
        <f>HYPERLINK("http://141.218.60.56/~jnz1568/getInfo.php?workbook=08_02.xlsx&amp;sheet=A0&amp;row=898&amp;col=18&amp;number=&amp;sourceID=32","")</f>
        <v/>
      </c>
      <c r="S898" s="4" t="str">
        <f>HYPERLINK("http://141.218.60.56/~jnz1568/getInfo.php?workbook=08_02.xlsx&amp;sheet=A0&amp;row=898&amp;col=19&amp;number=&amp;sourceID=1","")</f>
        <v/>
      </c>
      <c r="T898" s="4" t="str">
        <f>HYPERLINK("http://141.218.60.56/~jnz1568/getInfo.php?workbook=08_02.xlsx&amp;sheet=A0&amp;row=898&amp;col=20&amp;number=&amp;sourceID=1","")</f>
        <v/>
      </c>
    </row>
    <row r="899" spans="1:20">
      <c r="A899" s="3">
        <v>8</v>
      </c>
      <c r="B899" s="3">
        <v>2</v>
      </c>
      <c r="C899" s="3">
        <v>49</v>
      </c>
      <c r="D899" s="3">
        <v>2</v>
      </c>
      <c r="E899" s="3">
        <f>((1/(INDEX(E0!J$4:J$52,C899,1)-INDEX(E0!J$4:J$52,D899,1))))*100000000</f>
        <v>0</v>
      </c>
      <c r="F899" s="4" t="str">
        <f>HYPERLINK("http://141.218.60.56/~jnz1568/getInfo.php?workbook=08_02.xlsx&amp;sheet=A0&amp;row=899&amp;col=6&amp;number=&amp;sourceID=27","")</f>
        <v/>
      </c>
      <c r="G899" s="4" t="str">
        <f>HYPERLINK("http://141.218.60.56/~jnz1568/getInfo.php?workbook=08_02.xlsx&amp;sheet=A0&amp;row=899&amp;col=7&amp;number=&amp;sourceID=34","")</f>
        <v/>
      </c>
      <c r="H899" s="4" t="str">
        <f>HYPERLINK("http://141.218.60.56/~jnz1568/getInfo.php?workbook=08_02.xlsx&amp;sheet=A0&amp;row=899&amp;col=8&amp;number=&amp;sourceID=34","")</f>
        <v/>
      </c>
      <c r="I899" s="4" t="str">
        <f>HYPERLINK("http://141.218.60.56/~jnz1568/getInfo.php?workbook=08_02.xlsx&amp;sheet=A0&amp;row=899&amp;col=9&amp;number=&amp;sourceID=34","")</f>
        <v/>
      </c>
      <c r="J899" s="4" t="str">
        <f>HYPERLINK("http://141.218.60.56/~jnz1568/getInfo.php?workbook=08_02.xlsx&amp;sheet=A0&amp;row=899&amp;col=10&amp;number=&amp;sourceID=34","")</f>
        <v/>
      </c>
      <c r="K899" s="4" t="str">
        <f>HYPERLINK("http://141.218.60.56/~jnz1568/getInfo.php?workbook=08_02.xlsx&amp;sheet=A0&amp;row=899&amp;col=11&amp;number=1532000&amp;sourceID=30","1532000")</f>
        <v>1532000</v>
      </c>
      <c r="L899" s="4" t="str">
        <f>HYPERLINK("http://141.218.60.56/~jnz1568/getInfo.php?workbook=08_02.xlsx&amp;sheet=A0&amp;row=899&amp;col=12&amp;number=&amp;sourceID=30","")</f>
        <v/>
      </c>
      <c r="M899" s="4" t="str">
        <f>HYPERLINK("http://141.218.60.56/~jnz1568/getInfo.php?workbook=08_02.xlsx&amp;sheet=A0&amp;row=899&amp;col=13&amp;number=&amp;sourceID=30","")</f>
        <v/>
      </c>
      <c r="N899" s="4" t="str">
        <f>HYPERLINK("http://141.218.60.56/~jnz1568/getInfo.php?workbook=08_02.xlsx&amp;sheet=A0&amp;row=899&amp;col=14&amp;number=126.4&amp;sourceID=30","126.4")</f>
        <v>126.4</v>
      </c>
      <c r="O899" s="4" t="str">
        <f>HYPERLINK("http://141.218.60.56/~jnz1568/getInfo.php?workbook=08_02.xlsx&amp;sheet=A0&amp;row=899&amp;col=15&amp;number=2064000&amp;sourceID=32","2064000")</f>
        <v>2064000</v>
      </c>
      <c r="P899" s="4" t="str">
        <f>HYPERLINK("http://141.218.60.56/~jnz1568/getInfo.php?workbook=08_02.xlsx&amp;sheet=A0&amp;row=899&amp;col=16&amp;number=&amp;sourceID=32","")</f>
        <v/>
      </c>
      <c r="Q899" s="4" t="str">
        <f>HYPERLINK("http://141.218.60.56/~jnz1568/getInfo.php?workbook=08_02.xlsx&amp;sheet=A0&amp;row=899&amp;col=17&amp;number=&amp;sourceID=32","")</f>
        <v/>
      </c>
      <c r="R899" s="4" t="str">
        <f>HYPERLINK("http://141.218.60.56/~jnz1568/getInfo.php?workbook=08_02.xlsx&amp;sheet=A0&amp;row=899&amp;col=18&amp;number=126.2&amp;sourceID=32","126.2")</f>
        <v>126.2</v>
      </c>
      <c r="S899" s="4" t="str">
        <f>HYPERLINK("http://141.218.60.56/~jnz1568/getInfo.php?workbook=08_02.xlsx&amp;sheet=A0&amp;row=899&amp;col=19&amp;number=&amp;sourceID=1","")</f>
        <v/>
      </c>
      <c r="T899" s="4" t="str">
        <f>HYPERLINK("http://141.218.60.56/~jnz1568/getInfo.php?workbook=08_02.xlsx&amp;sheet=A0&amp;row=899&amp;col=20&amp;number=&amp;sourceID=1","")</f>
        <v/>
      </c>
    </row>
    <row r="900" spans="1:20">
      <c r="A900" s="3">
        <v>8</v>
      </c>
      <c r="B900" s="3">
        <v>2</v>
      </c>
      <c r="C900" s="3">
        <v>49</v>
      </c>
      <c r="D900" s="3">
        <v>3</v>
      </c>
      <c r="E900" s="3">
        <f>((1/(INDEX(E0!J$4:J$52,C900,1)-INDEX(E0!J$4:J$52,D900,1))))*100000000</f>
        <v>0</v>
      </c>
      <c r="F900" s="4" t="str">
        <f>HYPERLINK("http://141.218.60.56/~jnz1568/getInfo.php?workbook=08_02.xlsx&amp;sheet=A0&amp;row=900&amp;col=6&amp;number=&amp;sourceID=27","")</f>
        <v/>
      </c>
      <c r="G900" s="4" t="str">
        <f>HYPERLINK("http://141.218.60.56/~jnz1568/getInfo.php?workbook=08_02.xlsx&amp;sheet=A0&amp;row=900&amp;col=7&amp;number=&amp;sourceID=34","")</f>
        <v/>
      </c>
      <c r="H900" s="4" t="str">
        <f>HYPERLINK("http://141.218.60.56/~jnz1568/getInfo.php?workbook=08_02.xlsx&amp;sheet=A0&amp;row=900&amp;col=8&amp;number=&amp;sourceID=34","")</f>
        <v/>
      </c>
      <c r="I900" s="4" t="str">
        <f>HYPERLINK("http://141.218.60.56/~jnz1568/getInfo.php?workbook=08_02.xlsx&amp;sheet=A0&amp;row=900&amp;col=9&amp;number=&amp;sourceID=34","")</f>
        <v/>
      </c>
      <c r="J900" s="4" t="str">
        <f>HYPERLINK("http://141.218.60.56/~jnz1568/getInfo.php?workbook=08_02.xlsx&amp;sheet=A0&amp;row=900&amp;col=10&amp;number=&amp;sourceID=34","")</f>
        <v/>
      </c>
      <c r="K900" s="4" t="str">
        <f>HYPERLINK("http://141.218.60.56/~jnz1568/getInfo.php?workbook=08_02.xlsx&amp;sheet=A0&amp;row=900&amp;col=11&amp;number=&amp;sourceID=30","")</f>
        <v/>
      </c>
      <c r="L900" s="4" t="str">
        <f>HYPERLINK("http://141.218.60.56/~jnz1568/getInfo.php?workbook=08_02.xlsx&amp;sheet=A0&amp;row=900&amp;col=12&amp;number=&amp;sourceID=30","")</f>
        <v/>
      </c>
      <c r="M900" s="4" t="str">
        <f>HYPERLINK("http://141.218.60.56/~jnz1568/getInfo.php?workbook=08_02.xlsx&amp;sheet=A0&amp;row=900&amp;col=13&amp;number=0.2012&amp;sourceID=30","0.2012")</f>
        <v>0.2012</v>
      </c>
      <c r="N900" s="4" t="str">
        <f>HYPERLINK("http://141.218.60.56/~jnz1568/getInfo.php?workbook=08_02.xlsx&amp;sheet=A0&amp;row=900&amp;col=14&amp;number=&amp;sourceID=30","")</f>
        <v/>
      </c>
      <c r="O900" s="4" t="str">
        <f>HYPERLINK("http://141.218.60.56/~jnz1568/getInfo.php?workbook=08_02.xlsx&amp;sheet=A0&amp;row=900&amp;col=15&amp;number=&amp;sourceID=32","")</f>
        <v/>
      </c>
      <c r="P900" s="4" t="str">
        <f>HYPERLINK("http://141.218.60.56/~jnz1568/getInfo.php?workbook=08_02.xlsx&amp;sheet=A0&amp;row=900&amp;col=16&amp;number=&amp;sourceID=32","")</f>
        <v/>
      </c>
      <c r="Q900" s="4" t="str">
        <f>HYPERLINK("http://141.218.60.56/~jnz1568/getInfo.php?workbook=08_02.xlsx&amp;sheet=A0&amp;row=900&amp;col=17&amp;number=0.1711&amp;sourceID=32","0.1711")</f>
        <v>0.1711</v>
      </c>
      <c r="R900" s="4" t="str">
        <f>HYPERLINK("http://141.218.60.56/~jnz1568/getInfo.php?workbook=08_02.xlsx&amp;sheet=A0&amp;row=900&amp;col=18&amp;number=&amp;sourceID=32","")</f>
        <v/>
      </c>
      <c r="S900" s="4" t="str">
        <f>HYPERLINK("http://141.218.60.56/~jnz1568/getInfo.php?workbook=08_02.xlsx&amp;sheet=A0&amp;row=900&amp;col=19&amp;number=&amp;sourceID=1","")</f>
        <v/>
      </c>
      <c r="T900" s="4" t="str">
        <f>HYPERLINK("http://141.218.60.56/~jnz1568/getInfo.php?workbook=08_02.xlsx&amp;sheet=A0&amp;row=900&amp;col=20&amp;number=&amp;sourceID=1","")</f>
        <v/>
      </c>
    </row>
    <row r="901" spans="1:20">
      <c r="A901" s="3">
        <v>8</v>
      </c>
      <c r="B901" s="3">
        <v>2</v>
      </c>
      <c r="C901" s="3">
        <v>49</v>
      </c>
      <c r="D901" s="3">
        <v>4</v>
      </c>
      <c r="E901" s="3">
        <f>((1/(INDEX(E0!J$4:J$52,C901,1)-INDEX(E0!J$4:J$52,D901,1))))*100000000</f>
        <v>0</v>
      </c>
      <c r="F901" s="4" t="str">
        <f>HYPERLINK("http://141.218.60.56/~jnz1568/getInfo.php?workbook=08_02.xlsx&amp;sheet=A0&amp;row=901&amp;col=6&amp;number=&amp;sourceID=27","")</f>
        <v/>
      </c>
      <c r="G901" s="4" t="str">
        <f>HYPERLINK("http://141.218.60.56/~jnz1568/getInfo.php?workbook=08_02.xlsx&amp;sheet=A0&amp;row=901&amp;col=7&amp;number=&amp;sourceID=34","")</f>
        <v/>
      </c>
      <c r="H901" s="4" t="str">
        <f>HYPERLINK("http://141.218.60.56/~jnz1568/getInfo.php?workbook=08_02.xlsx&amp;sheet=A0&amp;row=901&amp;col=8&amp;number=&amp;sourceID=34","")</f>
        <v/>
      </c>
      <c r="I901" s="4" t="str">
        <f>HYPERLINK("http://141.218.60.56/~jnz1568/getInfo.php?workbook=08_02.xlsx&amp;sheet=A0&amp;row=901&amp;col=9&amp;number=&amp;sourceID=34","")</f>
        <v/>
      </c>
      <c r="J901" s="4" t="str">
        <f>HYPERLINK("http://141.218.60.56/~jnz1568/getInfo.php?workbook=08_02.xlsx&amp;sheet=A0&amp;row=901&amp;col=10&amp;number=&amp;sourceID=34","")</f>
        <v/>
      </c>
      <c r="K901" s="4" t="str">
        <f>HYPERLINK("http://141.218.60.56/~jnz1568/getInfo.php?workbook=08_02.xlsx&amp;sheet=A0&amp;row=901&amp;col=11&amp;number=&amp;sourceID=30","")</f>
        <v/>
      </c>
      <c r="L901" s="4" t="str">
        <f>HYPERLINK("http://141.218.60.56/~jnz1568/getInfo.php?workbook=08_02.xlsx&amp;sheet=A0&amp;row=901&amp;col=12&amp;number=612.2&amp;sourceID=30","612.2")</f>
        <v>612.2</v>
      </c>
      <c r="M901" s="4" t="str">
        <f>HYPERLINK("http://141.218.60.56/~jnz1568/getInfo.php?workbook=08_02.xlsx&amp;sheet=A0&amp;row=901&amp;col=13&amp;number=0.07425&amp;sourceID=30","0.07425")</f>
        <v>0.07425</v>
      </c>
      <c r="N901" s="4" t="str">
        <f>HYPERLINK("http://141.218.60.56/~jnz1568/getInfo.php?workbook=08_02.xlsx&amp;sheet=A0&amp;row=901&amp;col=14&amp;number=&amp;sourceID=30","")</f>
        <v/>
      </c>
      <c r="O901" s="4" t="str">
        <f>HYPERLINK("http://141.218.60.56/~jnz1568/getInfo.php?workbook=08_02.xlsx&amp;sheet=A0&amp;row=901&amp;col=15&amp;number=&amp;sourceID=32","")</f>
        <v/>
      </c>
      <c r="P901" s="4" t="str">
        <f>HYPERLINK("http://141.218.60.56/~jnz1568/getInfo.php?workbook=08_02.xlsx&amp;sheet=A0&amp;row=901&amp;col=16&amp;number=248.9&amp;sourceID=32","248.9")</f>
        <v>248.9</v>
      </c>
      <c r="Q901" s="4" t="str">
        <f>HYPERLINK("http://141.218.60.56/~jnz1568/getInfo.php?workbook=08_02.xlsx&amp;sheet=A0&amp;row=901&amp;col=17&amp;number=0.1083&amp;sourceID=32","0.1083")</f>
        <v>0.1083</v>
      </c>
      <c r="R901" s="4" t="str">
        <f>HYPERLINK("http://141.218.60.56/~jnz1568/getInfo.php?workbook=08_02.xlsx&amp;sheet=A0&amp;row=901&amp;col=18&amp;number=&amp;sourceID=32","")</f>
        <v/>
      </c>
      <c r="S901" s="4" t="str">
        <f>HYPERLINK("http://141.218.60.56/~jnz1568/getInfo.php?workbook=08_02.xlsx&amp;sheet=A0&amp;row=901&amp;col=19&amp;number=&amp;sourceID=1","")</f>
        <v/>
      </c>
      <c r="T901" s="4" t="str">
        <f>HYPERLINK("http://141.218.60.56/~jnz1568/getInfo.php?workbook=08_02.xlsx&amp;sheet=A0&amp;row=901&amp;col=20&amp;number=&amp;sourceID=1","")</f>
        <v/>
      </c>
    </row>
    <row r="902" spans="1:20">
      <c r="A902" s="3">
        <v>8</v>
      </c>
      <c r="B902" s="3">
        <v>2</v>
      </c>
      <c r="C902" s="3">
        <v>49</v>
      </c>
      <c r="D902" s="3">
        <v>5</v>
      </c>
      <c r="E902" s="3">
        <f>((1/(INDEX(E0!J$4:J$52,C902,1)-INDEX(E0!J$4:J$52,D902,1))))*100000000</f>
        <v>0</v>
      </c>
      <c r="F902" s="4" t="str">
        <f>HYPERLINK("http://141.218.60.56/~jnz1568/getInfo.php?workbook=08_02.xlsx&amp;sheet=A0&amp;row=902&amp;col=6&amp;number=&amp;sourceID=27","")</f>
        <v/>
      </c>
      <c r="G902" s="4" t="str">
        <f>HYPERLINK("http://141.218.60.56/~jnz1568/getInfo.php?workbook=08_02.xlsx&amp;sheet=A0&amp;row=902&amp;col=7&amp;number=&amp;sourceID=34","")</f>
        <v/>
      </c>
      <c r="H902" s="4" t="str">
        <f>HYPERLINK("http://141.218.60.56/~jnz1568/getInfo.php?workbook=08_02.xlsx&amp;sheet=A0&amp;row=902&amp;col=8&amp;number=&amp;sourceID=34","")</f>
        <v/>
      </c>
      <c r="I902" s="4" t="str">
        <f>HYPERLINK("http://141.218.60.56/~jnz1568/getInfo.php?workbook=08_02.xlsx&amp;sheet=A0&amp;row=902&amp;col=9&amp;number=&amp;sourceID=34","")</f>
        <v/>
      </c>
      <c r="J902" s="4" t="str">
        <f>HYPERLINK("http://141.218.60.56/~jnz1568/getInfo.php?workbook=08_02.xlsx&amp;sheet=A0&amp;row=902&amp;col=10&amp;number=&amp;sourceID=34","")</f>
        <v/>
      </c>
      <c r="K902" s="4" t="str">
        <f>HYPERLINK("http://141.218.60.56/~jnz1568/getInfo.php?workbook=08_02.xlsx&amp;sheet=A0&amp;row=902&amp;col=11&amp;number=&amp;sourceID=30","")</f>
        <v/>
      </c>
      <c r="L902" s="4" t="str">
        <f>HYPERLINK("http://141.218.60.56/~jnz1568/getInfo.php?workbook=08_02.xlsx&amp;sheet=A0&amp;row=902&amp;col=12&amp;number=21.27&amp;sourceID=30","21.27")</f>
        <v>21.27</v>
      </c>
      <c r="M902" s="4" t="str">
        <f>HYPERLINK("http://141.218.60.56/~jnz1568/getInfo.php?workbook=08_02.xlsx&amp;sheet=A0&amp;row=902&amp;col=13&amp;number=1.222&amp;sourceID=30","1.222")</f>
        <v>1.222</v>
      </c>
      <c r="N902" s="4" t="str">
        <f>HYPERLINK("http://141.218.60.56/~jnz1568/getInfo.php?workbook=08_02.xlsx&amp;sheet=A0&amp;row=902&amp;col=14&amp;number=&amp;sourceID=30","")</f>
        <v/>
      </c>
      <c r="O902" s="4" t="str">
        <f>HYPERLINK("http://141.218.60.56/~jnz1568/getInfo.php?workbook=08_02.xlsx&amp;sheet=A0&amp;row=902&amp;col=15&amp;number=&amp;sourceID=32","")</f>
        <v/>
      </c>
      <c r="P902" s="4" t="str">
        <f>HYPERLINK("http://141.218.60.56/~jnz1568/getInfo.php?workbook=08_02.xlsx&amp;sheet=A0&amp;row=902&amp;col=16&amp;number=92.02&amp;sourceID=32","92.02")</f>
        <v>92.02</v>
      </c>
      <c r="Q902" s="4" t="str">
        <f>HYPERLINK("http://141.218.60.56/~jnz1568/getInfo.php?workbook=08_02.xlsx&amp;sheet=A0&amp;row=902&amp;col=17&amp;number=0.8619&amp;sourceID=32","0.8619")</f>
        <v>0.8619</v>
      </c>
      <c r="R902" s="4" t="str">
        <f>HYPERLINK("http://141.218.60.56/~jnz1568/getInfo.php?workbook=08_02.xlsx&amp;sheet=A0&amp;row=902&amp;col=18&amp;number=&amp;sourceID=32","")</f>
        <v/>
      </c>
      <c r="S902" s="4" t="str">
        <f>HYPERLINK("http://141.218.60.56/~jnz1568/getInfo.php?workbook=08_02.xlsx&amp;sheet=A0&amp;row=902&amp;col=19&amp;number=&amp;sourceID=1","")</f>
        <v/>
      </c>
      <c r="T902" s="4" t="str">
        <f>HYPERLINK("http://141.218.60.56/~jnz1568/getInfo.php?workbook=08_02.xlsx&amp;sheet=A0&amp;row=902&amp;col=20&amp;number=&amp;sourceID=1","")</f>
        <v/>
      </c>
    </row>
    <row r="903" spans="1:20">
      <c r="A903" s="3">
        <v>8</v>
      </c>
      <c r="B903" s="3">
        <v>2</v>
      </c>
      <c r="C903" s="3">
        <v>49</v>
      </c>
      <c r="D903" s="3">
        <v>6</v>
      </c>
      <c r="E903" s="3">
        <f>((1/(INDEX(E0!J$4:J$52,C903,1)-INDEX(E0!J$4:J$52,D903,1))))*100000000</f>
        <v>0</v>
      </c>
      <c r="F903" s="4" t="str">
        <f>HYPERLINK("http://141.218.60.56/~jnz1568/getInfo.php?workbook=08_02.xlsx&amp;sheet=A0&amp;row=903&amp;col=6&amp;number=&amp;sourceID=27","")</f>
        <v/>
      </c>
      <c r="G903" s="4" t="str">
        <f>HYPERLINK("http://141.218.60.56/~jnz1568/getInfo.php?workbook=08_02.xlsx&amp;sheet=A0&amp;row=903&amp;col=7&amp;number=11650000000&amp;sourceID=34","11650000000")</f>
        <v>11650000000</v>
      </c>
      <c r="H903" s="4" t="str">
        <f>HYPERLINK("http://141.218.60.56/~jnz1568/getInfo.php?workbook=08_02.xlsx&amp;sheet=A0&amp;row=903&amp;col=8&amp;number=&amp;sourceID=34","")</f>
        <v/>
      </c>
      <c r="I903" s="4" t="str">
        <f>HYPERLINK("http://141.218.60.56/~jnz1568/getInfo.php?workbook=08_02.xlsx&amp;sheet=A0&amp;row=903&amp;col=9&amp;number=&amp;sourceID=34","")</f>
        <v/>
      </c>
      <c r="J903" s="4" t="str">
        <f>HYPERLINK("http://141.218.60.56/~jnz1568/getInfo.php?workbook=08_02.xlsx&amp;sheet=A0&amp;row=903&amp;col=10&amp;number=&amp;sourceID=34","")</f>
        <v/>
      </c>
      <c r="K903" s="4" t="str">
        <f>HYPERLINK("http://141.218.60.56/~jnz1568/getInfo.php?workbook=08_02.xlsx&amp;sheet=A0&amp;row=903&amp;col=11&amp;number=18340000000&amp;sourceID=30","18340000000")</f>
        <v>18340000000</v>
      </c>
      <c r="L903" s="4" t="str">
        <f>HYPERLINK("http://141.218.60.56/~jnz1568/getInfo.php?workbook=08_02.xlsx&amp;sheet=A0&amp;row=903&amp;col=12&amp;number=&amp;sourceID=30","")</f>
        <v/>
      </c>
      <c r="M903" s="4" t="str">
        <f>HYPERLINK("http://141.218.60.56/~jnz1568/getInfo.php?workbook=08_02.xlsx&amp;sheet=A0&amp;row=903&amp;col=13&amp;number=&amp;sourceID=30","")</f>
        <v/>
      </c>
      <c r="N903" s="4" t="str">
        <f>HYPERLINK("http://141.218.60.56/~jnz1568/getInfo.php?workbook=08_02.xlsx&amp;sheet=A0&amp;row=903&amp;col=14&amp;number=&amp;sourceID=30","")</f>
        <v/>
      </c>
      <c r="O903" s="4" t="str">
        <f>HYPERLINK("http://141.218.60.56/~jnz1568/getInfo.php?workbook=08_02.xlsx&amp;sheet=A0&amp;row=903&amp;col=15&amp;number=11630000000&amp;sourceID=32","11630000000")</f>
        <v>11630000000</v>
      </c>
      <c r="P903" s="4" t="str">
        <f>HYPERLINK("http://141.218.60.56/~jnz1568/getInfo.php?workbook=08_02.xlsx&amp;sheet=A0&amp;row=903&amp;col=16&amp;number=&amp;sourceID=32","")</f>
        <v/>
      </c>
      <c r="Q903" s="4" t="str">
        <f>HYPERLINK("http://141.218.60.56/~jnz1568/getInfo.php?workbook=08_02.xlsx&amp;sheet=A0&amp;row=903&amp;col=17&amp;number=&amp;sourceID=32","")</f>
        <v/>
      </c>
      <c r="R903" s="4" t="str">
        <f>HYPERLINK("http://141.218.60.56/~jnz1568/getInfo.php?workbook=08_02.xlsx&amp;sheet=A0&amp;row=903&amp;col=18&amp;number=&amp;sourceID=32","")</f>
        <v/>
      </c>
      <c r="S903" s="4" t="str">
        <f>HYPERLINK("http://141.218.60.56/~jnz1568/getInfo.php?workbook=08_02.xlsx&amp;sheet=A0&amp;row=903&amp;col=19&amp;number=&amp;sourceID=1","")</f>
        <v/>
      </c>
      <c r="T903" s="4" t="str">
        <f>HYPERLINK("http://141.218.60.56/~jnz1568/getInfo.php?workbook=08_02.xlsx&amp;sheet=A0&amp;row=903&amp;col=20&amp;number=&amp;sourceID=1","")</f>
        <v/>
      </c>
    </row>
    <row r="904" spans="1:20">
      <c r="A904" s="3">
        <v>8</v>
      </c>
      <c r="B904" s="3">
        <v>2</v>
      </c>
      <c r="C904" s="3">
        <v>49</v>
      </c>
      <c r="D904" s="3">
        <v>7</v>
      </c>
      <c r="E904" s="3">
        <f>((1/(INDEX(E0!J$4:J$52,C904,1)-INDEX(E0!J$4:J$52,D904,1))))*100000000</f>
        <v>0</v>
      </c>
      <c r="F904" s="4" t="str">
        <f>HYPERLINK("http://141.218.60.56/~jnz1568/getInfo.php?workbook=08_02.xlsx&amp;sheet=A0&amp;row=904&amp;col=6&amp;number=&amp;sourceID=27","")</f>
        <v/>
      </c>
      <c r="G904" s="4" t="str">
        <f>HYPERLINK("http://141.218.60.56/~jnz1568/getInfo.php?workbook=08_02.xlsx&amp;sheet=A0&amp;row=904&amp;col=7&amp;number=&amp;sourceID=34","")</f>
        <v/>
      </c>
      <c r="H904" s="4" t="str">
        <f>HYPERLINK("http://141.218.60.56/~jnz1568/getInfo.php?workbook=08_02.xlsx&amp;sheet=A0&amp;row=904&amp;col=8&amp;number=&amp;sourceID=34","")</f>
        <v/>
      </c>
      <c r="I904" s="4" t="str">
        <f>HYPERLINK("http://141.218.60.56/~jnz1568/getInfo.php?workbook=08_02.xlsx&amp;sheet=A0&amp;row=904&amp;col=9&amp;number=&amp;sourceID=34","")</f>
        <v/>
      </c>
      <c r="J904" s="4" t="str">
        <f>HYPERLINK("http://141.218.60.56/~jnz1568/getInfo.php?workbook=08_02.xlsx&amp;sheet=A0&amp;row=904&amp;col=10&amp;number=&amp;sourceID=34","")</f>
        <v/>
      </c>
      <c r="K904" s="4" t="str">
        <f>HYPERLINK("http://141.218.60.56/~jnz1568/getInfo.php?workbook=08_02.xlsx&amp;sheet=A0&amp;row=904&amp;col=11&amp;number=&amp;sourceID=30","")</f>
        <v/>
      </c>
      <c r="L904" s="4" t="str">
        <f>HYPERLINK("http://141.218.60.56/~jnz1568/getInfo.php?workbook=08_02.xlsx&amp;sheet=A0&amp;row=904&amp;col=12&amp;number=3508000&amp;sourceID=30","3508000")</f>
        <v>3508000</v>
      </c>
      <c r="M904" s="4" t="str">
        <f>HYPERLINK("http://141.218.60.56/~jnz1568/getInfo.php?workbook=08_02.xlsx&amp;sheet=A0&amp;row=904&amp;col=13&amp;number=0.1135&amp;sourceID=30","0.1135")</f>
        <v>0.1135</v>
      </c>
      <c r="N904" s="4" t="str">
        <f>HYPERLINK("http://141.218.60.56/~jnz1568/getInfo.php?workbook=08_02.xlsx&amp;sheet=A0&amp;row=904&amp;col=14&amp;number=&amp;sourceID=30","")</f>
        <v/>
      </c>
      <c r="O904" s="4" t="str">
        <f>HYPERLINK("http://141.218.60.56/~jnz1568/getInfo.php?workbook=08_02.xlsx&amp;sheet=A0&amp;row=904&amp;col=15&amp;number=&amp;sourceID=32","")</f>
        <v/>
      </c>
      <c r="P904" s="4" t="str">
        <f>HYPERLINK("http://141.218.60.56/~jnz1568/getInfo.php?workbook=08_02.xlsx&amp;sheet=A0&amp;row=904&amp;col=16&amp;number=607700&amp;sourceID=32","607700")</f>
        <v>607700</v>
      </c>
      <c r="Q904" s="4" t="str">
        <f>HYPERLINK("http://141.218.60.56/~jnz1568/getInfo.php?workbook=08_02.xlsx&amp;sheet=A0&amp;row=904&amp;col=17&amp;number=0.18&amp;sourceID=32","0.18")</f>
        <v>0.18</v>
      </c>
      <c r="R904" s="4" t="str">
        <f>HYPERLINK("http://141.218.60.56/~jnz1568/getInfo.php?workbook=08_02.xlsx&amp;sheet=A0&amp;row=904&amp;col=18&amp;number=&amp;sourceID=32","")</f>
        <v/>
      </c>
      <c r="S904" s="4" t="str">
        <f>HYPERLINK("http://141.218.60.56/~jnz1568/getInfo.php?workbook=08_02.xlsx&amp;sheet=A0&amp;row=904&amp;col=19&amp;number=&amp;sourceID=1","")</f>
        <v/>
      </c>
      <c r="T904" s="4" t="str">
        <f>HYPERLINK("http://141.218.60.56/~jnz1568/getInfo.php?workbook=08_02.xlsx&amp;sheet=A0&amp;row=904&amp;col=20&amp;number=&amp;sourceID=1","")</f>
        <v/>
      </c>
    </row>
    <row r="905" spans="1:20">
      <c r="A905" s="3">
        <v>8</v>
      </c>
      <c r="B905" s="3">
        <v>2</v>
      </c>
      <c r="C905" s="3">
        <v>49</v>
      </c>
      <c r="D905" s="3">
        <v>8</v>
      </c>
      <c r="E905" s="3">
        <f>((1/(INDEX(E0!J$4:J$52,C905,1)-INDEX(E0!J$4:J$52,D905,1))))*100000000</f>
        <v>0</v>
      </c>
      <c r="F905" s="4" t="str">
        <f>HYPERLINK("http://141.218.60.56/~jnz1568/getInfo.php?workbook=08_02.xlsx&amp;sheet=A0&amp;row=905&amp;col=6&amp;number=&amp;sourceID=27","")</f>
        <v/>
      </c>
      <c r="G905" s="4" t="str">
        <f>HYPERLINK("http://141.218.60.56/~jnz1568/getInfo.php?workbook=08_02.xlsx&amp;sheet=A0&amp;row=905&amp;col=7&amp;number=&amp;sourceID=34","")</f>
        <v/>
      </c>
      <c r="H905" s="4" t="str">
        <f>HYPERLINK("http://141.218.60.56/~jnz1568/getInfo.php?workbook=08_02.xlsx&amp;sheet=A0&amp;row=905&amp;col=8&amp;number=&amp;sourceID=34","")</f>
        <v/>
      </c>
      <c r="I905" s="4" t="str">
        <f>HYPERLINK("http://141.218.60.56/~jnz1568/getInfo.php?workbook=08_02.xlsx&amp;sheet=A0&amp;row=905&amp;col=9&amp;number=&amp;sourceID=34","")</f>
        <v/>
      </c>
      <c r="J905" s="4" t="str">
        <f>HYPERLINK("http://141.218.60.56/~jnz1568/getInfo.php?workbook=08_02.xlsx&amp;sheet=A0&amp;row=905&amp;col=10&amp;number=&amp;sourceID=34","")</f>
        <v/>
      </c>
      <c r="K905" s="4" t="str">
        <f>HYPERLINK("http://141.218.60.56/~jnz1568/getInfo.php?workbook=08_02.xlsx&amp;sheet=A0&amp;row=905&amp;col=11&amp;number=481500&amp;sourceID=30","481500")</f>
        <v>481500</v>
      </c>
      <c r="L905" s="4" t="str">
        <f>HYPERLINK("http://141.218.60.56/~jnz1568/getInfo.php?workbook=08_02.xlsx&amp;sheet=A0&amp;row=905&amp;col=12&amp;number=&amp;sourceID=30","")</f>
        <v/>
      </c>
      <c r="M905" s="4" t="str">
        <f>HYPERLINK("http://141.218.60.56/~jnz1568/getInfo.php?workbook=08_02.xlsx&amp;sheet=A0&amp;row=905&amp;col=13&amp;number=&amp;sourceID=30","")</f>
        <v/>
      </c>
      <c r="N905" s="4" t="str">
        <f>HYPERLINK("http://141.218.60.56/~jnz1568/getInfo.php?workbook=08_02.xlsx&amp;sheet=A0&amp;row=905&amp;col=14&amp;number=4.227&amp;sourceID=30","4.227")</f>
        <v>4.227</v>
      </c>
      <c r="O905" s="4" t="str">
        <f>HYPERLINK("http://141.218.60.56/~jnz1568/getInfo.php?workbook=08_02.xlsx&amp;sheet=A0&amp;row=905&amp;col=15&amp;number=600500&amp;sourceID=32","600500")</f>
        <v>600500</v>
      </c>
      <c r="P905" s="4" t="str">
        <f>HYPERLINK("http://141.218.60.56/~jnz1568/getInfo.php?workbook=08_02.xlsx&amp;sheet=A0&amp;row=905&amp;col=16&amp;number=&amp;sourceID=32","")</f>
        <v/>
      </c>
      <c r="Q905" s="4" t="str">
        <f>HYPERLINK("http://141.218.60.56/~jnz1568/getInfo.php?workbook=08_02.xlsx&amp;sheet=A0&amp;row=905&amp;col=17&amp;number=&amp;sourceID=32","")</f>
        <v/>
      </c>
      <c r="R905" s="4" t="str">
        <f>HYPERLINK("http://141.218.60.56/~jnz1568/getInfo.php?workbook=08_02.xlsx&amp;sheet=A0&amp;row=905&amp;col=18&amp;number=4.126&amp;sourceID=32","4.126")</f>
        <v>4.126</v>
      </c>
      <c r="S905" s="4" t="str">
        <f>HYPERLINK("http://141.218.60.56/~jnz1568/getInfo.php?workbook=08_02.xlsx&amp;sheet=A0&amp;row=905&amp;col=19&amp;number=&amp;sourceID=1","")</f>
        <v/>
      </c>
      <c r="T905" s="4" t="str">
        <f>HYPERLINK("http://141.218.60.56/~jnz1568/getInfo.php?workbook=08_02.xlsx&amp;sheet=A0&amp;row=905&amp;col=20&amp;number=&amp;sourceID=1","")</f>
        <v/>
      </c>
    </row>
    <row r="906" spans="1:20">
      <c r="A906" s="3">
        <v>8</v>
      </c>
      <c r="B906" s="3">
        <v>2</v>
      </c>
      <c r="C906" s="3">
        <v>49</v>
      </c>
      <c r="D906" s="3">
        <v>9</v>
      </c>
      <c r="E906" s="3">
        <f>((1/(INDEX(E0!J$4:J$52,C906,1)-INDEX(E0!J$4:J$52,D906,1))))*100000000</f>
        <v>0</v>
      </c>
      <c r="F906" s="4" t="str">
        <f>HYPERLINK("http://141.218.60.56/~jnz1568/getInfo.php?workbook=08_02.xlsx&amp;sheet=A0&amp;row=906&amp;col=6&amp;number=&amp;sourceID=27","")</f>
        <v/>
      </c>
      <c r="G906" s="4" t="str">
        <f>HYPERLINK("http://141.218.60.56/~jnz1568/getInfo.php?workbook=08_02.xlsx&amp;sheet=A0&amp;row=906&amp;col=7&amp;number=&amp;sourceID=34","")</f>
        <v/>
      </c>
      <c r="H906" s="4" t="str">
        <f>HYPERLINK("http://141.218.60.56/~jnz1568/getInfo.php?workbook=08_02.xlsx&amp;sheet=A0&amp;row=906&amp;col=8&amp;number=&amp;sourceID=34","")</f>
        <v/>
      </c>
      <c r="I906" s="4" t="str">
        <f>HYPERLINK("http://141.218.60.56/~jnz1568/getInfo.php?workbook=08_02.xlsx&amp;sheet=A0&amp;row=906&amp;col=9&amp;number=&amp;sourceID=34","")</f>
        <v/>
      </c>
      <c r="J906" s="4" t="str">
        <f>HYPERLINK("http://141.218.60.56/~jnz1568/getInfo.php?workbook=08_02.xlsx&amp;sheet=A0&amp;row=906&amp;col=10&amp;number=&amp;sourceID=34","")</f>
        <v/>
      </c>
      <c r="K906" s="4" t="str">
        <f>HYPERLINK("http://141.218.60.56/~jnz1568/getInfo.php?workbook=08_02.xlsx&amp;sheet=A0&amp;row=906&amp;col=11&amp;number=&amp;sourceID=30","")</f>
        <v/>
      </c>
      <c r="L906" s="4" t="str">
        <f>HYPERLINK("http://141.218.60.56/~jnz1568/getInfo.php?workbook=08_02.xlsx&amp;sheet=A0&amp;row=906&amp;col=12&amp;number=&amp;sourceID=30","")</f>
        <v/>
      </c>
      <c r="M906" s="4" t="str">
        <f>HYPERLINK("http://141.218.60.56/~jnz1568/getInfo.php?workbook=08_02.xlsx&amp;sheet=A0&amp;row=906&amp;col=13&amp;number=0.03309&amp;sourceID=30","0.03309")</f>
        <v>0.03309</v>
      </c>
      <c r="N906" s="4" t="str">
        <f>HYPERLINK("http://141.218.60.56/~jnz1568/getInfo.php?workbook=08_02.xlsx&amp;sheet=A0&amp;row=906&amp;col=14&amp;number=&amp;sourceID=30","")</f>
        <v/>
      </c>
      <c r="O906" s="4" t="str">
        <f>HYPERLINK("http://141.218.60.56/~jnz1568/getInfo.php?workbook=08_02.xlsx&amp;sheet=A0&amp;row=906&amp;col=15&amp;number=&amp;sourceID=32","")</f>
        <v/>
      </c>
      <c r="P906" s="4" t="str">
        <f>HYPERLINK("http://141.218.60.56/~jnz1568/getInfo.php?workbook=08_02.xlsx&amp;sheet=A0&amp;row=906&amp;col=16&amp;number=&amp;sourceID=32","")</f>
        <v/>
      </c>
      <c r="Q906" s="4" t="str">
        <f>HYPERLINK("http://141.218.60.56/~jnz1568/getInfo.php?workbook=08_02.xlsx&amp;sheet=A0&amp;row=906&amp;col=17&amp;number=0.02813&amp;sourceID=32","0.02813")</f>
        <v>0.02813</v>
      </c>
      <c r="R906" s="4" t="str">
        <f>HYPERLINK("http://141.218.60.56/~jnz1568/getInfo.php?workbook=08_02.xlsx&amp;sheet=A0&amp;row=906&amp;col=18&amp;number=&amp;sourceID=32","")</f>
        <v/>
      </c>
      <c r="S906" s="4" t="str">
        <f>HYPERLINK("http://141.218.60.56/~jnz1568/getInfo.php?workbook=08_02.xlsx&amp;sheet=A0&amp;row=906&amp;col=19&amp;number=&amp;sourceID=1","")</f>
        <v/>
      </c>
      <c r="T906" s="4" t="str">
        <f>HYPERLINK("http://141.218.60.56/~jnz1568/getInfo.php?workbook=08_02.xlsx&amp;sheet=A0&amp;row=906&amp;col=20&amp;number=&amp;sourceID=1","")</f>
        <v/>
      </c>
    </row>
    <row r="907" spans="1:20">
      <c r="A907" s="3">
        <v>8</v>
      </c>
      <c r="B907" s="3">
        <v>2</v>
      </c>
      <c r="C907" s="3">
        <v>49</v>
      </c>
      <c r="D907" s="3">
        <v>10</v>
      </c>
      <c r="E907" s="3">
        <f>((1/(INDEX(E0!J$4:J$52,C907,1)-INDEX(E0!J$4:J$52,D907,1))))*100000000</f>
        <v>0</v>
      </c>
      <c r="F907" s="4" t="str">
        <f>HYPERLINK("http://141.218.60.56/~jnz1568/getInfo.php?workbook=08_02.xlsx&amp;sheet=A0&amp;row=907&amp;col=6&amp;number=&amp;sourceID=27","")</f>
        <v/>
      </c>
      <c r="G907" s="4" t="str">
        <f>HYPERLINK("http://141.218.60.56/~jnz1568/getInfo.php?workbook=08_02.xlsx&amp;sheet=A0&amp;row=907&amp;col=7&amp;number=&amp;sourceID=34","")</f>
        <v/>
      </c>
      <c r="H907" s="4" t="str">
        <f>HYPERLINK("http://141.218.60.56/~jnz1568/getInfo.php?workbook=08_02.xlsx&amp;sheet=A0&amp;row=907&amp;col=8&amp;number=&amp;sourceID=34","")</f>
        <v/>
      </c>
      <c r="I907" s="4" t="str">
        <f>HYPERLINK("http://141.218.60.56/~jnz1568/getInfo.php?workbook=08_02.xlsx&amp;sheet=A0&amp;row=907&amp;col=9&amp;number=&amp;sourceID=34","")</f>
        <v/>
      </c>
      <c r="J907" s="4" t="str">
        <f>HYPERLINK("http://141.218.60.56/~jnz1568/getInfo.php?workbook=08_02.xlsx&amp;sheet=A0&amp;row=907&amp;col=10&amp;number=&amp;sourceID=34","")</f>
        <v/>
      </c>
      <c r="K907" s="4" t="str">
        <f>HYPERLINK("http://141.218.60.56/~jnz1568/getInfo.php?workbook=08_02.xlsx&amp;sheet=A0&amp;row=907&amp;col=11&amp;number=&amp;sourceID=30","")</f>
        <v/>
      </c>
      <c r="L907" s="4" t="str">
        <f>HYPERLINK("http://141.218.60.56/~jnz1568/getInfo.php?workbook=08_02.xlsx&amp;sheet=A0&amp;row=907&amp;col=12&amp;number=81.56&amp;sourceID=30","81.56")</f>
        <v>81.56</v>
      </c>
      <c r="M907" s="4" t="str">
        <f>HYPERLINK("http://141.218.60.56/~jnz1568/getInfo.php?workbook=08_02.xlsx&amp;sheet=A0&amp;row=907&amp;col=13&amp;number=0.02272&amp;sourceID=30","0.02272")</f>
        <v>0.02272</v>
      </c>
      <c r="N907" s="4" t="str">
        <f>HYPERLINK("http://141.218.60.56/~jnz1568/getInfo.php?workbook=08_02.xlsx&amp;sheet=A0&amp;row=907&amp;col=14&amp;number=&amp;sourceID=30","")</f>
        <v/>
      </c>
      <c r="O907" s="4" t="str">
        <f>HYPERLINK("http://141.218.60.56/~jnz1568/getInfo.php?workbook=08_02.xlsx&amp;sheet=A0&amp;row=907&amp;col=15&amp;number=&amp;sourceID=32","")</f>
        <v/>
      </c>
      <c r="P907" s="4" t="str">
        <f>HYPERLINK("http://141.218.60.56/~jnz1568/getInfo.php?workbook=08_02.xlsx&amp;sheet=A0&amp;row=907&amp;col=16&amp;number=69.79&amp;sourceID=32","69.79")</f>
        <v>69.79</v>
      </c>
      <c r="Q907" s="4" t="str">
        <f>HYPERLINK("http://141.218.60.56/~jnz1568/getInfo.php?workbook=08_02.xlsx&amp;sheet=A0&amp;row=907&amp;col=17&amp;number=0.02101&amp;sourceID=32","0.02101")</f>
        <v>0.02101</v>
      </c>
      <c r="R907" s="4" t="str">
        <f>HYPERLINK("http://141.218.60.56/~jnz1568/getInfo.php?workbook=08_02.xlsx&amp;sheet=A0&amp;row=907&amp;col=18&amp;number=&amp;sourceID=32","")</f>
        <v/>
      </c>
      <c r="S907" s="4" t="str">
        <f>HYPERLINK("http://141.218.60.56/~jnz1568/getInfo.php?workbook=08_02.xlsx&amp;sheet=A0&amp;row=907&amp;col=19&amp;number=&amp;sourceID=1","")</f>
        <v/>
      </c>
      <c r="T907" s="4" t="str">
        <f>HYPERLINK("http://141.218.60.56/~jnz1568/getInfo.php?workbook=08_02.xlsx&amp;sheet=A0&amp;row=907&amp;col=20&amp;number=&amp;sourceID=1","")</f>
        <v/>
      </c>
    </row>
    <row r="908" spans="1:20">
      <c r="A908" s="3">
        <v>8</v>
      </c>
      <c r="B908" s="3">
        <v>2</v>
      </c>
      <c r="C908" s="3">
        <v>49</v>
      </c>
      <c r="D908" s="3">
        <v>11</v>
      </c>
      <c r="E908" s="3">
        <f>((1/(INDEX(E0!J$4:J$52,C908,1)-INDEX(E0!J$4:J$52,D908,1))))*100000000</f>
        <v>0</v>
      </c>
      <c r="F908" s="4" t="str">
        <f>HYPERLINK("http://141.218.60.56/~jnz1568/getInfo.php?workbook=08_02.xlsx&amp;sheet=A0&amp;row=908&amp;col=6&amp;number=&amp;sourceID=27","")</f>
        <v/>
      </c>
      <c r="G908" s="4" t="str">
        <f>HYPERLINK("http://141.218.60.56/~jnz1568/getInfo.php?workbook=08_02.xlsx&amp;sheet=A0&amp;row=908&amp;col=7&amp;number=&amp;sourceID=34","")</f>
        <v/>
      </c>
      <c r="H908" s="4" t="str">
        <f>HYPERLINK("http://141.218.60.56/~jnz1568/getInfo.php?workbook=08_02.xlsx&amp;sheet=A0&amp;row=908&amp;col=8&amp;number=&amp;sourceID=34","")</f>
        <v/>
      </c>
      <c r="I908" s="4" t="str">
        <f>HYPERLINK("http://141.218.60.56/~jnz1568/getInfo.php?workbook=08_02.xlsx&amp;sheet=A0&amp;row=908&amp;col=9&amp;number=&amp;sourceID=34","")</f>
        <v/>
      </c>
      <c r="J908" s="4" t="str">
        <f>HYPERLINK("http://141.218.60.56/~jnz1568/getInfo.php?workbook=08_02.xlsx&amp;sheet=A0&amp;row=908&amp;col=10&amp;number=&amp;sourceID=34","")</f>
        <v/>
      </c>
      <c r="K908" s="4" t="str">
        <f>HYPERLINK("http://141.218.60.56/~jnz1568/getInfo.php?workbook=08_02.xlsx&amp;sheet=A0&amp;row=908&amp;col=11&amp;number=&amp;sourceID=30","")</f>
        <v/>
      </c>
      <c r="L908" s="4" t="str">
        <f>HYPERLINK("http://141.218.60.56/~jnz1568/getInfo.php?workbook=08_02.xlsx&amp;sheet=A0&amp;row=908&amp;col=12&amp;number=17.67&amp;sourceID=30","17.67")</f>
        <v>17.67</v>
      </c>
      <c r="M908" s="4" t="str">
        <f>HYPERLINK("http://141.218.60.56/~jnz1568/getInfo.php?workbook=08_02.xlsx&amp;sheet=A0&amp;row=908&amp;col=13&amp;number=0.07345&amp;sourceID=30","0.07345")</f>
        <v>0.07345</v>
      </c>
      <c r="N908" s="4" t="str">
        <f>HYPERLINK("http://141.218.60.56/~jnz1568/getInfo.php?workbook=08_02.xlsx&amp;sheet=A0&amp;row=908&amp;col=14&amp;number=&amp;sourceID=30","")</f>
        <v/>
      </c>
      <c r="O908" s="4" t="str">
        <f>HYPERLINK("http://141.218.60.56/~jnz1568/getInfo.php?workbook=08_02.xlsx&amp;sheet=A0&amp;row=908&amp;col=15&amp;number=&amp;sourceID=32","")</f>
        <v/>
      </c>
      <c r="P908" s="4" t="str">
        <f>HYPERLINK("http://141.218.60.56/~jnz1568/getInfo.php?workbook=08_02.xlsx&amp;sheet=A0&amp;row=908&amp;col=16&amp;number=24.18&amp;sourceID=32","24.18")</f>
        <v>24.18</v>
      </c>
      <c r="Q908" s="4" t="str">
        <f>HYPERLINK("http://141.218.60.56/~jnz1568/getInfo.php?workbook=08_02.xlsx&amp;sheet=A0&amp;row=908&amp;col=17&amp;number=0.06086&amp;sourceID=32","0.06086")</f>
        <v>0.06086</v>
      </c>
      <c r="R908" s="4" t="str">
        <f>HYPERLINK("http://141.218.60.56/~jnz1568/getInfo.php?workbook=08_02.xlsx&amp;sheet=A0&amp;row=908&amp;col=18&amp;number=&amp;sourceID=32","")</f>
        <v/>
      </c>
      <c r="S908" s="4" t="str">
        <f>HYPERLINK("http://141.218.60.56/~jnz1568/getInfo.php?workbook=08_02.xlsx&amp;sheet=A0&amp;row=908&amp;col=19&amp;number=&amp;sourceID=1","")</f>
        <v/>
      </c>
      <c r="T908" s="4" t="str">
        <f>HYPERLINK("http://141.218.60.56/~jnz1568/getInfo.php?workbook=08_02.xlsx&amp;sheet=A0&amp;row=908&amp;col=20&amp;number=&amp;sourceID=1","")</f>
        <v/>
      </c>
    </row>
    <row r="909" spans="1:20">
      <c r="A909" s="3">
        <v>8</v>
      </c>
      <c r="B909" s="3">
        <v>2</v>
      </c>
      <c r="C909" s="3">
        <v>49</v>
      </c>
      <c r="D909" s="3">
        <v>12</v>
      </c>
      <c r="E909" s="3">
        <f>((1/(INDEX(E0!J$4:J$52,C909,1)-INDEX(E0!J$4:J$52,D909,1))))*100000000</f>
        <v>0</v>
      </c>
      <c r="F909" s="4" t="str">
        <f>HYPERLINK("http://141.218.60.56/~jnz1568/getInfo.php?workbook=08_02.xlsx&amp;sheet=A0&amp;row=909&amp;col=6&amp;number=&amp;sourceID=27","")</f>
        <v/>
      </c>
      <c r="G909" s="4" t="str">
        <f>HYPERLINK("http://141.218.60.56/~jnz1568/getInfo.php?workbook=08_02.xlsx&amp;sheet=A0&amp;row=909&amp;col=7&amp;number=3683333333.33&amp;sourceID=34","3683333333.33")</f>
        <v>3683333333.33</v>
      </c>
      <c r="H909" s="4" t="str">
        <f>HYPERLINK("http://141.218.60.56/~jnz1568/getInfo.php?workbook=08_02.xlsx&amp;sheet=A0&amp;row=909&amp;col=8&amp;number=&amp;sourceID=34","")</f>
        <v/>
      </c>
      <c r="I909" s="4" t="str">
        <f>HYPERLINK("http://141.218.60.56/~jnz1568/getInfo.php?workbook=08_02.xlsx&amp;sheet=A0&amp;row=909&amp;col=9&amp;number=&amp;sourceID=34","")</f>
        <v/>
      </c>
      <c r="J909" s="4" t="str">
        <f>HYPERLINK("http://141.218.60.56/~jnz1568/getInfo.php?workbook=08_02.xlsx&amp;sheet=A0&amp;row=909&amp;col=10&amp;number=&amp;sourceID=34","")</f>
        <v/>
      </c>
      <c r="K909" s="4" t="str">
        <f>HYPERLINK("http://141.218.60.56/~jnz1568/getInfo.php?workbook=08_02.xlsx&amp;sheet=A0&amp;row=909&amp;col=11&amp;number=4713000000&amp;sourceID=30","4713000000")</f>
        <v>4713000000</v>
      </c>
      <c r="L909" s="4" t="str">
        <f>HYPERLINK("http://141.218.60.56/~jnz1568/getInfo.php?workbook=08_02.xlsx&amp;sheet=A0&amp;row=909&amp;col=12&amp;number=&amp;sourceID=30","")</f>
        <v/>
      </c>
      <c r="M909" s="4" t="str">
        <f>HYPERLINK("http://141.218.60.56/~jnz1568/getInfo.php?workbook=08_02.xlsx&amp;sheet=A0&amp;row=909&amp;col=13&amp;number=&amp;sourceID=30","")</f>
        <v/>
      </c>
      <c r="N909" s="4" t="str">
        <f>HYPERLINK("http://141.218.60.56/~jnz1568/getInfo.php?workbook=08_02.xlsx&amp;sheet=A0&amp;row=909&amp;col=14&amp;number=&amp;sourceID=30","")</f>
        <v/>
      </c>
      <c r="O909" s="4" t="str">
        <f>HYPERLINK("http://141.218.60.56/~jnz1568/getInfo.php?workbook=08_02.xlsx&amp;sheet=A0&amp;row=909&amp;col=15&amp;number=3681000000&amp;sourceID=32","3681000000")</f>
        <v>3681000000</v>
      </c>
      <c r="P909" s="4" t="str">
        <f>HYPERLINK("http://141.218.60.56/~jnz1568/getInfo.php?workbook=08_02.xlsx&amp;sheet=A0&amp;row=909&amp;col=16&amp;number=&amp;sourceID=32","")</f>
        <v/>
      </c>
      <c r="Q909" s="4" t="str">
        <f>HYPERLINK("http://141.218.60.56/~jnz1568/getInfo.php?workbook=08_02.xlsx&amp;sheet=A0&amp;row=909&amp;col=17&amp;number=&amp;sourceID=32","")</f>
        <v/>
      </c>
      <c r="R909" s="4" t="str">
        <f>HYPERLINK("http://141.218.60.56/~jnz1568/getInfo.php?workbook=08_02.xlsx&amp;sheet=A0&amp;row=909&amp;col=18&amp;number=&amp;sourceID=32","")</f>
        <v/>
      </c>
      <c r="S909" s="4" t="str">
        <f>HYPERLINK("http://141.218.60.56/~jnz1568/getInfo.php?workbook=08_02.xlsx&amp;sheet=A0&amp;row=909&amp;col=19&amp;number=&amp;sourceID=1","")</f>
        <v/>
      </c>
      <c r="T909" s="4" t="str">
        <f>HYPERLINK("http://141.218.60.56/~jnz1568/getInfo.php?workbook=08_02.xlsx&amp;sheet=A0&amp;row=909&amp;col=20&amp;number=&amp;sourceID=1","")</f>
        <v/>
      </c>
    </row>
    <row r="910" spans="1:20">
      <c r="A910" s="3">
        <v>8</v>
      </c>
      <c r="B910" s="3">
        <v>2</v>
      </c>
      <c r="C910" s="3">
        <v>49</v>
      </c>
      <c r="D910" s="3">
        <v>13</v>
      </c>
      <c r="E910" s="3">
        <f>((1/(INDEX(E0!J$4:J$52,C910,1)-INDEX(E0!J$4:J$52,D910,1))))*100000000</f>
        <v>0</v>
      </c>
      <c r="F910" s="4" t="str">
        <f>HYPERLINK("http://141.218.60.56/~jnz1568/getInfo.php?workbook=08_02.xlsx&amp;sheet=A0&amp;row=910&amp;col=6&amp;number=&amp;sourceID=27","")</f>
        <v/>
      </c>
      <c r="G910" s="4" t="str">
        <f>HYPERLINK("http://141.218.60.56/~jnz1568/getInfo.php?workbook=08_02.xlsx&amp;sheet=A0&amp;row=910&amp;col=7&amp;number=&amp;sourceID=34","")</f>
        <v/>
      </c>
      <c r="H910" s="4" t="str">
        <f>HYPERLINK("http://141.218.60.56/~jnz1568/getInfo.php?workbook=08_02.xlsx&amp;sheet=A0&amp;row=910&amp;col=8&amp;number=&amp;sourceID=34","")</f>
        <v/>
      </c>
      <c r="I910" s="4" t="str">
        <f>HYPERLINK("http://141.218.60.56/~jnz1568/getInfo.php?workbook=08_02.xlsx&amp;sheet=A0&amp;row=910&amp;col=9&amp;number=&amp;sourceID=34","")</f>
        <v/>
      </c>
      <c r="J910" s="4" t="str">
        <f>HYPERLINK("http://141.218.60.56/~jnz1568/getInfo.php?workbook=08_02.xlsx&amp;sheet=A0&amp;row=910&amp;col=10&amp;number=&amp;sourceID=34","")</f>
        <v/>
      </c>
      <c r="K910" s="4" t="str">
        <f>HYPERLINK("http://141.218.60.56/~jnz1568/getInfo.php?workbook=08_02.xlsx&amp;sheet=A0&amp;row=910&amp;col=11&amp;number=12240&amp;sourceID=30","12240")</f>
        <v>12240</v>
      </c>
      <c r="L910" s="4" t="str">
        <f>HYPERLINK("http://141.218.60.56/~jnz1568/getInfo.php?workbook=08_02.xlsx&amp;sheet=A0&amp;row=910&amp;col=12&amp;number=&amp;sourceID=30","")</f>
        <v/>
      </c>
      <c r="M910" s="4" t="str">
        <f>HYPERLINK("http://141.218.60.56/~jnz1568/getInfo.php?workbook=08_02.xlsx&amp;sheet=A0&amp;row=910&amp;col=13&amp;number=&amp;sourceID=30","")</f>
        <v/>
      </c>
      <c r="N910" s="4" t="str">
        <f>HYPERLINK("http://141.218.60.56/~jnz1568/getInfo.php?workbook=08_02.xlsx&amp;sheet=A0&amp;row=910&amp;col=14&amp;number=0.003519&amp;sourceID=30","0.003519")</f>
        <v>0.003519</v>
      </c>
      <c r="O910" s="4" t="str">
        <f>HYPERLINK("http://141.218.60.56/~jnz1568/getInfo.php?workbook=08_02.xlsx&amp;sheet=A0&amp;row=910&amp;col=15&amp;number=15040&amp;sourceID=32","15040")</f>
        <v>15040</v>
      </c>
      <c r="P910" s="4" t="str">
        <f>HYPERLINK("http://141.218.60.56/~jnz1568/getInfo.php?workbook=08_02.xlsx&amp;sheet=A0&amp;row=910&amp;col=16&amp;number=&amp;sourceID=32","")</f>
        <v/>
      </c>
      <c r="Q910" s="4" t="str">
        <f>HYPERLINK("http://141.218.60.56/~jnz1568/getInfo.php?workbook=08_02.xlsx&amp;sheet=A0&amp;row=910&amp;col=17&amp;number=&amp;sourceID=32","")</f>
        <v/>
      </c>
      <c r="R910" s="4" t="str">
        <f>HYPERLINK("http://141.218.60.56/~jnz1568/getInfo.php?workbook=08_02.xlsx&amp;sheet=A0&amp;row=910&amp;col=18&amp;number=0.003398&amp;sourceID=32","0.003398")</f>
        <v>0.003398</v>
      </c>
      <c r="S910" s="4" t="str">
        <f>HYPERLINK("http://141.218.60.56/~jnz1568/getInfo.php?workbook=08_02.xlsx&amp;sheet=A0&amp;row=910&amp;col=19&amp;number=&amp;sourceID=1","")</f>
        <v/>
      </c>
      <c r="T910" s="4" t="str">
        <f>HYPERLINK("http://141.218.60.56/~jnz1568/getInfo.php?workbook=08_02.xlsx&amp;sheet=A0&amp;row=910&amp;col=20&amp;number=&amp;sourceID=1","")</f>
        <v/>
      </c>
    </row>
    <row r="911" spans="1:20">
      <c r="A911" s="3">
        <v>8</v>
      </c>
      <c r="B911" s="3">
        <v>2</v>
      </c>
      <c r="C911" s="3">
        <v>49</v>
      </c>
      <c r="D911" s="3">
        <v>14</v>
      </c>
      <c r="E911" s="3">
        <f>((1/(INDEX(E0!J$4:J$52,C911,1)-INDEX(E0!J$4:J$52,D911,1))))*100000000</f>
        <v>0</v>
      </c>
      <c r="F911" s="4" t="str">
        <f>HYPERLINK("http://141.218.60.56/~jnz1568/getInfo.php?workbook=08_02.xlsx&amp;sheet=A0&amp;row=911&amp;col=6&amp;number=&amp;sourceID=27","")</f>
        <v/>
      </c>
      <c r="G911" s="4" t="str">
        <f>HYPERLINK("http://141.218.60.56/~jnz1568/getInfo.php?workbook=08_02.xlsx&amp;sheet=A0&amp;row=911&amp;col=7&amp;number=&amp;sourceID=34","")</f>
        <v/>
      </c>
      <c r="H911" s="4" t="str">
        <f>HYPERLINK("http://141.218.60.56/~jnz1568/getInfo.php?workbook=08_02.xlsx&amp;sheet=A0&amp;row=911&amp;col=8&amp;number=&amp;sourceID=34","")</f>
        <v/>
      </c>
      <c r="I911" s="4" t="str">
        <f>HYPERLINK("http://141.218.60.56/~jnz1568/getInfo.php?workbook=08_02.xlsx&amp;sheet=A0&amp;row=911&amp;col=9&amp;number=&amp;sourceID=34","")</f>
        <v/>
      </c>
      <c r="J911" s="4" t="str">
        <f>HYPERLINK("http://141.218.60.56/~jnz1568/getInfo.php?workbook=08_02.xlsx&amp;sheet=A0&amp;row=911&amp;col=10&amp;number=&amp;sourceID=34","")</f>
        <v/>
      </c>
      <c r="K911" s="4" t="str">
        <f>HYPERLINK("http://141.218.60.56/~jnz1568/getInfo.php?workbook=08_02.xlsx&amp;sheet=A0&amp;row=911&amp;col=11&amp;number=3780000&amp;sourceID=30","3780000")</f>
        <v>3780000</v>
      </c>
      <c r="L911" s="4" t="str">
        <f>HYPERLINK("http://141.218.60.56/~jnz1568/getInfo.php?workbook=08_02.xlsx&amp;sheet=A0&amp;row=911&amp;col=12&amp;number=&amp;sourceID=30","")</f>
        <v/>
      </c>
      <c r="M911" s="4" t="str">
        <f>HYPERLINK("http://141.218.60.56/~jnz1568/getInfo.php?workbook=08_02.xlsx&amp;sheet=A0&amp;row=911&amp;col=13&amp;number=&amp;sourceID=30","")</f>
        <v/>
      </c>
      <c r="N911" s="4" t="str">
        <f>HYPERLINK("http://141.218.60.56/~jnz1568/getInfo.php?workbook=08_02.xlsx&amp;sheet=A0&amp;row=911&amp;col=14&amp;number=0.0375&amp;sourceID=30","0.0375")</f>
        <v>0.0375</v>
      </c>
      <c r="O911" s="4" t="str">
        <f>HYPERLINK("http://141.218.60.56/~jnz1568/getInfo.php?workbook=08_02.xlsx&amp;sheet=A0&amp;row=911&amp;col=15&amp;number=4308000&amp;sourceID=32","4308000")</f>
        <v>4308000</v>
      </c>
      <c r="P911" s="4" t="str">
        <f>HYPERLINK("http://141.218.60.56/~jnz1568/getInfo.php?workbook=08_02.xlsx&amp;sheet=A0&amp;row=911&amp;col=16&amp;number=&amp;sourceID=32","")</f>
        <v/>
      </c>
      <c r="Q911" s="4" t="str">
        <f>HYPERLINK("http://141.218.60.56/~jnz1568/getInfo.php?workbook=08_02.xlsx&amp;sheet=A0&amp;row=911&amp;col=17&amp;number=&amp;sourceID=32","")</f>
        <v/>
      </c>
      <c r="R911" s="4" t="str">
        <f>HYPERLINK("http://141.218.60.56/~jnz1568/getInfo.php?workbook=08_02.xlsx&amp;sheet=A0&amp;row=911&amp;col=18&amp;number=0.03498&amp;sourceID=32","0.03498")</f>
        <v>0.03498</v>
      </c>
      <c r="S911" s="4" t="str">
        <f>HYPERLINK("http://141.218.60.56/~jnz1568/getInfo.php?workbook=08_02.xlsx&amp;sheet=A0&amp;row=911&amp;col=19&amp;number=&amp;sourceID=1","")</f>
        <v/>
      </c>
      <c r="T911" s="4" t="str">
        <f>HYPERLINK("http://141.218.60.56/~jnz1568/getInfo.php?workbook=08_02.xlsx&amp;sheet=A0&amp;row=911&amp;col=20&amp;number=&amp;sourceID=1","")</f>
        <v/>
      </c>
    </row>
    <row r="912" spans="1:20">
      <c r="A912" s="3">
        <v>8</v>
      </c>
      <c r="B912" s="3">
        <v>2</v>
      </c>
      <c r="C912" s="3">
        <v>49</v>
      </c>
      <c r="D912" s="3">
        <v>15</v>
      </c>
      <c r="E912" s="3">
        <f>((1/(INDEX(E0!J$4:J$52,C912,1)-INDEX(E0!J$4:J$52,D912,1))))*100000000</f>
        <v>0</v>
      </c>
      <c r="F912" s="4" t="str">
        <f>HYPERLINK("http://141.218.60.56/~jnz1568/getInfo.php?workbook=08_02.xlsx&amp;sheet=A0&amp;row=912&amp;col=6&amp;number=&amp;sourceID=27","")</f>
        <v/>
      </c>
      <c r="G912" s="4" t="str">
        <f>HYPERLINK("http://141.218.60.56/~jnz1568/getInfo.php?workbook=08_02.xlsx&amp;sheet=A0&amp;row=912&amp;col=7&amp;number=&amp;sourceID=34","")</f>
        <v/>
      </c>
      <c r="H912" s="4" t="str">
        <f>HYPERLINK("http://141.218.60.56/~jnz1568/getInfo.php?workbook=08_02.xlsx&amp;sheet=A0&amp;row=912&amp;col=8&amp;number=&amp;sourceID=34","")</f>
        <v/>
      </c>
      <c r="I912" s="4" t="str">
        <f>HYPERLINK("http://141.218.60.56/~jnz1568/getInfo.php?workbook=08_02.xlsx&amp;sheet=A0&amp;row=912&amp;col=9&amp;number=&amp;sourceID=34","")</f>
        <v/>
      </c>
      <c r="J912" s="4" t="str">
        <f>HYPERLINK("http://141.218.60.56/~jnz1568/getInfo.php?workbook=08_02.xlsx&amp;sheet=A0&amp;row=912&amp;col=10&amp;number=&amp;sourceID=34","")</f>
        <v/>
      </c>
      <c r="K912" s="4" t="str">
        <f>HYPERLINK("http://141.218.60.56/~jnz1568/getInfo.php?workbook=08_02.xlsx&amp;sheet=A0&amp;row=912&amp;col=11&amp;number=&amp;sourceID=30","")</f>
        <v/>
      </c>
      <c r="L912" s="4" t="str">
        <f>HYPERLINK("http://141.218.60.56/~jnz1568/getInfo.php?workbook=08_02.xlsx&amp;sheet=A0&amp;row=912&amp;col=12&amp;number=&amp;sourceID=30","")</f>
        <v/>
      </c>
      <c r="M912" s="4" t="str">
        <f>HYPERLINK("http://141.218.60.56/~jnz1568/getInfo.php?workbook=08_02.xlsx&amp;sheet=A0&amp;row=912&amp;col=13&amp;number=&amp;sourceID=30","")</f>
        <v/>
      </c>
      <c r="N912" s="4" t="str">
        <f>HYPERLINK("http://141.218.60.56/~jnz1568/getInfo.php?workbook=08_02.xlsx&amp;sheet=A0&amp;row=912&amp;col=14&amp;number=0.3073&amp;sourceID=30","0.3073")</f>
        <v>0.3073</v>
      </c>
      <c r="O912" s="4" t="str">
        <f>HYPERLINK("http://141.218.60.56/~jnz1568/getInfo.php?workbook=08_02.xlsx&amp;sheet=A0&amp;row=912&amp;col=15&amp;number=&amp;sourceID=32","")</f>
        <v/>
      </c>
      <c r="P912" s="4" t="str">
        <f>HYPERLINK("http://141.218.60.56/~jnz1568/getInfo.php?workbook=08_02.xlsx&amp;sheet=A0&amp;row=912&amp;col=16&amp;number=&amp;sourceID=32","")</f>
        <v/>
      </c>
      <c r="Q912" s="4" t="str">
        <f>HYPERLINK("http://141.218.60.56/~jnz1568/getInfo.php?workbook=08_02.xlsx&amp;sheet=A0&amp;row=912&amp;col=17&amp;number=&amp;sourceID=32","")</f>
        <v/>
      </c>
      <c r="R912" s="4" t="str">
        <f>HYPERLINK("http://141.218.60.56/~jnz1568/getInfo.php?workbook=08_02.xlsx&amp;sheet=A0&amp;row=912&amp;col=18&amp;number=0.2981&amp;sourceID=32","0.2981")</f>
        <v>0.2981</v>
      </c>
      <c r="S912" s="4" t="str">
        <f>HYPERLINK("http://141.218.60.56/~jnz1568/getInfo.php?workbook=08_02.xlsx&amp;sheet=A0&amp;row=912&amp;col=19&amp;number=&amp;sourceID=1","")</f>
        <v/>
      </c>
      <c r="T912" s="4" t="str">
        <f>HYPERLINK("http://141.218.60.56/~jnz1568/getInfo.php?workbook=08_02.xlsx&amp;sheet=A0&amp;row=912&amp;col=20&amp;number=&amp;sourceID=1","")</f>
        <v/>
      </c>
    </row>
    <row r="913" spans="1:20">
      <c r="A913" s="3">
        <v>8</v>
      </c>
      <c r="B913" s="3">
        <v>2</v>
      </c>
      <c r="C913" s="3">
        <v>49</v>
      </c>
      <c r="D913" s="3">
        <v>16</v>
      </c>
      <c r="E913" s="3">
        <f>((1/(INDEX(E0!J$4:J$52,C913,1)-INDEX(E0!J$4:J$52,D913,1))))*100000000</f>
        <v>0</v>
      </c>
      <c r="F913" s="4" t="str">
        <f>HYPERLINK("http://141.218.60.56/~jnz1568/getInfo.php?workbook=08_02.xlsx&amp;sheet=A0&amp;row=913&amp;col=6&amp;number=&amp;sourceID=27","")</f>
        <v/>
      </c>
      <c r="G913" s="4" t="str">
        <f>HYPERLINK("http://141.218.60.56/~jnz1568/getInfo.php?workbook=08_02.xlsx&amp;sheet=A0&amp;row=913&amp;col=7&amp;number=333100000&amp;sourceID=34","333100000")</f>
        <v>333100000</v>
      </c>
      <c r="H913" s="4" t="str">
        <f>HYPERLINK("http://141.218.60.56/~jnz1568/getInfo.php?workbook=08_02.xlsx&amp;sheet=A0&amp;row=913&amp;col=8&amp;number=&amp;sourceID=34","")</f>
        <v/>
      </c>
      <c r="I913" s="4" t="str">
        <f>HYPERLINK("http://141.218.60.56/~jnz1568/getInfo.php?workbook=08_02.xlsx&amp;sheet=A0&amp;row=913&amp;col=9&amp;number=&amp;sourceID=34","")</f>
        <v/>
      </c>
      <c r="J913" s="4" t="str">
        <f>HYPERLINK("http://141.218.60.56/~jnz1568/getInfo.php?workbook=08_02.xlsx&amp;sheet=A0&amp;row=913&amp;col=10&amp;number=&amp;sourceID=34","")</f>
        <v/>
      </c>
      <c r="K913" s="4" t="str">
        <f>HYPERLINK("http://141.218.60.56/~jnz1568/getInfo.php?workbook=08_02.xlsx&amp;sheet=A0&amp;row=913&amp;col=11&amp;number=362700000&amp;sourceID=30","362700000")</f>
        <v>362700000</v>
      </c>
      <c r="L913" s="4" t="str">
        <f>HYPERLINK("http://141.218.60.56/~jnz1568/getInfo.php?workbook=08_02.xlsx&amp;sheet=A0&amp;row=913&amp;col=12&amp;number=&amp;sourceID=30","")</f>
        <v/>
      </c>
      <c r="M913" s="4" t="str">
        <f>HYPERLINK("http://141.218.60.56/~jnz1568/getInfo.php?workbook=08_02.xlsx&amp;sheet=A0&amp;row=913&amp;col=13&amp;number=&amp;sourceID=30","")</f>
        <v/>
      </c>
      <c r="N913" s="4" t="str">
        <f>HYPERLINK("http://141.218.60.56/~jnz1568/getInfo.php?workbook=08_02.xlsx&amp;sheet=A0&amp;row=913&amp;col=14&amp;number=0.183&amp;sourceID=30","0.183")</f>
        <v>0.183</v>
      </c>
      <c r="O913" s="4" t="str">
        <f>HYPERLINK("http://141.218.60.56/~jnz1568/getInfo.php?workbook=08_02.xlsx&amp;sheet=A0&amp;row=913&amp;col=15&amp;number=329300000&amp;sourceID=32","329300000")</f>
        <v>329300000</v>
      </c>
      <c r="P913" s="4" t="str">
        <f>HYPERLINK("http://141.218.60.56/~jnz1568/getInfo.php?workbook=08_02.xlsx&amp;sheet=A0&amp;row=913&amp;col=16&amp;number=&amp;sourceID=32","")</f>
        <v/>
      </c>
      <c r="Q913" s="4" t="str">
        <f>HYPERLINK("http://141.218.60.56/~jnz1568/getInfo.php?workbook=08_02.xlsx&amp;sheet=A0&amp;row=913&amp;col=17&amp;number=&amp;sourceID=32","")</f>
        <v/>
      </c>
      <c r="R913" s="4" t="str">
        <f>HYPERLINK("http://141.218.60.56/~jnz1568/getInfo.php?workbook=08_02.xlsx&amp;sheet=A0&amp;row=913&amp;col=18&amp;number=0.17&amp;sourceID=32","0.17")</f>
        <v>0.17</v>
      </c>
      <c r="S913" s="4" t="str">
        <f>HYPERLINK("http://141.218.60.56/~jnz1568/getInfo.php?workbook=08_02.xlsx&amp;sheet=A0&amp;row=913&amp;col=19&amp;number=&amp;sourceID=1","")</f>
        <v/>
      </c>
      <c r="T913" s="4" t="str">
        <f>HYPERLINK("http://141.218.60.56/~jnz1568/getInfo.php?workbook=08_02.xlsx&amp;sheet=A0&amp;row=913&amp;col=20&amp;number=&amp;sourceID=1","")</f>
        <v/>
      </c>
    </row>
    <row r="914" spans="1:20">
      <c r="A914" s="3">
        <v>8</v>
      </c>
      <c r="B914" s="3">
        <v>2</v>
      </c>
      <c r="C914" s="3">
        <v>49</v>
      </c>
      <c r="D914" s="3">
        <v>17</v>
      </c>
      <c r="E914" s="3">
        <f>((1/(INDEX(E0!J$4:J$52,C914,1)-INDEX(E0!J$4:J$52,D914,1))))*100000000</f>
        <v>0</v>
      </c>
      <c r="F914" s="4" t="str">
        <f>HYPERLINK("http://141.218.60.56/~jnz1568/getInfo.php?workbook=08_02.xlsx&amp;sheet=A0&amp;row=914&amp;col=6&amp;number=&amp;sourceID=27","")</f>
        <v/>
      </c>
      <c r="G914" s="4" t="str">
        <f>HYPERLINK("http://141.218.60.56/~jnz1568/getInfo.php?workbook=08_02.xlsx&amp;sheet=A0&amp;row=914&amp;col=7&amp;number=&amp;sourceID=34","")</f>
        <v/>
      </c>
      <c r="H914" s="4" t="str">
        <f>HYPERLINK("http://141.218.60.56/~jnz1568/getInfo.php?workbook=08_02.xlsx&amp;sheet=A0&amp;row=914&amp;col=8&amp;number=&amp;sourceID=34","")</f>
        <v/>
      </c>
      <c r="I914" s="4" t="str">
        <f>HYPERLINK("http://141.218.60.56/~jnz1568/getInfo.php?workbook=08_02.xlsx&amp;sheet=A0&amp;row=914&amp;col=9&amp;number=&amp;sourceID=34","")</f>
        <v/>
      </c>
      <c r="J914" s="4" t="str">
        <f>HYPERLINK("http://141.218.60.56/~jnz1568/getInfo.php?workbook=08_02.xlsx&amp;sheet=A0&amp;row=914&amp;col=10&amp;number=&amp;sourceID=34","")</f>
        <v/>
      </c>
      <c r="K914" s="4" t="str">
        <f>HYPERLINK("http://141.218.60.56/~jnz1568/getInfo.php?workbook=08_02.xlsx&amp;sheet=A0&amp;row=914&amp;col=11&amp;number=&amp;sourceID=30","")</f>
        <v/>
      </c>
      <c r="L914" s="4" t="str">
        <f>HYPERLINK("http://141.218.60.56/~jnz1568/getInfo.php?workbook=08_02.xlsx&amp;sheet=A0&amp;row=914&amp;col=12&amp;number=269000&amp;sourceID=30","269000")</f>
        <v>269000</v>
      </c>
      <c r="M914" s="4" t="str">
        <f>HYPERLINK("http://141.218.60.56/~jnz1568/getInfo.php?workbook=08_02.xlsx&amp;sheet=A0&amp;row=914&amp;col=13&amp;number=0.00663&amp;sourceID=30","0.00663")</f>
        <v>0.00663</v>
      </c>
      <c r="N914" s="4" t="str">
        <f>HYPERLINK("http://141.218.60.56/~jnz1568/getInfo.php?workbook=08_02.xlsx&amp;sheet=A0&amp;row=914&amp;col=14&amp;number=&amp;sourceID=30","")</f>
        <v/>
      </c>
      <c r="O914" s="4" t="str">
        <f>HYPERLINK("http://141.218.60.56/~jnz1568/getInfo.php?workbook=08_02.xlsx&amp;sheet=A0&amp;row=914&amp;col=15&amp;number=&amp;sourceID=32","")</f>
        <v/>
      </c>
      <c r="P914" s="4" t="str">
        <f>HYPERLINK("http://141.218.60.56/~jnz1568/getInfo.php?workbook=08_02.xlsx&amp;sheet=A0&amp;row=914&amp;col=16&amp;number=165900&amp;sourceID=32","165900")</f>
        <v>165900</v>
      </c>
      <c r="Q914" s="4" t="str">
        <f>HYPERLINK("http://141.218.60.56/~jnz1568/getInfo.php?workbook=08_02.xlsx&amp;sheet=A0&amp;row=914&amp;col=17&amp;number=0.005764&amp;sourceID=32","0.005764")</f>
        <v>0.005764</v>
      </c>
      <c r="R914" s="4" t="str">
        <f>HYPERLINK("http://141.218.60.56/~jnz1568/getInfo.php?workbook=08_02.xlsx&amp;sheet=A0&amp;row=914&amp;col=18&amp;number=&amp;sourceID=32","")</f>
        <v/>
      </c>
      <c r="S914" s="4" t="str">
        <f>HYPERLINK("http://141.218.60.56/~jnz1568/getInfo.php?workbook=08_02.xlsx&amp;sheet=A0&amp;row=914&amp;col=19&amp;number=&amp;sourceID=1","")</f>
        <v/>
      </c>
      <c r="T914" s="4" t="str">
        <f>HYPERLINK("http://141.218.60.56/~jnz1568/getInfo.php?workbook=08_02.xlsx&amp;sheet=A0&amp;row=914&amp;col=20&amp;number=&amp;sourceID=1","")</f>
        <v/>
      </c>
    </row>
    <row r="915" spans="1:20">
      <c r="A915" s="3">
        <v>8</v>
      </c>
      <c r="B915" s="3">
        <v>2</v>
      </c>
      <c r="C915" s="3">
        <v>49</v>
      </c>
      <c r="D915" s="3">
        <v>18</v>
      </c>
      <c r="E915" s="3">
        <f>((1/(INDEX(E0!J$4:J$52,C915,1)-INDEX(E0!J$4:J$52,D915,1))))*100000000</f>
        <v>0</v>
      </c>
      <c r="F915" s="4" t="str">
        <f>HYPERLINK("http://141.218.60.56/~jnz1568/getInfo.php?workbook=08_02.xlsx&amp;sheet=A0&amp;row=915&amp;col=6&amp;number=&amp;sourceID=27","")</f>
        <v/>
      </c>
      <c r="G915" s="4" t="str">
        <f>HYPERLINK("http://141.218.60.56/~jnz1568/getInfo.php?workbook=08_02.xlsx&amp;sheet=A0&amp;row=915&amp;col=7&amp;number=&amp;sourceID=34","")</f>
        <v/>
      </c>
      <c r="H915" s="4" t="str">
        <f>HYPERLINK("http://141.218.60.56/~jnz1568/getInfo.php?workbook=08_02.xlsx&amp;sheet=A0&amp;row=915&amp;col=8&amp;number=&amp;sourceID=34","")</f>
        <v/>
      </c>
      <c r="I915" s="4" t="str">
        <f>HYPERLINK("http://141.218.60.56/~jnz1568/getInfo.php?workbook=08_02.xlsx&amp;sheet=A0&amp;row=915&amp;col=9&amp;number=&amp;sourceID=34","")</f>
        <v/>
      </c>
      <c r="J915" s="4" t="str">
        <f>HYPERLINK("http://141.218.60.56/~jnz1568/getInfo.php?workbook=08_02.xlsx&amp;sheet=A0&amp;row=915&amp;col=10&amp;number=&amp;sourceID=34","")</f>
        <v/>
      </c>
      <c r="K915" s="4" t="str">
        <f>HYPERLINK("http://141.218.60.56/~jnz1568/getInfo.php?workbook=08_02.xlsx&amp;sheet=A0&amp;row=915&amp;col=11&amp;number=197000&amp;sourceID=30","197000")</f>
        <v>197000</v>
      </c>
      <c r="L915" s="4" t="str">
        <f>HYPERLINK("http://141.218.60.56/~jnz1568/getInfo.php?workbook=08_02.xlsx&amp;sheet=A0&amp;row=915&amp;col=12&amp;number=&amp;sourceID=30","")</f>
        <v/>
      </c>
      <c r="M915" s="4" t="str">
        <f>HYPERLINK("http://141.218.60.56/~jnz1568/getInfo.php?workbook=08_02.xlsx&amp;sheet=A0&amp;row=915&amp;col=13&amp;number=&amp;sourceID=30","")</f>
        <v/>
      </c>
      <c r="N915" s="4" t="str">
        <f>HYPERLINK("http://141.218.60.56/~jnz1568/getInfo.php?workbook=08_02.xlsx&amp;sheet=A0&amp;row=915&amp;col=14&amp;number=0.1728&amp;sourceID=30","0.1728")</f>
        <v>0.1728</v>
      </c>
      <c r="O915" s="4" t="str">
        <f>HYPERLINK("http://141.218.60.56/~jnz1568/getInfo.php?workbook=08_02.xlsx&amp;sheet=A0&amp;row=915&amp;col=15&amp;number=236500&amp;sourceID=32","236500")</f>
        <v>236500</v>
      </c>
      <c r="P915" s="4" t="str">
        <f>HYPERLINK("http://141.218.60.56/~jnz1568/getInfo.php?workbook=08_02.xlsx&amp;sheet=A0&amp;row=915&amp;col=16&amp;number=&amp;sourceID=32","")</f>
        <v/>
      </c>
      <c r="Q915" s="4" t="str">
        <f>HYPERLINK("http://141.218.60.56/~jnz1568/getInfo.php?workbook=08_02.xlsx&amp;sheet=A0&amp;row=915&amp;col=17&amp;number=&amp;sourceID=32","")</f>
        <v/>
      </c>
      <c r="R915" s="4" t="str">
        <f>HYPERLINK("http://141.218.60.56/~jnz1568/getInfo.php?workbook=08_02.xlsx&amp;sheet=A0&amp;row=915&amp;col=18&amp;number=0.1705&amp;sourceID=32","0.1705")</f>
        <v>0.1705</v>
      </c>
      <c r="S915" s="4" t="str">
        <f>HYPERLINK("http://141.218.60.56/~jnz1568/getInfo.php?workbook=08_02.xlsx&amp;sheet=A0&amp;row=915&amp;col=19&amp;number=&amp;sourceID=1","")</f>
        <v/>
      </c>
      <c r="T915" s="4" t="str">
        <f>HYPERLINK("http://141.218.60.56/~jnz1568/getInfo.php?workbook=08_02.xlsx&amp;sheet=A0&amp;row=915&amp;col=20&amp;number=&amp;sourceID=1","")</f>
        <v/>
      </c>
    </row>
    <row r="916" spans="1:20">
      <c r="A916" s="3">
        <v>8</v>
      </c>
      <c r="B916" s="3">
        <v>2</v>
      </c>
      <c r="C916" s="3">
        <v>49</v>
      </c>
      <c r="D916" s="3">
        <v>19</v>
      </c>
      <c r="E916" s="3">
        <f>((1/(INDEX(E0!J$4:J$52,C916,1)-INDEX(E0!J$4:J$52,D916,1))))*100000000</f>
        <v>0</v>
      </c>
      <c r="F916" s="4" t="str">
        <f>HYPERLINK("http://141.218.60.56/~jnz1568/getInfo.php?workbook=08_02.xlsx&amp;sheet=A0&amp;row=916&amp;col=6&amp;number=&amp;sourceID=27","")</f>
        <v/>
      </c>
      <c r="G916" s="4" t="str">
        <f>HYPERLINK("http://141.218.60.56/~jnz1568/getInfo.php?workbook=08_02.xlsx&amp;sheet=A0&amp;row=916&amp;col=7&amp;number=&amp;sourceID=34","")</f>
        <v/>
      </c>
      <c r="H916" s="4" t="str">
        <f>HYPERLINK("http://141.218.60.56/~jnz1568/getInfo.php?workbook=08_02.xlsx&amp;sheet=A0&amp;row=916&amp;col=8&amp;number=&amp;sourceID=34","")</f>
        <v/>
      </c>
      <c r="I916" s="4" t="str">
        <f>HYPERLINK("http://141.218.60.56/~jnz1568/getInfo.php?workbook=08_02.xlsx&amp;sheet=A0&amp;row=916&amp;col=9&amp;number=&amp;sourceID=34","")</f>
        <v/>
      </c>
      <c r="J916" s="4" t="str">
        <f>HYPERLINK("http://141.218.60.56/~jnz1568/getInfo.php?workbook=08_02.xlsx&amp;sheet=A0&amp;row=916&amp;col=10&amp;number=&amp;sourceID=34","")</f>
        <v/>
      </c>
      <c r="K916" s="4" t="str">
        <f>HYPERLINK("http://141.218.60.56/~jnz1568/getInfo.php?workbook=08_02.xlsx&amp;sheet=A0&amp;row=916&amp;col=11&amp;number=&amp;sourceID=30","")</f>
        <v/>
      </c>
      <c r="L916" s="4" t="str">
        <f>HYPERLINK("http://141.218.60.56/~jnz1568/getInfo.php?workbook=08_02.xlsx&amp;sheet=A0&amp;row=916&amp;col=12&amp;number=&amp;sourceID=30","")</f>
        <v/>
      </c>
      <c r="M916" s="4" t="str">
        <f>HYPERLINK("http://141.218.60.56/~jnz1568/getInfo.php?workbook=08_02.xlsx&amp;sheet=A0&amp;row=916&amp;col=13&amp;number=0.005298&amp;sourceID=30","0.005298")</f>
        <v>0.005298</v>
      </c>
      <c r="N916" s="4" t="str">
        <f>HYPERLINK("http://141.218.60.56/~jnz1568/getInfo.php?workbook=08_02.xlsx&amp;sheet=A0&amp;row=916&amp;col=14&amp;number=&amp;sourceID=30","")</f>
        <v/>
      </c>
      <c r="O916" s="4" t="str">
        <f>HYPERLINK("http://141.218.60.56/~jnz1568/getInfo.php?workbook=08_02.xlsx&amp;sheet=A0&amp;row=916&amp;col=15&amp;number=&amp;sourceID=32","")</f>
        <v/>
      </c>
      <c r="P916" s="4" t="str">
        <f>HYPERLINK("http://141.218.60.56/~jnz1568/getInfo.php?workbook=08_02.xlsx&amp;sheet=A0&amp;row=916&amp;col=16&amp;number=&amp;sourceID=32","")</f>
        <v/>
      </c>
      <c r="Q916" s="4" t="str">
        <f>HYPERLINK("http://141.218.60.56/~jnz1568/getInfo.php?workbook=08_02.xlsx&amp;sheet=A0&amp;row=916&amp;col=17&amp;number=0.004728&amp;sourceID=32","0.004728")</f>
        <v>0.004728</v>
      </c>
      <c r="R916" s="4" t="str">
        <f>HYPERLINK("http://141.218.60.56/~jnz1568/getInfo.php?workbook=08_02.xlsx&amp;sheet=A0&amp;row=916&amp;col=18&amp;number=&amp;sourceID=32","")</f>
        <v/>
      </c>
      <c r="S916" s="4" t="str">
        <f>HYPERLINK("http://141.218.60.56/~jnz1568/getInfo.php?workbook=08_02.xlsx&amp;sheet=A0&amp;row=916&amp;col=19&amp;number=&amp;sourceID=1","")</f>
        <v/>
      </c>
      <c r="T916" s="4" t="str">
        <f>HYPERLINK("http://141.218.60.56/~jnz1568/getInfo.php?workbook=08_02.xlsx&amp;sheet=A0&amp;row=916&amp;col=20&amp;number=&amp;sourceID=1","")</f>
        <v/>
      </c>
    </row>
    <row r="917" spans="1:20">
      <c r="A917" s="3">
        <v>8</v>
      </c>
      <c r="B917" s="3">
        <v>2</v>
      </c>
      <c r="C917" s="3">
        <v>49</v>
      </c>
      <c r="D917" s="3">
        <v>20</v>
      </c>
      <c r="E917" s="3">
        <f>((1/(INDEX(E0!J$4:J$52,C917,1)-INDEX(E0!J$4:J$52,D917,1))))*100000000</f>
        <v>0</v>
      </c>
      <c r="F917" s="4" t="str">
        <f>HYPERLINK("http://141.218.60.56/~jnz1568/getInfo.php?workbook=08_02.xlsx&amp;sheet=A0&amp;row=917&amp;col=6&amp;number=&amp;sourceID=27","")</f>
        <v/>
      </c>
      <c r="G917" s="4" t="str">
        <f>HYPERLINK("http://141.218.60.56/~jnz1568/getInfo.php?workbook=08_02.xlsx&amp;sheet=A0&amp;row=917&amp;col=7&amp;number=&amp;sourceID=34","")</f>
        <v/>
      </c>
      <c r="H917" s="4" t="str">
        <f>HYPERLINK("http://141.218.60.56/~jnz1568/getInfo.php?workbook=08_02.xlsx&amp;sheet=A0&amp;row=917&amp;col=8&amp;number=&amp;sourceID=34","")</f>
        <v/>
      </c>
      <c r="I917" s="4" t="str">
        <f>HYPERLINK("http://141.218.60.56/~jnz1568/getInfo.php?workbook=08_02.xlsx&amp;sheet=A0&amp;row=917&amp;col=9&amp;number=&amp;sourceID=34","")</f>
        <v/>
      </c>
      <c r="J917" s="4" t="str">
        <f>HYPERLINK("http://141.218.60.56/~jnz1568/getInfo.php?workbook=08_02.xlsx&amp;sheet=A0&amp;row=917&amp;col=10&amp;number=&amp;sourceID=34","")</f>
        <v/>
      </c>
      <c r="K917" s="4" t="str">
        <f>HYPERLINK("http://141.218.60.56/~jnz1568/getInfo.php?workbook=08_02.xlsx&amp;sheet=A0&amp;row=917&amp;col=11&amp;number=&amp;sourceID=30","")</f>
        <v/>
      </c>
      <c r="L917" s="4" t="str">
        <f>HYPERLINK("http://141.218.60.56/~jnz1568/getInfo.php?workbook=08_02.xlsx&amp;sheet=A0&amp;row=917&amp;col=12&amp;number=20.55&amp;sourceID=30","20.55")</f>
        <v>20.55</v>
      </c>
      <c r="M917" s="4" t="str">
        <f>HYPERLINK("http://141.218.60.56/~jnz1568/getInfo.php?workbook=08_02.xlsx&amp;sheet=A0&amp;row=917&amp;col=13&amp;number=0.00411&amp;sourceID=30","0.00411")</f>
        <v>0.00411</v>
      </c>
      <c r="N917" s="4" t="str">
        <f>HYPERLINK("http://141.218.60.56/~jnz1568/getInfo.php?workbook=08_02.xlsx&amp;sheet=A0&amp;row=917&amp;col=14&amp;number=&amp;sourceID=30","")</f>
        <v/>
      </c>
      <c r="O917" s="4" t="str">
        <f>HYPERLINK("http://141.218.60.56/~jnz1568/getInfo.php?workbook=08_02.xlsx&amp;sheet=A0&amp;row=917&amp;col=15&amp;number=&amp;sourceID=32","")</f>
        <v/>
      </c>
      <c r="P917" s="4" t="str">
        <f>HYPERLINK("http://141.218.60.56/~jnz1568/getInfo.php?workbook=08_02.xlsx&amp;sheet=A0&amp;row=917&amp;col=16&amp;number=21.73&amp;sourceID=32","21.73")</f>
        <v>21.73</v>
      </c>
      <c r="Q917" s="4" t="str">
        <f>HYPERLINK("http://141.218.60.56/~jnz1568/getInfo.php?workbook=08_02.xlsx&amp;sheet=A0&amp;row=917&amp;col=17&amp;number=0.003739&amp;sourceID=32","0.003739")</f>
        <v>0.003739</v>
      </c>
      <c r="R917" s="4" t="str">
        <f>HYPERLINK("http://141.218.60.56/~jnz1568/getInfo.php?workbook=08_02.xlsx&amp;sheet=A0&amp;row=917&amp;col=18&amp;number=&amp;sourceID=32","")</f>
        <v/>
      </c>
      <c r="S917" s="4" t="str">
        <f>HYPERLINK("http://141.218.60.56/~jnz1568/getInfo.php?workbook=08_02.xlsx&amp;sheet=A0&amp;row=917&amp;col=19&amp;number=&amp;sourceID=1","")</f>
        <v/>
      </c>
      <c r="T917" s="4" t="str">
        <f>HYPERLINK("http://141.218.60.56/~jnz1568/getInfo.php?workbook=08_02.xlsx&amp;sheet=A0&amp;row=917&amp;col=20&amp;number=&amp;sourceID=1","")</f>
        <v/>
      </c>
    </row>
    <row r="918" spans="1:20">
      <c r="A918" s="3">
        <v>8</v>
      </c>
      <c r="B918" s="3">
        <v>2</v>
      </c>
      <c r="C918" s="3">
        <v>49</v>
      </c>
      <c r="D918" s="3">
        <v>21</v>
      </c>
      <c r="E918" s="3">
        <f>((1/(INDEX(E0!J$4:J$52,C918,1)-INDEX(E0!J$4:J$52,D918,1))))*100000000</f>
        <v>0</v>
      </c>
      <c r="F918" s="4" t="str">
        <f>HYPERLINK("http://141.218.60.56/~jnz1568/getInfo.php?workbook=08_02.xlsx&amp;sheet=A0&amp;row=918&amp;col=6&amp;number=&amp;sourceID=27","")</f>
        <v/>
      </c>
      <c r="G918" s="4" t="str">
        <f>HYPERLINK("http://141.218.60.56/~jnz1568/getInfo.php?workbook=08_02.xlsx&amp;sheet=A0&amp;row=918&amp;col=7&amp;number=&amp;sourceID=34","")</f>
        <v/>
      </c>
      <c r="H918" s="4" t="str">
        <f>HYPERLINK("http://141.218.60.56/~jnz1568/getInfo.php?workbook=08_02.xlsx&amp;sheet=A0&amp;row=918&amp;col=8&amp;number=&amp;sourceID=34","")</f>
        <v/>
      </c>
      <c r="I918" s="4" t="str">
        <f>HYPERLINK("http://141.218.60.56/~jnz1568/getInfo.php?workbook=08_02.xlsx&amp;sheet=A0&amp;row=918&amp;col=9&amp;number=&amp;sourceID=34","")</f>
        <v/>
      </c>
      <c r="J918" s="4" t="str">
        <f>HYPERLINK("http://141.218.60.56/~jnz1568/getInfo.php?workbook=08_02.xlsx&amp;sheet=A0&amp;row=918&amp;col=10&amp;number=&amp;sourceID=34","")</f>
        <v/>
      </c>
      <c r="K918" s="4" t="str">
        <f>HYPERLINK("http://141.218.60.56/~jnz1568/getInfo.php?workbook=08_02.xlsx&amp;sheet=A0&amp;row=918&amp;col=11&amp;number=&amp;sourceID=30","")</f>
        <v/>
      </c>
      <c r="L918" s="4" t="str">
        <f>HYPERLINK("http://141.218.60.56/~jnz1568/getInfo.php?workbook=08_02.xlsx&amp;sheet=A0&amp;row=918&amp;col=12&amp;number=6.246&amp;sourceID=30","6.246")</f>
        <v>6.246</v>
      </c>
      <c r="M918" s="4" t="str">
        <f>HYPERLINK("http://141.218.60.56/~jnz1568/getInfo.php?workbook=08_02.xlsx&amp;sheet=A0&amp;row=918&amp;col=13&amp;number=0.007085&amp;sourceID=30","0.007085")</f>
        <v>0.007085</v>
      </c>
      <c r="N918" s="4" t="str">
        <f>HYPERLINK("http://141.218.60.56/~jnz1568/getInfo.php?workbook=08_02.xlsx&amp;sheet=A0&amp;row=918&amp;col=14&amp;number=&amp;sourceID=30","")</f>
        <v/>
      </c>
      <c r="O918" s="4" t="str">
        <f>HYPERLINK("http://141.218.60.56/~jnz1568/getInfo.php?workbook=08_02.xlsx&amp;sheet=A0&amp;row=918&amp;col=15&amp;number=&amp;sourceID=32","")</f>
        <v/>
      </c>
      <c r="P918" s="4" t="str">
        <f>HYPERLINK("http://141.218.60.56/~jnz1568/getInfo.php?workbook=08_02.xlsx&amp;sheet=A0&amp;row=918&amp;col=16&amp;number=7.347&amp;sourceID=32","7.347")</f>
        <v>7.347</v>
      </c>
      <c r="Q918" s="4" t="str">
        <f>HYPERLINK("http://141.218.60.56/~jnz1568/getInfo.php?workbook=08_02.xlsx&amp;sheet=A0&amp;row=918&amp;col=17&amp;number=0.006311&amp;sourceID=32","0.006311")</f>
        <v>0.006311</v>
      </c>
      <c r="R918" s="4" t="str">
        <f>HYPERLINK("http://141.218.60.56/~jnz1568/getInfo.php?workbook=08_02.xlsx&amp;sheet=A0&amp;row=918&amp;col=18&amp;number=&amp;sourceID=32","")</f>
        <v/>
      </c>
      <c r="S918" s="4" t="str">
        <f>HYPERLINK("http://141.218.60.56/~jnz1568/getInfo.php?workbook=08_02.xlsx&amp;sheet=A0&amp;row=918&amp;col=19&amp;number=&amp;sourceID=1","")</f>
        <v/>
      </c>
      <c r="T918" s="4" t="str">
        <f>HYPERLINK("http://141.218.60.56/~jnz1568/getInfo.php?workbook=08_02.xlsx&amp;sheet=A0&amp;row=918&amp;col=20&amp;number=&amp;sourceID=1","")</f>
        <v/>
      </c>
    </row>
    <row r="919" spans="1:20">
      <c r="A919" s="3">
        <v>8</v>
      </c>
      <c r="B919" s="3">
        <v>2</v>
      </c>
      <c r="C919" s="3">
        <v>49</v>
      </c>
      <c r="D919" s="3">
        <v>22</v>
      </c>
      <c r="E919" s="3">
        <f>((1/(INDEX(E0!J$4:J$52,C919,1)-INDEX(E0!J$4:J$52,D919,1))))*100000000</f>
        <v>0</v>
      </c>
      <c r="F919" s="4" t="str">
        <f>HYPERLINK("http://141.218.60.56/~jnz1568/getInfo.php?workbook=08_02.xlsx&amp;sheet=A0&amp;row=919&amp;col=6&amp;number=&amp;sourceID=27","")</f>
        <v/>
      </c>
      <c r="G919" s="4" t="str">
        <f>HYPERLINK("http://141.218.60.56/~jnz1568/getInfo.php?workbook=08_02.xlsx&amp;sheet=A0&amp;row=919&amp;col=7&amp;number=1573000000&amp;sourceID=34","1573000000")</f>
        <v>1573000000</v>
      </c>
      <c r="H919" s="4" t="str">
        <f>HYPERLINK("http://141.218.60.56/~jnz1568/getInfo.php?workbook=08_02.xlsx&amp;sheet=A0&amp;row=919&amp;col=8&amp;number=&amp;sourceID=34","")</f>
        <v/>
      </c>
      <c r="I919" s="4" t="str">
        <f>HYPERLINK("http://141.218.60.56/~jnz1568/getInfo.php?workbook=08_02.xlsx&amp;sheet=A0&amp;row=919&amp;col=9&amp;number=&amp;sourceID=34","")</f>
        <v/>
      </c>
      <c r="J919" s="4" t="str">
        <f>HYPERLINK("http://141.218.60.56/~jnz1568/getInfo.php?workbook=08_02.xlsx&amp;sheet=A0&amp;row=919&amp;col=10&amp;number=&amp;sourceID=34","")</f>
        <v/>
      </c>
      <c r="K919" s="4" t="str">
        <f>HYPERLINK("http://141.218.60.56/~jnz1568/getInfo.php?workbook=08_02.xlsx&amp;sheet=A0&amp;row=919&amp;col=11&amp;number=1766000000&amp;sourceID=30","1766000000")</f>
        <v>1766000000</v>
      </c>
      <c r="L919" s="4" t="str">
        <f>HYPERLINK("http://141.218.60.56/~jnz1568/getInfo.php?workbook=08_02.xlsx&amp;sheet=A0&amp;row=919&amp;col=12&amp;number=&amp;sourceID=30","")</f>
        <v/>
      </c>
      <c r="M919" s="4" t="str">
        <f>HYPERLINK("http://141.218.60.56/~jnz1568/getInfo.php?workbook=08_02.xlsx&amp;sheet=A0&amp;row=919&amp;col=13&amp;number=&amp;sourceID=30","")</f>
        <v/>
      </c>
      <c r="N919" s="4" t="str">
        <f>HYPERLINK("http://141.218.60.56/~jnz1568/getInfo.php?workbook=08_02.xlsx&amp;sheet=A0&amp;row=919&amp;col=14&amp;number=&amp;sourceID=30","")</f>
        <v/>
      </c>
      <c r="O919" s="4" t="str">
        <f>HYPERLINK("http://141.218.60.56/~jnz1568/getInfo.php?workbook=08_02.xlsx&amp;sheet=A0&amp;row=919&amp;col=15&amp;number=1570000000&amp;sourceID=32","1570000000")</f>
        <v>1570000000</v>
      </c>
      <c r="P919" s="4" t="str">
        <f>HYPERLINK("http://141.218.60.56/~jnz1568/getInfo.php?workbook=08_02.xlsx&amp;sheet=A0&amp;row=919&amp;col=16&amp;number=&amp;sourceID=32","")</f>
        <v/>
      </c>
      <c r="Q919" s="4" t="str">
        <f>HYPERLINK("http://141.218.60.56/~jnz1568/getInfo.php?workbook=08_02.xlsx&amp;sheet=A0&amp;row=919&amp;col=17&amp;number=&amp;sourceID=32","")</f>
        <v/>
      </c>
      <c r="R919" s="4" t="str">
        <f>HYPERLINK("http://141.218.60.56/~jnz1568/getInfo.php?workbook=08_02.xlsx&amp;sheet=A0&amp;row=919&amp;col=18&amp;number=&amp;sourceID=32","")</f>
        <v/>
      </c>
      <c r="S919" s="4" t="str">
        <f>HYPERLINK("http://141.218.60.56/~jnz1568/getInfo.php?workbook=08_02.xlsx&amp;sheet=A0&amp;row=919&amp;col=19&amp;number=&amp;sourceID=1","")</f>
        <v/>
      </c>
      <c r="T919" s="4" t="str">
        <f>HYPERLINK("http://141.218.60.56/~jnz1568/getInfo.php?workbook=08_02.xlsx&amp;sheet=A0&amp;row=919&amp;col=20&amp;number=&amp;sourceID=1","")</f>
        <v/>
      </c>
    </row>
    <row r="920" spans="1:20">
      <c r="A920" s="3">
        <v>8</v>
      </c>
      <c r="B920" s="3">
        <v>2</v>
      </c>
      <c r="C920" s="3">
        <v>49</v>
      </c>
      <c r="D920" s="3">
        <v>23</v>
      </c>
      <c r="E920" s="3">
        <f>((1/(INDEX(E0!J$4:J$52,C920,1)-INDEX(E0!J$4:J$52,D920,1))))*100000000</f>
        <v>0</v>
      </c>
      <c r="F920" s="4" t="str">
        <f>HYPERLINK("http://141.218.60.56/~jnz1568/getInfo.php?workbook=08_02.xlsx&amp;sheet=A0&amp;row=920&amp;col=6&amp;number=&amp;sourceID=27","")</f>
        <v/>
      </c>
      <c r="G920" s="4" t="str">
        <f>HYPERLINK("http://141.218.60.56/~jnz1568/getInfo.php?workbook=08_02.xlsx&amp;sheet=A0&amp;row=920&amp;col=7&amp;number=&amp;sourceID=34","")</f>
        <v/>
      </c>
      <c r="H920" s="4" t="str">
        <f>HYPERLINK("http://141.218.60.56/~jnz1568/getInfo.php?workbook=08_02.xlsx&amp;sheet=A0&amp;row=920&amp;col=8&amp;number=&amp;sourceID=34","")</f>
        <v/>
      </c>
      <c r="I920" s="4" t="str">
        <f>HYPERLINK("http://141.218.60.56/~jnz1568/getInfo.php?workbook=08_02.xlsx&amp;sheet=A0&amp;row=920&amp;col=9&amp;number=&amp;sourceID=34","")</f>
        <v/>
      </c>
      <c r="J920" s="4" t="str">
        <f>HYPERLINK("http://141.218.60.56/~jnz1568/getInfo.php?workbook=08_02.xlsx&amp;sheet=A0&amp;row=920&amp;col=10&amp;number=&amp;sourceID=34","")</f>
        <v/>
      </c>
      <c r="K920" s="4" t="str">
        <f>HYPERLINK("http://141.218.60.56/~jnz1568/getInfo.php?workbook=08_02.xlsx&amp;sheet=A0&amp;row=920&amp;col=11&amp;number=15930&amp;sourceID=30","15930")</f>
        <v>15930</v>
      </c>
      <c r="L920" s="4" t="str">
        <f>HYPERLINK("http://141.218.60.56/~jnz1568/getInfo.php?workbook=08_02.xlsx&amp;sheet=A0&amp;row=920&amp;col=12&amp;number=&amp;sourceID=30","")</f>
        <v/>
      </c>
      <c r="M920" s="4" t="str">
        <f>HYPERLINK("http://141.218.60.56/~jnz1568/getInfo.php?workbook=08_02.xlsx&amp;sheet=A0&amp;row=920&amp;col=13&amp;number=&amp;sourceID=30","")</f>
        <v/>
      </c>
      <c r="N920" s="4" t="str">
        <f>HYPERLINK("http://141.218.60.56/~jnz1568/getInfo.php?workbook=08_02.xlsx&amp;sheet=A0&amp;row=920&amp;col=14&amp;number=0.0004411&amp;sourceID=30","0.0004411")</f>
        <v>0.0004411</v>
      </c>
      <c r="O920" s="4" t="str">
        <f>HYPERLINK("http://141.218.60.56/~jnz1568/getInfo.php?workbook=08_02.xlsx&amp;sheet=A0&amp;row=920&amp;col=15&amp;number=19020&amp;sourceID=32","19020")</f>
        <v>19020</v>
      </c>
      <c r="P920" s="4" t="str">
        <f>HYPERLINK("http://141.218.60.56/~jnz1568/getInfo.php?workbook=08_02.xlsx&amp;sheet=A0&amp;row=920&amp;col=16&amp;number=&amp;sourceID=32","")</f>
        <v/>
      </c>
      <c r="Q920" s="4" t="str">
        <f>HYPERLINK("http://141.218.60.56/~jnz1568/getInfo.php?workbook=08_02.xlsx&amp;sheet=A0&amp;row=920&amp;col=17&amp;number=&amp;sourceID=32","")</f>
        <v/>
      </c>
      <c r="R920" s="4" t="str">
        <f>HYPERLINK("http://141.218.60.56/~jnz1568/getInfo.php?workbook=08_02.xlsx&amp;sheet=A0&amp;row=920&amp;col=18&amp;number=0.0004356&amp;sourceID=32","0.0004356")</f>
        <v>0.0004356</v>
      </c>
      <c r="S920" s="4" t="str">
        <f>HYPERLINK("http://141.218.60.56/~jnz1568/getInfo.php?workbook=08_02.xlsx&amp;sheet=A0&amp;row=920&amp;col=19&amp;number=&amp;sourceID=1","")</f>
        <v/>
      </c>
      <c r="T920" s="4" t="str">
        <f>HYPERLINK("http://141.218.60.56/~jnz1568/getInfo.php?workbook=08_02.xlsx&amp;sheet=A0&amp;row=920&amp;col=20&amp;number=&amp;sourceID=1","")</f>
        <v/>
      </c>
    </row>
    <row r="921" spans="1:20">
      <c r="A921" s="3">
        <v>8</v>
      </c>
      <c r="B921" s="3">
        <v>2</v>
      </c>
      <c r="C921" s="3">
        <v>49</v>
      </c>
      <c r="D921" s="3">
        <v>24</v>
      </c>
      <c r="E921" s="3">
        <f>((1/(INDEX(E0!J$4:J$52,C921,1)-INDEX(E0!J$4:J$52,D921,1))))*100000000</f>
        <v>0</v>
      </c>
      <c r="F921" s="4" t="str">
        <f>HYPERLINK("http://141.218.60.56/~jnz1568/getInfo.php?workbook=08_02.xlsx&amp;sheet=A0&amp;row=921&amp;col=6&amp;number=&amp;sourceID=27","")</f>
        <v/>
      </c>
      <c r="G921" s="4" t="str">
        <f>HYPERLINK("http://141.218.60.56/~jnz1568/getInfo.php?workbook=08_02.xlsx&amp;sheet=A0&amp;row=921&amp;col=7&amp;number=&amp;sourceID=34","")</f>
        <v/>
      </c>
      <c r="H921" s="4" t="str">
        <f>HYPERLINK("http://141.218.60.56/~jnz1568/getInfo.php?workbook=08_02.xlsx&amp;sheet=A0&amp;row=921&amp;col=8&amp;number=&amp;sourceID=34","")</f>
        <v/>
      </c>
      <c r="I921" s="4" t="str">
        <f>HYPERLINK("http://141.218.60.56/~jnz1568/getInfo.php?workbook=08_02.xlsx&amp;sheet=A0&amp;row=921&amp;col=9&amp;number=&amp;sourceID=34","")</f>
        <v/>
      </c>
      <c r="J921" s="4" t="str">
        <f>HYPERLINK("http://141.218.60.56/~jnz1568/getInfo.php?workbook=08_02.xlsx&amp;sheet=A0&amp;row=921&amp;col=10&amp;number=&amp;sourceID=34","")</f>
        <v/>
      </c>
      <c r="K921" s="4" t="str">
        <f>HYPERLINK("http://141.218.60.56/~jnz1568/getInfo.php?workbook=08_02.xlsx&amp;sheet=A0&amp;row=921&amp;col=11&amp;number=2565000&amp;sourceID=30","2565000")</f>
        <v>2565000</v>
      </c>
      <c r="L921" s="4" t="str">
        <f>HYPERLINK("http://141.218.60.56/~jnz1568/getInfo.php?workbook=08_02.xlsx&amp;sheet=A0&amp;row=921&amp;col=12&amp;number=&amp;sourceID=30","")</f>
        <v/>
      </c>
      <c r="M921" s="4" t="str">
        <f>HYPERLINK("http://141.218.60.56/~jnz1568/getInfo.php?workbook=08_02.xlsx&amp;sheet=A0&amp;row=921&amp;col=13&amp;number=&amp;sourceID=30","")</f>
        <v/>
      </c>
      <c r="N921" s="4" t="str">
        <f>HYPERLINK("http://141.218.60.56/~jnz1568/getInfo.php?workbook=08_02.xlsx&amp;sheet=A0&amp;row=921&amp;col=14&amp;number=0.005252&amp;sourceID=30","0.005252")</f>
        <v>0.005252</v>
      </c>
      <c r="O921" s="4" t="str">
        <f>HYPERLINK("http://141.218.60.56/~jnz1568/getInfo.php?workbook=08_02.xlsx&amp;sheet=A0&amp;row=921&amp;col=15&amp;number=3188000&amp;sourceID=32","3188000")</f>
        <v>3188000</v>
      </c>
      <c r="P921" s="4" t="str">
        <f>HYPERLINK("http://141.218.60.56/~jnz1568/getInfo.php?workbook=08_02.xlsx&amp;sheet=A0&amp;row=921&amp;col=16&amp;number=&amp;sourceID=32","")</f>
        <v/>
      </c>
      <c r="Q921" s="4" t="str">
        <f>HYPERLINK("http://141.218.60.56/~jnz1568/getInfo.php?workbook=08_02.xlsx&amp;sheet=A0&amp;row=921&amp;col=17&amp;number=&amp;sourceID=32","")</f>
        <v/>
      </c>
      <c r="R921" s="4" t="str">
        <f>HYPERLINK("http://141.218.60.56/~jnz1568/getInfo.php?workbook=08_02.xlsx&amp;sheet=A0&amp;row=921&amp;col=18&amp;number=0.005018&amp;sourceID=32","0.005018")</f>
        <v>0.005018</v>
      </c>
      <c r="S921" s="4" t="str">
        <f>HYPERLINK("http://141.218.60.56/~jnz1568/getInfo.php?workbook=08_02.xlsx&amp;sheet=A0&amp;row=921&amp;col=19&amp;number=&amp;sourceID=1","")</f>
        <v/>
      </c>
      <c r="T921" s="4" t="str">
        <f>HYPERLINK("http://141.218.60.56/~jnz1568/getInfo.php?workbook=08_02.xlsx&amp;sheet=A0&amp;row=921&amp;col=20&amp;number=&amp;sourceID=1","")</f>
        <v/>
      </c>
    </row>
    <row r="922" spans="1:20">
      <c r="A922" s="3">
        <v>8</v>
      </c>
      <c r="B922" s="3">
        <v>2</v>
      </c>
      <c r="C922" s="3">
        <v>49</v>
      </c>
      <c r="D922" s="3">
        <v>26</v>
      </c>
      <c r="E922" s="3">
        <f>((1/(INDEX(E0!J$4:J$52,C922,1)-INDEX(E0!J$4:J$52,D922,1))))*100000000</f>
        <v>0</v>
      </c>
      <c r="F922" s="4" t="str">
        <f>HYPERLINK("http://141.218.60.56/~jnz1568/getInfo.php?workbook=08_02.xlsx&amp;sheet=A0&amp;row=922&amp;col=6&amp;number=&amp;sourceID=27","")</f>
        <v/>
      </c>
      <c r="G922" s="4" t="str">
        <f>HYPERLINK("http://141.218.60.56/~jnz1568/getInfo.php?workbook=08_02.xlsx&amp;sheet=A0&amp;row=922&amp;col=7&amp;number=&amp;sourceID=34","")</f>
        <v/>
      </c>
      <c r="H922" s="4" t="str">
        <f>HYPERLINK("http://141.218.60.56/~jnz1568/getInfo.php?workbook=08_02.xlsx&amp;sheet=A0&amp;row=922&amp;col=8&amp;number=&amp;sourceID=34","")</f>
        <v/>
      </c>
      <c r="I922" s="4" t="str">
        <f>HYPERLINK("http://141.218.60.56/~jnz1568/getInfo.php?workbook=08_02.xlsx&amp;sheet=A0&amp;row=922&amp;col=9&amp;number=&amp;sourceID=34","")</f>
        <v/>
      </c>
      <c r="J922" s="4" t="str">
        <f>HYPERLINK("http://141.218.60.56/~jnz1568/getInfo.php?workbook=08_02.xlsx&amp;sheet=A0&amp;row=922&amp;col=10&amp;number=&amp;sourceID=34","")</f>
        <v/>
      </c>
      <c r="K922" s="4" t="str">
        <f>HYPERLINK("http://141.218.60.56/~jnz1568/getInfo.php?workbook=08_02.xlsx&amp;sheet=A0&amp;row=922&amp;col=11&amp;number=&amp;sourceID=30","")</f>
        <v/>
      </c>
      <c r="L922" s="4" t="str">
        <f>HYPERLINK("http://141.218.60.56/~jnz1568/getInfo.php?workbook=08_02.xlsx&amp;sheet=A0&amp;row=922&amp;col=12&amp;number=&amp;sourceID=30","")</f>
        <v/>
      </c>
      <c r="M922" s="4" t="str">
        <f>HYPERLINK("http://141.218.60.56/~jnz1568/getInfo.php?workbook=08_02.xlsx&amp;sheet=A0&amp;row=922&amp;col=13&amp;number=&amp;sourceID=30","")</f>
        <v/>
      </c>
      <c r="N922" s="4" t="str">
        <f>HYPERLINK("http://141.218.60.56/~jnz1568/getInfo.php?workbook=08_02.xlsx&amp;sheet=A0&amp;row=922&amp;col=14&amp;number=0.03845&amp;sourceID=30","0.03845")</f>
        <v>0.03845</v>
      </c>
      <c r="O922" s="4" t="str">
        <f>HYPERLINK("http://141.218.60.56/~jnz1568/getInfo.php?workbook=08_02.xlsx&amp;sheet=A0&amp;row=922&amp;col=15&amp;number=&amp;sourceID=32","")</f>
        <v/>
      </c>
      <c r="P922" s="4" t="str">
        <f>HYPERLINK("http://141.218.60.56/~jnz1568/getInfo.php?workbook=08_02.xlsx&amp;sheet=A0&amp;row=922&amp;col=16&amp;number=&amp;sourceID=32","")</f>
        <v/>
      </c>
      <c r="Q922" s="4" t="str">
        <f>HYPERLINK("http://141.218.60.56/~jnz1568/getInfo.php?workbook=08_02.xlsx&amp;sheet=A0&amp;row=922&amp;col=17&amp;number=&amp;sourceID=32","")</f>
        <v/>
      </c>
      <c r="R922" s="4" t="str">
        <f>HYPERLINK("http://141.218.60.56/~jnz1568/getInfo.php?workbook=08_02.xlsx&amp;sheet=A0&amp;row=922&amp;col=18&amp;number=0.03809&amp;sourceID=32","0.03809")</f>
        <v>0.03809</v>
      </c>
      <c r="S922" s="4" t="str">
        <f>HYPERLINK("http://141.218.60.56/~jnz1568/getInfo.php?workbook=08_02.xlsx&amp;sheet=A0&amp;row=922&amp;col=19&amp;number=&amp;sourceID=1","")</f>
        <v/>
      </c>
      <c r="T922" s="4" t="str">
        <f>HYPERLINK("http://141.218.60.56/~jnz1568/getInfo.php?workbook=08_02.xlsx&amp;sheet=A0&amp;row=922&amp;col=20&amp;number=&amp;sourceID=1","")</f>
        <v/>
      </c>
    </row>
    <row r="923" spans="1:20">
      <c r="A923" s="3">
        <v>8</v>
      </c>
      <c r="B923" s="3">
        <v>2</v>
      </c>
      <c r="C923" s="3">
        <v>49</v>
      </c>
      <c r="D923" s="3">
        <v>27</v>
      </c>
      <c r="E923" s="3">
        <f>((1/(INDEX(E0!J$4:J$52,C923,1)-INDEX(E0!J$4:J$52,D923,1))))*100000000</f>
        <v>0</v>
      </c>
      <c r="F923" s="4" t="str">
        <f>HYPERLINK("http://141.218.60.56/~jnz1568/getInfo.php?workbook=08_02.xlsx&amp;sheet=A0&amp;row=923&amp;col=6&amp;number=&amp;sourceID=27","")</f>
        <v/>
      </c>
      <c r="G923" s="4" t="str">
        <f>HYPERLINK("http://141.218.60.56/~jnz1568/getInfo.php?workbook=08_02.xlsx&amp;sheet=A0&amp;row=923&amp;col=7&amp;number=&amp;sourceID=34","")</f>
        <v/>
      </c>
      <c r="H923" s="4" t="str">
        <f>HYPERLINK("http://141.218.60.56/~jnz1568/getInfo.php?workbook=08_02.xlsx&amp;sheet=A0&amp;row=923&amp;col=8&amp;number=&amp;sourceID=34","")</f>
        <v/>
      </c>
      <c r="I923" s="4" t="str">
        <f>HYPERLINK("http://141.218.60.56/~jnz1568/getInfo.php?workbook=08_02.xlsx&amp;sheet=A0&amp;row=923&amp;col=9&amp;number=&amp;sourceID=34","")</f>
        <v/>
      </c>
      <c r="J923" s="4" t="str">
        <f>HYPERLINK("http://141.218.60.56/~jnz1568/getInfo.php?workbook=08_02.xlsx&amp;sheet=A0&amp;row=923&amp;col=10&amp;number=&amp;sourceID=34","")</f>
        <v/>
      </c>
      <c r="K923" s="4" t="str">
        <f>HYPERLINK("http://141.218.60.56/~jnz1568/getInfo.php?workbook=08_02.xlsx&amp;sheet=A0&amp;row=923&amp;col=11&amp;number=&amp;sourceID=30","")</f>
        <v/>
      </c>
      <c r="L923" s="4" t="str">
        <f>HYPERLINK("http://141.218.60.56/~jnz1568/getInfo.php?workbook=08_02.xlsx&amp;sheet=A0&amp;row=923&amp;col=12&amp;number=2061&amp;sourceID=30","2061")</f>
        <v>2061</v>
      </c>
      <c r="M923" s="4" t="str">
        <f>HYPERLINK("http://141.218.60.56/~jnz1568/getInfo.php?workbook=08_02.xlsx&amp;sheet=A0&amp;row=923&amp;col=13&amp;number=&amp;sourceID=30","")</f>
        <v/>
      </c>
      <c r="N923" s="4" t="str">
        <f>HYPERLINK("http://141.218.60.56/~jnz1568/getInfo.php?workbook=08_02.xlsx&amp;sheet=A0&amp;row=923&amp;col=14&amp;number=&amp;sourceID=30","")</f>
        <v/>
      </c>
      <c r="O923" s="4" t="str">
        <f>HYPERLINK("http://141.218.60.56/~jnz1568/getInfo.php?workbook=08_02.xlsx&amp;sheet=A0&amp;row=923&amp;col=15&amp;number=&amp;sourceID=32","")</f>
        <v/>
      </c>
      <c r="P923" s="4" t="str">
        <f>HYPERLINK("http://141.218.60.56/~jnz1568/getInfo.php?workbook=08_02.xlsx&amp;sheet=A0&amp;row=923&amp;col=16&amp;number=2072&amp;sourceID=32","2072")</f>
        <v>2072</v>
      </c>
      <c r="Q923" s="4" t="str">
        <f>HYPERLINK("http://141.218.60.56/~jnz1568/getInfo.php?workbook=08_02.xlsx&amp;sheet=A0&amp;row=923&amp;col=17&amp;number=&amp;sourceID=32","")</f>
        <v/>
      </c>
      <c r="R923" s="4" t="str">
        <f>HYPERLINK("http://141.218.60.56/~jnz1568/getInfo.php?workbook=08_02.xlsx&amp;sheet=A0&amp;row=923&amp;col=18&amp;number=&amp;sourceID=32","")</f>
        <v/>
      </c>
      <c r="S923" s="4" t="str">
        <f>HYPERLINK("http://141.218.60.56/~jnz1568/getInfo.php?workbook=08_02.xlsx&amp;sheet=A0&amp;row=923&amp;col=19&amp;number=&amp;sourceID=1","")</f>
        <v/>
      </c>
      <c r="T923" s="4" t="str">
        <f>HYPERLINK("http://141.218.60.56/~jnz1568/getInfo.php?workbook=08_02.xlsx&amp;sheet=A0&amp;row=923&amp;col=20&amp;number=&amp;sourceID=1","")</f>
        <v/>
      </c>
    </row>
    <row r="924" spans="1:20">
      <c r="A924" s="3">
        <v>8</v>
      </c>
      <c r="B924" s="3">
        <v>2</v>
      </c>
      <c r="C924" s="3">
        <v>49</v>
      </c>
      <c r="D924" s="3">
        <v>28</v>
      </c>
      <c r="E924" s="3">
        <f>((1/(INDEX(E0!J$4:J$52,C924,1)-INDEX(E0!J$4:J$52,D924,1))))*100000000</f>
        <v>0</v>
      </c>
      <c r="F924" s="4" t="str">
        <f>HYPERLINK("http://141.218.60.56/~jnz1568/getInfo.php?workbook=08_02.xlsx&amp;sheet=A0&amp;row=924&amp;col=6&amp;number=&amp;sourceID=27","")</f>
        <v/>
      </c>
      <c r="G924" s="4" t="str">
        <f>HYPERLINK("http://141.218.60.56/~jnz1568/getInfo.php?workbook=08_02.xlsx&amp;sheet=A0&amp;row=924&amp;col=7&amp;number=&amp;sourceID=34","")</f>
        <v/>
      </c>
      <c r="H924" s="4" t="str">
        <f>HYPERLINK("http://141.218.60.56/~jnz1568/getInfo.php?workbook=08_02.xlsx&amp;sheet=A0&amp;row=924&amp;col=8&amp;number=&amp;sourceID=34","")</f>
        <v/>
      </c>
      <c r="I924" s="4" t="str">
        <f>HYPERLINK("http://141.218.60.56/~jnz1568/getInfo.php?workbook=08_02.xlsx&amp;sheet=A0&amp;row=924&amp;col=9&amp;number=&amp;sourceID=34","")</f>
        <v/>
      </c>
      <c r="J924" s="4" t="str">
        <f>HYPERLINK("http://141.218.60.56/~jnz1568/getInfo.php?workbook=08_02.xlsx&amp;sheet=A0&amp;row=924&amp;col=10&amp;number=&amp;sourceID=34","")</f>
        <v/>
      </c>
      <c r="K924" s="4" t="str">
        <f>HYPERLINK("http://141.218.60.56/~jnz1568/getInfo.php?workbook=08_02.xlsx&amp;sheet=A0&amp;row=924&amp;col=11&amp;number=&amp;sourceID=30","")</f>
        <v/>
      </c>
      <c r="L924" s="4" t="str">
        <f>HYPERLINK("http://141.218.60.56/~jnz1568/getInfo.php?workbook=08_02.xlsx&amp;sheet=A0&amp;row=924&amp;col=12&amp;number=0.2832&amp;sourceID=30","0.2832")</f>
        <v>0.2832</v>
      </c>
      <c r="M924" s="4" t="str">
        <f>HYPERLINK("http://141.218.60.56/~jnz1568/getInfo.php?workbook=08_02.xlsx&amp;sheet=A0&amp;row=924&amp;col=13&amp;number=4.96e-09&amp;sourceID=30","4.96e-09")</f>
        <v>4.96e-09</v>
      </c>
      <c r="N924" s="4" t="str">
        <f>HYPERLINK("http://141.218.60.56/~jnz1568/getInfo.php?workbook=08_02.xlsx&amp;sheet=A0&amp;row=924&amp;col=14&amp;number=&amp;sourceID=30","")</f>
        <v/>
      </c>
      <c r="O924" s="4" t="str">
        <f>HYPERLINK("http://141.218.60.56/~jnz1568/getInfo.php?workbook=08_02.xlsx&amp;sheet=A0&amp;row=924&amp;col=15&amp;number=&amp;sourceID=32","")</f>
        <v/>
      </c>
      <c r="P924" s="4" t="str">
        <f>HYPERLINK("http://141.218.60.56/~jnz1568/getInfo.php?workbook=08_02.xlsx&amp;sheet=A0&amp;row=924&amp;col=16&amp;number=0.3275&amp;sourceID=32","0.3275")</f>
        <v>0.3275</v>
      </c>
      <c r="Q924" s="4" t="str">
        <f>HYPERLINK("http://141.218.60.56/~jnz1568/getInfo.php?workbook=08_02.xlsx&amp;sheet=A0&amp;row=924&amp;col=17&amp;number=1.526e-08&amp;sourceID=32","1.526e-08")</f>
        <v>1.526e-08</v>
      </c>
      <c r="R924" s="4" t="str">
        <f>HYPERLINK("http://141.218.60.56/~jnz1568/getInfo.php?workbook=08_02.xlsx&amp;sheet=A0&amp;row=924&amp;col=18&amp;number=&amp;sourceID=32","")</f>
        <v/>
      </c>
      <c r="S924" s="4" t="str">
        <f>HYPERLINK("http://141.218.60.56/~jnz1568/getInfo.php?workbook=08_02.xlsx&amp;sheet=A0&amp;row=924&amp;col=19&amp;number=&amp;sourceID=1","")</f>
        <v/>
      </c>
      <c r="T924" s="4" t="str">
        <f>HYPERLINK("http://141.218.60.56/~jnz1568/getInfo.php?workbook=08_02.xlsx&amp;sheet=A0&amp;row=924&amp;col=20&amp;number=&amp;sourceID=1","")</f>
        <v/>
      </c>
    </row>
    <row r="925" spans="1:20">
      <c r="A925" s="3">
        <v>8</v>
      </c>
      <c r="B925" s="3">
        <v>2</v>
      </c>
      <c r="C925" s="3">
        <v>49</v>
      </c>
      <c r="D925" s="3">
        <v>29</v>
      </c>
      <c r="E925" s="3">
        <f>((1/(INDEX(E0!J$4:J$52,C925,1)-INDEX(E0!J$4:J$52,D925,1))))*100000000</f>
        <v>0</v>
      </c>
      <c r="F925" s="4" t="str">
        <f>HYPERLINK("http://141.218.60.56/~jnz1568/getInfo.php?workbook=08_02.xlsx&amp;sheet=A0&amp;row=925&amp;col=6&amp;number=&amp;sourceID=27","")</f>
        <v/>
      </c>
      <c r="G925" s="4" t="str">
        <f>HYPERLINK("http://141.218.60.56/~jnz1568/getInfo.php?workbook=08_02.xlsx&amp;sheet=A0&amp;row=925&amp;col=7&amp;number=425333333.333&amp;sourceID=34","425333333.333")</f>
        <v>425333333.333</v>
      </c>
      <c r="H925" s="4" t="str">
        <f>HYPERLINK("http://141.218.60.56/~jnz1568/getInfo.php?workbook=08_02.xlsx&amp;sheet=A0&amp;row=925&amp;col=8&amp;number=&amp;sourceID=34","")</f>
        <v/>
      </c>
      <c r="I925" s="4" t="str">
        <f>HYPERLINK("http://141.218.60.56/~jnz1568/getInfo.php?workbook=08_02.xlsx&amp;sheet=A0&amp;row=925&amp;col=9&amp;number=&amp;sourceID=34","")</f>
        <v/>
      </c>
      <c r="J925" s="4" t="str">
        <f>HYPERLINK("http://141.218.60.56/~jnz1568/getInfo.php?workbook=08_02.xlsx&amp;sheet=A0&amp;row=925&amp;col=10&amp;number=&amp;sourceID=34","")</f>
        <v/>
      </c>
      <c r="K925" s="4" t="str">
        <f>HYPERLINK("http://141.218.60.56/~jnz1568/getInfo.php?workbook=08_02.xlsx&amp;sheet=A0&amp;row=925&amp;col=11&amp;number=430700000&amp;sourceID=30","430700000")</f>
        <v>430700000</v>
      </c>
      <c r="L925" s="4" t="str">
        <f>HYPERLINK("http://141.218.60.56/~jnz1568/getInfo.php?workbook=08_02.xlsx&amp;sheet=A0&amp;row=925&amp;col=12&amp;number=&amp;sourceID=30","")</f>
        <v/>
      </c>
      <c r="M925" s="4" t="str">
        <f>HYPERLINK("http://141.218.60.56/~jnz1568/getInfo.php?workbook=08_02.xlsx&amp;sheet=A0&amp;row=925&amp;col=13&amp;number=&amp;sourceID=30","")</f>
        <v/>
      </c>
      <c r="N925" s="4" t="str">
        <f>HYPERLINK("http://141.218.60.56/~jnz1568/getInfo.php?workbook=08_02.xlsx&amp;sheet=A0&amp;row=925&amp;col=14&amp;number=0.02141&amp;sourceID=30","0.02141")</f>
        <v>0.02141</v>
      </c>
      <c r="O925" s="4" t="str">
        <f>HYPERLINK("http://141.218.60.56/~jnz1568/getInfo.php?workbook=08_02.xlsx&amp;sheet=A0&amp;row=925&amp;col=15&amp;number=420700000&amp;sourceID=32","420700000")</f>
        <v>420700000</v>
      </c>
      <c r="P925" s="4" t="str">
        <f>HYPERLINK("http://141.218.60.56/~jnz1568/getInfo.php?workbook=08_02.xlsx&amp;sheet=A0&amp;row=925&amp;col=16&amp;number=&amp;sourceID=32","")</f>
        <v/>
      </c>
      <c r="Q925" s="4" t="str">
        <f>HYPERLINK("http://141.218.60.56/~jnz1568/getInfo.php?workbook=08_02.xlsx&amp;sheet=A0&amp;row=925&amp;col=17&amp;number=&amp;sourceID=32","")</f>
        <v/>
      </c>
      <c r="R925" s="4" t="str">
        <f>HYPERLINK("http://141.218.60.56/~jnz1568/getInfo.php?workbook=08_02.xlsx&amp;sheet=A0&amp;row=925&amp;col=18&amp;number=0.02115&amp;sourceID=32","0.02115")</f>
        <v>0.02115</v>
      </c>
      <c r="S925" s="4" t="str">
        <f>HYPERLINK("http://141.218.60.56/~jnz1568/getInfo.php?workbook=08_02.xlsx&amp;sheet=A0&amp;row=925&amp;col=19&amp;number=&amp;sourceID=1","")</f>
        <v/>
      </c>
      <c r="T925" s="4" t="str">
        <f>HYPERLINK("http://141.218.60.56/~jnz1568/getInfo.php?workbook=08_02.xlsx&amp;sheet=A0&amp;row=925&amp;col=20&amp;number=&amp;sourceID=1","")</f>
        <v/>
      </c>
    </row>
    <row r="926" spans="1:20">
      <c r="A926" s="3">
        <v>8</v>
      </c>
      <c r="B926" s="3">
        <v>2</v>
      </c>
      <c r="C926" s="3">
        <v>49</v>
      </c>
      <c r="D926" s="3">
        <v>30</v>
      </c>
      <c r="E926" s="3">
        <f>((1/(INDEX(E0!J$4:J$52,C926,1)-INDEX(E0!J$4:J$52,D926,1))))*100000000</f>
        <v>0</v>
      </c>
      <c r="F926" s="4" t="str">
        <f>HYPERLINK("http://141.218.60.56/~jnz1568/getInfo.php?workbook=08_02.xlsx&amp;sheet=A0&amp;row=926&amp;col=6&amp;number=&amp;sourceID=27","")</f>
        <v/>
      </c>
      <c r="G926" s="4" t="str">
        <f>HYPERLINK("http://141.218.60.56/~jnz1568/getInfo.php?workbook=08_02.xlsx&amp;sheet=A0&amp;row=926&amp;col=7&amp;number=&amp;sourceID=34","")</f>
        <v/>
      </c>
      <c r="H926" s="4" t="str">
        <f>HYPERLINK("http://141.218.60.56/~jnz1568/getInfo.php?workbook=08_02.xlsx&amp;sheet=A0&amp;row=926&amp;col=8&amp;number=&amp;sourceID=34","")</f>
        <v/>
      </c>
      <c r="I926" s="4" t="str">
        <f>HYPERLINK("http://141.218.60.56/~jnz1568/getInfo.php?workbook=08_02.xlsx&amp;sheet=A0&amp;row=926&amp;col=9&amp;number=&amp;sourceID=34","")</f>
        <v/>
      </c>
      <c r="J926" s="4" t="str">
        <f>HYPERLINK("http://141.218.60.56/~jnz1568/getInfo.php?workbook=08_02.xlsx&amp;sheet=A0&amp;row=926&amp;col=10&amp;number=&amp;sourceID=34","")</f>
        <v/>
      </c>
      <c r="K926" s="4" t="str">
        <f>HYPERLINK("http://141.218.60.56/~jnz1568/getInfo.php?workbook=08_02.xlsx&amp;sheet=A0&amp;row=926&amp;col=11&amp;number=&amp;sourceID=30","")</f>
        <v/>
      </c>
      <c r="L926" s="4" t="str">
        <f>HYPERLINK("http://141.218.60.56/~jnz1568/getInfo.php?workbook=08_02.xlsx&amp;sheet=A0&amp;row=926&amp;col=12&amp;number=3432&amp;sourceID=30","3432")</f>
        <v>3432</v>
      </c>
      <c r="M926" s="4" t="str">
        <f>HYPERLINK("http://141.218.60.56/~jnz1568/getInfo.php?workbook=08_02.xlsx&amp;sheet=A0&amp;row=926&amp;col=13&amp;number=&amp;sourceID=30","")</f>
        <v/>
      </c>
      <c r="N926" s="4" t="str">
        <f>HYPERLINK("http://141.218.60.56/~jnz1568/getInfo.php?workbook=08_02.xlsx&amp;sheet=A0&amp;row=926&amp;col=14&amp;number=&amp;sourceID=30","")</f>
        <v/>
      </c>
      <c r="O926" s="4" t="str">
        <f>HYPERLINK("http://141.218.60.56/~jnz1568/getInfo.php?workbook=08_02.xlsx&amp;sheet=A0&amp;row=926&amp;col=15&amp;number=&amp;sourceID=32","")</f>
        <v/>
      </c>
      <c r="P926" s="4" t="str">
        <f>HYPERLINK("http://141.218.60.56/~jnz1568/getInfo.php?workbook=08_02.xlsx&amp;sheet=A0&amp;row=926&amp;col=16&amp;number=3339&amp;sourceID=32","3339")</f>
        <v>3339</v>
      </c>
      <c r="Q926" s="4" t="str">
        <f>HYPERLINK("http://141.218.60.56/~jnz1568/getInfo.php?workbook=08_02.xlsx&amp;sheet=A0&amp;row=926&amp;col=17&amp;number=&amp;sourceID=32","")</f>
        <v/>
      </c>
      <c r="R926" s="4" t="str">
        <f>HYPERLINK("http://141.218.60.56/~jnz1568/getInfo.php?workbook=08_02.xlsx&amp;sheet=A0&amp;row=926&amp;col=18&amp;number=&amp;sourceID=32","")</f>
        <v/>
      </c>
      <c r="S926" s="4" t="str">
        <f>HYPERLINK("http://141.218.60.56/~jnz1568/getInfo.php?workbook=08_02.xlsx&amp;sheet=A0&amp;row=926&amp;col=19&amp;number=&amp;sourceID=1","")</f>
        <v/>
      </c>
      <c r="T926" s="4" t="str">
        <f>HYPERLINK("http://141.218.60.56/~jnz1568/getInfo.php?workbook=08_02.xlsx&amp;sheet=A0&amp;row=926&amp;col=20&amp;number=&amp;sourceID=1","")</f>
        <v/>
      </c>
    </row>
    <row r="927" spans="1:20">
      <c r="A927" s="3">
        <v>8</v>
      </c>
      <c r="B927" s="3">
        <v>2</v>
      </c>
      <c r="C927" s="3">
        <v>49</v>
      </c>
      <c r="D927" s="3">
        <v>31</v>
      </c>
      <c r="E927" s="3">
        <f>((1/(INDEX(E0!J$4:J$52,C927,1)-INDEX(E0!J$4:J$52,D927,1))))*100000000</f>
        <v>0</v>
      </c>
      <c r="F927" s="4" t="str">
        <f>HYPERLINK("http://141.218.60.56/~jnz1568/getInfo.php?workbook=08_02.xlsx&amp;sheet=A0&amp;row=927&amp;col=6&amp;number=&amp;sourceID=27","")</f>
        <v/>
      </c>
      <c r="G927" s="4" t="str">
        <f>HYPERLINK("http://141.218.60.56/~jnz1568/getInfo.php?workbook=08_02.xlsx&amp;sheet=A0&amp;row=927&amp;col=7&amp;number=&amp;sourceID=34","")</f>
        <v/>
      </c>
      <c r="H927" s="4" t="str">
        <f>HYPERLINK("http://141.218.60.56/~jnz1568/getInfo.php?workbook=08_02.xlsx&amp;sheet=A0&amp;row=927&amp;col=8&amp;number=&amp;sourceID=34","")</f>
        <v/>
      </c>
      <c r="I927" s="4" t="str">
        <f>HYPERLINK("http://141.218.60.56/~jnz1568/getInfo.php?workbook=08_02.xlsx&amp;sheet=A0&amp;row=927&amp;col=9&amp;number=&amp;sourceID=34","")</f>
        <v/>
      </c>
      <c r="J927" s="4" t="str">
        <f>HYPERLINK("http://141.218.60.56/~jnz1568/getInfo.php?workbook=08_02.xlsx&amp;sheet=A0&amp;row=927&amp;col=10&amp;number=&amp;sourceID=34","")</f>
        <v/>
      </c>
      <c r="K927" s="4" t="str">
        <f>HYPERLINK("http://141.218.60.56/~jnz1568/getInfo.php?workbook=08_02.xlsx&amp;sheet=A0&amp;row=927&amp;col=11&amp;number=&amp;sourceID=30","")</f>
        <v/>
      </c>
      <c r="L927" s="4" t="str">
        <f>HYPERLINK("http://141.218.60.56/~jnz1568/getInfo.php?workbook=08_02.xlsx&amp;sheet=A0&amp;row=927&amp;col=12&amp;number=57940&amp;sourceID=30","57940")</f>
        <v>57940</v>
      </c>
      <c r="M927" s="4" t="str">
        <f>HYPERLINK("http://141.218.60.56/~jnz1568/getInfo.php?workbook=08_02.xlsx&amp;sheet=A0&amp;row=927&amp;col=13&amp;number=0.0002296&amp;sourceID=30","0.0002296")</f>
        <v>0.0002296</v>
      </c>
      <c r="N927" s="4" t="str">
        <f>HYPERLINK("http://141.218.60.56/~jnz1568/getInfo.php?workbook=08_02.xlsx&amp;sheet=A0&amp;row=927&amp;col=14&amp;number=&amp;sourceID=30","")</f>
        <v/>
      </c>
      <c r="O927" s="4" t="str">
        <f>HYPERLINK("http://141.218.60.56/~jnz1568/getInfo.php?workbook=08_02.xlsx&amp;sheet=A0&amp;row=927&amp;col=15&amp;number=&amp;sourceID=32","")</f>
        <v/>
      </c>
      <c r="P927" s="4" t="str">
        <f>HYPERLINK("http://141.218.60.56/~jnz1568/getInfo.php?workbook=08_02.xlsx&amp;sheet=A0&amp;row=927&amp;col=16&amp;number=52900&amp;sourceID=32","52900")</f>
        <v>52900</v>
      </c>
      <c r="Q927" s="4" t="str">
        <f>HYPERLINK("http://141.218.60.56/~jnz1568/getInfo.php?workbook=08_02.xlsx&amp;sheet=A0&amp;row=927&amp;col=17&amp;number=0.0001845&amp;sourceID=32","0.0001845")</f>
        <v>0.0001845</v>
      </c>
      <c r="R927" s="4" t="str">
        <f>HYPERLINK("http://141.218.60.56/~jnz1568/getInfo.php?workbook=08_02.xlsx&amp;sheet=A0&amp;row=927&amp;col=18&amp;number=&amp;sourceID=32","")</f>
        <v/>
      </c>
      <c r="S927" s="4" t="str">
        <f>HYPERLINK("http://141.218.60.56/~jnz1568/getInfo.php?workbook=08_02.xlsx&amp;sheet=A0&amp;row=927&amp;col=19&amp;number=&amp;sourceID=1","")</f>
        <v/>
      </c>
      <c r="T927" s="4" t="str">
        <f>HYPERLINK("http://141.218.60.56/~jnz1568/getInfo.php?workbook=08_02.xlsx&amp;sheet=A0&amp;row=927&amp;col=20&amp;number=&amp;sourceID=1","")</f>
        <v/>
      </c>
    </row>
    <row r="928" spans="1:20">
      <c r="A928" s="3">
        <v>8</v>
      </c>
      <c r="B928" s="3">
        <v>2</v>
      </c>
      <c r="C928" s="3">
        <v>49</v>
      </c>
      <c r="D928" s="3">
        <v>32</v>
      </c>
      <c r="E928" s="3">
        <f>((1/(INDEX(E0!J$4:J$52,C928,1)-INDEX(E0!J$4:J$52,D928,1))))*100000000</f>
        <v>0</v>
      </c>
      <c r="F928" s="4" t="str">
        <f>HYPERLINK("http://141.218.60.56/~jnz1568/getInfo.php?workbook=08_02.xlsx&amp;sheet=A0&amp;row=928&amp;col=6&amp;number=&amp;sourceID=27","")</f>
        <v/>
      </c>
      <c r="G928" s="4" t="str">
        <f>HYPERLINK("http://141.218.60.56/~jnz1568/getInfo.php?workbook=08_02.xlsx&amp;sheet=A0&amp;row=928&amp;col=7&amp;number=&amp;sourceID=34","")</f>
        <v/>
      </c>
      <c r="H928" s="4" t="str">
        <f>HYPERLINK("http://141.218.60.56/~jnz1568/getInfo.php?workbook=08_02.xlsx&amp;sheet=A0&amp;row=928&amp;col=8&amp;number=&amp;sourceID=34","")</f>
        <v/>
      </c>
      <c r="I928" s="4" t="str">
        <f>HYPERLINK("http://141.218.60.56/~jnz1568/getInfo.php?workbook=08_02.xlsx&amp;sheet=A0&amp;row=928&amp;col=9&amp;number=&amp;sourceID=34","")</f>
        <v/>
      </c>
      <c r="J928" s="4" t="str">
        <f>HYPERLINK("http://141.218.60.56/~jnz1568/getInfo.php?workbook=08_02.xlsx&amp;sheet=A0&amp;row=928&amp;col=10&amp;number=&amp;sourceID=34","")</f>
        <v/>
      </c>
      <c r="K928" s="4" t="str">
        <f>HYPERLINK("http://141.218.60.56/~jnz1568/getInfo.php?workbook=08_02.xlsx&amp;sheet=A0&amp;row=928&amp;col=11&amp;number=700.1&amp;sourceID=30","700.1")</f>
        <v>700.1</v>
      </c>
      <c r="L928" s="4" t="str">
        <f>HYPERLINK("http://141.218.60.56/~jnz1568/getInfo.php?workbook=08_02.xlsx&amp;sheet=A0&amp;row=928&amp;col=12&amp;number=&amp;sourceID=30","")</f>
        <v/>
      </c>
      <c r="M928" s="4" t="str">
        <f>HYPERLINK("http://141.218.60.56/~jnz1568/getInfo.php?workbook=08_02.xlsx&amp;sheet=A0&amp;row=928&amp;col=13&amp;number=&amp;sourceID=30","")</f>
        <v/>
      </c>
      <c r="N928" s="4" t="str">
        <f>HYPERLINK("http://141.218.60.56/~jnz1568/getInfo.php?workbook=08_02.xlsx&amp;sheet=A0&amp;row=928&amp;col=14&amp;number=1.226e-06&amp;sourceID=30","1.226e-06")</f>
        <v>1.226e-06</v>
      </c>
      <c r="O928" s="4" t="str">
        <f>HYPERLINK("http://141.218.60.56/~jnz1568/getInfo.php?workbook=08_02.xlsx&amp;sheet=A0&amp;row=928&amp;col=15&amp;number=697.3&amp;sourceID=32","697.3")</f>
        <v>697.3</v>
      </c>
      <c r="P928" s="4" t="str">
        <f>HYPERLINK("http://141.218.60.56/~jnz1568/getInfo.php?workbook=08_02.xlsx&amp;sheet=A0&amp;row=928&amp;col=16&amp;number=&amp;sourceID=32","")</f>
        <v/>
      </c>
      <c r="Q928" s="4" t="str">
        <f>HYPERLINK("http://141.218.60.56/~jnz1568/getInfo.php?workbook=08_02.xlsx&amp;sheet=A0&amp;row=928&amp;col=17&amp;number=&amp;sourceID=32","")</f>
        <v/>
      </c>
      <c r="R928" s="4" t="str">
        <f>HYPERLINK("http://141.218.60.56/~jnz1568/getInfo.php?workbook=08_02.xlsx&amp;sheet=A0&amp;row=928&amp;col=18&amp;number=1.014e-06&amp;sourceID=32","1.014e-06")</f>
        <v>1.014e-06</v>
      </c>
      <c r="S928" s="4" t="str">
        <f>HYPERLINK("http://141.218.60.56/~jnz1568/getInfo.php?workbook=08_02.xlsx&amp;sheet=A0&amp;row=928&amp;col=19&amp;number=&amp;sourceID=1","")</f>
        <v/>
      </c>
      <c r="T928" s="4" t="str">
        <f>HYPERLINK("http://141.218.60.56/~jnz1568/getInfo.php?workbook=08_02.xlsx&amp;sheet=A0&amp;row=928&amp;col=20&amp;number=&amp;sourceID=1","")</f>
        <v/>
      </c>
    </row>
    <row r="929" spans="1:20">
      <c r="A929" s="3">
        <v>8</v>
      </c>
      <c r="B929" s="3">
        <v>2</v>
      </c>
      <c r="C929" s="3">
        <v>49</v>
      </c>
      <c r="D929" s="3">
        <v>33</v>
      </c>
      <c r="E929" s="3">
        <f>((1/(INDEX(E0!J$4:J$52,C929,1)-INDEX(E0!J$4:J$52,D929,1))))*100000000</f>
        <v>0</v>
      </c>
      <c r="F929" s="4" t="str">
        <f>HYPERLINK("http://141.218.60.56/~jnz1568/getInfo.php?workbook=08_02.xlsx&amp;sheet=A0&amp;row=929&amp;col=6&amp;number=&amp;sourceID=27","")</f>
        <v/>
      </c>
      <c r="G929" s="4" t="str">
        <f>HYPERLINK("http://141.218.60.56/~jnz1568/getInfo.php?workbook=08_02.xlsx&amp;sheet=A0&amp;row=929&amp;col=7&amp;number=&amp;sourceID=34","")</f>
        <v/>
      </c>
      <c r="H929" s="4" t="str">
        <f>HYPERLINK("http://141.218.60.56/~jnz1568/getInfo.php?workbook=08_02.xlsx&amp;sheet=A0&amp;row=929&amp;col=8&amp;number=&amp;sourceID=34","")</f>
        <v/>
      </c>
      <c r="I929" s="4" t="str">
        <f>HYPERLINK("http://141.218.60.56/~jnz1568/getInfo.php?workbook=08_02.xlsx&amp;sheet=A0&amp;row=929&amp;col=9&amp;number=&amp;sourceID=34","")</f>
        <v/>
      </c>
      <c r="J929" s="4" t="str">
        <f>HYPERLINK("http://141.218.60.56/~jnz1568/getInfo.php?workbook=08_02.xlsx&amp;sheet=A0&amp;row=929&amp;col=10&amp;number=&amp;sourceID=34","")</f>
        <v/>
      </c>
      <c r="K929" s="4" t="str">
        <f>HYPERLINK("http://141.218.60.56/~jnz1568/getInfo.php?workbook=08_02.xlsx&amp;sheet=A0&amp;row=929&amp;col=11&amp;number=200300&amp;sourceID=30","200300")</f>
        <v>200300</v>
      </c>
      <c r="L929" s="4" t="str">
        <f>HYPERLINK("http://141.218.60.56/~jnz1568/getInfo.php?workbook=08_02.xlsx&amp;sheet=A0&amp;row=929&amp;col=12&amp;number=&amp;sourceID=30","")</f>
        <v/>
      </c>
      <c r="M929" s="4" t="str">
        <f>HYPERLINK("http://141.218.60.56/~jnz1568/getInfo.php?workbook=08_02.xlsx&amp;sheet=A0&amp;row=929&amp;col=13&amp;number=&amp;sourceID=30","")</f>
        <v/>
      </c>
      <c r="N929" s="4" t="str">
        <f>HYPERLINK("http://141.218.60.56/~jnz1568/getInfo.php?workbook=08_02.xlsx&amp;sheet=A0&amp;row=929&amp;col=14&amp;number=&amp;sourceID=30","")</f>
        <v/>
      </c>
      <c r="O929" s="4" t="str">
        <f>HYPERLINK("http://141.218.60.56/~jnz1568/getInfo.php?workbook=08_02.xlsx&amp;sheet=A0&amp;row=929&amp;col=15&amp;number=303600&amp;sourceID=32","303600")</f>
        <v>303600</v>
      </c>
      <c r="P929" s="4" t="str">
        <f>HYPERLINK("http://141.218.60.56/~jnz1568/getInfo.php?workbook=08_02.xlsx&amp;sheet=A0&amp;row=929&amp;col=16&amp;number=&amp;sourceID=32","")</f>
        <v/>
      </c>
      <c r="Q929" s="4" t="str">
        <f>HYPERLINK("http://141.218.60.56/~jnz1568/getInfo.php?workbook=08_02.xlsx&amp;sheet=A0&amp;row=929&amp;col=17&amp;number=&amp;sourceID=32","")</f>
        <v/>
      </c>
      <c r="R929" s="4" t="str">
        <f>HYPERLINK("http://141.218.60.56/~jnz1568/getInfo.php?workbook=08_02.xlsx&amp;sheet=A0&amp;row=929&amp;col=18&amp;number=&amp;sourceID=32","")</f>
        <v/>
      </c>
      <c r="S929" s="4" t="str">
        <f>HYPERLINK("http://141.218.60.56/~jnz1568/getInfo.php?workbook=08_02.xlsx&amp;sheet=A0&amp;row=929&amp;col=19&amp;number=&amp;sourceID=1","")</f>
        <v/>
      </c>
      <c r="T929" s="4" t="str">
        <f>HYPERLINK("http://141.218.60.56/~jnz1568/getInfo.php?workbook=08_02.xlsx&amp;sheet=A0&amp;row=929&amp;col=20&amp;number=&amp;sourceID=1","")</f>
        <v/>
      </c>
    </row>
    <row r="930" spans="1:20">
      <c r="A930" s="3">
        <v>8</v>
      </c>
      <c r="B930" s="3">
        <v>2</v>
      </c>
      <c r="C930" s="3">
        <v>49</v>
      </c>
      <c r="D930" s="3">
        <v>34</v>
      </c>
      <c r="E930" s="3">
        <f>((1/(INDEX(E0!J$4:J$52,C930,1)-INDEX(E0!J$4:J$52,D930,1))))*100000000</f>
        <v>0</v>
      </c>
      <c r="F930" s="4" t="str">
        <f>HYPERLINK("http://141.218.60.56/~jnz1568/getInfo.php?workbook=08_02.xlsx&amp;sheet=A0&amp;row=930&amp;col=6&amp;number=&amp;sourceID=27","")</f>
        <v/>
      </c>
      <c r="G930" s="4" t="str">
        <f>HYPERLINK("http://141.218.60.56/~jnz1568/getInfo.php?workbook=08_02.xlsx&amp;sheet=A0&amp;row=930&amp;col=7&amp;number=&amp;sourceID=34","")</f>
        <v/>
      </c>
      <c r="H930" s="4" t="str">
        <f>HYPERLINK("http://141.218.60.56/~jnz1568/getInfo.php?workbook=08_02.xlsx&amp;sheet=A0&amp;row=930&amp;col=8&amp;number=&amp;sourceID=34","")</f>
        <v/>
      </c>
      <c r="I930" s="4" t="str">
        <f>HYPERLINK("http://141.218.60.56/~jnz1568/getInfo.php?workbook=08_02.xlsx&amp;sheet=A0&amp;row=930&amp;col=9&amp;number=&amp;sourceID=34","")</f>
        <v/>
      </c>
      <c r="J930" s="4" t="str">
        <f>HYPERLINK("http://141.218.60.56/~jnz1568/getInfo.php?workbook=08_02.xlsx&amp;sheet=A0&amp;row=930&amp;col=10&amp;number=&amp;sourceID=34","")</f>
        <v/>
      </c>
      <c r="K930" s="4" t="str">
        <f>HYPERLINK("http://141.218.60.56/~jnz1568/getInfo.php?workbook=08_02.xlsx&amp;sheet=A0&amp;row=930&amp;col=11&amp;number=&amp;sourceID=30","")</f>
        <v/>
      </c>
      <c r="L930" s="4" t="str">
        <f>HYPERLINK("http://141.218.60.56/~jnz1568/getInfo.php?workbook=08_02.xlsx&amp;sheet=A0&amp;row=930&amp;col=12&amp;number=&amp;sourceID=30","")</f>
        <v/>
      </c>
      <c r="M930" s="4" t="str">
        <f>HYPERLINK("http://141.218.60.56/~jnz1568/getInfo.php?workbook=08_02.xlsx&amp;sheet=A0&amp;row=930&amp;col=13&amp;number=6.524e-05&amp;sourceID=30","6.524e-05")</f>
        <v>6.524e-05</v>
      </c>
      <c r="N930" s="4" t="str">
        <f>HYPERLINK("http://141.218.60.56/~jnz1568/getInfo.php?workbook=08_02.xlsx&amp;sheet=A0&amp;row=930&amp;col=14&amp;number=&amp;sourceID=30","")</f>
        <v/>
      </c>
      <c r="O930" s="4" t="str">
        <f>HYPERLINK("http://141.218.60.56/~jnz1568/getInfo.php?workbook=08_02.xlsx&amp;sheet=A0&amp;row=930&amp;col=15&amp;number=&amp;sourceID=32","")</f>
        <v/>
      </c>
      <c r="P930" s="4" t="str">
        <f>HYPERLINK("http://141.218.60.56/~jnz1568/getInfo.php?workbook=08_02.xlsx&amp;sheet=A0&amp;row=930&amp;col=16&amp;number=&amp;sourceID=32","")</f>
        <v/>
      </c>
      <c r="Q930" s="4" t="str">
        <f>HYPERLINK("http://141.218.60.56/~jnz1568/getInfo.php?workbook=08_02.xlsx&amp;sheet=A0&amp;row=930&amp;col=17&amp;number=5.716e-05&amp;sourceID=32","5.716e-05")</f>
        <v>5.716e-05</v>
      </c>
      <c r="R930" s="4" t="str">
        <f>HYPERLINK("http://141.218.60.56/~jnz1568/getInfo.php?workbook=08_02.xlsx&amp;sheet=A0&amp;row=930&amp;col=18&amp;number=&amp;sourceID=32","")</f>
        <v/>
      </c>
      <c r="S930" s="4" t="str">
        <f>HYPERLINK("http://141.218.60.56/~jnz1568/getInfo.php?workbook=08_02.xlsx&amp;sheet=A0&amp;row=930&amp;col=19&amp;number=&amp;sourceID=1","")</f>
        <v/>
      </c>
      <c r="T930" s="4" t="str">
        <f>HYPERLINK("http://141.218.60.56/~jnz1568/getInfo.php?workbook=08_02.xlsx&amp;sheet=A0&amp;row=930&amp;col=20&amp;number=&amp;sourceID=1","")</f>
        <v/>
      </c>
    </row>
    <row r="931" spans="1:20">
      <c r="A931" s="3">
        <v>8</v>
      </c>
      <c r="B931" s="3">
        <v>2</v>
      </c>
      <c r="C931" s="3">
        <v>49</v>
      </c>
      <c r="D931" s="3">
        <v>35</v>
      </c>
      <c r="E931" s="3">
        <f>((1/(INDEX(E0!J$4:J$52,C931,1)-INDEX(E0!J$4:J$52,D931,1))))*100000000</f>
        <v>0</v>
      </c>
      <c r="F931" s="4" t="str">
        <f>HYPERLINK("http://141.218.60.56/~jnz1568/getInfo.php?workbook=08_02.xlsx&amp;sheet=A0&amp;row=931&amp;col=6&amp;number=&amp;sourceID=27","")</f>
        <v/>
      </c>
      <c r="G931" s="4" t="str">
        <f>HYPERLINK("http://141.218.60.56/~jnz1568/getInfo.php?workbook=08_02.xlsx&amp;sheet=A0&amp;row=931&amp;col=7&amp;number=&amp;sourceID=34","")</f>
        <v/>
      </c>
      <c r="H931" s="4" t="str">
        <f>HYPERLINK("http://141.218.60.56/~jnz1568/getInfo.php?workbook=08_02.xlsx&amp;sheet=A0&amp;row=931&amp;col=8&amp;number=&amp;sourceID=34","")</f>
        <v/>
      </c>
      <c r="I931" s="4" t="str">
        <f>HYPERLINK("http://141.218.60.56/~jnz1568/getInfo.php?workbook=08_02.xlsx&amp;sheet=A0&amp;row=931&amp;col=9&amp;number=&amp;sourceID=34","")</f>
        <v/>
      </c>
      <c r="J931" s="4" t="str">
        <f>HYPERLINK("http://141.218.60.56/~jnz1568/getInfo.php?workbook=08_02.xlsx&amp;sheet=A0&amp;row=931&amp;col=10&amp;number=&amp;sourceID=34","")</f>
        <v/>
      </c>
      <c r="K931" s="4" t="str">
        <f>HYPERLINK("http://141.218.60.56/~jnz1568/getInfo.php?workbook=08_02.xlsx&amp;sheet=A0&amp;row=931&amp;col=11&amp;number=&amp;sourceID=30","")</f>
        <v/>
      </c>
      <c r="L931" s="4" t="str">
        <f>HYPERLINK("http://141.218.60.56/~jnz1568/getInfo.php?workbook=08_02.xlsx&amp;sheet=A0&amp;row=931&amp;col=12&amp;number=2.152e-06&amp;sourceID=30","2.152e-06")</f>
        <v>2.152e-06</v>
      </c>
      <c r="M931" s="4" t="str">
        <f>HYPERLINK("http://141.218.60.56/~jnz1568/getInfo.php?workbook=08_02.xlsx&amp;sheet=A0&amp;row=931&amp;col=13&amp;number=5.46e-05&amp;sourceID=30","5.46e-05")</f>
        <v>5.46e-05</v>
      </c>
      <c r="N931" s="4" t="str">
        <f>HYPERLINK("http://141.218.60.56/~jnz1568/getInfo.php?workbook=08_02.xlsx&amp;sheet=A0&amp;row=931&amp;col=14&amp;number=&amp;sourceID=30","")</f>
        <v/>
      </c>
      <c r="O931" s="4" t="str">
        <f>HYPERLINK("http://141.218.60.56/~jnz1568/getInfo.php?workbook=08_02.xlsx&amp;sheet=A0&amp;row=931&amp;col=15&amp;number=&amp;sourceID=32","")</f>
        <v/>
      </c>
      <c r="P931" s="4" t="str">
        <f>HYPERLINK("http://141.218.60.56/~jnz1568/getInfo.php?workbook=08_02.xlsx&amp;sheet=A0&amp;row=931&amp;col=16&amp;number=1.639e-06&amp;sourceID=32","1.639e-06")</f>
        <v>1.639e-06</v>
      </c>
      <c r="Q931" s="4" t="str">
        <f>HYPERLINK("http://141.218.60.56/~jnz1568/getInfo.php?workbook=08_02.xlsx&amp;sheet=A0&amp;row=931&amp;col=17&amp;number=4.732e-05&amp;sourceID=32","4.732e-05")</f>
        <v>4.732e-05</v>
      </c>
      <c r="R931" s="4" t="str">
        <f>HYPERLINK("http://141.218.60.56/~jnz1568/getInfo.php?workbook=08_02.xlsx&amp;sheet=A0&amp;row=931&amp;col=18&amp;number=&amp;sourceID=32","")</f>
        <v/>
      </c>
      <c r="S931" s="4" t="str">
        <f>HYPERLINK("http://141.218.60.56/~jnz1568/getInfo.php?workbook=08_02.xlsx&amp;sheet=A0&amp;row=931&amp;col=19&amp;number=&amp;sourceID=1","")</f>
        <v/>
      </c>
      <c r="T931" s="4" t="str">
        <f>HYPERLINK("http://141.218.60.56/~jnz1568/getInfo.php?workbook=08_02.xlsx&amp;sheet=A0&amp;row=931&amp;col=20&amp;number=&amp;sourceID=1","")</f>
        <v/>
      </c>
    </row>
    <row r="932" spans="1:20">
      <c r="A932" s="3">
        <v>8</v>
      </c>
      <c r="B932" s="3">
        <v>2</v>
      </c>
      <c r="C932" s="3">
        <v>49</v>
      </c>
      <c r="D932" s="3">
        <v>36</v>
      </c>
      <c r="E932" s="3">
        <f>((1/(INDEX(E0!J$4:J$52,C932,1)-INDEX(E0!J$4:J$52,D932,1))))*100000000</f>
        <v>0</v>
      </c>
      <c r="F932" s="4" t="str">
        <f>HYPERLINK("http://141.218.60.56/~jnz1568/getInfo.php?workbook=08_02.xlsx&amp;sheet=A0&amp;row=932&amp;col=6&amp;number=&amp;sourceID=27","")</f>
        <v/>
      </c>
      <c r="G932" s="4" t="str">
        <f>HYPERLINK("http://141.218.60.56/~jnz1568/getInfo.php?workbook=08_02.xlsx&amp;sheet=A0&amp;row=932&amp;col=7&amp;number=&amp;sourceID=34","")</f>
        <v/>
      </c>
      <c r="H932" s="4" t="str">
        <f>HYPERLINK("http://141.218.60.56/~jnz1568/getInfo.php?workbook=08_02.xlsx&amp;sheet=A0&amp;row=932&amp;col=8&amp;number=&amp;sourceID=34","")</f>
        <v/>
      </c>
      <c r="I932" s="4" t="str">
        <f>HYPERLINK("http://141.218.60.56/~jnz1568/getInfo.php?workbook=08_02.xlsx&amp;sheet=A0&amp;row=932&amp;col=9&amp;number=&amp;sourceID=34","")</f>
        <v/>
      </c>
      <c r="J932" s="4" t="str">
        <f>HYPERLINK("http://141.218.60.56/~jnz1568/getInfo.php?workbook=08_02.xlsx&amp;sheet=A0&amp;row=932&amp;col=10&amp;number=&amp;sourceID=34","")</f>
        <v/>
      </c>
      <c r="K932" s="4" t="str">
        <f>HYPERLINK("http://141.218.60.56/~jnz1568/getInfo.php?workbook=08_02.xlsx&amp;sheet=A0&amp;row=932&amp;col=11&amp;number=&amp;sourceID=30","")</f>
        <v/>
      </c>
      <c r="L932" s="4" t="str">
        <f>HYPERLINK("http://141.218.60.56/~jnz1568/getInfo.php?workbook=08_02.xlsx&amp;sheet=A0&amp;row=932&amp;col=12&amp;number=7.045e-07&amp;sourceID=30","7.045e-07")</f>
        <v>7.045e-07</v>
      </c>
      <c r="M932" s="4" t="str">
        <f>HYPERLINK("http://141.218.60.56/~jnz1568/getInfo.php?workbook=08_02.xlsx&amp;sheet=A0&amp;row=932&amp;col=13&amp;number=5.329e-05&amp;sourceID=30","5.329e-05")</f>
        <v>5.329e-05</v>
      </c>
      <c r="N932" s="4" t="str">
        <f>HYPERLINK("http://141.218.60.56/~jnz1568/getInfo.php?workbook=08_02.xlsx&amp;sheet=A0&amp;row=932&amp;col=14&amp;number=&amp;sourceID=30","")</f>
        <v/>
      </c>
      <c r="O932" s="4" t="str">
        <f>HYPERLINK("http://141.218.60.56/~jnz1568/getInfo.php?workbook=08_02.xlsx&amp;sheet=A0&amp;row=932&amp;col=15&amp;number=&amp;sourceID=32","")</f>
        <v/>
      </c>
      <c r="P932" s="4" t="str">
        <f>HYPERLINK("http://141.218.60.56/~jnz1568/getInfo.php?workbook=08_02.xlsx&amp;sheet=A0&amp;row=932&amp;col=16&amp;number=5.008e-07&amp;sourceID=32","5.008e-07")</f>
        <v>5.008e-07</v>
      </c>
      <c r="Q932" s="4" t="str">
        <f>HYPERLINK("http://141.218.60.56/~jnz1568/getInfo.php?workbook=08_02.xlsx&amp;sheet=A0&amp;row=932&amp;col=17&amp;number=4.688e-05&amp;sourceID=32","4.688e-05")</f>
        <v>4.688e-05</v>
      </c>
      <c r="R932" s="4" t="str">
        <f>HYPERLINK("http://141.218.60.56/~jnz1568/getInfo.php?workbook=08_02.xlsx&amp;sheet=A0&amp;row=932&amp;col=18&amp;number=&amp;sourceID=32","")</f>
        <v/>
      </c>
      <c r="S932" s="4" t="str">
        <f>HYPERLINK("http://141.218.60.56/~jnz1568/getInfo.php?workbook=08_02.xlsx&amp;sheet=A0&amp;row=932&amp;col=19&amp;number=&amp;sourceID=1","")</f>
        <v/>
      </c>
      <c r="T932" s="4" t="str">
        <f>HYPERLINK("http://141.218.60.56/~jnz1568/getInfo.php?workbook=08_02.xlsx&amp;sheet=A0&amp;row=932&amp;col=20&amp;number=&amp;sourceID=1","")</f>
        <v/>
      </c>
    </row>
    <row r="933" spans="1:20">
      <c r="A933" s="3">
        <v>8</v>
      </c>
      <c r="B933" s="3">
        <v>2</v>
      </c>
      <c r="C933" s="3">
        <v>49</v>
      </c>
      <c r="D933" s="3">
        <v>38</v>
      </c>
      <c r="E933" s="3">
        <f>((1/(INDEX(E0!J$4:J$52,C933,1)-INDEX(E0!J$4:J$52,D933,1))))*100000000</f>
        <v>0</v>
      </c>
      <c r="F933" s="4" t="str">
        <f>HYPERLINK("http://141.218.60.56/~jnz1568/getInfo.php?workbook=08_02.xlsx&amp;sheet=A0&amp;row=933&amp;col=6&amp;number=&amp;sourceID=27","")</f>
        <v/>
      </c>
      <c r="G933" s="4" t="str">
        <f>HYPERLINK("http://141.218.60.56/~jnz1568/getInfo.php?workbook=08_02.xlsx&amp;sheet=A0&amp;row=933&amp;col=7&amp;number=&amp;sourceID=34","")</f>
        <v/>
      </c>
      <c r="H933" s="4" t="str">
        <f>HYPERLINK("http://141.218.60.56/~jnz1568/getInfo.php?workbook=08_02.xlsx&amp;sheet=A0&amp;row=933&amp;col=8&amp;number=&amp;sourceID=34","")</f>
        <v/>
      </c>
      <c r="I933" s="4" t="str">
        <f>HYPERLINK("http://141.218.60.56/~jnz1568/getInfo.php?workbook=08_02.xlsx&amp;sheet=A0&amp;row=933&amp;col=9&amp;number=&amp;sourceID=34","")</f>
        <v/>
      </c>
      <c r="J933" s="4" t="str">
        <f>HYPERLINK("http://141.218.60.56/~jnz1568/getInfo.php?workbook=08_02.xlsx&amp;sheet=A0&amp;row=933&amp;col=10&amp;number=&amp;sourceID=34","")</f>
        <v/>
      </c>
      <c r="K933" s="4" t="str">
        <f>HYPERLINK("http://141.218.60.56/~jnz1568/getInfo.php?workbook=08_02.xlsx&amp;sheet=A0&amp;row=933&amp;col=11&amp;number=1.065&amp;sourceID=30","1.065")</f>
        <v>1.065</v>
      </c>
      <c r="L933" s="4" t="str">
        <f>HYPERLINK("http://141.218.60.56/~jnz1568/getInfo.php?workbook=08_02.xlsx&amp;sheet=A0&amp;row=933&amp;col=12&amp;number=&amp;sourceID=30","")</f>
        <v/>
      </c>
      <c r="M933" s="4" t="str">
        <f>HYPERLINK("http://141.218.60.56/~jnz1568/getInfo.php?workbook=08_02.xlsx&amp;sheet=A0&amp;row=933&amp;col=13&amp;number=&amp;sourceID=30","")</f>
        <v/>
      </c>
      <c r="N933" s="4" t="str">
        <f>HYPERLINK("http://141.218.60.56/~jnz1568/getInfo.php?workbook=08_02.xlsx&amp;sheet=A0&amp;row=933&amp;col=14&amp;number=1.637e-12&amp;sourceID=30","1.637e-12")</f>
        <v>1.637e-12</v>
      </c>
      <c r="O933" s="4" t="str">
        <f>HYPERLINK("http://141.218.60.56/~jnz1568/getInfo.php?workbook=08_02.xlsx&amp;sheet=A0&amp;row=933&amp;col=15&amp;number=0.3815&amp;sourceID=32","0.3815")</f>
        <v>0.3815</v>
      </c>
      <c r="P933" s="4" t="str">
        <f>HYPERLINK("http://141.218.60.56/~jnz1568/getInfo.php?workbook=08_02.xlsx&amp;sheet=A0&amp;row=933&amp;col=16&amp;number=&amp;sourceID=32","")</f>
        <v/>
      </c>
      <c r="Q933" s="4" t="str">
        <f>HYPERLINK("http://141.218.60.56/~jnz1568/getInfo.php?workbook=08_02.xlsx&amp;sheet=A0&amp;row=933&amp;col=17&amp;number=&amp;sourceID=32","")</f>
        <v/>
      </c>
      <c r="R933" s="4" t="str">
        <f>HYPERLINK("http://141.218.60.56/~jnz1568/getInfo.php?workbook=08_02.xlsx&amp;sheet=A0&amp;row=933&amp;col=18&amp;number=2.41e-13&amp;sourceID=32","2.41e-13")</f>
        <v>2.41e-13</v>
      </c>
      <c r="S933" s="4" t="str">
        <f>HYPERLINK("http://141.218.60.56/~jnz1568/getInfo.php?workbook=08_02.xlsx&amp;sheet=A0&amp;row=933&amp;col=19&amp;number=&amp;sourceID=1","")</f>
        <v/>
      </c>
      <c r="T933" s="4" t="str">
        <f>HYPERLINK("http://141.218.60.56/~jnz1568/getInfo.php?workbook=08_02.xlsx&amp;sheet=A0&amp;row=933&amp;col=20&amp;number=&amp;sourceID=1","")</f>
        <v/>
      </c>
    </row>
    <row r="934" spans="1:20">
      <c r="A934" s="3">
        <v>8</v>
      </c>
      <c r="B934" s="3">
        <v>2</v>
      </c>
      <c r="C934" s="3">
        <v>49</v>
      </c>
      <c r="D934" s="3">
        <v>39</v>
      </c>
      <c r="E934" s="3">
        <f>((1/(INDEX(E0!J$4:J$52,C934,1)-INDEX(E0!J$4:J$52,D934,1))))*100000000</f>
        <v>0</v>
      </c>
      <c r="F934" s="4" t="str">
        <f>HYPERLINK("http://141.218.60.56/~jnz1568/getInfo.php?workbook=08_02.xlsx&amp;sheet=A0&amp;row=934&amp;col=6&amp;number=&amp;sourceID=27","")</f>
        <v/>
      </c>
      <c r="G934" s="4" t="str">
        <f>HYPERLINK("http://141.218.60.56/~jnz1568/getInfo.php?workbook=08_02.xlsx&amp;sheet=A0&amp;row=934&amp;col=7&amp;number=&amp;sourceID=34","")</f>
        <v/>
      </c>
      <c r="H934" s="4" t="str">
        <f>HYPERLINK("http://141.218.60.56/~jnz1568/getInfo.php?workbook=08_02.xlsx&amp;sheet=A0&amp;row=934&amp;col=8&amp;number=&amp;sourceID=34","")</f>
        <v/>
      </c>
      <c r="I934" s="4" t="str">
        <f>HYPERLINK("http://141.218.60.56/~jnz1568/getInfo.php?workbook=08_02.xlsx&amp;sheet=A0&amp;row=934&amp;col=9&amp;number=&amp;sourceID=34","")</f>
        <v/>
      </c>
      <c r="J934" s="4" t="str">
        <f>HYPERLINK("http://141.218.60.56/~jnz1568/getInfo.php?workbook=08_02.xlsx&amp;sheet=A0&amp;row=934&amp;col=10&amp;number=&amp;sourceID=34","")</f>
        <v/>
      </c>
      <c r="K934" s="4" t="str">
        <f>HYPERLINK("http://141.218.60.56/~jnz1568/getInfo.php?workbook=08_02.xlsx&amp;sheet=A0&amp;row=934&amp;col=11&amp;number=126.2&amp;sourceID=30","126.2")</f>
        <v>126.2</v>
      </c>
      <c r="L934" s="4" t="str">
        <f>HYPERLINK("http://141.218.60.56/~jnz1568/getInfo.php?workbook=08_02.xlsx&amp;sheet=A0&amp;row=934&amp;col=12&amp;number=&amp;sourceID=30","")</f>
        <v/>
      </c>
      <c r="M934" s="4" t="str">
        <f>HYPERLINK("http://141.218.60.56/~jnz1568/getInfo.php?workbook=08_02.xlsx&amp;sheet=A0&amp;row=934&amp;col=13&amp;number=&amp;sourceID=30","")</f>
        <v/>
      </c>
      <c r="N934" s="4" t="str">
        <f>HYPERLINK("http://141.218.60.56/~jnz1568/getInfo.php?workbook=08_02.xlsx&amp;sheet=A0&amp;row=934&amp;col=14&amp;number=1.987e-11&amp;sourceID=30","1.987e-11")</f>
        <v>1.987e-11</v>
      </c>
      <c r="O934" s="4" t="str">
        <f>HYPERLINK("http://141.218.60.56/~jnz1568/getInfo.php?workbook=08_02.xlsx&amp;sheet=A0&amp;row=934&amp;col=15&amp;number=51.7&amp;sourceID=32","51.7")</f>
        <v>51.7</v>
      </c>
      <c r="P934" s="4" t="str">
        <f>HYPERLINK("http://141.218.60.56/~jnz1568/getInfo.php?workbook=08_02.xlsx&amp;sheet=A0&amp;row=934&amp;col=16&amp;number=&amp;sourceID=32","")</f>
        <v/>
      </c>
      <c r="Q934" s="4" t="str">
        <f>HYPERLINK("http://141.218.60.56/~jnz1568/getInfo.php?workbook=08_02.xlsx&amp;sheet=A0&amp;row=934&amp;col=17&amp;number=&amp;sourceID=32","")</f>
        <v/>
      </c>
      <c r="R934" s="4" t="str">
        <f>HYPERLINK("http://141.218.60.56/~jnz1568/getInfo.php?workbook=08_02.xlsx&amp;sheet=A0&amp;row=934&amp;col=18&amp;number=2.814e-12&amp;sourceID=32","2.814e-12")</f>
        <v>2.814e-12</v>
      </c>
      <c r="S934" s="4" t="str">
        <f>HYPERLINK("http://141.218.60.56/~jnz1568/getInfo.php?workbook=08_02.xlsx&amp;sheet=A0&amp;row=934&amp;col=19&amp;number=&amp;sourceID=1","")</f>
        <v/>
      </c>
      <c r="T934" s="4" t="str">
        <f>HYPERLINK("http://141.218.60.56/~jnz1568/getInfo.php?workbook=08_02.xlsx&amp;sheet=A0&amp;row=934&amp;col=20&amp;number=&amp;sourceID=1","")</f>
        <v/>
      </c>
    </row>
    <row r="935" spans="1:20">
      <c r="A935" s="3">
        <v>8</v>
      </c>
      <c r="B935" s="3">
        <v>2</v>
      </c>
      <c r="C935" s="3">
        <v>49</v>
      </c>
      <c r="D935" s="3">
        <v>40</v>
      </c>
      <c r="E935" s="3">
        <f>((1/(INDEX(E0!J$4:J$52,C935,1)-INDEX(E0!J$4:J$52,D935,1))))*100000000</f>
        <v>0</v>
      </c>
      <c r="F935" s="4" t="str">
        <f>HYPERLINK("http://141.218.60.56/~jnz1568/getInfo.php?workbook=08_02.xlsx&amp;sheet=A0&amp;row=935&amp;col=6&amp;number=&amp;sourceID=27","")</f>
        <v/>
      </c>
      <c r="G935" s="4" t="str">
        <f>HYPERLINK("http://141.218.60.56/~jnz1568/getInfo.php?workbook=08_02.xlsx&amp;sheet=A0&amp;row=935&amp;col=7&amp;number=&amp;sourceID=34","")</f>
        <v/>
      </c>
      <c r="H935" s="4" t="str">
        <f>HYPERLINK("http://141.218.60.56/~jnz1568/getInfo.php?workbook=08_02.xlsx&amp;sheet=A0&amp;row=935&amp;col=8&amp;number=&amp;sourceID=34","")</f>
        <v/>
      </c>
      <c r="I935" s="4" t="str">
        <f>HYPERLINK("http://141.218.60.56/~jnz1568/getInfo.php?workbook=08_02.xlsx&amp;sheet=A0&amp;row=935&amp;col=9&amp;number=&amp;sourceID=34","")</f>
        <v/>
      </c>
      <c r="J935" s="4" t="str">
        <f>HYPERLINK("http://141.218.60.56/~jnz1568/getInfo.php?workbook=08_02.xlsx&amp;sheet=A0&amp;row=935&amp;col=10&amp;number=&amp;sourceID=34","")</f>
        <v/>
      </c>
      <c r="K935" s="4" t="str">
        <f>HYPERLINK("http://141.218.60.56/~jnz1568/getInfo.php?workbook=08_02.xlsx&amp;sheet=A0&amp;row=935&amp;col=11&amp;number=&amp;sourceID=30","")</f>
        <v/>
      </c>
      <c r="L935" s="4" t="str">
        <f>HYPERLINK("http://141.218.60.56/~jnz1568/getInfo.php?workbook=08_02.xlsx&amp;sheet=A0&amp;row=935&amp;col=12&amp;number=&amp;sourceID=30","")</f>
        <v/>
      </c>
      <c r="M935" s="4" t="str">
        <f>HYPERLINK("http://141.218.60.56/~jnz1568/getInfo.php?workbook=08_02.xlsx&amp;sheet=A0&amp;row=935&amp;col=13&amp;number=&amp;sourceID=30","")</f>
        <v/>
      </c>
      <c r="N935" s="4" t="str">
        <f>HYPERLINK("http://141.218.60.56/~jnz1568/getInfo.php?workbook=08_02.xlsx&amp;sheet=A0&amp;row=935&amp;col=14&amp;number=1.329e-10&amp;sourceID=30","1.329e-10")</f>
        <v>1.329e-10</v>
      </c>
      <c r="O935" s="4" t="str">
        <f>HYPERLINK("http://141.218.60.56/~jnz1568/getInfo.php?workbook=08_02.xlsx&amp;sheet=A0&amp;row=935&amp;col=15&amp;number=&amp;sourceID=32","")</f>
        <v/>
      </c>
      <c r="P935" s="4" t="str">
        <f>HYPERLINK("http://141.218.60.56/~jnz1568/getInfo.php?workbook=08_02.xlsx&amp;sheet=A0&amp;row=935&amp;col=16&amp;number=&amp;sourceID=32","")</f>
        <v/>
      </c>
      <c r="Q935" s="4" t="str">
        <f>HYPERLINK("http://141.218.60.56/~jnz1568/getInfo.php?workbook=08_02.xlsx&amp;sheet=A0&amp;row=935&amp;col=17&amp;number=&amp;sourceID=32","")</f>
        <v/>
      </c>
      <c r="R935" s="4" t="str">
        <f>HYPERLINK("http://141.218.60.56/~jnz1568/getInfo.php?workbook=08_02.xlsx&amp;sheet=A0&amp;row=935&amp;col=18&amp;number=1.897e-11&amp;sourceID=32","1.897e-11")</f>
        <v>1.897e-11</v>
      </c>
      <c r="S935" s="4" t="str">
        <f>HYPERLINK("http://141.218.60.56/~jnz1568/getInfo.php?workbook=08_02.xlsx&amp;sheet=A0&amp;row=935&amp;col=19&amp;number=&amp;sourceID=1","")</f>
        <v/>
      </c>
      <c r="T935" s="4" t="str">
        <f>HYPERLINK("http://141.218.60.56/~jnz1568/getInfo.php?workbook=08_02.xlsx&amp;sheet=A0&amp;row=935&amp;col=20&amp;number=&amp;sourceID=1","")</f>
        <v/>
      </c>
    </row>
    <row r="936" spans="1:20">
      <c r="A936" s="3">
        <v>8</v>
      </c>
      <c r="B936" s="3">
        <v>2</v>
      </c>
      <c r="C936" s="3">
        <v>49</v>
      </c>
      <c r="D936" s="3">
        <v>41</v>
      </c>
      <c r="E936" s="3">
        <f>((1/(INDEX(E0!J$4:J$52,C936,1)-INDEX(E0!J$4:J$52,D936,1))))*100000000</f>
        <v>0</v>
      </c>
      <c r="F936" s="4" t="str">
        <f>HYPERLINK("http://141.218.60.56/~jnz1568/getInfo.php?workbook=08_02.xlsx&amp;sheet=A0&amp;row=936&amp;col=6&amp;number=&amp;sourceID=27","")</f>
        <v/>
      </c>
      <c r="G936" s="4" t="str">
        <f>HYPERLINK("http://141.218.60.56/~jnz1568/getInfo.php?workbook=08_02.xlsx&amp;sheet=A0&amp;row=936&amp;col=7&amp;number=&amp;sourceID=34","")</f>
        <v/>
      </c>
      <c r="H936" s="4" t="str">
        <f>HYPERLINK("http://141.218.60.56/~jnz1568/getInfo.php?workbook=08_02.xlsx&amp;sheet=A0&amp;row=936&amp;col=8&amp;number=&amp;sourceID=34","")</f>
        <v/>
      </c>
      <c r="I936" s="4" t="str">
        <f>HYPERLINK("http://141.218.60.56/~jnz1568/getInfo.php?workbook=08_02.xlsx&amp;sheet=A0&amp;row=936&amp;col=9&amp;number=&amp;sourceID=34","")</f>
        <v/>
      </c>
      <c r="J936" s="4" t="str">
        <f>HYPERLINK("http://141.218.60.56/~jnz1568/getInfo.php?workbook=08_02.xlsx&amp;sheet=A0&amp;row=936&amp;col=10&amp;number=&amp;sourceID=34","")</f>
        <v/>
      </c>
      <c r="K936" s="4" t="str">
        <f>HYPERLINK("http://141.218.60.56/~jnz1568/getInfo.php?workbook=08_02.xlsx&amp;sheet=A0&amp;row=936&amp;col=11&amp;number=&amp;sourceID=30","")</f>
        <v/>
      </c>
      <c r="L936" s="4" t="str">
        <f>HYPERLINK("http://141.218.60.56/~jnz1568/getInfo.php?workbook=08_02.xlsx&amp;sheet=A0&amp;row=936&amp;col=12&amp;number=4.83e-06&amp;sourceID=30","4.83e-06")</f>
        <v>4.83e-06</v>
      </c>
      <c r="M936" s="4" t="str">
        <f>HYPERLINK("http://141.218.60.56/~jnz1568/getInfo.php?workbook=08_02.xlsx&amp;sheet=A0&amp;row=936&amp;col=13&amp;number=&amp;sourceID=30","")</f>
        <v/>
      </c>
      <c r="N936" s="4" t="str">
        <f>HYPERLINK("http://141.218.60.56/~jnz1568/getInfo.php?workbook=08_02.xlsx&amp;sheet=A0&amp;row=936&amp;col=14&amp;number=&amp;sourceID=30","")</f>
        <v/>
      </c>
      <c r="O936" s="4" t="str">
        <f>HYPERLINK("http://141.218.60.56/~jnz1568/getInfo.php?workbook=08_02.xlsx&amp;sheet=A0&amp;row=936&amp;col=15&amp;number=&amp;sourceID=32","")</f>
        <v/>
      </c>
      <c r="P936" s="4" t="str">
        <f>HYPERLINK("http://141.218.60.56/~jnz1568/getInfo.php?workbook=08_02.xlsx&amp;sheet=A0&amp;row=936&amp;col=16&amp;number=4.689e-07&amp;sourceID=32","4.689e-07")</f>
        <v>4.689e-07</v>
      </c>
      <c r="Q936" s="4" t="str">
        <f>HYPERLINK("http://141.218.60.56/~jnz1568/getInfo.php?workbook=08_02.xlsx&amp;sheet=A0&amp;row=936&amp;col=17&amp;number=&amp;sourceID=32","")</f>
        <v/>
      </c>
      <c r="R936" s="4" t="str">
        <f>HYPERLINK("http://141.218.60.56/~jnz1568/getInfo.php?workbook=08_02.xlsx&amp;sheet=A0&amp;row=936&amp;col=18&amp;number=&amp;sourceID=32","")</f>
        <v/>
      </c>
      <c r="S936" s="4" t="str">
        <f>HYPERLINK("http://141.218.60.56/~jnz1568/getInfo.php?workbook=08_02.xlsx&amp;sheet=A0&amp;row=936&amp;col=19&amp;number=&amp;sourceID=1","")</f>
        <v/>
      </c>
      <c r="T936" s="4" t="str">
        <f>HYPERLINK("http://141.218.60.56/~jnz1568/getInfo.php?workbook=08_02.xlsx&amp;sheet=A0&amp;row=936&amp;col=20&amp;number=&amp;sourceID=1","")</f>
        <v/>
      </c>
    </row>
    <row r="937" spans="1:20">
      <c r="A937" s="3">
        <v>8</v>
      </c>
      <c r="B937" s="3">
        <v>2</v>
      </c>
      <c r="C937" s="3">
        <v>49</v>
      </c>
      <c r="D937" s="3">
        <v>42</v>
      </c>
      <c r="E937" s="3">
        <f>((1/(INDEX(E0!J$4:J$52,C937,1)-INDEX(E0!J$4:J$52,D937,1))))*100000000</f>
        <v>0</v>
      </c>
      <c r="F937" s="4" t="str">
        <f>HYPERLINK("http://141.218.60.56/~jnz1568/getInfo.php?workbook=08_02.xlsx&amp;sheet=A0&amp;row=937&amp;col=6&amp;number=&amp;sourceID=27","")</f>
        <v/>
      </c>
      <c r="G937" s="4" t="str">
        <f>HYPERLINK("http://141.218.60.56/~jnz1568/getInfo.php?workbook=08_02.xlsx&amp;sheet=A0&amp;row=937&amp;col=7&amp;number=&amp;sourceID=34","")</f>
        <v/>
      </c>
      <c r="H937" s="4" t="str">
        <f>HYPERLINK("http://141.218.60.56/~jnz1568/getInfo.php?workbook=08_02.xlsx&amp;sheet=A0&amp;row=937&amp;col=8&amp;number=&amp;sourceID=34","")</f>
        <v/>
      </c>
      <c r="I937" s="4" t="str">
        <f>HYPERLINK("http://141.218.60.56/~jnz1568/getInfo.php?workbook=08_02.xlsx&amp;sheet=A0&amp;row=937&amp;col=9&amp;number=&amp;sourceID=34","")</f>
        <v/>
      </c>
      <c r="J937" s="4" t="str">
        <f>HYPERLINK("http://141.218.60.56/~jnz1568/getInfo.php?workbook=08_02.xlsx&amp;sheet=A0&amp;row=937&amp;col=10&amp;number=&amp;sourceID=34","")</f>
        <v/>
      </c>
      <c r="K937" s="4" t="str">
        <f>HYPERLINK("http://141.218.60.56/~jnz1568/getInfo.php?workbook=08_02.xlsx&amp;sheet=A0&amp;row=937&amp;col=11&amp;number=&amp;sourceID=30","")</f>
        <v/>
      </c>
      <c r="L937" s="4" t="str">
        <f>HYPERLINK("http://141.218.60.56/~jnz1568/getInfo.php?workbook=08_02.xlsx&amp;sheet=A0&amp;row=937&amp;col=12&amp;number=7.529e-10&amp;sourceID=30","7.529e-10")</f>
        <v>7.529e-10</v>
      </c>
      <c r="M937" s="4" t="str">
        <f>HYPERLINK("http://141.218.60.56/~jnz1568/getInfo.php?workbook=08_02.xlsx&amp;sheet=A0&amp;row=937&amp;col=13&amp;number=3.49e-13&amp;sourceID=30","3.49e-13")</f>
        <v>3.49e-13</v>
      </c>
      <c r="N937" s="4" t="str">
        <f>HYPERLINK("http://141.218.60.56/~jnz1568/getInfo.php?workbook=08_02.xlsx&amp;sheet=A0&amp;row=937&amp;col=14&amp;number=&amp;sourceID=30","")</f>
        <v/>
      </c>
      <c r="O937" s="4" t="str">
        <f>HYPERLINK("http://141.218.60.56/~jnz1568/getInfo.php?workbook=08_02.xlsx&amp;sheet=A0&amp;row=937&amp;col=15&amp;number=&amp;sourceID=32","")</f>
        <v/>
      </c>
      <c r="P937" s="4" t="str">
        <f>HYPERLINK("http://141.218.60.56/~jnz1568/getInfo.php?workbook=08_02.xlsx&amp;sheet=A0&amp;row=937&amp;col=16&amp;number=7.812e-11&amp;sourceID=32","7.812e-11")</f>
        <v>7.812e-11</v>
      </c>
      <c r="Q937" s="4" t="str">
        <f>HYPERLINK("http://141.218.60.56/~jnz1568/getInfo.php?workbook=08_02.xlsx&amp;sheet=A0&amp;row=937&amp;col=17&amp;number=1.23e-13&amp;sourceID=32","1.23e-13")</f>
        <v>1.23e-13</v>
      </c>
      <c r="R937" s="4" t="str">
        <f>HYPERLINK("http://141.218.60.56/~jnz1568/getInfo.php?workbook=08_02.xlsx&amp;sheet=A0&amp;row=937&amp;col=18&amp;number=&amp;sourceID=32","")</f>
        <v/>
      </c>
      <c r="S937" s="4" t="str">
        <f>HYPERLINK("http://141.218.60.56/~jnz1568/getInfo.php?workbook=08_02.xlsx&amp;sheet=A0&amp;row=937&amp;col=19&amp;number=&amp;sourceID=1","")</f>
        <v/>
      </c>
      <c r="T937" s="4" t="str">
        <f>HYPERLINK("http://141.218.60.56/~jnz1568/getInfo.php?workbook=08_02.xlsx&amp;sheet=A0&amp;row=937&amp;col=20&amp;number=&amp;sourceID=1","")</f>
        <v/>
      </c>
    </row>
    <row r="938" spans="1:20">
      <c r="A938" s="3">
        <v>8</v>
      </c>
      <c r="B938" s="3">
        <v>2</v>
      </c>
      <c r="C938" s="3">
        <v>49</v>
      </c>
      <c r="D938" s="3">
        <v>43</v>
      </c>
      <c r="E938" s="3">
        <f>((1/(INDEX(E0!J$4:J$52,C938,1)-INDEX(E0!J$4:J$52,D938,1))))*100000000</f>
        <v>0</v>
      </c>
      <c r="F938" s="4" t="str">
        <f>HYPERLINK("http://141.218.60.56/~jnz1568/getInfo.php?workbook=08_02.xlsx&amp;sheet=A0&amp;row=938&amp;col=6&amp;number=&amp;sourceID=27","")</f>
        <v/>
      </c>
      <c r="G938" s="4" t="str">
        <f>HYPERLINK("http://141.218.60.56/~jnz1568/getInfo.php?workbook=08_02.xlsx&amp;sheet=A0&amp;row=938&amp;col=7&amp;number=&amp;sourceID=34","")</f>
        <v/>
      </c>
      <c r="H938" s="4" t="str">
        <f>HYPERLINK("http://141.218.60.56/~jnz1568/getInfo.php?workbook=08_02.xlsx&amp;sheet=A0&amp;row=938&amp;col=8&amp;number=&amp;sourceID=34","")</f>
        <v/>
      </c>
      <c r="I938" s="4" t="str">
        <f>HYPERLINK("http://141.218.60.56/~jnz1568/getInfo.php?workbook=08_02.xlsx&amp;sheet=A0&amp;row=938&amp;col=9&amp;number=&amp;sourceID=34","")</f>
        <v/>
      </c>
      <c r="J938" s="4" t="str">
        <f>HYPERLINK("http://141.218.60.56/~jnz1568/getInfo.php?workbook=08_02.xlsx&amp;sheet=A0&amp;row=938&amp;col=10&amp;number=&amp;sourceID=34","")</f>
        <v/>
      </c>
      <c r="K938" s="4" t="str">
        <f>HYPERLINK("http://141.218.60.56/~jnz1568/getInfo.php?workbook=08_02.xlsx&amp;sheet=A0&amp;row=938&amp;col=11&amp;number=&amp;sourceID=30","")</f>
        <v/>
      </c>
      <c r="L938" s="4" t="str">
        <f>HYPERLINK("http://141.218.60.56/~jnz1568/getInfo.php?workbook=08_02.xlsx&amp;sheet=A0&amp;row=938&amp;col=12&amp;number=8.599e-06&amp;sourceID=30","8.599e-06")</f>
        <v>8.599e-06</v>
      </c>
      <c r="M938" s="4" t="str">
        <f>HYPERLINK("http://141.218.60.56/~jnz1568/getInfo.php?workbook=08_02.xlsx&amp;sheet=A0&amp;row=938&amp;col=13&amp;number=&amp;sourceID=30","")</f>
        <v/>
      </c>
      <c r="N938" s="4" t="str">
        <f>HYPERLINK("http://141.218.60.56/~jnz1568/getInfo.php?workbook=08_02.xlsx&amp;sheet=A0&amp;row=938&amp;col=14&amp;number=&amp;sourceID=30","")</f>
        <v/>
      </c>
      <c r="O938" s="4" t="str">
        <f>HYPERLINK("http://141.218.60.56/~jnz1568/getInfo.php?workbook=08_02.xlsx&amp;sheet=A0&amp;row=938&amp;col=15&amp;number=&amp;sourceID=32","")</f>
        <v/>
      </c>
      <c r="P938" s="4" t="str">
        <f>HYPERLINK("http://141.218.60.56/~jnz1568/getInfo.php?workbook=08_02.xlsx&amp;sheet=A0&amp;row=938&amp;col=16&amp;number=7.545e-07&amp;sourceID=32","7.545e-07")</f>
        <v>7.545e-07</v>
      </c>
      <c r="Q938" s="4" t="str">
        <f>HYPERLINK("http://141.218.60.56/~jnz1568/getInfo.php?workbook=08_02.xlsx&amp;sheet=A0&amp;row=938&amp;col=17&amp;number=&amp;sourceID=32","")</f>
        <v/>
      </c>
      <c r="R938" s="4" t="str">
        <f>HYPERLINK("http://141.218.60.56/~jnz1568/getInfo.php?workbook=08_02.xlsx&amp;sheet=A0&amp;row=938&amp;col=18&amp;number=&amp;sourceID=32","")</f>
        <v/>
      </c>
      <c r="S938" s="4" t="str">
        <f>HYPERLINK("http://141.218.60.56/~jnz1568/getInfo.php?workbook=08_02.xlsx&amp;sheet=A0&amp;row=938&amp;col=19&amp;number=&amp;sourceID=1","")</f>
        <v/>
      </c>
      <c r="T938" s="4" t="str">
        <f>HYPERLINK("http://141.218.60.56/~jnz1568/getInfo.php?workbook=08_02.xlsx&amp;sheet=A0&amp;row=938&amp;col=20&amp;number=&amp;sourceID=1","")</f>
        <v/>
      </c>
    </row>
    <row r="939" spans="1:20">
      <c r="A939" s="3">
        <v>8</v>
      </c>
      <c r="B939" s="3">
        <v>2</v>
      </c>
      <c r="C939" s="3">
        <v>49</v>
      </c>
      <c r="D939" s="3">
        <v>44</v>
      </c>
      <c r="E939" s="3">
        <f>((1/(INDEX(E0!J$4:J$52,C939,1)-INDEX(E0!J$4:J$52,D939,1))))*100000000</f>
        <v>0</v>
      </c>
      <c r="F939" s="4" t="str">
        <f>HYPERLINK("http://141.218.60.56/~jnz1568/getInfo.php?workbook=08_02.xlsx&amp;sheet=A0&amp;row=939&amp;col=6&amp;number=&amp;sourceID=27","")</f>
        <v/>
      </c>
      <c r="G939" s="4" t="str">
        <f>HYPERLINK("http://141.218.60.56/~jnz1568/getInfo.php?workbook=08_02.xlsx&amp;sheet=A0&amp;row=939&amp;col=7&amp;number=866.666666667&amp;sourceID=34","866.666666667")</f>
        <v>866.666666667</v>
      </c>
      <c r="H939" s="4" t="str">
        <f>HYPERLINK("http://141.218.60.56/~jnz1568/getInfo.php?workbook=08_02.xlsx&amp;sheet=A0&amp;row=939&amp;col=8&amp;number=&amp;sourceID=34","")</f>
        <v/>
      </c>
      <c r="I939" s="4" t="str">
        <f>HYPERLINK("http://141.218.60.56/~jnz1568/getInfo.php?workbook=08_02.xlsx&amp;sheet=A0&amp;row=939&amp;col=9&amp;number=&amp;sourceID=34","")</f>
        <v/>
      </c>
      <c r="J939" s="4" t="str">
        <f>HYPERLINK("http://141.218.60.56/~jnz1568/getInfo.php?workbook=08_02.xlsx&amp;sheet=A0&amp;row=939&amp;col=10&amp;number=&amp;sourceID=34","")</f>
        <v/>
      </c>
      <c r="K939" s="4" t="str">
        <f>HYPERLINK("http://141.218.60.56/~jnz1568/getInfo.php?workbook=08_02.xlsx&amp;sheet=A0&amp;row=939&amp;col=11&amp;number=15590&amp;sourceID=30","15590")</f>
        <v>15590</v>
      </c>
      <c r="L939" s="4" t="str">
        <f>HYPERLINK("http://141.218.60.56/~jnz1568/getInfo.php?workbook=08_02.xlsx&amp;sheet=A0&amp;row=939&amp;col=12&amp;number=&amp;sourceID=30","")</f>
        <v/>
      </c>
      <c r="M939" s="4" t="str">
        <f>HYPERLINK("http://141.218.60.56/~jnz1568/getInfo.php?workbook=08_02.xlsx&amp;sheet=A0&amp;row=939&amp;col=13&amp;number=&amp;sourceID=30","")</f>
        <v/>
      </c>
      <c r="N939" s="4" t="str">
        <f>HYPERLINK("http://141.218.60.56/~jnz1568/getInfo.php?workbook=08_02.xlsx&amp;sheet=A0&amp;row=939&amp;col=14&amp;number=3.218e-11&amp;sourceID=30","3.218e-11")</f>
        <v>3.218e-11</v>
      </c>
      <c r="O939" s="4" t="str">
        <f>HYPERLINK("http://141.218.60.56/~jnz1568/getInfo.php?workbook=08_02.xlsx&amp;sheet=A0&amp;row=939&amp;col=15&amp;number=4208&amp;sourceID=32","4208")</f>
        <v>4208</v>
      </c>
      <c r="P939" s="4" t="str">
        <f>HYPERLINK("http://141.218.60.56/~jnz1568/getInfo.php?workbook=08_02.xlsx&amp;sheet=A0&amp;row=939&amp;col=16&amp;number=&amp;sourceID=32","")</f>
        <v/>
      </c>
      <c r="Q939" s="4" t="str">
        <f>HYPERLINK("http://141.218.60.56/~jnz1568/getInfo.php?workbook=08_02.xlsx&amp;sheet=A0&amp;row=939&amp;col=17&amp;number=&amp;sourceID=32","")</f>
        <v/>
      </c>
      <c r="R939" s="4" t="str">
        <f>HYPERLINK("http://141.218.60.56/~jnz1568/getInfo.php?workbook=08_02.xlsx&amp;sheet=A0&amp;row=939&amp;col=18&amp;number=3.646e-12&amp;sourceID=32","3.646e-12")</f>
        <v>3.646e-12</v>
      </c>
      <c r="S939" s="4" t="str">
        <f>HYPERLINK("http://141.218.60.56/~jnz1568/getInfo.php?workbook=08_02.xlsx&amp;sheet=A0&amp;row=939&amp;col=19&amp;number=&amp;sourceID=1","")</f>
        <v/>
      </c>
      <c r="T939" s="4" t="str">
        <f>HYPERLINK("http://141.218.60.56/~jnz1568/getInfo.php?workbook=08_02.xlsx&amp;sheet=A0&amp;row=939&amp;col=20&amp;number=&amp;sourceID=1","")</f>
        <v/>
      </c>
    </row>
    <row r="940" spans="1:20">
      <c r="A940" s="3">
        <v>8</v>
      </c>
      <c r="B940" s="3">
        <v>2</v>
      </c>
      <c r="C940" s="3">
        <v>49</v>
      </c>
      <c r="D940" s="3">
        <v>46</v>
      </c>
      <c r="E940" s="3">
        <f>((1/(INDEX(E0!J$4:J$52,C940,1)-INDEX(E0!J$4:J$52,D940,1))))*100000000</f>
        <v>0</v>
      </c>
      <c r="F940" s="4" t="str">
        <f>HYPERLINK("http://141.218.60.56/~jnz1568/getInfo.php?workbook=08_02.xlsx&amp;sheet=A0&amp;row=940&amp;col=6&amp;number=&amp;sourceID=27","")</f>
        <v/>
      </c>
      <c r="G940" s="4" t="str">
        <f>HYPERLINK("http://141.218.60.56/~jnz1568/getInfo.php?workbook=08_02.xlsx&amp;sheet=A0&amp;row=940&amp;col=7&amp;number=&amp;sourceID=34","")</f>
        <v/>
      </c>
      <c r="H940" s="4" t="str">
        <f>HYPERLINK("http://141.218.60.56/~jnz1568/getInfo.php?workbook=08_02.xlsx&amp;sheet=A0&amp;row=940&amp;col=8&amp;number=&amp;sourceID=34","")</f>
        <v/>
      </c>
      <c r="I940" s="4" t="str">
        <f>HYPERLINK("http://141.218.60.56/~jnz1568/getInfo.php?workbook=08_02.xlsx&amp;sheet=A0&amp;row=940&amp;col=9&amp;number=&amp;sourceID=34","")</f>
        <v/>
      </c>
      <c r="J940" s="4" t="str">
        <f>HYPERLINK("http://141.218.60.56/~jnz1568/getInfo.php?workbook=08_02.xlsx&amp;sheet=A0&amp;row=940&amp;col=10&amp;number=&amp;sourceID=34","")</f>
        <v/>
      </c>
      <c r="K940" s="4" t="str">
        <f>HYPERLINK("http://141.218.60.56/~jnz1568/getInfo.php?workbook=08_02.xlsx&amp;sheet=A0&amp;row=940&amp;col=11&amp;number=&amp;sourceID=30","")</f>
        <v/>
      </c>
      <c r="L940" s="4" t="str">
        <f>HYPERLINK("http://141.218.60.56/~jnz1568/getInfo.php?workbook=08_02.xlsx&amp;sheet=A0&amp;row=940&amp;col=12&amp;number=&amp;sourceID=30","")</f>
        <v/>
      </c>
      <c r="M940" s="4" t="str">
        <f>HYPERLINK("http://141.218.60.56/~jnz1568/getInfo.php?workbook=08_02.xlsx&amp;sheet=A0&amp;row=940&amp;col=13&amp;number=&amp;sourceID=30","")</f>
        <v/>
      </c>
      <c r="N940" s="4" t="str">
        <f>HYPERLINK("http://141.218.60.56/~jnz1568/getInfo.php?workbook=08_02.xlsx&amp;sheet=A0&amp;row=940&amp;col=14&amp;number=0&amp;sourceID=30","0")</f>
        <v>0</v>
      </c>
      <c r="O940" s="4" t="str">
        <f>HYPERLINK("http://141.218.60.56/~jnz1568/getInfo.php?workbook=08_02.xlsx&amp;sheet=A0&amp;row=940&amp;col=15&amp;number=&amp;sourceID=32","")</f>
        <v/>
      </c>
      <c r="P940" s="4" t="str">
        <f>HYPERLINK("http://141.218.60.56/~jnz1568/getInfo.php?workbook=08_02.xlsx&amp;sheet=A0&amp;row=940&amp;col=16&amp;number=&amp;sourceID=32","")</f>
        <v/>
      </c>
      <c r="Q940" s="4" t="str">
        <f>HYPERLINK("http://141.218.60.56/~jnz1568/getInfo.php?workbook=08_02.xlsx&amp;sheet=A0&amp;row=940&amp;col=17&amp;number=&amp;sourceID=32","")</f>
        <v/>
      </c>
      <c r="R940" s="4" t="str">
        <f>HYPERLINK("http://141.218.60.56/~jnz1568/getInfo.php?workbook=08_02.xlsx&amp;sheet=A0&amp;row=940&amp;col=18&amp;number=0&amp;sourceID=32","0")</f>
        <v>0</v>
      </c>
      <c r="S940" s="4" t="str">
        <f>HYPERLINK("http://141.218.60.56/~jnz1568/getInfo.php?workbook=08_02.xlsx&amp;sheet=A0&amp;row=940&amp;col=19&amp;number=&amp;sourceID=1","")</f>
        <v/>
      </c>
      <c r="T940" s="4" t="str">
        <f>HYPERLINK("http://141.218.60.56/~jnz1568/getInfo.php?workbook=08_02.xlsx&amp;sheet=A0&amp;row=940&amp;col=20&amp;number=&amp;sourceID=1","")</f>
        <v/>
      </c>
    </row>
  </sheetData>
  <mergeCells count="1">
    <mergeCell ref="A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81"/>
  <sheetViews>
    <sheetView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3.7109375" customWidth="1"/>
    <col min="5" max="5" width="15.7109375" customWidth="1"/>
    <col min="6" max="6" width="14.7109375" customWidth="1"/>
    <col min="7" max="7" width="14.7109375" customWidth="1"/>
    <col min="8" max="8" width="18.7109375" customWidth="1"/>
  </cols>
  <sheetData>
    <row r="1" spans="1:8">
      <c r="A1" s="1" t="s">
        <v>52</v>
      </c>
      <c r="B1" s="1"/>
      <c r="C1" s="1"/>
      <c r="D1" s="1"/>
      <c r="E1" s="1"/>
      <c r="F1" s="1"/>
      <c r="G1" s="1"/>
      <c r="H1" s="1"/>
    </row>
    <row r="2" spans="1:8">
      <c r="A2" s="2"/>
      <c r="B2" s="2"/>
      <c r="C2" s="2"/>
      <c r="D2" s="2"/>
      <c r="E2" s="2"/>
      <c r="F2" s="2" t="s">
        <v>44</v>
      </c>
      <c r="G2" s="2" t="s">
        <v>53</v>
      </c>
      <c r="H2" s="2" t="s">
        <v>41</v>
      </c>
    </row>
    <row r="3" spans="1:8">
      <c r="A3" s="2" t="s">
        <v>4</v>
      </c>
      <c r="B3" s="2" t="s">
        <v>5</v>
      </c>
      <c r="C3" s="2" t="s">
        <v>45</v>
      </c>
      <c r="D3" s="2" t="s">
        <v>6</v>
      </c>
      <c r="E3" s="2" t="s">
        <v>54</v>
      </c>
      <c r="F3" s="2" t="s">
        <v>48</v>
      </c>
      <c r="G3" s="2" t="s">
        <v>48</v>
      </c>
      <c r="H3" s="2" t="s">
        <v>48</v>
      </c>
    </row>
    <row r="4" spans="1:8">
      <c r="A4" s="3">
        <v>8</v>
      </c>
      <c r="B4" s="3">
        <v>2</v>
      </c>
      <c r="C4" s="3">
        <v>3</v>
      </c>
      <c r="D4" s="3">
        <v>2</v>
      </c>
      <c r="E4" s="3">
        <f>((1/(INDEX('E1'!I$4:I$32,C4,1)-INDEX('E1'!I$4:I$32,D4,1))))*100000000</f>
        <v>0</v>
      </c>
      <c r="F4" s="4" t="str">
        <f>HYPERLINK("http://141.218.60.56/~jnz1568/getInfo.php?workbook=08_02.xlsx&amp;sheet=A1&amp;row=4&amp;col=6&amp;number=79360000&amp;sourceID=34","79360000")</f>
        <v>79360000</v>
      </c>
      <c r="G4" s="4" t="str">
        <f>HYPERLINK("http://141.218.60.56/~jnz1568/getInfo.php?workbook=08_02.xlsx&amp;sheet=A1&amp;row=4&amp;col=7&amp;number=78220000&amp;sourceID=24","78220000")</f>
        <v>78220000</v>
      </c>
      <c r="H4" s="4" t="str">
        <f>HYPERLINK("http://141.218.60.56/~jnz1568/getInfo.php?workbook=08_02.xlsx&amp;sheet=A1&amp;row=4&amp;col=8&amp;number=77000000&amp;sourceID=25","77000000")</f>
        <v>77000000</v>
      </c>
    </row>
    <row r="5" spans="1:8">
      <c r="A5" s="3">
        <v>8</v>
      </c>
      <c r="B5" s="3">
        <v>2</v>
      </c>
      <c r="C5" s="3">
        <v>5</v>
      </c>
      <c r="D5" s="3">
        <v>1</v>
      </c>
      <c r="E5" s="3">
        <f>((1/(INDEX('E1'!I$4:I$32,C5,1)-INDEX('E1'!I$4:I$32,D5,1))))*100000000</f>
        <v>0</v>
      </c>
      <c r="F5" s="4" t="str">
        <f>HYPERLINK("http://141.218.60.56/~jnz1568/getInfo.php?workbook=08_02.xlsx&amp;sheet=A1&amp;row=5&amp;col=6&amp;number=3309000000000&amp;sourceID=34","3309000000000")</f>
        <v>3309000000000</v>
      </c>
      <c r="G5" s="4" t="str">
        <f>HYPERLINK("http://141.218.60.56/~jnz1568/getInfo.php?workbook=08_02.xlsx&amp;sheet=A1&amp;row=5&amp;col=7&amp;number=3295000000000&amp;sourceID=24","3295000000000")</f>
        <v>3295000000000</v>
      </c>
      <c r="H5" s="4" t="str">
        <f>HYPERLINK("http://141.218.60.56/~jnz1568/getInfo.php?workbook=08_02.xlsx&amp;sheet=A1&amp;row=5&amp;col=8&amp;number=3.30333333333e+12&amp;sourceID=25","3.30333333333e+12")</f>
        <v>3.30333333333e+12</v>
      </c>
    </row>
    <row r="6" spans="1:8">
      <c r="A6" s="3">
        <v>8</v>
      </c>
      <c r="B6" s="3">
        <v>2</v>
      </c>
      <c r="C6" s="3">
        <v>5</v>
      </c>
      <c r="D6" s="3">
        <v>4</v>
      </c>
      <c r="E6" s="3">
        <f>((1/(INDEX('E1'!I$4:I$32,C6,1)-INDEX('E1'!I$4:I$32,D6,1))))*100000000</f>
        <v>0</v>
      </c>
      <c r="F6" s="4" t="str">
        <f>HYPERLINK("http://141.218.60.56/~jnz1568/getInfo.php?workbook=08_02.xlsx&amp;sheet=A1&amp;row=6&amp;col=6&amp;number=25140000&amp;sourceID=34","25140000")</f>
        <v>25140000</v>
      </c>
      <c r="G6" s="4" t="str">
        <f>HYPERLINK("http://141.218.60.56/~jnz1568/getInfo.php?workbook=08_02.xlsx&amp;sheet=A1&amp;row=6&amp;col=7&amp;number=23920000&amp;sourceID=24","23920000")</f>
        <v>23920000</v>
      </c>
      <c r="H6" s="4" t="str">
        <f>HYPERLINK("http://141.218.60.56/~jnz1568/getInfo.php?workbook=08_02.xlsx&amp;sheet=A1&amp;row=6&amp;col=8&amp;number=23300000&amp;sourceID=25","23300000")</f>
        <v>23300000</v>
      </c>
    </row>
    <row r="7" spans="1:8">
      <c r="A7" s="3">
        <v>8</v>
      </c>
      <c r="B7" s="3">
        <v>2</v>
      </c>
      <c r="C7" s="3">
        <v>6</v>
      </c>
      <c r="D7" s="3">
        <v>3</v>
      </c>
      <c r="E7" s="3">
        <f>((1/(INDEX('E1'!I$4:I$32,C7,1)-INDEX('E1'!I$4:I$32,D7,1))))*100000000</f>
        <v>0</v>
      </c>
      <c r="F7" s="4" t="str">
        <f>HYPERLINK("http://141.218.60.56/~jnz1568/getInfo.php?workbook=08_02.xlsx&amp;sheet=A1&amp;row=7&amp;col=6&amp;number=22510000000&amp;sourceID=34","22510000000")</f>
        <v>22510000000</v>
      </c>
      <c r="G7" s="4" t="str">
        <f>HYPERLINK("http://141.218.60.56/~jnz1568/getInfo.php?workbook=08_02.xlsx&amp;sheet=A1&amp;row=7&amp;col=7&amp;number=22560000000&amp;sourceID=24","22560000000")</f>
        <v>22560000000</v>
      </c>
      <c r="H7" s="4" t="str">
        <f>HYPERLINK("http://141.218.60.56/~jnz1568/getInfo.php?workbook=08_02.xlsx&amp;sheet=A1&amp;row=7&amp;col=8&amp;number=22566666666.7&amp;sourceID=25","22566666666.7")</f>
        <v>22566666666.7</v>
      </c>
    </row>
    <row r="8" spans="1:8">
      <c r="A8" s="3">
        <v>8</v>
      </c>
      <c r="B8" s="3">
        <v>2</v>
      </c>
      <c r="C8" s="3">
        <v>7</v>
      </c>
      <c r="D8" s="3">
        <v>2</v>
      </c>
      <c r="E8" s="3">
        <f>((1/(INDEX('E1'!I$4:I$32,C8,1)-INDEX('E1'!I$4:I$32,D8,1))))*100000000</f>
        <v>0</v>
      </c>
      <c r="F8" s="4" t="str">
        <f>HYPERLINK("http://141.218.60.56/~jnz1568/getInfo.php?workbook=08_02.xlsx&amp;sheet=A1&amp;row=8&amp;col=6&amp;number=&amp;sourceID=34","")</f>
        <v/>
      </c>
      <c r="G8" s="4" t="str">
        <f>HYPERLINK("http://141.218.60.56/~jnz1568/getInfo.php?workbook=08_02.xlsx&amp;sheet=A1&amp;row=8&amp;col=7&amp;number=53140000000&amp;sourceID=24","53140000000")</f>
        <v>53140000000</v>
      </c>
      <c r="H8" s="4" t="str">
        <f>HYPERLINK("http://141.218.60.56/~jnz1568/getInfo.php?workbook=08_02.xlsx&amp;sheet=A1&amp;row=8&amp;col=8&amp;number=53111111111.1&amp;sourceID=25","53111111111.1")</f>
        <v>53111111111.1</v>
      </c>
    </row>
    <row r="9" spans="1:8">
      <c r="A9" s="3">
        <v>8</v>
      </c>
      <c r="B9" s="3">
        <v>2</v>
      </c>
      <c r="C9" s="3">
        <v>7</v>
      </c>
      <c r="D9" s="3">
        <v>6</v>
      </c>
      <c r="E9" s="3">
        <f>((1/(INDEX('E1'!I$4:I$32,C9,1)-INDEX('E1'!I$4:I$32,D9,1))))*100000000</f>
        <v>0</v>
      </c>
      <c r="F9" s="4" t="str">
        <f>HYPERLINK("http://141.218.60.56/~jnz1568/getInfo.php?workbook=08_02.xlsx&amp;sheet=A1&amp;row=9&amp;col=6&amp;number=&amp;sourceID=34","")</f>
        <v/>
      </c>
      <c r="G9" s="4" t="str">
        <f>HYPERLINK("http://141.218.60.56/~jnz1568/getInfo.php?workbook=08_02.xlsx&amp;sheet=A1&amp;row=9&amp;col=7&amp;number=9693000&amp;sourceID=24","9693000")</f>
        <v>9693000</v>
      </c>
      <c r="H9" s="4" t="str">
        <f>HYPERLINK("http://141.218.60.56/~jnz1568/getInfo.php?workbook=08_02.xlsx&amp;sheet=A1&amp;row=9&amp;col=8&amp;number=9633333.33333&amp;sourceID=25","9633333.33333")</f>
        <v>9633333.33333</v>
      </c>
    </row>
    <row r="10" spans="1:8">
      <c r="A10" s="3">
        <v>8</v>
      </c>
      <c r="B10" s="3">
        <v>2</v>
      </c>
      <c r="C10" s="3">
        <v>8</v>
      </c>
      <c r="D10" s="3">
        <v>5</v>
      </c>
      <c r="E10" s="3">
        <f>((1/(INDEX('E1'!I$4:I$32,C10,1)-INDEX('E1'!I$4:I$32,D10,1))))*100000000</f>
        <v>0</v>
      </c>
      <c r="F10" s="4" t="str">
        <f>HYPERLINK("http://141.218.60.56/~jnz1568/getInfo.php?workbook=08_02.xlsx&amp;sheet=A1&amp;row=10&amp;col=6&amp;number=20080000000&amp;sourceID=34","20080000000")</f>
        <v>20080000000</v>
      </c>
      <c r="G10" s="4" t="str">
        <f>HYPERLINK("http://141.218.60.56/~jnz1568/getInfo.php?workbook=08_02.xlsx&amp;sheet=A1&amp;row=10&amp;col=7&amp;number=20000000000&amp;sourceID=24","20000000000")</f>
        <v>20000000000</v>
      </c>
      <c r="H10" s="4" t="str">
        <f>HYPERLINK("http://141.218.60.56/~jnz1568/getInfo.php?workbook=08_02.xlsx&amp;sheet=A1&amp;row=10&amp;col=8&amp;number=20100000000&amp;sourceID=25","20100000000")</f>
        <v>20100000000</v>
      </c>
    </row>
    <row r="11" spans="1:8">
      <c r="A11" s="3">
        <v>8</v>
      </c>
      <c r="B11" s="3">
        <v>2</v>
      </c>
      <c r="C11" s="3">
        <v>9</v>
      </c>
      <c r="D11" s="3">
        <v>3</v>
      </c>
      <c r="E11" s="3">
        <f>((1/(INDEX('E1'!I$4:I$32,C11,1)-INDEX('E1'!I$4:I$32,D11,1))))*100000000</f>
        <v>0</v>
      </c>
      <c r="F11" s="4" t="str">
        <f>HYPERLINK("http://141.218.60.56/~jnz1568/getInfo.php?workbook=08_02.xlsx&amp;sheet=A1&amp;row=11&amp;col=6&amp;number=161500000000&amp;sourceID=34","161500000000")</f>
        <v>161500000000</v>
      </c>
      <c r="G11" s="4" t="str">
        <f>HYPERLINK("http://141.218.60.56/~jnz1568/getInfo.php?workbook=08_02.xlsx&amp;sheet=A1&amp;row=11&amp;col=7&amp;number=161200000000&amp;sourceID=24","161200000000")</f>
        <v>161200000000</v>
      </c>
      <c r="H11" s="4" t="str">
        <f>HYPERLINK("http://141.218.60.56/~jnz1568/getInfo.php?workbook=08_02.xlsx&amp;sheet=A1&amp;row=11&amp;col=8&amp;number=1.61333333333e+11&amp;sourceID=25","1.61333333333e+11")</f>
        <v>1.61333333333e+11</v>
      </c>
    </row>
    <row r="12" spans="1:8">
      <c r="A12" s="3">
        <v>8</v>
      </c>
      <c r="B12" s="3">
        <v>2</v>
      </c>
      <c r="C12" s="3">
        <v>9</v>
      </c>
      <c r="D12" s="3">
        <v>7</v>
      </c>
      <c r="E12" s="3">
        <f>((1/(INDEX('E1'!I$4:I$32,C12,1)-INDEX('E1'!I$4:I$32,D12,1))))*100000000</f>
        <v>0</v>
      </c>
      <c r="F12" s="4" t="str">
        <f>HYPERLINK("http://141.218.60.56/~jnz1568/getInfo.php?workbook=08_02.xlsx&amp;sheet=A1&amp;row=12&amp;col=6&amp;number=1121000&amp;sourceID=34","1121000")</f>
        <v>1121000</v>
      </c>
      <c r="G12" s="4" t="str">
        <f>HYPERLINK("http://141.218.60.56/~jnz1568/getInfo.php?workbook=08_02.xlsx&amp;sheet=A1&amp;row=12&amp;col=7&amp;number=1063000&amp;sourceID=24","1063000")</f>
        <v>1063000</v>
      </c>
      <c r="H12" s="4" t="str">
        <f>HYPERLINK("http://141.218.60.56/~jnz1568/getInfo.php?workbook=08_02.xlsx&amp;sheet=A1&amp;row=12&amp;col=8&amp;number=1080000&amp;sourceID=25","1080000")</f>
        <v>1080000</v>
      </c>
    </row>
    <row r="13" spans="1:8">
      <c r="A13" s="3">
        <v>8</v>
      </c>
      <c r="B13" s="3">
        <v>2</v>
      </c>
      <c r="C13" s="3">
        <v>10</v>
      </c>
      <c r="D13" s="3">
        <v>5</v>
      </c>
      <c r="E13" s="3">
        <f>((1/(INDEX('E1'!I$4:I$32,C13,1)-INDEX('E1'!I$4:I$32,D13,1))))*100000000</f>
        <v>0</v>
      </c>
      <c r="F13" s="4" t="str">
        <f>HYPERLINK("http://141.218.60.56/~jnz1568/getInfo.php?workbook=08_02.xlsx&amp;sheet=A1&amp;row=13&amp;col=6&amp;number=152300000000&amp;sourceID=34","152300000000")</f>
        <v>152300000000</v>
      </c>
      <c r="G13" s="4" t="str">
        <f>HYPERLINK("http://141.218.60.56/~jnz1568/getInfo.php?workbook=08_02.xlsx&amp;sheet=A1&amp;row=13&amp;col=7&amp;number=151900000000&amp;sourceID=24","151900000000")</f>
        <v>151900000000</v>
      </c>
      <c r="H13" s="4" t="str">
        <f>HYPERLINK("http://141.218.60.56/~jnz1568/getInfo.php?workbook=08_02.xlsx&amp;sheet=A1&amp;row=13&amp;col=8&amp;number=152400000000&amp;sourceID=25","152400000000")</f>
        <v>152400000000</v>
      </c>
    </row>
    <row r="14" spans="1:8">
      <c r="A14" s="3">
        <v>8</v>
      </c>
      <c r="B14" s="3">
        <v>2</v>
      </c>
      <c r="C14" s="3">
        <v>11</v>
      </c>
      <c r="D14" s="3">
        <v>1</v>
      </c>
      <c r="E14" s="3">
        <f>((1/(INDEX('E1'!I$4:I$32,C14,1)-INDEX('E1'!I$4:I$32,D14,1))))*100000000</f>
        <v>0</v>
      </c>
      <c r="F14" s="4" t="str">
        <f>HYPERLINK("http://141.218.60.56/~jnz1568/getInfo.php?workbook=08_02.xlsx&amp;sheet=A1&amp;row=14&amp;col=6&amp;number=936500000000&amp;sourceID=34","936500000000")</f>
        <v>936500000000</v>
      </c>
      <c r="G14" s="4" t="str">
        <f>HYPERLINK("http://141.218.60.56/~jnz1568/getInfo.php?workbook=08_02.xlsx&amp;sheet=A1&amp;row=14&amp;col=7&amp;number=932300000000&amp;sourceID=24","932300000000")</f>
        <v>932300000000</v>
      </c>
      <c r="H14" s="4" t="str">
        <f>HYPERLINK("http://141.218.60.56/~jnz1568/getInfo.php?workbook=08_02.xlsx&amp;sheet=A1&amp;row=14&amp;col=8&amp;number=9.33333333333e+11&amp;sourceID=25","9.33333333333e+11")</f>
        <v>9.33333333333e+11</v>
      </c>
    </row>
    <row r="15" spans="1:8">
      <c r="A15" s="3">
        <v>8</v>
      </c>
      <c r="B15" s="3">
        <v>2</v>
      </c>
      <c r="C15" s="3">
        <v>11</v>
      </c>
      <c r="D15" s="3">
        <v>4</v>
      </c>
      <c r="E15" s="3">
        <f>((1/(INDEX('E1'!I$4:I$32,C15,1)-INDEX('E1'!I$4:I$32,D15,1))))*100000000</f>
        <v>0</v>
      </c>
      <c r="F15" s="4" t="str">
        <f>HYPERLINK("http://141.218.60.56/~jnz1568/getInfo.php?workbook=08_02.xlsx&amp;sheet=A1&amp;row=15&amp;col=6&amp;number=50550000000&amp;sourceID=34","50550000000")</f>
        <v>50550000000</v>
      </c>
      <c r="G15" s="4" t="str">
        <f>HYPERLINK("http://141.218.60.56/~jnz1568/getInfo.php?workbook=08_02.xlsx&amp;sheet=A1&amp;row=15&amp;col=7&amp;number=50340000000&amp;sourceID=24","50340000000")</f>
        <v>50340000000</v>
      </c>
      <c r="H15" s="4" t="str">
        <f>HYPERLINK("http://141.218.60.56/~jnz1568/getInfo.php?workbook=08_02.xlsx&amp;sheet=A1&amp;row=15&amp;col=8&amp;number=50333333333.3&amp;sourceID=25","50333333333.3")</f>
        <v>50333333333.3</v>
      </c>
    </row>
    <row r="16" spans="1:8">
      <c r="A16" s="3">
        <v>8</v>
      </c>
      <c r="B16" s="3">
        <v>2</v>
      </c>
      <c r="C16" s="3">
        <v>11</v>
      </c>
      <c r="D16" s="3">
        <v>8</v>
      </c>
      <c r="E16" s="3">
        <f>((1/(INDEX('E1'!I$4:I$32,C16,1)-INDEX('E1'!I$4:I$32,D16,1))))*100000000</f>
        <v>0</v>
      </c>
      <c r="F16" s="4" t="str">
        <f>HYPERLINK("http://141.218.60.56/~jnz1568/getInfo.php?workbook=08_02.xlsx&amp;sheet=A1&amp;row=16&amp;col=6&amp;number=3864000&amp;sourceID=34","3864000")</f>
        <v>3864000</v>
      </c>
      <c r="G16" s="4" t="str">
        <f>HYPERLINK("http://141.218.60.56/~jnz1568/getInfo.php?workbook=08_02.xlsx&amp;sheet=A1&amp;row=16&amp;col=7&amp;number=3514000&amp;sourceID=24","3514000")</f>
        <v>3514000</v>
      </c>
      <c r="H16" s="4" t="str">
        <f>HYPERLINK("http://141.218.60.56/~jnz1568/getInfo.php?workbook=08_02.xlsx&amp;sheet=A1&amp;row=16&amp;col=8&amp;number=3500000&amp;sourceID=25","3500000")</f>
        <v>3500000</v>
      </c>
    </row>
    <row r="17" spans="1:8">
      <c r="A17" s="3">
        <v>8</v>
      </c>
      <c r="B17" s="3">
        <v>2</v>
      </c>
      <c r="C17" s="3">
        <v>11</v>
      </c>
      <c r="D17" s="3">
        <v>10</v>
      </c>
      <c r="E17" s="3">
        <f>((1/(INDEX('E1'!I$4:I$32,C17,1)-INDEX('E1'!I$4:I$32,D17,1))))*100000000</f>
        <v>0</v>
      </c>
      <c r="F17" s="4" t="str">
        <f>HYPERLINK("http://141.218.60.56/~jnz1568/getInfo.php?workbook=08_02.xlsx&amp;sheet=A1&amp;row=17&amp;col=6&amp;number=74100&amp;sourceID=34","74100")</f>
        <v>74100</v>
      </c>
      <c r="G17" s="4" t="str">
        <f>HYPERLINK("http://141.218.60.56/~jnz1568/getInfo.php?workbook=08_02.xlsx&amp;sheet=A1&amp;row=17&amp;col=7&amp;number=77770&amp;sourceID=24","77770")</f>
        <v>77770</v>
      </c>
      <c r="H17" s="4" t="str">
        <f>HYPERLINK("http://141.218.60.56/~jnz1568/getInfo.php?workbook=08_02.xlsx&amp;sheet=A1&amp;row=17&amp;col=8&amp;number=69333.3333333&amp;sourceID=25","69333.3333333")</f>
        <v>69333.3333333</v>
      </c>
    </row>
    <row r="18" spans="1:8">
      <c r="A18" s="3">
        <v>8</v>
      </c>
      <c r="B18" s="3">
        <v>2</v>
      </c>
      <c r="C18" s="3">
        <v>12</v>
      </c>
      <c r="D18" s="3">
        <v>3</v>
      </c>
      <c r="E18" s="3">
        <f>((1/(INDEX('E1'!I$4:I$32,C18,1)-INDEX('E1'!I$4:I$32,D18,1))))*100000000</f>
        <v>0</v>
      </c>
      <c r="F18" s="4" t="str">
        <f>HYPERLINK("http://141.218.60.56/~jnz1568/getInfo.php?workbook=08_02.xlsx&amp;sheet=A1&amp;row=18&amp;col=6&amp;number=8881000000&amp;sourceID=34","8881000000")</f>
        <v>8881000000</v>
      </c>
      <c r="G18" s="4" t="str">
        <f>HYPERLINK("http://141.218.60.56/~jnz1568/getInfo.php?workbook=08_02.xlsx&amp;sheet=A1&amp;row=18&amp;col=7&amp;number=8892000000&amp;sourceID=24","8892000000")</f>
        <v>8892000000</v>
      </c>
      <c r="H18" s="4" t="str">
        <f>HYPERLINK("http://141.218.60.56/~jnz1568/getInfo.php?workbook=08_02.xlsx&amp;sheet=A1&amp;row=18&amp;col=8&amp;number=8900000000.0&amp;sourceID=25","8900000000.0")</f>
        <v>8900000000.0</v>
      </c>
    </row>
    <row r="19" spans="1:8">
      <c r="A19" s="3">
        <v>8</v>
      </c>
      <c r="B19" s="3">
        <v>2</v>
      </c>
      <c r="C19" s="3">
        <v>12</v>
      </c>
      <c r="D19" s="3">
        <v>7</v>
      </c>
      <c r="E19" s="3">
        <f>((1/(INDEX('E1'!I$4:I$32,C19,1)-INDEX('E1'!I$4:I$32,D19,1))))*100000000</f>
        <v>0</v>
      </c>
      <c r="F19" s="4" t="str">
        <f>HYPERLINK("http://141.218.60.56/~jnz1568/getInfo.php?workbook=08_02.xlsx&amp;sheet=A1&amp;row=19&amp;col=6&amp;number=&amp;sourceID=34","")</f>
        <v/>
      </c>
      <c r="G19" s="4" t="str">
        <f>HYPERLINK("http://141.218.60.56/~jnz1568/getInfo.php?workbook=08_02.xlsx&amp;sheet=A1&amp;row=19&amp;col=7&amp;number=6182000000&amp;sourceID=24","6182000000")</f>
        <v>6182000000</v>
      </c>
      <c r="H19" s="4" t="str">
        <f>HYPERLINK("http://141.218.60.56/~jnz1568/getInfo.php?workbook=08_02.xlsx&amp;sheet=A1&amp;row=19&amp;col=8&amp;number=6166666666.67&amp;sourceID=25","6166666666.67")</f>
        <v>6166666666.67</v>
      </c>
    </row>
    <row r="20" spans="1:8">
      <c r="A20" s="3">
        <v>8</v>
      </c>
      <c r="B20" s="3">
        <v>2</v>
      </c>
      <c r="C20" s="3">
        <v>13</v>
      </c>
      <c r="D20" s="3">
        <v>2</v>
      </c>
      <c r="E20" s="3">
        <f>((1/(INDEX('E1'!I$4:I$32,C20,1)-INDEX('E1'!I$4:I$32,D20,1))))*100000000</f>
        <v>0</v>
      </c>
      <c r="F20" s="4" t="str">
        <f>HYPERLINK("http://141.218.60.56/~jnz1568/getInfo.php?workbook=08_02.xlsx&amp;sheet=A1&amp;row=20&amp;col=6&amp;number=&amp;sourceID=34","")</f>
        <v/>
      </c>
      <c r="G20" s="4" t="str">
        <f>HYPERLINK("http://141.218.60.56/~jnz1568/getInfo.php?workbook=08_02.xlsx&amp;sheet=A1&amp;row=20&amp;col=7&amp;number=23800000000&amp;sourceID=24","23800000000")</f>
        <v>23800000000</v>
      </c>
      <c r="H20" s="4" t="str">
        <f>HYPERLINK("http://141.218.60.56/~jnz1568/getInfo.php?workbook=08_02.xlsx&amp;sheet=A1&amp;row=20&amp;col=8&amp;number=23777777777.8&amp;sourceID=25","23777777777.8")</f>
        <v>23777777777.8</v>
      </c>
    </row>
    <row r="21" spans="1:8">
      <c r="A21" s="3">
        <v>8</v>
      </c>
      <c r="B21" s="3">
        <v>2</v>
      </c>
      <c r="C21" s="3">
        <v>13</v>
      </c>
      <c r="D21" s="3">
        <v>6</v>
      </c>
      <c r="E21" s="3">
        <f>((1/(INDEX('E1'!I$4:I$32,C21,1)-INDEX('E1'!I$4:I$32,D21,1))))*100000000</f>
        <v>0</v>
      </c>
      <c r="F21" s="4" t="str">
        <f>HYPERLINK("http://141.218.60.56/~jnz1568/getInfo.php?workbook=08_02.xlsx&amp;sheet=A1&amp;row=21&amp;col=6&amp;number=&amp;sourceID=34","")</f>
        <v/>
      </c>
      <c r="G21" s="4" t="str">
        <f>HYPERLINK("http://141.218.60.56/~jnz1568/getInfo.php?workbook=08_02.xlsx&amp;sheet=A1&amp;row=21&amp;col=7&amp;number=6731000000&amp;sourceID=24","6731000000")</f>
        <v>6731000000</v>
      </c>
      <c r="H21" s="4" t="str">
        <f>HYPERLINK("http://141.218.60.56/~jnz1568/getInfo.php?workbook=08_02.xlsx&amp;sheet=A1&amp;row=21&amp;col=8&amp;number=6711111111.11&amp;sourceID=25","6711111111.11")</f>
        <v>6711111111.11</v>
      </c>
    </row>
    <row r="22" spans="1:8">
      <c r="A22" s="3">
        <v>8</v>
      </c>
      <c r="B22" s="3">
        <v>2</v>
      </c>
      <c r="C22" s="3">
        <v>13</v>
      </c>
      <c r="D22" s="3">
        <v>9</v>
      </c>
      <c r="E22" s="3">
        <f>((1/(INDEX('E1'!I$4:I$32,C22,1)-INDEX('E1'!I$4:I$32,D22,1))))*100000000</f>
        <v>0</v>
      </c>
      <c r="F22" s="4" t="str">
        <f>HYPERLINK("http://141.218.60.56/~jnz1568/getInfo.php?workbook=08_02.xlsx&amp;sheet=A1&amp;row=22&amp;col=6&amp;number=&amp;sourceID=34","")</f>
        <v/>
      </c>
      <c r="G22" s="4" t="str">
        <f>HYPERLINK("http://141.218.60.56/~jnz1568/getInfo.php?workbook=08_02.xlsx&amp;sheet=A1&amp;row=22&amp;col=7&amp;number=1048000000&amp;sourceID=24","1048000000")</f>
        <v>1048000000</v>
      </c>
      <c r="H22" s="4" t="str">
        <f>HYPERLINK("http://141.218.60.56/~jnz1568/getInfo.php?workbook=08_02.xlsx&amp;sheet=A1&amp;row=22&amp;col=8&amp;number=1051111111.11&amp;sourceID=25","1051111111.11")</f>
        <v>1051111111.11</v>
      </c>
    </row>
    <row r="23" spans="1:8">
      <c r="A23" s="3">
        <v>8</v>
      </c>
      <c r="B23" s="3">
        <v>2</v>
      </c>
      <c r="C23" s="3">
        <v>13</v>
      </c>
      <c r="D23" s="3">
        <v>12</v>
      </c>
      <c r="E23" s="3">
        <f>((1/(INDEX('E1'!I$4:I$32,C23,1)-INDEX('E1'!I$4:I$32,D23,1))))*100000000</f>
        <v>0</v>
      </c>
      <c r="F23" s="4" t="str">
        <f>HYPERLINK("http://141.218.60.56/~jnz1568/getInfo.php?workbook=08_02.xlsx&amp;sheet=A1&amp;row=23&amp;col=6&amp;number=&amp;sourceID=34","")</f>
        <v/>
      </c>
      <c r="G23" s="4" t="str">
        <f>HYPERLINK("http://141.218.60.56/~jnz1568/getInfo.php?workbook=08_02.xlsx&amp;sheet=A1&amp;row=23&amp;col=7&amp;number=2237000&amp;sourceID=24","2237000")</f>
        <v>2237000</v>
      </c>
      <c r="H23" s="4" t="str">
        <f>HYPERLINK("http://141.218.60.56/~jnz1568/getInfo.php?workbook=08_02.xlsx&amp;sheet=A1&amp;row=23&amp;col=8&amp;number=2211111.11111&amp;sourceID=25","2211111.11111")</f>
        <v>2211111.11111</v>
      </c>
    </row>
    <row r="24" spans="1:8">
      <c r="A24" s="3">
        <v>8</v>
      </c>
      <c r="B24" s="3">
        <v>2</v>
      </c>
      <c r="C24" s="3">
        <v>14</v>
      </c>
      <c r="D24" s="3">
        <v>5</v>
      </c>
      <c r="E24" s="3">
        <f>((1/(INDEX('E1'!I$4:I$32,C24,1)-INDEX('E1'!I$4:I$32,D24,1))))*100000000</f>
        <v>0</v>
      </c>
      <c r="F24" s="4" t="str">
        <f>HYPERLINK("http://141.218.60.56/~jnz1568/getInfo.php?workbook=08_02.xlsx&amp;sheet=A1&amp;row=24&amp;col=6&amp;number=&amp;sourceID=34","")</f>
        <v/>
      </c>
      <c r="G24" s="4" t="str">
        <f>HYPERLINK("http://141.218.60.56/~jnz1568/getInfo.php?workbook=08_02.xlsx&amp;sheet=A1&amp;row=24&amp;col=7&amp;number=8086000000&amp;sourceID=24","8086000000")</f>
        <v>8086000000</v>
      </c>
      <c r="H24" s="4" t="str">
        <f>HYPERLINK("http://141.218.60.56/~jnz1568/getInfo.php?workbook=08_02.xlsx&amp;sheet=A1&amp;row=24&amp;col=8&amp;number=8090000000.0&amp;sourceID=25","8090000000.0")</f>
        <v>8090000000.0</v>
      </c>
    </row>
    <row r="25" spans="1:8">
      <c r="A25" s="3">
        <v>8</v>
      </c>
      <c r="B25" s="3">
        <v>2</v>
      </c>
      <c r="C25" s="3">
        <v>14</v>
      </c>
      <c r="D25" s="3">
        <v>11</v>
      </c>
      <c r="E25" s="3">
        <f>((1/(INDEX('E1'!I$4:I$32,C25,1)-INDEX('E1'!I$4:I$32,D25,1))))*100000000</f>
        <v>0</v>
      </c>
      <c r="F25" s="4" t="str">
        <f>HYPERLINK("http://141.218.60.56/~jnz1568/getInfo.php?workbook=08_02.xlsx&amp;sheet=A1&amp;row=25&amp;col=6&amp;number=5555000000&amp;sourceID=34","5555000000")</f>
        <v>5555000000</v>
      </c>
      <c r="G25" s="4" t="str">
        <f>HYPERLINK("http://141.218.60.56/~jnz1568/getInfo.php?workbook=08_02.xlsx&amp;sheet=A1&amp;row=25&amp;col=7&amp;number=5551000000&amp;sourceID=24","5551000000")</f>
        <v>5551000000</v>
      </c>
      <c r="H25" s="4" t="str">
        <f>HYPERLINK("http://141.218.60.56/~jnz1568/getInfo.php?workbook=08_02.xlsx&amp;sheet=A1&amp;row=25&amp;col=8&amp;number=5540000000&amp;sourceID=25","5540000000")</f>
        <v>5540000000</v>
      </c>
    </row>
    <row r="26" spans="1:8">
      <c r="A26" s="3">
        <v>8</v>
      </c>
      <c r="B26" s="3">
        <v>2</v>
      </c>
      <c r="C26" s="3">
        <v>15</v>
      </c>
      <c r="D26" s="3">
        <v>9</v>
      </c>
      <c r="E26" s="3">
        <f>((1/(INDEX('E1'!I$4:I$32,C26,1)-INDEX('E1'!I$4:I$32,D26,1))))*100000000</f>
        <v>0</v>
      </c>
      <c r="F26" s="4" t="str">
        <f>HYPERLINK("http://141.218.60.56/~jnz1568/getInfo.php?workbook=08_02.xlsx&amp;sheet=A1&amp;row=26&amp;col=6&amp;number=&amp;sourceID=34","")</f>
        <v/>
      </c>
      <c r="G26" s="4" t="str">
        <f>HYPERLINK("http://141.218.60.56/~jnz1568/getInfo.php?workbook=08_02.xlsx&amp;sheet=A1&amp;row=26&amp;col=7&amp;number=33140000000&amp;sourceID=24","33140000000")</f>
        <v>33140000000</v>
      </c>
      <c r="H26" s="4" t="str">
        <f>HYPERLINK("http://141.218.60.56/~jnz1568/getInfo.php?workbook=08_02.xlsx&amp;sheet=A1&amp;row=26&amp;col=8&amp;number=&amp;sourceID=25","")</f>
        <v/>
      </c>
    </row>
    <row r="27" spans="1:8">
      <c r="A27" s="3">
        <v>8</v>
      </c>
      <c r="B27" s="3">
        <v>2</v>
      </c>
      <c r="C27" s="3">
        <v>16</v>
      </c>
      <c r="D27" s="3">
        <v>3</v>
      </c>
      <c r="E27" s="3">
        <f>((1/(INDEX('E1'!I$4:I$32,C27,1)-INDEX('E1'!I$4:I$32,D27,1))))*100000000</f>
        <v>0</v>
      </c>
      <c r="F27" s="4" t="str">
        <f>HYPERLINK("http://141.218.60.56/~jnz1568/getInfo.php?workbook=08_02.xlsx&amp;sheet=A1&amp;row=27&amp;col=6&amp;number=53230000000&amp;sourceID=34","53230000000")</f>
        <v>53230000000</v>
      </c>
      <c r="G27" s="4" t="str">
        <f>HYPERLINK("http://141.218.60.56/~jnz1568/getInfo.php?workbook=08_02.xlsx&amp;sheet=A1&amp;row=27&amp;col=7&amp;number=53120000000&amp;sourceID=24","53120000000")</f>
        <v>53120000000</v>
      </c>
      <c r="H27" s="4" t="str">
        <f>HYPERLINK("http://141.218.60.56/~jnz1568/getInfo.php?workbook=08_02.xlsx&amp;sheet=A1&amp;row=27&amp;col=8&amp;number=53333333333.3&amp;sourceID=25","53333333333.3")</f>
        <v>53333333333.3</v>
      </c>
    </row>
    <row r="28" spans="1:8">
      <c r="A28" s="3">
        <v>8</v>
      </c>
      <c r="B28" s="3">
        <v>2</v>
      </c>
      <c r="C28" s="3">
        <v>16</v>
      </c>
      <c r="D28" s="3">
        <v>7</v>
      </c>
      <c r="E28" s="3">
        <f>((1/(INDEX('E1'!I$4:I$32,C28,1)-INDEX('E1'!I$4:I$32,D28,1))))*100000000</f>
        <v>0</v>
      </c>
      <c r="F28" s="4" t="str">
        <f>HYPERLINK("http://141.218.60.56/~jnz1568/getInfo.php?workbook=08_02.xlsx&amp;sheet=A1&amp;row=28&amp;col=6&amp;number=16720000000&amp;sourceID=34","16720000000")</f>
        <v>16720000000</v>
      </c>
      <c r="G28" s="4" t="str">
        <f>HYPERLINK("http://141.218.60.56/~jnz1568/getInfo.php?workbook=08_02.xlsx&amp;sheet=A1&amp;row=28&amp;col=7&amp;number=16680000000&amp;sourceID=24","16680000000")</f>
        <v>16680000000</v>
      </c>
      <c r="H28" s="4" t="str">
        <f>HYPERLINK("http://141.218.60.56/~jnz1568/getInfo.php?workbook=08_02.xlsx&amp;sheet=A1&amp;row=28&amp;col=8&amp;number=16666666666.7&amp;sourceID=25","16666666666.7")</f>
        <v>16666666666.7</v>
      </c>
    </row>
    <row r="29" spans="1:8">
      <c r="A29" s="3">
        <v>8</v>
      </c>
      <c r="B29" s="3">
        <v>2</v>
      </c>
      <c r="C29" s="3">
        <v>16</v>
      </c>
      <c r="D29" s="3">
        <v>13</v>
      </c>
      <c r="E29" s="3">
        <f>((1/(INDEX('E1'!I$4:I$32,C29,1)-INDEX('E1'!I$4:I$32,D29,1))))*100000000</f>
        <v>0</v>
      </c>
      <c r="F29" s="4" t="str">
        <f>HYPERLINK("http://141.218.60.56/~jnz1568/getInfo.php?workbook=08_02.xlsx&amp;sheet=A1&amp;row=29&amp;col=6&amp;number=342000&amp;sourceID=34","342000")</f>
        <v>342000</v>
      </c>
      <c r="G29" s="4" t="str">
        <f>HYPERLINK("http://141.218.60.56/~jnz1568/getInfo.php?workbook=08_02.xlsx&amp;sheet=A1&amp;row=29&amp;col=7&amp;number=315700&amp;sourceID=24","315700")</f>
        <v>315700</v>
      </c>
      <c r="H29" s="4" t="str">
        <f>HYPERLINK("http://141.218.60.56/~jnz1568/getInfo.php?workbook=08_02.xlsx&amp;sheet=A1&amp;row=29&amp;col=8&amp;number=321333.333333&amp;sourceID=25","321333.333333")</f>
        <v>321333.333333</v>
      </c>
    </row>
    <row r="30" spans="1:8">
      <c r="A30" s="3">
        <v>8</v>
      </c>
      <c r="B30" s="3">
        <v>2</v>
      </c>
      <c r="C30" s="3">
        <v>16</v>
      </c>
      <c r="D30" s="3">
        <v>15</v>
      </c>
      <c r="E30" s="3">
        <f>((1/(INDEX('E1'!I$4:I$32,C30,1)-INDEX('E1'!I$4:I$32,D30,1))))*100000000</f>
        <v>0</v>
      </c>
      <c r="F30" s="4" t="str">
        <f>HYPERLINK("http://141.218.60.56/~jnz1568/getInfo.php?workbook=08_02.xlsx&amp;sheet=A1&amp;row=30&amp;col=6&amp;number=&amp;sourceID=34","")</f>
        <v/>
      </c>
      <c r="G30" s="4" t="str">
        <f>HYPERLINK("http://141.218.60.56/~jnz1568/getInfo.php?workbook=08_02.xlsx&amp;sheet=A1&amp;row=30&amp;col=7&amp;number=30.14&amp;sourceID=24","30.14")</f>
        <v>30.14</v>
      </c>
      <c r="H30" s="4" t="str">
        <f>HYPERLINK("http://141.218.60.56/~jnz1568/getInfo.php?workbook=08_02.xlsx&amp;sheet=A1&amp;row=30&amp;col=8&amp;number=&amp;sourceID=25","")</f>
        <v/>
      </c>
    </row>
    <row r="31" spans="1:8">
      <c r="A31" s="3">
        <v>8</v>
      </c>
      <c r="B31" s="3">
        <v>2</v>
      </c>
      <c r="C31" s="3">
        <v>17</v>
      </c>
      <c r="D31" s="3">
        <v>5</v>
      </c>
      <c r="E31" s="3">
        <f>((1/(INDEX('E1'!I$4:I$32,C31,1)-INDEX('E1'!I$4:I$32,D31,1))))*100000000</f>
        <v>0</v>
      </c>
      <c r="F31" s="4" t="str">
        <f>HYPERLINK("http://141.218.60.56/~jnz1568/getInfo.php?workbook=08_02.xlsx&amp;sheet=A1&amp;row=31&amp;col=6&amp;number=47720000000&amp;sourceID=34","47720000000")</f>
        <v>47720000000</v>
      </c>
      <c r="G31" s="4" t="str">
        <f>HYPERLINK("http://141.218.60.56/~jnz1568/getInfo.php?workbook=08_02.xlsx&amp;sheet=A1&amp;row=31&amp;col=7&amp;number=47590000000&amp;sourceID=24","47590000000")</f>
        <v>47590000000</v>
      </c>
      <c r="H31" s="4" t="str">
        <f>HYPERLINK("http://141.218.60.56/~jnz1568/getInfo.php?workbook=08_02.xlsx&amp;sheet=A1&amp;row=31&amp;col=8&amp;number=47800000000&amp;sourceID=25","47800000000")</f>
        <v>47800000000</v>
      </c>
    </row>
    <row r="32" spans="1:8">
      <c r="A32" s="3">
        <v>8</v>
      </c>
      <c r="B32" s="3">
        <v>2</v>
      </c>
      <c r="C32" s="3">
        <v>17</v>
      </c>
      <c r="D32" s="3">
        <v>11</v>
      </c>
      <c r="E32" s="3">
        <f>((1/(INDEX('E1'!I$4:I$32,C32,1)-INDEX('E1'!I$4:I$32,D32,1))))*100000000</f>
        <v>0</v>
      </c>
      <c r="F32" s="4" t="str">
        <f>HYPERLINK("http://141.218.60.56/~jnz1568/getInfo.php?workbook=08_02.xlsx&amp;sheet=A1&amp;row=32&amp;col=6&amp;number=16890000000&amp;sourceID=34","16890000000")</f>
        <v>16890000000</v>
      </c>
      <c r="G32" s="4" t="str">
        <f>HYPERLINK("http://141.218.60.56/~jnz1568/getInfo.php?workbook=08_02.xlsx&amp;sheet=A1&amp;row=32&amp;col=7&amp;number=16950000000&amp;sourceID=24","16950000000")</f>
        <v>16950000000</v>
      </c>
      <c r="H32" s="4" t="str">
        <f>HYPERLINK("http://141.218.60.56/~jnz1568/getInfo.php?workbook=08_02.xlsx&amp;sheet=A1&amp;row=32&amp;col=8&amp;number=16940000000&amp;sourceID=25","16940000000")</f>
        <v>16940000000</v>
      </c>
    </row>
    <row r="33" spans="1:8">
      <c r="A33" s="3">
        <v>8</v>
      </c>
      <c r="B33" s="3">
        <v>2</v>
      </c>
      <c r="C33" s="3">
        <v>18</v>
      </c>
      <c r="D33" s="3">
        <v>5</v>
      </c>
      <c r="E33" s="3">
        <f>((1/(INDEX('E1'!I$4:I$32,C33,1)-INDEX('E1'!I$4:I$32,D33,1))))*100000000</f>
        <v>0</v>
      </c>
      <c r="F33" s="4" t="str">
        <f>HYPERLINK("http://141.218.60.56/~jnz1568/getInfo.php?workbook=08_02.xlsx&amp;sheet=A1&amp;row=33&amp;col=6&amp;number=4841000&amp;sourceID=34","4841000")</f>
        <v>4841000</v>
      </c>
      <c r="G33" s="4" t="str">
        <f>HYPERLINK("http://141.218.60.56/~jnz1568/getInfo.php?workbook=08_02.xlsx&amp;sheet=A1&amp;row=33&amp;col=7&amp;number=&amp;sourceID=24","")</f>
        <v/>
      </c>
      <c r="H33" s="4" t="str">
        <f>HYPERLINK("http://141.218.60.56/~jnz1568/getInfo.php?workbook=08_02.xlsx&amp;sheet=A1&amp;row=33&amp;col=8&amp;number=&amp;sourceID=25","")</f>
        <v/>
      </c>
    </row>
    <row r="34" spans="1:8">
      <c r="A34" s="3">
        <v>8</v>
      </c>
      <c r="B34" s="3">
        <v>2</v>
      </c>
      <c r="C34" s="3">
        <v>18</v>
      </c>
      <c r="D34" s="3">
        <v>10</v>
      </c>
      <c r="E34" s="3">
        <f>((1/(INDEX('E1'!I$4:I$32,C34,1)-INDEX('E1'!I$4:I$32,D34,1))))*100000000</f>
        <v>0</v>
      </c>
      <c r="F34" s="4" t="str">
        <f>HYPERLINK("http://141.218.60.56/~jnz1568/getInfo.php?workbook=08_02.xlsx&amp;sheet=A1&amp;row=34&amp;col=6&amp;number=&amp;sourceID=34","")</f>
        <v/>
      </c>
      <c r="G34" s="4" t="str">
        <f>HYPERLINK("http://141.218.60.56/~jnz1568/getInfo.php?workbook=08_02.xlsx&amp;sheet=A1&amp;row=34&amp;col=7&amp;number=33100000000&amp;sourceID=24","33100000000")</f>
        <v>33100000000</v>
      </c>
      <c r="H34" s="4" t="str">
        <f>HYPERLINK("http://141.218.60.56/~jnz1568/getInfo.php?workbook=08_02.xlsx&amp;sheet=A1&amp;row=34&amp;col=8&amp;number=&amp;sourceID=25","")</f>
        <v/>
      </c>
    </row>
    <row r="35" spans="1:8">
      <c r="A35" s="3">
        <v>8</v>
      </c>
      <c r="B35" s="3">
        <v>2</v>
      </c>
      <c r="C35" s="3">
        <v>18</v>
      </c>
      <c r="D35" s="3">
        <v>17</v>
      </c>
      <c r="E35" s="3">
        <f>((1/(INDEX('E1'!I$4:I$32,C35,1)-INDEX('E1'!I$4:I$32,D35,1))))*100000000</f>
        <v>0</v>
      </c>
      <c r="F35" s="4" t="str">
        <f>HYPERLINK("http://141.218.60.56/~jnz1568/getInfo.php?workbook=08_02.xlsx&amp;sheet=A1&amp;row=35&amp;col=6&amp;number=&amp;sourceID=34","")</f>
        <v/>
      </c>
      <c r="G35" s="4" t="str">
        <f>HYPERLINK("http://141.218.60.56/~jnz1568/getInfo.php?workbook=08_02.xlsx&amp;sheet=A1&amp;row=35&amp;col=7&amp;number=0.1456&amp;sourceID=24","0.1456")</f>
        <v>0.1456</v>
      </c>
      <c r="H35" s="4" t="str">
        <f>HYPERLINK("http://141.218.60.56/~jnz1568/getInfo.php?workbook=08_02.xlsx&amp;sheet=A1&amp;row=35&amp;col=8&amp;number=&amp;sourceID=25","")</f>
        <v/>
      </c>
    </row>
    <row r="36" spans="1:8">
      <c r="A36" s="3">
        <v>8</v>
      </c>
      <c r="B36" s="3">
        <v>2</v>
      </c>
      <c r="C36" s="3">
        <v>19</v>
      </c>
      <c r="D36" s="3">
        <v>1</v>
      </c>
      <c r="E36" s="3">
        <f>((1/(INDEX('E1'!I$4:I$32,C36,1)-INDEX('E1'!I$4:I$32,D36,1))))*100000000</f>
        <v>0</v>
      </c>
      <c r="F36" s="4" t="str">
        <f>HYPERLINK("http://141.218.60.56/~jnz1568/getInfo.php?workbook=08_02.xlsx&amp;sheet=A1&amp;row=36&amp;col=6&amp;number=&amp;sourceID=34","")</f>
        <v/>
      </c>
      <c r="G36" s="4" t="str">
        <f>HYPERLINK("http://141.218.60.56/~jnz1568/getInfo.php?workbook=08_02.xlsx&amp;sheet=A1&amp;row=36&amp;col=7&amp;number=386100000000&amp;sourceID=24","386100000000")</f>
        <v>386100000000</v>
      </c>
      <c r="H36" s="4" t="str">
        <f>HYPERLINK("http://141.218.60.56/~jnz1568/getInfo.php?workbook=08_02.xlsx&amp;sheet=A1&amp;row=36&amp;col=8&amp;number=3.86666666667e+11&amp;sourceID=25","3.86666666667e+11")</f>
        <v>3.86666666667e+11</v>
      </c>
    </row>
    <row r="37" spans="1:8">
      <c r="A37" s="3">
        <v>8</v>
      </c>
      <c r="B37" s="3">
        <v>2</v>
      </c>
      <c r="C37" s="3">
        <v>19</v>
      </c>
      <c r="D37" s="3">
        <v>4</v>
      </c>
      <c r="E37" s="3">
        <f>((1/(INDEX('E1'!I$4:I$32,C37,1)-INDEX('E1'!I$4:I$32,D37,1))))*100000000</f>
        <v>0</v>
      </c>
      <c r="F37" s="4" t="str">
        <f>HYPERLINK("http://141.218.60.56/~jnz1568/getInfo.php?workbook=08_02.xlsx&amp;sheet=A1&amp;row=37&amp;col=6&amp;number=22500000000&amp;sourceID=34","22500000000")</f>
        <v>22500000000</v>
      </c>
      <c r="G37" s="4" t="str">
        <f>HYPERLINK("http://141.218.60.56/~jnz1568/getInfo.php?workbook=08_02.xlsx&amp;sheet=A1&amp;row=37&amp;col=7&amp;number=22420000000&amp;sourceID=24","22420000000")</f>
        <v>22420000000</v>
      </c>
      <c r="H37" s="4" t="str">
        <f>HYPERLINK("http://141.218.60.56/~jnz1568/getInfo.php?workbook=08_02.xlsx&amp;sheet=A1&amp;row=37&amp;col=8&amp;number=22466666666.7&amp;sourceID=25","22466666666.7")</f>
        <v>22466666666.7</v>
      </c>
    </row>
    <row r="38" spans="1:8">
      <c r="A38" s="3">
        <v>8</v>
      </c>
      <c r="B38" s="3">
        <v>2</v>
      </c>
      <c r="C38" s="3">
        <v>19</v>
      </c>
      <c r="D38" s="3">
        <v>8</v>
      </c>
      <c r="E38" s="3">
        <f>((1/(INDEX('E1'!I$4:I$32,C38,1)-INDEX('E1'!I$4:I$32,D38,1))))*100000000</f>
        <v>0</v>
      </c>
      <c r="F38" s="4" t="str">
        <f>HYPERLINK("http://141.218.60.56/~jnz1568/getInfo.php?workbook=08_02.xlsx&amp;sheet=A1&amp;row=38&amp;col=6&amp;number=6671000000&amp;sourceID=34","6671000000")</f>
        <v>6671000000</v>
      </c>
      <c r="G38" s="4" t="str">
        <f>HYPERLINK("http://141.218.60.56/~jnz1568/getInfo.php?workbook=08_02.xlsx&amp;sheet=A1&amp;row=38&amp;col=7&amp;number=6656000000&amp;sourceID=24","6656000000")</f>
        <v>6656000000</v>
      </c>
      <c r="H38" s="4" t="str">
        <f>HYPERLINK("http://141.218.60.56/~jnz1568/getInfo.php?workbook=08_02.xlsx&amp;sheet=A1&amp;row=38&amp;col=8&amp;number=6666666666.67&amp;sourceID=25","6666666666.67")</f>
        <v>6666666666.67</v>
      </c>
    </row>
    <row r="39" spans="1:8">
      <c r="A39" s="3">
        <v>8</v>
      </c>
      <c r="B39" s="3">
        <v>2</v>
      </c>
      <c r="C39" s="3">
        <v>19</v>
      </c>
      <c r="D39" s="3">
        <v>9</v>
      </c>
      <c r="E39" s="3">
        <f>((1/(INDEX('E1'!I$4:I$32,C39,1)-INDEX('E1'!I$4:I$32,D39,1))))*100000000</f>
        <v>0</v>
      </c>
      <c r="F39" s="4" t="str">
        <f>HYPERLINK("http://141.218.60.56/~jnz1568/getInfo.php?workbook=08_02.xlsx&amp;sheet=A1&amp;row=39&amp;col=6&amp;number=1052000000&amp;sourceID=34","1052000000")</f>
        <v>1052000000</v>
      </c>
      <c r="G39" s="4" t="str">
        <f>HYPERLINK("http://141.218.60.56/~jnz1568/getInfo.php?workbook=08_02.xlsx&amp;sheet=A1&amp;row=39&amp;col=7&amp;number=&amp;sourceID=24","")</f>
        <v/>
      </c>
      <c r="H39" s="4" t="str">
        <f>HYPERLINK("http://141.218.60.56/~jnz1568/getInfo.php?workbook=08_02.xlsx&amp;sheet=A1&amp;row=39&amp;col=8&amp;number=&amp;sourceID=25","")</f>
        <v/>
      </c>
    </row>
    <row r="40" spans="1:8">
      <c r="A40" s="3">
        <v>8</v>
      </c>
      <c r="B40" s="3">
        <v>2</v>
      </c>
      <c r="C40" s="3">
        <v>19</v>
      </c>
      <c r="D40" s="3">
        <v>10</v>
      </c>
      <c r="E40" s="3">
        <f>((1/(INDEX('E1'!I$4:I$32,C40,1)-INDEX('E1'!I$4:I$32,D40,1))))*100000000</f>
        <v>0</v>
      </c>
      <c r="F40" s="4" t="str">
        <f>HYPERLINK("http://141.218.60.56/~jnz1568/getInfo.php?workbook=08_02.xlsx&amp;sheet=A1&amp;row=40&amp;col=6&amp;number=772000000&amp;sourceID=34","772000000")</f>
        <v>772000000</v>
      </c>
      <c r="G40" s="4" t="str">
        <f>HYPERLINK("http://141.218.60.56/~jnz1568/getInfo.php?workbook=08_02.xlsx&amp;sheet=A1&amp;row=40&amp;col=7&amp;number=765900000&amp;sourceID=24","765900000")</f>
        <v>765900000</v>
      </c>
      <c r="H40" s="4" t="str">
        <f>HYPERLINK("http://141.218.60.56/~jnz1568/getInfo.php?workbook=08_02.xlsx&amp;sheet=A1&amp;row=40&amp;col=8&amp;number=770000000&amp;sourceID=25","770000000")</f>
        <v>770000000</v>
      </c>
    </row>
    <row r="41" spans="1:8">
      <c r="A41" s="3">
        <v>8</v>
      </c>
      <c r="B41" s="3">
        <v>2</v>
      </c>
      <c r="C41" s="3">
        <v>19</v>
      </c>
      <c r="D41" s="3">
        <v>14</v>
      </c>
      <c r="E41" s="3">
        <f>((1/(INDEX('E1'!I$4:I$32,C41,1)-INDEX('E1'!I$4:I$32,D41,1))))*100000000</f>
        <v>0</v>
      </c>
      <c r="F41" s="4" t="str">
        <f>HYPERLINK("http://141.218.60.56/~jnz1568/getInfo.php?workbook=08_02.xlsx&amp;sheet=A1&amp;row=41&amp;col=6&amp;number=914000&amp;sourceID=34","914000")</f>
        <v>914000</v>
      </c>
      <c r="G41" s="4" t="str">
        <f>HYPERLINK("http://141.218.60.56/~jnz1568/getInfo.php?workbook=08_02.xlsx&amp;sheet=A1&amp;row=41&amp;col=7&amp;number=857900&amp;sourceID=24","857900")</f>
        <v>857900</v>
      </c>
      <c r="H41" s="4" t="str">
        <f>HYPERLINK("http://141.218.60.56/~jnz1568/getInfo.php?workbook=08_02.xlsx&amp;sheet=A1&amp;row=41&amp;col=8&amp;number=846666.666667&amp;sourceID=25","846666.666667")</f>
        <v>846666.666667</v>
      </c>
    </row>
    <row r="42" spans="1:8">
      <c r="A42" s="3">
        <v>8</v>
      </c>
      <c r="B42" s="3">
        <v>2</v>
      </c>
      <c r="C42" s="3">
        <v>19</v>
      </c>
      <c r="D42" s="3">
        <v>17</v>
      </c>
      <c r="E42" s="3">
        <f>((1/(INDEX('E1'!I$4:I$32,C42,1)-INDEX('E1'!I$4:I$32,D42,1))))*100000000</f>
        <v>0</v>
      </c>
      <c r="F42" s="4" t="str">
        <f>HYPERLINK("http://141.218.60.56/~jnz1568/getInfo.php?workbook=08_02.xlsx&amp;sheet=A1&amp;row=42&amp;col=6&amp;number=26970&amp;sourceID=34","26970")</f>
        <v>26970</v>
      </c>
      <c r="G42" s="4" t="str">
        <f>HYPERLINK("http://141.218.60.56/~jnz1568/getInfo.php?workbook=08_02.xlsx&amp;sheet=A1&amp;row=42&amp;col=7&amp;number=20700&amp;sourceID=24","20700")</f>
        <v>20700</v>
      </c>
      <c r="H42" s="4" t="str">
        <f>HYPERLINK("http://141.218.60.56/~jnz1568/getInfo.php?workbook=08_02.xlsx&amp;sheet=A1&amp;row=42&amp;col=8&amp;number=18133.3333333&amp;sourceID=25","18133.3333333")</f>
        <v>18133.3333333</v>
      </c>
    </row>
    <row r="43" spans="1:8">
      <c r="A43" s="3">
        <v>8</v>
      </c>
      <c r="B43" s="3">
        <v>2</v>
      </c>
      <c r="C43" s="3">
        <v>20</v>
      </c>
      <c r="D43" s="3">
        <v>3</v>
      </c>
      <c r="E43" s="3">
        <f>((1/(INDEX('E1'!I$4:I$32,C43,1)-INDEX('E1'!I$4:I$32,D43,1))))*100000000</f>
        <v>0</v>
      </c>
      <c r="F43" s="4" t="str">
        <f>HYPERLINK("http://141.218.60.56/~jnz1568/getInfo.php?workbook=08_02.xlsx&amp;sheet=A1&amp;row=43&amp;col=6&amp;number=&amp;sourceID=34","")</f>
        <v/>
      </c>
      <c r="G43" s="4" t="str">
        <f>HYPERLINK("http://141.218.60.56/~jnz1568/getInfo.php?workbook=08_02.xlsx&amp;sheet=A1&amp;row=43&amp;col=7&amp;number=4364000000&amp;sourceID=24","4364000000")</f>
        <v>4364000000</v>
      </c>
      <c r="H43" s="4" t="str">
        <f>HYPERLINK("http://141.218.60.56/~jnz1568/getInfo.php?workbook=08_02.xlsx&amp;sheet=A1&amp;row=43&amp;col=8&amp;number=4366666666.67&amp;sourceID=25","4366666666.67")</f>
        <v>4366666666.67</v>
      </c>
    </row>
    <row r="44" spans="1:8">
      <c r="A44" s="3">
        <v>8</v>
      </c>
      <c r="B44" s="3">
        <v>2</v>
      </c>
      <c r="C44" s="3">
        <v>20</v>
      </c>
      <c r="D44" s="3">
        <v>7</v>
      </c>
      <c r="E44" s="3">
        <f>((1/(INDEX('E1'!I$4:I$32,C44,1)-INDEX('E1'!I$4:I$32,D44,1))))*100000000</f>
        <v>0</v>
      </c>
      <c r="F44" s="4" t="str">
        <f>HYPERLINK("http://141.218.60.56/~jnz1568/getInfo.php?workbook=08_02.xlsx&amp;sheet=A1&amp;row=44&amp;col=6&amp;number=&amp;sourceID=34","")</f>
        <v/>
      </c>
      <c r="G44" s="4" t="str">
        <f>HYPERLINK("http://141.218.60.56/~jnz1568/getInfo.php?workbook=08_02.xlsx&amp;sheet=A1&amp;row=44&amp;col=7&amp;number=2953000000&amp;sourceID=24","2953000000")</f>
        <v>2953000000</v>
      </c>
      <c r="H44" s="4" t="str">
        <f>HYPERLINK("http://141.218.60.56/~jnz1568/getInfo.php?workbook=08_02.xlsx&amp;sheet=A1&amp;row=44&amp;col=8&amp;number=2953333333.33&amp;sourceID=25","2953333333.33")</f>
        <v>2953333333.33</v>
      </c>
    </row>
    <row r="45" spans="1:8">
      <c r="A45" s="3">
        <v>8</v>
      </c>
      <c r="B45" s="3">
        <v>2</v>
      </c>
      <c r="C45" s="3">
        <v>20</v>
      </c>
      <c r="D45" s="3">
        <v>13</v>
      </c>
      <c r="E45" s="3">
        <f>((1/(INDEX('E1'!I$4:I$32,C45,1)-INDEX('E1'!I$4:I$32,D45,1))))*100000000</f>
        <v>0</v>
      </c>
      <c r="F45" s="4" t="str">
        <f>HYPERLINK("http://141.218.60.56/~jnz1568/getInfo.php?workbook=08_02.xlsx&amp;sheet=A1&amp;row=45&amp;col=6&amp;number=&amp;sourceID=34","")</f>
        <v/>
      </c>
      <c r="G45" s="4" t="str">
        <f>HYPERLINK("http://141.218.60.56/~jnz1568/getInfo.php?workbook=08_02.xlsx&amp;sheet=A1&amp;row=45&amp;col=7&amp;number=2103000000&amp;sourceID=24","2103000000")</f>
        <v>2103000000</v>
      </c>
      <c r="H45" s="4" t="str">
        <f>HYPERLINK("http://141.218.60.56/~jnz1568/getInfo.php?workbook=08_02.xlsx&amp;sheet=A1&amp;row=45&amp;col=8&amp;number=2103333333.33&amp;sourceID=25","2103333333.33")</f>
        <v>2103333333.33</v>
      </c>
    </row>
    <row r="46" spans="1:8">
      <c r="A46" s="3">
        <v>8</v>
      </c>
      <c r="B46" s="3">
        <v>2</v>
      </c>
      <c r="C46" s="3">
        <v>21</v>
      </c>
      <c r="D46" s="3">
        <v>5</v>
      </c>
      <c r="E46" s="3"/>
      <c r="F46" s="4" t="str">
        <f>HYPERLINK("http://141.218.60.56/~jnz1568/getInfo.php?workbook=08_02.xlsx&amp;sheet=A1&amp;row=46&amp;col=6&amp;number=&amp;sourceID=34","")</f>
        <v/>
      </c>
      <c r="G46" s="4" t="str">
        <f>HYPERLINK("http://141.218.60.56/~jnz1568/getInfo.php?workbook=08_02.xlsx&amp;sheet=A1&amp;row=46&amp;col=7&amp;number=4035000000&amp;sourceID=24","4035000000")</f>
        <v>4035000000</v>
      </c>
      <c r="H46" s="4" t="str">
        <f>HYPERLINK("http://141.218.60.56/~jnz1568/getInfo.php?workbook=08_02.xlsx&amp;sheet=A1&amp;row=46&amp;col=8&amp;number=4030000000&amp;sourceID=25","4030000000")</f>
        <v>4030000000</v>
      </c>
    </row>
    <row r="47" spans="1:8">
      <c r="A47" s="3">
        <v>8</v>
      </c>
      <c r="B47" s="3">
        <v>2</v>
      </c>
      <c r="C47" s="3">
        <v>21</v>
      </c>
      <c r="D47" s="3">
        <v>11</v>
      </c>
      <c r="E47" s="3"/>
      <c r="F47" s="4" t="str">
        <f>HYPERLINK("http://141.218.60.56/~jnz1568/getInfo.php?workbook=08_02.xlsx&amp;sheet=A1&amp;row=47&amp;col=6&amp;number=&amp;sourceID=34","")</f>
        <v/>
      </c>
      <c r="G47" s="4" t="str">
        <f>HYPERLINK("http://141.218.60.56/~jnz1568/getInfo.php?workbook=08_02.xlsx&amp;sheet=A1&amp;row=47&amp;col=7&amp;number=2692000000&amp;sourceID=24","2692000000")</f>
        <v>2692000000</v>
      </c>
      <c r="H47" s="4" t="str">
        <f>HYPERLINK("http://141.218.60.56/~jnz1568/getInfo.php?workbook=08_02.xlsx&amp;sheet=A1&amp;row=47&amp;col=8&amp;number=2690000000&amp;sourceID=25","2690000000")</f>
        <v>2690000000</v>
      </c>
    </row>
    <row r="48" spans="1:8">
      <c r="A48" s="3">
        <v>8</v>
      </c>
      <c r="B48" s="3">
        <v>2</v>
      </c>
      <c r="C48" s="3">
        <v>21</v>
      </c>
      <c r="D48" s="3">
        <v>19</v>
      </c>
      <c r="E48" s="3"/>
      <c r="F48" s="4" t="str">
        <f>HYPERLINK("http://141.218.60.56/~jnz1568/getInfo.php?workbook=08_02.xlsx&amp;sheet=A1&amp;row=48&amp;col=6&amp;number=&amp;sourceID=34","")</f>
        <v/>
      </c>
      <c r="G48" s="4" t="str">
        <f>HYPERLINK("http://141.218.60.56/~jnz1568/getInfo.php?workbook=08_02.xlsx&amp;sheet=A1&amp;row=48&amp;col=7&amp;number=1911000000&amp;sourceID=24","1911000000")</f>
        <v>1911000000</v>
      </c>
      <c r="H48" s="4" t="str">
        <f>HYPERLINK("http://141.218.60.56/~jnz1568/getInfo.php?workbook=08_02.xlsx&amp;sheet=A1&amp;row=48&amp;col=8&amp;number=1910000000&amp;sourceID=25","1910000000")</f>
        <v>1910000000</v>
      </c>
    </row>
    <row r="49" spans="1:8">
      <c r="A49" s="3">
        <v>8</v>
      </c>
      <c r="B49" s="3">
        <v>2</v>
      </c>
      <c r="C49" s="3">
        <v>22</v>
      </c>
      <c r="D49" s="3">
        <v>2</v>
      </c>
      <c r="E49" s="3">
        <f>((1/(INDEX('E1'!I$4:I$32,C49,1)-INDEX('E1'!I$4:I$32,D49,1))))*100000000</f>
        <v>0</v>
      </c>
      <c r="F49" s="4" t="str">
        <f>HYPERLINK("http://141.218.60.56/~jnz1568/getInfo.php?workbook=08_02.xlsx&amp;sheet=A1&amp;row=49&amp;col=6&amp;number=&amp;sourceID=34","")</f>
        <v/>
      </c>
      <c r="G49" s="4" t="str">
        <f>HYPERLINK("http://141.218.60.56/~jnz1568/getInfo.php?workbook=08_02.xlsx&amp;sheet=A1&amp;row=49&amp;col=7&amp;number=12330000000&amp;sourceID=24","12330000000")</f>
        <v>12330000000</v>
      </c>
      <c r="H49" s="4" t="str">
        <f>HYPERLINK("http://141.218.60.56/~jnz1568/getInfo.php?workbook=08_02.xlsx&amp;sheet=A1&amp;row=49&amp;col=8&amp;number=12333333333.3&amp;sourceID=25","12333333333.3")</f>
        <v>12333333333.3</v>
      </c>
    </row>
    <row r="50" spans="1:8">
      <c r="A50" s="3">
        <v>8</v>
      </c>
      <c r="B50" s="3">
        <v>2</v>
      </c>
      <c r="C50" s="3">
        <v>22</v>
      </c>
      <c r="D50" s="3">
        <v>6</v>
      </c>
      <c r="E50" s="3">
        <f>((1/(INDEX('E1'!I$4:I$32,C50,1)-INDEX('E1'!I$4:I$32,D50,1))))*100000000</f>
        <v>0</v>
      </c>
      <c r="F50" s="4" t="str">
        <f>HYPERLINK("http://141.218.60.56/~jnz1568/getInfo.php?workbook=08_02.xlsx&amp;sheet=A1&amp;row=50&amp;col=6&amp;number=&amp;sourceID=34","")</f>
        <v/>
      </c>
      <c r="G50" s="4" t="str">
        <f>HYPERLINK("http://141.218.60.56/~jnz1568/getInfo.php?workbook=08_02.xlsx&amp;sheet=A1&amp;row=50&amp;col=7&amp;number=3747000000&amp;sourceID=24","3747000000")</f>
        <v>3747000000</v>
      </c>
      <c r="H50" s="4" t="str">
        <f>HYPERLINK("http://141.218.60.56/~jnz1568/getInfo.php?workbook=08_02.xlsx&amp;sheet=A1&amp;row=50&amp;col=8&amp;number=3744444444.44&amp;sourceID=25","3744444444.44")</f>
        <v>3744444444.44</v>
      </c>
    </row>
    <row r="51" spans="1:8">
      <c r="A51" s="3">
        <v>8</v>
      </c>
      <c r="B51" s="3">
        <v>2</v>
      </c>
      <c r="C51" s="3">
        <v>22</v>
      </c>
      <c r="D51" s="3">
        <v>9</v>
      </c>
      <c r="E51" s="3">
        <f>((1/(INDEX('E1'!I$4:I$32,C51,1)-INDEX('E1'!I$4:I$32,D51,1))))*100000000</f>
        <v>0</v>
      </c>
      <c r="F51" s="4" t="str">
        <f>HYPERLINK("http://141.218.60.56/~jnz1568/getInfo.php?workbook=08_02.xlsx&amp;sheet=A1&amp;row=51&amp;col=6&amp;number=449200000&amp;sourceID=34","449200000")</f>
        <v>449200000</v>
      </c>
      <c r="G51" s="4" t="str">
        <f>HYPERLINK("http://141.218.60.56/~jnz1568/getInfo.php?workbook=08_02.xlsx&amp;sheet=A1&amp;row=51&amp;col=7&amp;number=447700000&amp;sourceID=24","447700000")</f>
        <v>447700000</v>
      </c>
      <c r="H51" s="4" t="str">
        <f>HYPERLINK("http://141.218.60.56/~jnz1568/getInfo.php?workbook=08_02.xlsx&amp;sheet=A1&amp;row=51&amp;col=8&amp;number=447777777.778&amp;sourceID=25","447777777.778")</f>
        <v>447777777.778</v>
      </c>
    </row>
    <row r="52" spans="1:8">
      <c r="A52" s="3">
        <v>8</v>
      </c>
      <c r="B52" s="3">
        <v>2</v>
      </c>
      <c r="C52" s="3">
        <v>22</v>
      </c>
      <c r="D52" s="3">
        <v>12</v>
      </c>
      <c r="E52" s="3">
        <f>((1/(INDEX('E1'!I$4:I$32,C52,1)-INDEX('E1'!I$4:I$32,D52,1))))*100000000</f>
        <v>0</v>
      </c>
      <c r="F52" s="4" t="str">
        <f>HYPERLINK("http://141.218.60.56/~jnz1568/getInfo.php?workbook=08_02.xlsx&amp;sheet=A1&amp;row=52&amp;col=6&amp;number=&amp;sourceID=34","")</f>
        <v/>
      </c>
      <c r="G52" s="4" t="str">
        <f>HYPERLINK("http://141.218.60.56/~jnz1568/getInfo.php?workbook=08_02.xlsx&amp;sheet=A1&amp;row=52&amp;col=7&amp;number=1558000000&amp;sourceID=24","1558000000")</f>
        <v>1558000000</v>
      </c>
      <c r="H52" s="4" t="str">
        <f>HYPERLINK("http://141.218.60.56/~jnz1568/getInfo.php?workbook=08_02.xlsx&amp;sheet=A1&amp;row=52&amp;col=8&amp;number=1566666666.67&amp;sourceID=25","1566666666.67")</f>
        <v>1566666666.67</v>
      </c>
    </row>
    <row r="53" spans="1:8">
      <c r="A53" s="3">
        <v>8</v>
      </c>
      <c r="B53" s="3">
        <v>2</v>
      </c>
      <c r="C53" s="3">
        <v>22</v>
      </c>
      <c r="D53" s="3">
        <v>16</v>
      </c>
      <c r="E53" s="3">
        <f>((1/(INDEX('E1'!I$4:I$32,C53,1)-INDEX('E1'!I$4:I$32,D53,1))))*100000000</f>
        <v>0</v>
      </c>
      <c r="F53" s="4" t="str">
        <f>HYPERLINK("http://141.218.60.56/~jnz1568/getInfo.php?workbook=08_02.xlsx&amp;sheet=A1&amp;row=53&amp;col=6&amp;number=552600000&amp;sourceID=34","552600000")</f>
        <v>552600000</v>
      </c>
      <c r="G53" s="4" t="str">
        <f>HYPERLINK("http://141.218.60.56/~jnz1568/getInfo.php?workbook=08_02.xlsx&amp;sheet=A1&amp;row=53&amp;col=7&amp;number=551500000&amp;sourceID=24","551500000")</f>
        <v>551500000</v>
      </c>
      <c r="H53" s="4" t="str">
        <f>HYPERLINK("http://141.218.60.56/~jnz1568/getInfo.php?workbook=08_02.xlsx&amp;sheet=A1&amp;row=53&amp;col=8&amp;number=552222222.222&amp;sourceID=25","552222222.222")</f>
        <v>552222222.222</v>
      </c>
    </row>
    <row r="54" spans="1:8">
      <c r="A54" s="3">
        <v>8</v>
      </c>
      <c r="B54" s="3">
        <v>2</v>
      </c>
      <c r="C54" s="3">
        <v>22</v>
      </c>
      <c r="D54" s="3">
        <v>20</v>
      </c>
      <c r="E54" s="3">
        <f>((1/(INDEX('E1'!I$4:I$32,C54,1)-INDEX('E1'!I$4:I$32,D54,1))))*100000000</f>
        <v>0</v>
      </c>
      <c r="F54" s="4" t="str">
        <f>HYPERLINK("http://141.218.60.56/~jnz1568/getInfo.php?workbook=08_02.xlsx&amp;sheet=A1&amp;row=54&amp;col=6&amp;number=&amp;sourceID=34","")</f>
        <v/>
      </c>
      <c r="G54" s="4" t="str">
        <f>HYPERLINK("http://141.218.60.56/~jnz1568/getInfo.php?workbook=08_02.xlsx&amp;sheet=A1&amp;row=54&amp;col=7&amp;number=721800&amp;sourceID=24","721800")</f>
        <v>721800</v>
      </c>
      <c r="H54" s="4" t="str">
        <f>HYPERLINK("http://141.218.60.56/~jnz1568/getInfo.php?workbook=08_02.xlsx&amp;sheet=A1&amp;row=54&amp;col=8&amp;number=707777.777778&amp;sourceID=25","707777.777778")</f>
        <v>707777.777778</v>
      </c>
    </row>
    <row r="55" spans="1:8">
      <c r="A55" s="3">
        <v>8</v>
      </c>
      <c r="B55" s="3">
        <v>2</v>
      </c>
      <c r="C55" s="3">
        <v>23</v>
      </c>
      <c r="D55" s="3">
        <v>9</v>
      </c>
      <c r="E55" s="3">
        <f>((1/(INDEX('E1'!I$4:I$32,C55,1)-INDEX('E1'!I$4:I$32,D55,1))))*100000000</f>
        <v>0</v>
      </c>
      <c r="F55" s="4" t="str">
        <f>HYPERLINK("http://141.218.60.56/~jnz1568/getInfo.php?workbook=08_02.xlsx&amp;sheet=A1&amp;row=55&amp;col=6&amp;number=&amp;sourceID=34","")</f>
        <v/>
      </c>
      <c r="G55" s="4" t="str">
        <f>HYPERLINK("http://141.218.60.56/~jnz1568/getInfo.php?workbook=08_02.xlsx&amp;sheet=A1&amp;row=55&amp;col=7&amp;number=10940000000&amp;sourceID=24","10940000000")</f>
        <v>10940000000</v>
      </c>
      <c r="H55" s="4" t="str">
        <f>HYPERLINK("http://141.218.60.56/~jnz1568/getInfo.php?workbook=08_02.xlsx&amp;sheet=A1&amp;row=55&amp;col=8&amp;number=&amp;sourceID=25","")</f>
        <v/>
      </c>
    </row>
    <row r="56" spans="1:8">
      <c r="A56" s="3">
        <v>8</v>
      </c>
      <c r="B56" s="3">
        <v>2</v>
      </c>
      <c r="C56" s="3">
        <v>23</v>
      </c>
      <c r="D56" s="3">
        <v>16</v>
      </c>
      <c r="E56" s="3">
        <f>((1/(INDEX('E1'!I$4:I$32,C56,1)-INDEX('E1'!I$4:I$32,D56,1))))*100000000</f>
        <v>0</v>
      </c>
      <c r="F56" s="4" t="str">
        <f>HYPERLINK("http://141.218.60.56/~jnz1568/getInfo.php?workbook=08_02.xlsx&amp;sheet=A1&amp;row=56&amp;col=6&amp;number=&amp;sourceID=34","")</f>
        <v/>
      </c>
      <c r="G56" s="4" t="str">
        <f>HYPERLINK("http://141.218.60.56/~jnz1568/getInfo.php?workbook=08_02.xlsx&amp;sheet=A1&amp;row=56&amp;col=7&amp;number=6203000000&amp;sourceID=24","6203000000")</f>
        <v>6203000000</v>
      </c>
      <c r="H56" s="4" t="str">
        <f>HYPERLINK("http://141.218.60.56/~jnz1568/getInfo.php?workbook=08_02.xlsx&amp;sheet=A1&amp;row=56&amp;col=8&amp;number=&amp;sourceID=25","")</f>
        <v/>
      </c>
    </row>
    <row r="57" spans="1:8">
      <c r="A57" s="3">
        <v>8</v>
      </c>
      <c r="B57" s="3">
        <v>2</v>
      </c>
      <c r="C57" s="3">
        <v>24</v>
      </c>
      <c r="D57" s="3">
        <v>3</v>
      </c>
      <c r="E57" s="3">
        <f>((1/(INDEX('E1'!I$4:I$32,C57,1)-INDEX('E1'!I$4:I$32,D57,1))))*100000000</f>
        <v>0</v>
      </c>
      <c r="F57" s="4" t="str">
        <f>HYPERLINK("http://141.218.60.56/~jnz1568/getInfo.php?workbook=08_02.xlsx&amp;sheet=A1&amp;row=57&amp;col=6&amp;number=24620000000&amp;sourceID=34","24620000000")</f>
        <v>24620000000</v>
      </c>
      <c r="G57" s="4" t="str">
        <f>HYPERLINK("http://141.218.60.56/~jnz1568/getInfo.php?workbook=08_02.xlsx&amp;sheet=A1&amp;row=57&amp;col=7&amp;number=24570000000&amp;sourceID=24","24570000000")</f>
        <v>24570000000</v>
      </c>
      <c r="H57" s="4" t="str">
        <f>HYPERLINK("http://141.218.60.56/~jnz1568/getInfo.php?workbook=08_02.xlsx&amp;sheet=A1&amp;row=57&amp;col=8&amp;number=24533333333.3&amp;sourceID=25","24533333333.3")</f>
        <v>24533333333.3</v>
      </c>
    </row>
    <row r="58" spans="1:8">
      <c r="A58" s="3">
        <v>8</v>
      </c>
      <c r="B58" s="3">
        <v>2</v>
      </c>
      <c r="C58" s="3">
        <v>24</v>
      </c>
      <c r="D58" s="3">
        <v>7</v>
      </c>
      <c r="E58" s="3">
        <f>((1/(INDEX('E1'!I$4:I$32,C58,1)-INDEX('E1'!I$4:I$32,D58,1))))*100000000</f>
        <v>0</v>
      </c>
      <c r="F58" s="4" t="str">
        <f>HYPERLINK("http://141.218.60.56/~jnz1568/getInfo.php?workbook=08_02.xlsx&amp;sheet=A1&amp;row=58&amp;col=6&amp;number=8303000000&amp;sourceID=34","8303000000")</f>
        <v>8303000000</v>
      </c>
      <c r="G58" s="4" t="str">
        <f>HYPERLINK("http://141.218.60.56/~jnz1568/getInfo.php?workbook=08_02.xlsx&amp;sheet=A1&amp;row=58&amp;col=7&amp;number=8275000000&amp;sourceID=24","8275000000")</f>
        <v>8275000000</v>
      </c>
      <c r="H58" s="4" t="str">
        <f>HYPERLINK("http://141.218.60.56/~jnz1568/getInfo.php?workbook=08_02.xlsx&amp;sheet=A1&amp;row=58&amp;col=8&amp;number=8333333333.33&amp;sourceID=25","8333333333.33")</f>
        <v>8333333333.33</v>
      </c>
    </row>
    <row r="59" spans="1:8">
      <c r="A59" s="3">
        <v>8</v>
      </c>
      <c r="B59" s="3">
        <v>2</v>
      </c>
      <c r="C59" s="3">
        <v>24</v>
      </c>
      <c r="D59" s="3">
        <v>13</v>
      </c>
      <c r="E59" s="3">
        <f>((1/(INDEX('E1'!I$4:I$32,C59,1)-INDEX('E1'!I$4:I$32,D59,1))))*100000000</f>
        <v>0</v>
      </c>
      <c r="F59" s="4" t="str">
        <f>HYPERLINK("http://141.218.60.56/~jnz1568/getInfo.php?workbook=08_02.xlsx&amp;sheet=A1&amp;row=59&amp;col=6&amp;number=3445000000&amp;sourceID=34","3445000000")</f>
        <v>3445000000</v>
      </c>
      <c r="G59" s="4" t="str">
        <f>HYPERLINK("http://141.218.60.56/~jnz1568/getInfo.php?workbook=08_02.xlsx&amp;sheet=A1&amp;row=59&amp;col=7&amp;number=3429000000&amp;sourceID=24","3429000000")</f>
        <v>3429000000</v>
      </c>
      <c r="H59" s="4" t="str">
        <f>HYPERLINK("http://141.218.60.56/~jnz1568/getInfo.php?workbook=08_02.xlsx&amp;sheet=A1&amp;row=59&amp;col=8&amp;number=3433333333.33&amp;sourceID=25","3433333333.33")</f>
        <v>3433333333.33</v>
      </c>
    </row>
    <row r="60" spans="1:8">
      <c r="A60" s="3">
        <v>8</v>
      </c>
      <c r="B60" s="3">
        <v>2</v>
      </c>
      <c r="C60" s="3">
        <v>24</v>
      </c>
      <c r="D60" s="3">
        <v>15</v>
      </c>
      <c r="E60" s="3">
        <f>((1/(INDEX('E1'!I$4:I$32,C60,1)-INDEX('E1'!I$4:I$32,D60,1))))*100000000</f>
        <v>0</v>
      </c>
      <c r="F60" s="4" t="str">
        <f>HYPERLINK("http://141.218.60.56/~jnz1568/getInfo.php?workbook=08_02.xlsx&amp;sheet=A1&amp;row=60&amp;col=6&amp;number=&amp;sourceID=34","")</f>
        <v/>
      </c>
      <c r="G60" s="4" t="str">
        <f>HYPERLINK("http://141.218.60.56/~jnz1568/getInfo.php?workbook=08_02.xlsx&amp;sheet=A1&amp;row=60&amp;col=7&amp;number=123000000&amp;sourceID=24","123000000")</f>
        <v>123000000</v>
      </c>
      <c r="H60" s="4" t="str">
        <f>HYPERLINK("http://141.218.60.56/~jnz1568/getInfo.php?workbook=08_02.xlsx&amp;sheet=A1&amp;row=60&amp;col=8&amp;number=&amp;sourceID=25","")</f>
        <v/>
      </c>
    </row>
    <row r="61" spans="1:8">
      <c r="A61" s="3">
        <v>8</v>
      </c>
      <c r="B61" s="3">
        <v>2</v>
      </c>
      <c r="C61" s="3">
        <v>24</v>
      </c>
      <c r="D61" s="3">
        <v>22</v>
      </c>
      <c r="E61" s="3">
        <f>((1/(INDEX('E1'!I$4:I$32,C61,1)-INDEX('E1'!I$4:I$32,D61,1))))*100000000</f>
        <v>0</v>
      </c>
      <c r="F61" s="4" t="str">
        <f>HYPERLINK("http://141.218.60.56/~jnz1568/getInfo.php?workbook=08_02.xlsx&amp;sheet=A1&amp;row=61&amp;col=6&amp;number=153000&amp;sourceID=34","153000")</f>
        <v>153000</v>
      </c>
      <c r="G61" s="4" t="str">
        <f>HYPERLINK("http://141.218.60.56/~jnz1568/getInfo.php?workbook=08_02.xlsx&amp;sheet=A1&amp;row=61&amp;col=7&amp;number=112000&amp;sourceID=24","112000")</f>
        <v>112000</v>
      </c>
      <c r="H61" s="4" t="str">
        <f>HYPERLINK("http://141.218.60.56/~jnz1568/getInfo.php?workbook=08_02.xlsx&amp;sheet=A1&amp;row=61&amp;col=8&amp;number=113333.333333&amp;sourceID=25","113333.333333")</f>
        <v>113333.333333</v>
      </c>
    </row>
    <row r="62" spans="1:8">
      <c r="A62" s="3">
        <v>8</v>
      </c>
      <c r="B62" s="3">
        <v>2</v>
      </c>
      <c r="C62" s="3">
        <v>24</v>
      </c>
      <c r="D62" s="3">
        <v>23</v>
      </c>
      <c r="E62" s="3">
        <f>((1/(INDEX('E1'!I$4:I$32,C62,1)-INDEX('E1'!I$4:I$32,D62,1))))*100000000</f>
        <v>0</v>
      </c>
      <c r="F62" s="4" t="str">
        <f>HYPERLINK("http://141.218.60.56/~jnz1568/getInfo.php?workbook=08_02.xlsx&amp;sheet=A1&amp;row=62&amp;col=6&amp;number=&amp;sourceID=34","")</f>
        <v/>
      </c>
      <c r="G62" s="4" t="str">
        <f>HYPERLINK("http://141.218.60.56/~jnz1568/getInfo.php?workbook=08_02.xlsx&amp;sheet=A1&amp;row=62&amp;col=7&amp;number=19.21&amp;sourceID=24","19.21")</f>
        <v>19.21</v>
      </c>
      <c r="H62" s="4" t="str">
        <f>HYPERLINK("http://141.218.60.56/~jnz1568/getInfo.php?workbook=08_02.xlsx&amp;sheet=A1&amp;row=62&amp;col=8&amp;number=&amp;sourceID=25","")</f>
        <v/>
      </c>
    </row>
    <row r="63" spans="1:8">
      <c r="A63" s="3">
        <v>8</v>
      </c>
      <c r="B63" s="3">
        <v>2</v>
      </c>
      <c r="C63" s="3">
        <v>25</v>
      </c>
      <c r="D63" s="3">
        <v>10</v>
      </c>
      <c r="E63" s="3">
        <f>((1/(INDEX('E1'!I$4:I$32,C63,1)-INDEX('E1'!I$4:I$32,D63,1))))*100000000</f>
        <v>0</v>
      </c>
      <c r="F63" s="4" t="str">
        <f>HYPERLINK("http://141.218.60.56/~jnz1568/getInfo.php?workbook=08_02.xlsx&amp;sheet=A1&amp;row=63&amp;col=6&amp;number=&amp;sourceID=34","")</f>
        <v/>
      </c>
      <c r="G63" s="4" t="str">
        <f>HYPERLINK("http://141.218.60.56/~jnz1568/getInfo.php?workbook=08_02.xlsx&amp;sheet=A1&amp;row=63&amp;col=7&amp;number=10900000000&amp;sourceID=24","10900000000")</f>
        <v>10900000000</v>
      </c>
      <c r="H63" s="4" t="str">
        <f>HYPERLINK("http://141.218.60.56/~jnz1568/getInfo.php?workbook=08_02.xlsx&amp;sheet=A1&amp;row=63&amp;col=8&amp;number=&amp;sourceID=25","")</f>
        <v/>
      </c>
    </row>
    <row r="64" spans="1:8">
      <c r="A64" s="3">
        <v>8</v>
      </c>
      <c r="B64" s="3">
        <v>2</v>
      </c>
      <c r="C64" s="3">
        <v>25</v>
      </c>
      <c r="D64" s="3">
        <v>17</v>
      </c>
      <c r="E64" s="3">
        <f>((1/(INDEX('E1'!I$4:I$32,C64,1)-INDEX('E1'!I$4:I$32,D64,1))))*100000000</f>
        <v>0</v>
      </c>
      <c r="F64" s="4" t="str">
        <f>HYPERLINK("http://141.218.60.56/~jnz1568/getInfo.php?workbook=08_02.xlsx&amp;sheet=A1&amp;row=64&amp;col=6&amp;number=&amp;sourceID=34","")</f>
        <v/>
      </c>
      <c r="G64" s="4" t="str">
        <f>HYPERLINK("http://141.218.60.56/~jnz1568/getInfo.php?workbook=08_02.xlsx&amp;sheet=A1&amp;row=64&amp;col=7&amp;number=6207000000&amp;sourceID=24","6207000000")</f>
        <v>6207000000</v>
      </c>
      <c r="H64" s="4" t="str">
        <f>HYPERLINK("http://141.218.60.56/~jnz1568/getInfo.php?workbook=08_02.xlsx&amp;sheet=A1&amp;row=64&amp;col=8&amp;number=&amp;sourceID=25","")</f>
        <v/>
      </c>
    </row>
    <row r="65" spans="1:8">
      <c r="A65" s="3">
        <v>8</v>
      </c>
      <c r="B65" s="3">
        <v>2</v>
      </c>
      <c r="C65" s="3">
        <v>26</v>
      </c>
      <c r="D65" s="3">
        <v>15</v>
      </c>
      <c r="E65" s="3"/>
      <c r="F65" s="4" t="str">
        <f>HYPERLINK("http://141.218.60.56/~jnz1568/getInfo.php?workbook=08_02.xlsx&amp;sheet=A1&amp;row=65&amp;col=6&amp;number=&amp;sourceID=34","")</f>
        <v/>
      </c>
      <c r="G65" s="4" t="str">
        <f>HYPERLINK("http://141.218.60.56/~jnz1568/getInfo.php?workbook=08_02.xlsx&amp;sheet=A1&amp;row=65&amp;col=7&amp;number=10220000000&amp;sourceID=24","10220000000")</f>
        <v>10220000000</v>
      </c>
      <c r="H65" s="4" t="str">
        <f>HYPERLINK("http://141.218.60.56/~jnz1568/getInfo.php?workbook=08_02.xlsx&amp;sheet=A1&amp;row=65&amp;col=8&amp;number=&amp;sourceID=25","")</f>
        <v/>
      </c>
    </row>
    <row r="66" spans="1:8">
      <c r="A66" s="3">
        <v>8</v>
      </c>
      <c r="B66" s="3">
        <v>2</v>
      </c>
      <c r="C66" s="3">
        <v>26</v>
      </c>
      <c r="D66" s="3">
        <v>23</v>
      </c>
      <c r="E66" s="3"/>
      <c r="F66" s="4" t="str">
        <f>HYPERLINK("http://141.218.60.56/~jnz1568/getInfo.php?workbook=08_02.xlsx&amp;sheet=A1&amp;row=66&amp;col=6&amp;number=&amp;sourceID=34","")</f>
        <v/>
      </c>
      <c r="G66" s="4" t="str">
        <f>HYPERLINK("http://141.218.60.56/~jnz1568/getInfo.php?workbook=08_02.xlsx&amp;sheet=A1&amp;row=66&amp;col=7&amp;number=0.001569&amp;sourceID=24","0.001569")</f>
        <v>0.001569</v>
      </c>
      <c r="H66" s="4" t="str">
        <f>HYPERLINK("http://141.218.60.56/~jnz1568/getInfo.php?workbook=08_02.xlsx&amp;sheet=A1&amp;row=66&amp;col=8&amp;number=&amp;sourceID=25","")</f>
        <v/>
      </c>
    </row>
    <row r="67" spans="1:8">
      <c r="A67" s="3">
        <v>8</v>
      </c>
      <c r="B67" s="3">
        <v>2</v>
      </c>
      <c r="C67" s="3">
        <v>27</v>
      </c>
      <c r="D67" s="3">
        <v>18</v>
      </c>
      <c r="E67" s="3"/>
      <c r="F67" s="4" t="str">
        <f>HYPERLINK("http://141.218.60.56/~jnz1568/getInfo.php?workbook=08_02.xlsx&amp;sheet=A1&amp;row=67&amp;col=6&amp;number=&amp;sourceID=34","")</f>
        <v/>
      </c>
      <c r="G67" s="4" t="str">
        <f>HYPERLINK("http://141.218.60.56/~jnz1568/getInfo.php?workbook=08_02.xlsx&amp;sheet=A1&amp;row=67&amp;col=7&amp;number=10220000000&amp;sourceID=24","10220000000")</f>
        <v>10220000000</v>
      </c>
      <c r="H67" s="4" t="str">
        <f>HYPERLINK("http://141.218.60.56/~jnz1568/getInfo.php?workbook=08_02.xlsx&amp;sheet=A1&amp;row=67&amp;col=8&amp;number=&amp;sourceID=25","")</f>
        <v/>
      </c>
    </row>
    <row r="68" spans="1:8">
      <c r="A68" s="3">
        <v>8</v>
      </c>
      <c r="B68" s="3">
        <v>2</v>
      </c>
      <c r="C68" s="3">
        <v>27</v>
      </c>
      <c r="D68" s="3">
        <v>25</v>
      </c>
      <c r="E68" s="3"/>
      <c r="F68" s="4" t="str">
        <f>HYPERLINK("http://141.218.60.56/~jnz1568/getInfo.php?workbook=08_02.xlsx&amp;sheet=A1&amp;row=68&amp;col=6&amp;number=&amp;sourceID=34","")</f>
        <v/>
      </c>
      <c r="G68" s="4" t="str">
        <f>HYPERLINK("http://141.218.60.56/~jnz1568/getInfo.php?workbook=08_02.xlsx&amp;sheet=A1&amp;row=68&amp;col=7&amp;number=0.000369&amp;sourceID=24","0.000369")</f>
        <v>0.000369</v>
      </c>
      <c r="H68" s="4" t="str">
        <f>HYPERLINK("http://141.218.60.56/~jnz1568/getInfo.php?workbook=08_02.xlsx&amp;sheet=A1&amp;row=68&amp;col=8&amp;number=&amp;sourceID=25","")</f>
        <v/>
      </c>
    </row>
    <row r="69" spans="1:8">
      <c r="A69" s="3">
        <v>8</v>
      </c>
      <c r="B69" s="3">
        <v>2</v>
      </c>
      <c r="C69" s="3">
        <v>28</v>
      </c>
      <c r="D69" s="3">
        <v>5</v>
      </c>
      <c r="E69" s="3">
        <f>((1/(INDEX('E1'!I$4:I$32,C69,1)-INDEX('E1'!I$4:I$32,D69,1))))*100000000</f>
        <v>0</v>
      </c>
      <c r="F69" s="4" t="str">
        <f>HYPERLINK("http://141.218.60.56/~jnz1568/getInfo.php?workbook=08_02.xlsx&amp;sheet=A1&amp;row=69&amp;col=6&amp;number=21670000000&amp;sourceID=34","21670000000")</f>
        <v>21670000000</v>
      </c>
      <c r="G69" s="4" t="str">
        <f>HYPERLINK("http://141.218.60.56/~jnz1568/getInfo.php?workbook=08_02.xlsx&amp;sheet=A1&amp;row=69&amp;col=7&amp;number=21590000000&amp;sourceID=24","21590000000")</f>
        <v>21590000000</v>
      </c>
      <c r="H69" s="4" t="str">
        <f>HYPERLINK("http://141.218.60.56/~jnz1568/getInfo.php?workbook=08_02.xlsx&amp;sheet=A1&amp;row=69&amp;col=8&amp;number=21600000000&amp;sourceID=25","21600000000")</f>
        <v>21600000000</v>
      </c>
    </row>
    <row r="70" spans="1:8">
      <c r="A70" s="3">
        <v>8</v>
      </c>
      <c r="B70" s="3">
        <v>2</v>
      </c>
      <c r="C70" s="3">
        <v>28</v>
      </c>
      <c r="D70" s="3">
        <v>11</v>
      </c>
      <c r="E70" s="3">
        <f>((1/(INDEX('E1'!I$4:I$32,C70,1)-INDEX('E1'!I$4:I$32,D70,1))))*100000000</f>
        <v>0</v>
      </c>
      <c r="F70" s="4" t="str">
        <f>HYPERLINK("http://141.218.60.56/~jnz1568/getInfo.php?workbook=08_02.xlsx&amp;sheet=A1&amp;row=70&amp;col=6&amp;number=8087000000&amp;sourceID=34","8087000000")</f>
        <v>8087000000</v>
      </c>
      <c r="G70" s="4" t="str">
        <f>HYPERLINK("http://141.218.60.56/~jnz1568/getInfo.php?workbook=08_02.xlsx&amp;sheet=A1&amp;row=70&amp;col=7&amp;number=8077000000&amp;sourceID=24","8077000000")</f>
        <v>8077000000</v>
      </c>
      <c r="H70" s="4" t="str">
        <f>HYPERLINK("http://141.218.60.56/~jnz1568/getInfo.php?workbook=08_02.xlsx&amp;sheet=A1&amp;row=70&amp;col=8&amp;number=8060000000&amp;sourceID=25","8060000000")</f>
        <v>8060000000</v>
      </c>
    </row>
    <row r="71" spans="1:8">
      <c r="A71" s="3">
        <v>8</v>
      </c>
      <c r="B71" s="3">
        <v>2</v>
      </c>
      <c r="C71" s="3">
        <v>28</v>
      </c>
      <c r="D71" s="3">
        <v>18</v>
      </c>
      <c r="E71" s="3">
        <f>((1/(INDEX('E1'!I$4:I$32,C71,1)-INDEX('E1'!I$4:I$32,D71,1))))*100000000</f>
        <v>0</v>
      </c>
      <c r="F71" s="4" t="str">
        <f>HYPERLINK("http://141.218.60.56/~jnz1568/getInfo.php?workbook=08_02.xlsx&amp;sheet=A1&amp;row=71&amp;col=6&amp;number=&amp;sourceID=34","")</f>
        <v/>
      </c>
      <c r="G71" s="4" t="str">
        <f>HYPERLINK("http://141.218.60.56/~jnz1568/getInfo.php?workbook=08_02.xlsx&amp;sheet=A1&amp;row=71&amp;col=7&amp;number=120900000&amp;sourceID=24","120900000")</f>
        <v>120900000</v>
      </c>
      <c r="H71" s="4" t="str">
        <f>HYPERLINK("http://141.218.60.56/~jnz1568/getInfo.php?workbook=08_02.xlsx&amp;sheet=A1&amp;row=71&amp;col=8&amp;number=&amp;sourceID=25","")</f>
        <v/>
      </c>
    </row>
    <row r="72" spans="1:8">
      <c r="A72" s="3">
        <v>8</v>
      </c>
      <c r="B72" s="3">
        <v>2</v>
      </c>
      <c r="C72" s="3">
        <v>28</v>
      </c>
      <c r="D72" s="3">
        <v>19</v>
      </c>
      <c r="E72" s="3">
        <f>((1/(INDEX('E1'!I$4:I$32,C72,1)-INDEX('E1'!I$4:I$32,D72,1))))*100000000</f>
        <v>0</v>
      </c>
      <c r="F72" s="4" t="str">
        <f>HYPERLINK("http://141.218.60.56/~jnz1568/getInfo.php?workbook=08_02.xlsx&amp;sheet=A1&amp;row=72&amp;col=6&amp;number=3625000000&amp;sourceID=34","3625000000")</f>
        <v>3625000000</v>
      </c>
      <c r="G72" s="4" t="str">
        <f>HYPERLINK("http://141.218.60.56/~jnz1568/getInfo.php?workbook=08_02.xlsx&amp;sheet=A1&amp;row=72&amp;col=7&amp;number=3609000000&amp;sourceID=24","3609000000")</f>
        <v>3609000000</v>
      </c>
      <c r="H72" s="4" t="str">
        <f>HYPERLINK("http://141.218.60.56/~jnz1568/getInfo.php?workbook=08_02.xlsx&amp;sheet=A1&amp;row=72&amp;col=8&amp;number=3620000000&amp;sourceID=25","3620000000")</f>
        <v>3620000000</v>
      </c>
    </row>
    <row r="73" spans="1:8">
      <c r="A73" s="3">
        <v>8</v>
      </c>
      <c r="B73" s="3">
        <v>2</v>
      </c>
      <c r="C73" s="3">
        <v>28</v>
      </c>
      <c r="D73" s="3">
        <v>25</v>
      </c>
      <c r="E73" s="3">
        <f>((1/(INDEX('E1'!I$4:I$32,C73,1)-INDEX('E1'!I$4:I$32,D73,1))))*100000000</f>
        <v>0</v>
      </c>
      <c r="F73" s="4" t="str">
        <f>HYPERLINK("http://141.218.60.56/~jnz1568/getInfo.php?workbook=08_02.xlsx&amp;sheet=A1&amp;row=73&amp;col=6&amp;number=&amp;sourceID=34","")</f>
        <v/>
      </c>
      <c r="G73" s="4" t="str">
        <f>HYPERLINK("http://141.218.60.56/~jnz1568/getInfo.php?workbook=08_02.xlsx&amp;sheet=A1&amp;row=73&amp;col=7&amp;number=0.08247&amp;sourceID=24","0.08247")</f>
        <v>0.08247</v>
      </c>
      <c r="H73" s="4" t="str">
        <f>HYPERLINK("http://141.218.60.56/~jnz1568/getInfo.php?workbook=08_02.xlsx&amp;sheet=A1&amp;row=73&amp;col=8&amp;number=&amp;sourceID=25","")</f>
        <v/>
      </c>
    </row>
    <row r="74" spans="1:8">
      <c r="A74" s="3">
        <v>8</v>
      </c>
      <c r="B74" s="3">
        <v>2</v>
      </c>
      <c r="C74" s="3">
        <v>29</v>
      </c>
      <c r="D74" s="3">
        <v>1</v>
      </c>
      <c r="E74" s="3">
        <f>((1/(INDEX('E1'!I$4:I$32,C74,1)-INDEX('E1'!I$4:I$32,D74,1))))*100000000</f>
        <v>0</v>
      </c>
      <c r="F74" s="4" t="str">
        <f>HYPERLINK("http://141.218.60.56/~jnz1568/getInfo.php?workbook=08_02.xlsx&amp;sheet=A1&amp;row=74&amp;col=6&amp;number=&amp;sourceID=34","")</f>
        <v/>
      </c>
      <c r="G74" s="4" t="str">
        <f>HYPERLINK("http://141.218.60.56/~jnz1568/getInfo.php?workbook=08_02.xlsx&amp;sheet=A1&amp;row=74&amp;col=7&amp;number=197100000000&amp;sourceID=24","197100000000")</f>
        <v>197100000000</v>
      </c>
      <c r="H74" s="4" t="str">
        <f>HYPERLINK("http://141.218.60.56/~jnz1568/getInfo.php?workbook=08_02.xlsx&amp;sheet=A1&amp;row=74&amp;col=8&amp;number=1.96333333333e+11&amp;sourceID=25","1.96333333333e+11")</f>
        <v>1.96333333333e+11</v>
      </c>
    </row>
    <row r="75" spans="1:8">
      <c r="A75" s="3">
        <v>8</v>
      </c>
      <c r="B75" s="3">
        <v>2</v>
      </c>
      <c r="C75" s="3">
        <v>29</v>
      </c>
      <c r="D75" s="3">
        <v>4</v>
      </c>
      <c r="E75" s="3">
        <f>((1/(INDEX('E1'!I$4:I$32,C75,1)-INDEX('E1'!I$4:I$32,D75,1))))*100000000</f>
        <v>0</v>
      </c>
      <c r="F75" s="4" t="str">
        <f>HYPERLINK("http://141.218.60.56/~jnz1568/getInfo.php?workbook=08_02.xlsx&amp;sheet=A1&amp;row=75&amp;col=6&amp;number=11650000000&amp;sourceID=34","11650000000")</f>
        <v>11650000000</v>
      </c>
      <c r="G75" s="4" t="str">
        <f>HYPERLINK("http://141.218.60.56/~jnz1568/getInfo.php?workbook=08_02.xlsx&amp;sheet=A1&amp;row=75&amp;col=7&amp;number=11620000000&amp;sourceID=24","11620000000")</f>
        <v>11620000000</v>
      </c>
      <c r="H75" s="4" t="str">
        <f>HYPERLINK("http://141.218.60.56/~jnz1568/getInfo.php?workbook=08_02.xlsx&amp;sheet=A1&amp;row=75&amp;col=8&amp;number=11633333333.3&amp;sourceID=25","11633333333.3")</f>
        <v>11633333333.3</v>
      </c>
    </row>
    <row r="76" spans="1:8">
      <c r="A76" s="3">
        <v>8</v>
      </c>
      <c r="B76" s="3">
        <v>2</v>
      </c>
      <c r="C76" s="3">
        <v>29</v>
      </c>
      <c r="D76" s="3">
        <v>8</v>
      </c>
      <c r="E76" s="3">
        <f>((1/(INDEX('E1'!I$4:I$32,C76,1)-INDEX('E1'!I$4:I$32,D76,1))))*100000000</f>
        <v>0</v>
      </c>
      <c r="F76" s="4" t="str">
        <f>HYPERLINK("http://141.218.60.56/~jnz1568/getInfo.php?workbook=08_02.xlsx&amp;sheet=A1&amp;row=76&amp;col=6&amp;number=3684000000&amp;sourceID=34","3684000000")</f>
        <v>3684000000</v>
      </c>
      <c r="G76" s="4" t="str">
        <f>HYPERLINK("http://141.218.60.56/~jnz1568/getInfo.php?workbook=08_02.xlsx&amp;sheet=A1&amp;row=76&amp;col=7&amp;number=3681000000&amp;sourceID=24","3681000000")</f>
        <v>3681000000</v>
      </c>
      <c r="H76" s="4" t="str">
        <f>HYPERLINK("http://141.218.60.56/~jnz1568/getInfo.php?workbook=08_02.xlsx&amp;sheet=A1&amp;row=76&amp;col=8&amp;number=3666666666.67&amp;sourceID=25","3666666666.67")</f>
        <v>3666666666.67</v>
      </c>
    </row>
    <row r="77" spans="1:8">
      <c r="A77" s="3">
        <v>8</v>
      </c>
      <c r="B77" s="3">
        <v>2</v>
      </c>
      <c r="C77" s="3">
        <v>29</v>
      </c>
      <c r="D77" s="3">
        <v>10</v>
      </c>
      <c r="E77" s="3">
        <f>((1/(INDEX('E1'!I$4:I$32,C77,1)-INDEX('E1'!I$4:I$32,D77,1))))*100000000</f>
        <v>0</v>
      </c>
      <c r="F77" s="4" t="str">
        <f>HYPERLINK("http://141.218.60.56/~jnz1568/getInfo.php?workbook=08_02.xlsx&amp;sheet=A1&amp;row=77&amp;col=6&amp;number=333100000&amp;sourceID=34","333100000")</f>
        <v>333100000</v>
      </c>
      <c r="G77" s="4" t="str">
        <f>HYPERLINK("http://141.218.60.56/~jnz1568/getInfo.php?workbook=08_02.xlsx&amp;sheet=A1&amp;row=77&amp;col=7&amp;number=331000000&amp;sourceID=24","331000000")</f>
        <v>331000000</v>
      </c>
      <c r="H77" s="4" t="str">
        <f>HYPERLINK("http://141.218.60.56/~jnz1568/getInfo.php?workbook=08_02.xlsx&amp;sheet=A1&amp;row=77&amp;col=8&amp;number=332666666.667&amp;sourceID=25","332666666.667")</f>
        <v>332666666.667</v>
      </c>
    </row>
    <row r="78" spans="1:8">
      <c r="A78" s="3">
        <v>8</v>
      </c>
      <c r="B78" s="3">
        <v>2</v>
      </c>
      <c r="C78" s="3">
        <v>29</v>
      </c>
      <c r="D78" s="3">
        <v>14</v>
      </c>
      <c r="E78" s="3">
        <f>((1/(INDEX('E1'!I$4:I$32,C78,1)-INDEX('E1'!I$4:I$32,D78,1))))*100000000</f>
        <v>0</v>
      </c>
      <c r="F78" s="4" t="str">
        <f>HYPERLINK("http://141.218.60.56/~jnz1568/getInfo.php?workbook=08_02.xlsx&amp;sheet=A1&amp;row=78&amp;col=6&amp;number=1573000000&amp;sourceID=34","1573000000")</f>
        <v>1573000000</v>
      </c>
      <c r="G78" s="4" t="str">
        <f>HYPERLINK("http://141.218.60.56/~jnz1568/getInfo.php?workbook=08_02.xlsx&amp;sheet=A1&amp;row=78&amp;col=7&amp;number=1570000000&amp;sourceID=24","1570000000")</f>
        <v>1570000000</v>
      </c>
      <c r="H78" s="4" t="str">
        <f>HYPERLINK("http://141.218.60.56/~jnz1568/getInfo.php?workbook=08_02.xlsx&amp;sheet=A1&amp;row=78&amp;col=8&amp;number=1573333333.33&amp;sourceID=25","1573333333.33")</f>
        <v>1573333333.33</v>
      </c>
    </row>
    <row r="79" spans="1:8">
      <c r="A79" s="3">
        <v>8</v>
      </c>
      <c r="B79" s="3">
        <v>2</v>
      </c>
      <c r="C79" s="3">
        <v>29</v>
      </c>
      <c r="D79" s="3">
        <v>17</v>
      </c>
      <c r="E79" s="3">
        <f>((1/(INDEX('E1'!I$4:I$32,C79,1)-INDEX('E1'!I$4:I$32,D79,1))))*100000000</f>
        <v>0</v>
      </c>
      <c r="F79" s="4" t="str">
        <f>HYPERLINK("http://141.218.60.56/~jnz1568/getInfo.php?workbook=08_02.xlsx&amp;sheet=A1&amp;row=79&amp;col=6&amp;number=425200000&amp;sourceID=34","425200000")</f>
        <v>425200000</v>
      </c>
      <c r="G79" s="4" t="str">
        <f>HYPERLINK("http://141.218.60.56/~jnz1568/getInfo.php?workbook=08_02.xlsx&amp;sheet=A1&amp;row=79&amp;col=7&amp;number=420300000&amp;sourceID=24","420300000")</f>
        <v>420300000</v>
      </c>
      <c r="H79" s="4" t="str">
        <f>HYPERLINK("http://141.218.60.56/~jnz1568/getInfo.php?workbook=08_02.xlsx&amp;sheet=A1&amp;row=79&amp;col=8&amp;number=423333333.333&amp;sourceID=25","423333333.333")</f>
        <v>423333333.333</v>
      </c>
    </row>
    <row r="80" spans="1:8">
      <c r="A80" s="3">
        <v>8</v>
      </c>
      <c r="B80" s="3">
        <v>2</v>
      </c>
      <c r="C80" s="3">
        <v>29</v>
      </c>
      <c r="D80" s="3">
        <v>21</v>
      </c>
      <c r="E80" s="3">
        <f>((1/(INDEX('E1'!I$4:I$32,C80,1)-INDEX('E1'!I$4:I$32,D80,1))))*100000000</f>
        <v>0</v>
      </c>
      <c r="F80" s="4" t="str">
        <f>HYPERLINK("http://141.218.60.56/~jnz1568/getInfo.php?workbook=08_02.xlsx&amp;sheet=A1&amp;row=80&amp;col=6&amp;number=&amp;sourceID=34","")</f>
        <v/>
      </c>
      <c r="G80" s="4" t="str">
        <f>HYPERLINK("http://141.218.60.56/~jnz1568/getInfo.php?workbook=08_02.xlsx&amp;sheet=A1&amp;row=80&amp;col=7&amp;number=284300&amp;sourceID=24","284300")</f>
        <v>284300</v>
      </c>
      <c r="H80" s="4" t="str">
        <f>HYPERLINK("http://141.218.60.56/~jnz1568/getInfo.php?workbook=08_02.xlsx&amp;sheet=A1&amp;row=80&amp;col=8&amp;number=278333.333333&amp;sourceID=25","278333.333333")</f>
        <v>278333.333333</v>
      </c>
    </row>
    <row r="81" spans="1:8">
      <c r="A81" s="3">
        <v>8</v>
      </c>
      <c r="B81" s="3">
        <v>2</v>
      </c>
      <c r="C81" s="3">
        <v>29</v>
      </c>
      <c r="D81" s="3">
        <v>28</v>
      </c>
      <c r="E81" s="3">
        <f>((1/(INDEX('E1'!I$4:I$32,C81,1)-INDEX('E1'!I$4:I$32,D81,1))))*100000000</f>
        <v>0</v>
      </c>
      <c r="F81" s="4" t="str">
        <f>HYPERLINK("http://141.218.60.56/~jnz1568/getInfo.php?workbook=08_02.xlsx&amp;sheet=A1&amp;row=81&amp;col=6&amp;number=866&amp;sourceID=34","866")</f>
        <v>866</v>
      </c>
      <c r="G81" s="4" t="str">
        <f>HYPERLINK("http://141.218.60.56/~jnz1568/getInfo.php?workbook=08_02.xlsx&amp;sheet=A1&amp;row=81&amp;col=7&amp;number=6873&amp;sourceID=24","6873")</f>
        <v>6873</v>
      </c>
      <c r="H81" s="4" t="str">
        <f>HYPERLINK("http://141.218.60.56/~jnz1568/getInfo.php?workbook=08_02.xlsx&amp;sheet=A1&amp;row=81&amp;col=8&amp;number=6000&amp;sourceID=25","6000")</f>
        <v>6000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E0</vt:lpstr>
      <vt:lpstr>E1</vt:lpstr>
      <vt:lpstr>A0</vt:lpstr>
      <vt:lpstr>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2015-04-13T07:11:14Z</dcterms:created>
  <dcterms:modified xsi:type="dcterms:W3CDTF">2015-04-13T07:11:14Z</dcterms:modified>
</cp:coreProperties>
</file>