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0" sheetId="1" r:id="rId1"/>
    <sheet name="A0" sheetId="2" r:id="rId2"/>
  </sheets>
  <calcPr calcId="124519" fullCalcOnLoad="1"/>
</workbook>
</file>

<file path=xl/sharedStrings.xml><?xml version="1.0" encoding="utf-8"?>
<sst xmlns="http://schemas.openxmlformats.org/spreadsheetml/2006/main" count="130" uniqueCount="49">
  <si>
    <t>Fine-Structure Energy Levels for  F IX</t>
  </si>
  <si>
    <t>S2</t>
  </si>
  <si>
    <t>S11</t>
  </si>
  <si>
    <t>S12</t>
  </si>
  <si>
    <t>S30</t>
  </si>
  <si>
    <t>S13</t>
  </si>
  <si>
    <t>Z</t>
  </si>
  <si>
    <t>N</t>
  </si>
  <si>
    <t>i</t>
  </si>
  <si>
    <t>Conf</t>
  </si>
  <si>
    <t>Term</t>
  </si>
  <si>
    <t>2S+1</t>
  </si>
  <si>
    <t>L</t>
  </si>
  <si>
    <t>Pi</t>
  </si>
  <si>
    <t>J</t>
  </si>
  <si>
    <t>E(cm-1)</t>
  </si>
  <si>
    <t>E (cm-1)</t>
  </si>
  <si>
    <t>1s</t>
  </si>
  <si>
    <t>2S</t>
  </si>
  <si>
    <t>2p</t>
  </si>
  <si>
    <t>2P*</t>
  </si>
  <si>
    <t>2s</t>
  </si>
  <si>
    <t>3p</t>
  </si>
  <si>
    <t>3s</t>
  </si>
  <si>
    <t>3d</t>
  </si>
  <si>
    <t>2D</t>
  </si>
  <si>
    <t>4p</t>
  </si>
  <si>
    <t>4s</t>
  </si>
  <si>
    <t>4d</t>
  </si>
  <si>
    <t>4f</t>
  </si>
  <si>
    <t>2F*</t>
  </si>
  <si>
    <t>5p</t>
  </si>
  <si>
    <t>5s</t>
  </si>
  <si>
    <t>5d</t>
  </si>
  <si>
    <t>5f</t>
  </si>
  <si>
    <t>5g</t>
  </si>
  <si>
    <t>2G</t>
  </si>
  <si>
    <t>A-values for  fine-structure transitions in F IX</t>
  </si>
  <si>
    <t>S18</t>
  </si>
  <si>
    <t>k</t>
  </si>
  <si>
    <t>WLVac (A)</t>
  </si>
  <si>
    <t>A2E1 (s-1)</t>
  </si>
  <si>
    <t>ATotal (s-1)</t>
  </si>
  <si>
    <t>AE1 (s-1)</t>
  </si>
  <si>
    <t>AE2 (s-1)</t>
  </si>
  <si>
    <t>AE3 (s-1)</t>
  </si>
  <si>
    <t>AM1 (s-1)</t>
  </si>
  <si>
    <t>AM2 (s-1)</t>
  </si>
  <si>
    <t>AM3 (s-1)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</si>
</sst>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u/>
      <sz val="10"/>
      <color rgb="FF0000F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28"/>
  <sheetViews>
    <sheetView tabSelected="1" workbookViewId="0"/>
  </sheetViews>
  <sheetFormatPr defaultRowHeight="15"/>
  <cols>
    <col min="1" max="1" width="2.7109375" customWidth="1"/>
    <col min="2" max="2" width="2.7109375" customWidth="1"/>
    <col min="3" max="3" width="15.7109375" customWidth="1"/>
    <col min="4" max="4" width="5.7109375" customWidth="1"/>
    <col min="5" max="5" width="5.7109375" customWidth="1"/>
    <col min="6" max="6" width="5.7109375" customWidth="1"/>
    <col min="7" max="7" width="2.7109375" customWidth="1"/>
    <col min="8" max="8" width="3.7109375" customWidth="1"/>
    <col min="9" max="9" width="4.7109375" customWidth="1"/>
    <col min="10" max="10" width="13.7109375" customWidth="1"/>
    <col min="11" max="11" width="13.7109375" customWidth="1"/>
    <col min="12" max="12" width="13.7109375" customWidth="1"/>
    <col min="13" max="13" width="14.7109375" customWidth="1"/>
    <col min="14" max="14" width="14.7109375" customWidth="1"/>
    <col min="15" max="15" width="8.7109375" customWidth="1"/>
  </cols>
  <sheetData>
    <row r="1" spans="1:1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>
      <c r="A2" s="2"/>
      <c r="B2" s="2"/>
      <c r="C2" s="2"/>
      <c r="D2" s="2"/>
      <c r="E2" s="2"/>
      <c r="F2" s="2"/>
      <c r="G2" s="2"/>
      <c r="H2" s="2"/>
      <c r="I2" s="2"/>
      <c r="J2" s="2" t="s">
        <v>1</v>
      </c>
      <c r="K2" s="2" t="s">
        <v>2</v>
      </c>
      <c r="L2" s="2" t="s">
        <v>3</v>
      </c>
      <c r="M2" s="2" t="s">
        <v>4</v>
      </c>
      <c r="N2" s="2" t="s">
        <v>4</v>
      </c>
      <c r="O2" s="2" t="s">
        <v>5</v>
      </c>
    </row>
    <row r="3" spans="1:15">
      <c r="A3" s="2" t="s">
        <v>6</v>
      </c>
      <c r="B3" s="2" t="s">
        <v>7</v>
      </c>
      <c r="C3" s="2" t="s">
        <v>8</v>
      </c>
      <c r="D3" s="2" t="s">
        <v>9</v>
      </c>
      <c r="E3" s="2" t="s">
        <v>10</v>
      </c>
      <c r="F3" s="2" t="s">
        <v>11</v>
      </c>
      <c r="G3" s="2" t="s">
        <v>12</v>
      </c>
      <c r="H3" s="2" t="s">
        <v>13</v>
      </c>
      <c r="I3" s="2" t="s">
        <v>14</v>
      </c>
      <c r="J3" s="2" t="s">
        <v>15</v>
      </c>
      <c r="K3" s="2" t="s">
        <v>15</v>
      </c>
      <c r="L3" s="2" t="s">
        <v>15</v>
      </c>
      <c r="M3" s="2" t="s">
        <v>16</v>
      </c>
      <c r="N3" s="2" t="s">
        <v>16</v>
      </c>
      <c r="O3" s="2" t="s">
        <v>15</v>
      </c>
    </row>
    <row r="4" spans="1:15">
      <c r="A4" s="3">
        <v>9</v>
      </c>
      <c r="B4" s="3">
        <v>1</v>
      </c>
      <c r="C4" s="3">
        <v>1</v>
      </c>
      <c r="D4" s="3" t="s">
        <v>17</v>
      </c>
      <c r="E4" s="3" t="s">
        <v>18</v>
      </c>
      <c r="F4" s="3">
        <v>2</v>
      </c>
      <c r="G4" s="3">
        <v>0</v>
      </c>
      <c r="H4" s="3">
        <v>0</v>
      </c>
      <c r="I4" s="3">
        <v>0.5</v>
      </c>
      <c r="J4" s="4" t="str">
        <f>HYPERLINK("http://141.218.60.56/~jnz1568/getInfo.php?workbook=09_01.xlsx&amp;sheet=E0&amp;row=4&amp;col=10&amp;number=0&amp;sourceID=2","0")</f>
        <v>0</v>
      </c>
      <c r="K4" s="4" t="str">
        <f>HYPERLINK("http://141.218.60.56/~jnz1568/getInfo.php?workbook=09_01.xlsx&amp;sheet=E0&amp;row=4&amp;col=11&amp;number=0&amp;sourceID=11","0")</f>
        <v>0</v>
      </c>
      <c r="L4" s="4" t="str">
        <f>HYPERLINK("http://141.218.60.56/~jnz1568/getInfo.php?workbook=09_01.xlsx&amp;sheet=E0&amp;row=4&amp;col=12&amp;number=0&amp;sourceID=12","0")</f>
        <v>0</v>
      </c>
      <c r="M4" s="4" t="str">
        <f>HYPERLINK("http://141.218.60.56/~jnz1568/getInfo.php?workbook=09_01.xlsx&amp;sheet=E0&amp;row=4&amp;col=13&amp;number=0&amp;sourceID=30","0")</f>
        <v>0</v>
      </c>
      <c r="N4" s="4" t="str">
        <f>HYPERLINK("http://141.218.60.56/~jnz1568/getInfo.php?workbook=09_01.xlsx&amp;sheet=E0&amp;row=4&amp;col=14&amp;number=0&amp;sourceID=30","0")</f>
        <v>0</v>
      </c>
      <c r="O4" s="4" t="str">
        <f>HYPERLINK("http://141.218.60.56/~jnz1568/getInfo.php?workbook=09_01.xlsx&amp;sheet=E0&amp;row=4&amp;col=15&amp;number=0&amp;sourceID=13","0")</f>
        <v>0</v>
      </c>
    </row>
    <row r="5" spans="1:15">
      <c r="A5" s="3">
        <v>9</v>
      </c>
      <c r="B5" s="3">
        <v>1</v>
      </c>
      <c r="C5" s="3">
        <f>+C4+1</f>
        <v>0</v>
      </c>
      <c r="D5" s="3" t="s">
        <v>19</v>
      </c>
      <c r="E5" s="3" t="s">
        <v>20</v>
      </c>
      <c r="F5" s="3">
        <v>2</v>
      </c>
      <c r="G5" s="3">
        <v>1</v>
      </c>
      <c r="H5" s="3">
        <v>1</v>
      </c>
      <c r="I5" s="3">
        <v>0.5</v>
      </c>
      <c r="J5" s="4" t="str">
        <f>HYPERLINK("http://141.218.60.56/~jnz1568/getInfo.php?workbook=09_01.xlsx&amp;sheet=E0&amp;row=5&amp;col=10&amp;number=6672119.17&amp;sourceID=2","6672119.17")</f>
        <v>6672119.17</v>
      </c>
      <c r="K5" s="4" t="str">
        <f>HYPERLINK("http://141.218.60.56/~jnz1568/getInfo.php?workbook=09_01.xlsx&amp;sheet=E0&amp;row=5&amp;col=11&amp;number=6672952.8538&amp;sourceID=11","6672952.8538")</f>
        <v>6672952.8538</v>
      </c>
      <c r="L5" s="4" t="str">
        <f>HYPERLINK("http://141.218.60.56/~jnz1568/getInfo.php?workbook=09_01.xlsx&amp;sheet=E0&amp;row=5&amp;col=12&amp;number=6672122.9393&amp;sourceID=12","6672122.9393")</f>
        <v>6672122.9393</v>
      </c>
      <c r="M5" s="4" t="str">
        <f>HYPERLINK("http://141.218.60.56/~jnz1568/getInfo.php?workbook=09_01.xlsx&amp;sheet=E0&amp;row=5&amp;col=13&amp;number=6673145.91955&amp;sourceID=30","6673145.91955")</f>
        <v>6673145.91955</v>
      </c>
      <c r="N5" s="4" t="str">
        <f>HYPERLINK("http://141.218.60.56/~jnz1568/getInfo.php?workbook=09_01.xlsx&amp;sheet=E0&amp;row=5&amp;col=14&amp;number=6672319.59756&amp;sourceID=30","6672319.59756")</f>
        <v>6672319.59756</v>
      </c>
      <c r="O5" s="4" t="str">
        <f>HYPERLINK("http://141.218.60.56/~jnz1568/getInfo.php?workbook=09_01.xlsx&amp;sheet=E0&amp;row=5&amp;col=15&amp;number=6673137&amp;sourceID=13","6673137")</f>
        <v>6673137</v>
      </c>
    </row>
    <row r="6" spans="1:15">
      <c r="A6" s="3">
        <v>9</v>
      </c>
      <c r="B6" s="3">
        <v>1</v>
      </c>
      <c r="C6" s="3">
        <f/>
        <v>0</v>
      </c>
      <c r="D6" s="3" t="s">
        <v>21</v>
      </c>
      <c r="E6" s="3" t="s">
        <v>18</v>
      </c>
      <c r="F6" s="3">
        <v>2</v>
      </c>
      <c r="G6" s="3">
        <v>0</v>
      </c>
      <c r="H6" s="3">
        <v>0</v>
      </c>
      <c r="I6" s="3">
        <v>0.5</v>
      </c>
      <c r="J6" s="4" t="str">
        <f>HYPERLINK("http://141.218.60.56/~jnz1568/getInfo.php?workbook=09_01.xlsx&amp;sheet=E0&amp;row=6&amp;col=10&amp;number=6672231.21&amp;sourceID=2","6672231.21")</f>
        <v>6672231.21</v>
      </c>
      <c r="K6" s="4" t="str">
        <f>HYPERLINK("http://141.218.60.56/~jnz1568/getInfo.php?workbook=09_01.xlsx&amp;sheet=E0&amp;row=6&amp;col=11&amp;number=6672952.8538&amp;sourceID=11","6672952.8538")</f>
        <v>6672952.8538</v>
      </c>
      <c r="L6" s="4" t="str">
        <f>HYPERLINK("http://141.218.60.56/~jnz1568/getInfo.php?workbook=09_01.xlsx&amp;sheet=E0&amp;row=6&amp;col=12&amp;number=6672234.2158&amp;sourceID=12","6672234.2158")</f>
        <v>6672234.2158</v>
      </c>
      <c r="M6" s="4" t="str">
        <f>HYPERLINK("http://141.218.60.56/~jnz1568/getInfo.php?workbook=09_01.xlsx&amp;sheet=E0&amp;row=6&amp;col=13&amp;number=6673145.91955&amp;sourceID=30","6673145.91955")</f>
        <v>6673145.91955</v>
      </c>
      <c r="N6" s="4" t="str">
        <f>HYPERLINK("http://141.218.60.56/~jnz1568/getInfo.php?workbook=09_01.xlsx&amp;sheet=E0&amp;row=6&amp;col=14&amp;number=6672429.33487&amp;sourceID=30","6672429.33487")</f>
        <v>6672429.33487</v>
      </c>
      <c r="O6" s="4" t="str">
        <f>HYPERLINK("http://141.218.60.56/~jnz1568/getInfo.php?workbook=09_01.xlsx&amp;sheet=E0&amp;row=6&amp;col=15&amp;number=6673143&amp;sourceID=13","6673143")</f>
        <v>6673143</v>
      </c>
    </row>
    <row r="7" spans="1:15">
      <c r="A7" s="3">
        <v>9</v>
      </c>
      <c r="B7" s="3">
        <v>1</v>
      </c>
      <c r="C7" s="3">
        <f/>
        <v>0</v>
      </c>
      <c r="D7" s="3" t="s">
        <v>19</v>
      </c>
      <c r="E7" s="3" t="s">
        <v>20</v>
      </c>
      <c r="F7" s="3">
        <v>2</v>
      </c>
      <c r="G7" s="3">
        <v>1</v>
      </c>
      <c r="H7" s="3">
        <v>1</v>
      </c>
      <c r="I7" s="3">
        <v>1.5</v>
      </c>
      <c r="J7" s="4" t="str">
        <f>HYPERLINK("http://141.218.60.56/~jnz1568/getInfo.php?workbook=09_01.xlsx&amp;sheet=E0&amp;row=7&amp;col=10&amp;number=6674527.26&amp;sourceID=2","6674527.26")</f>
        <v>6674527.26</v>
      </c>
      <c r="K7" s="4" t="str">
        <f>HYPERLINK("http://141.218.60.56/~jnz1568/getInfo.php?workbook=09_01.xlsx&amp;sheet=E0&amp;row=7&amp;col=11&amp;number=6675355.529&amp;sourceID=11","6675355.529")</f>
        <v>6675355.529</v>
      </c>
      <c r="L7" s="4" t="str">
        <f>HYPERLINK("http://141.218.60.56/~jnz1568/getInfo.php?workbook=09_01.xlsx&amp;sheet=E0&amp;row=7&amp;col=12&amp;number=6674531.1037&amp;sourceID=12","6674531.1037")</f>
        <v>6674531.1037</v>
      </c>
      <c r="M7" s="4" t="str">
        <f>HYPERLINK("http://141.218.60.56/~jnz1568/getInfo.php?workbook=09_01.xlsx&amp;sheet=E0&amp;row=7&amp;col=13&amp;number=6675548.06939&amp;sourceID=30","6675548.06939")</f>
        <v>6675548.06939</v>
      </c>
      <c r="N7" s="4" t="str">
        <f>HYPERLINK("http://141.218.60.56/~jnz1568/getInfo.php?workbook=09_01.xlsx&amp;sheet=E0&amp;row=7&amp;col=14&amp;number=6674727.23426&amp;sourceID=30","6674727.23426")</f>
        <v>6674727.23426</v>
      </c>
      <c r="O7" s="4" t="str">
        <f>HYPERLINK("http://141.218.60.56/~jnz1568/getInfo.php?workbook=09_01.xlsx&amp;sheet=E0&amp;row=7&amp;col=15&amp;number=6675536&amp;sourceID=13","6675536")</f>
        <v>6675536</v>
      </c>
    </row>
    <row r="8" spans="1:15">
      <c r="A8" s="3">
        <v>9</v>
      </c>
      <c r="B8" s="3">
        <v>1</v>
      </c>
      <c r="C8" s="3">
        <f/>
        <v>0</v>
      </c>
      <c r="D8" s="3" t="s">
        <v>22</v>
      </c>
      <c r="E8" s="3" t="s">
        <v>20</v>
      </c>
      <c r="F8" s="3">
        <v>2</v>
      </c>
      <c r="G8" s="3">
        <v>1</v>
      </c>
      <c r="H8" s="3">
        <v>1</v>
      </c>
      <c r="I8" s="3">
        <v>0.5</v>
      </c>
      <c r="J8" s="4" t="str">
        <f>HYPERLINK("http://141.218.60.56/~jnz1568/getInfo.php?workbook=09_01.xlsx&amp;sheet=E0&amp;row=8&amp;col=10&amp;number=7908565.12&amp;sourceID=2","7908565.12")</f>
        <v>7908565.12</v>
      </c>
      <c r="K8" s="4" t="str">
        <f>HYPERLINK("http://141.218.60.56/~jnz1568/getInfo.php?workbook=09_01.xlsx&amp;sheet=E0&amp;row=8&amp;col=11&amp;number=7909396.8816&amp;sourceID=11","7909396.8816")</f>
        <v>7909396.8816</v>
      </c>
      <c r="L8" s="4" t="str">
        <f>HYPERLINK("http://141.218.60.56/~jnz1568/getInfo.php?workbook=09_01.xlsx&amp;sheet=E0&amp;row=8&amp;col=12&amp;number=7908568.9783&amp;sourceID=12","7908568.9783")</f>
        <v>7908568.9783</v>
      </c>
      <c r="M8" s="4" t="str">
        <f>HYPERLINK("http://141.218.60.56/~jnz1568/getInfo.php?workbook=09_01.xlsx&amp;sheet=E0&amp;row=8&amp;col=13&amp;number=7909625.38988&amp;sourceID=30","7909625.38988")</f>
        <v>7909625.38988</v>
      </c>
      <c r="N8" s="4" t="str">
        <f>HYPERLINK("http://141.218.60.56/~jnz1568/getInfo.php?workbook=09_01.xlsx&amp;sheet=E0&amp;row=8&amp;col=14&amp;number=7908801.26264&amp;sourceID=30","7908801.26264")</f>
        <v>7908801.26264</v>
      </c>
      <c r="O8" s="4" t="str">
        <f>HYPERLINK("http://141.218.60.56/~jnz1568/getInfo.php?workbook=09_01.xlsx&amp;sheet=E0&amp;row=8&amp;col=15&amp;number=7909616&amp;sourceID=13","7909616")</f>
        <v>7909616</v>
      </c>
    </row>
    <row r="9" spans="1:15">
      <c r="A9" s="3">
        <v>9</v>
      </c>
      <c r="B9" s="3">
        <v>1</v>
      </c>
      <c r="C9" s="3">
        <f/>
        <v>0</v>
      </c>
      <c r="D9" s="3" t="s">
        <v>23</v>
      </c>
      <c r="E9" s="3" t="s">
        <v>18</v>
      </c>
      <c r="F9" s="3">
        <v>2</v>
      </c>
      <c r="G9" s="3">
        <v>0</v>
      </c>
      <c r="H9" s="3">
        <v>0</v>
      </c>
      <c r="I9" s="3">
        <v>0.5</v>
      </c>
      <c r="J9" s="4" t="str">
        <f>HYPERLINK("http://141.218.60.56/~jnz1568/getInfo.php?workbook=09_01.xlsx&amp;sheet=E0&amp;row=9&amp;col=10&amp;number=7908598.62&amp;sourceID=2","7908598.62")</f>
        <v>7908598.62</v>
      </c>
      <c r="K9" s="4" t="str">
        <f>HYPERLINK("http://141.218.60.56/~jnz1568/getInfo.php?workbook=09_01.xlsx&amp;sheet=E0&amp;row=9&amp;col=11&amp;number=7909396.8816&amp;sourceID=11","7909396.8816")</f>
        <v>7909396.8816</v>
      </c>
      <c r="L9" s="4" t="str">
        <f>HYPERLINK("http://141.218.60.56/~jnz1568/getInfo.php?workbook=09_01.xlsx&amp;sheet=E0&amp;row=9&amp;col=12&amp;number=7908602.4783&amp;sourceID=12","7908602.4783")</f>
        <v>7908602.4783</v>
      </c>
      <c r="M9" s="4" t="str">
        <f>HYPERLINK("http://141.218.60.56/~jnz1568/getInfo.php?workbook=09_01.xlsx&amp;sheet=E0&amp;row=9&amp;col=13&amp;number=7909625.38988&amp;sourceID=30","7909625.38988")</f>
        <v>7909625.38988</v>
      </c>
      <c r="N9" s="4" t="str">
        <f>HYPERLINK("http://141.218.60.56/~jnz1568/getInfo.php?workbook=09_01.xlsx&amp;sheet=E0&amp;row=9&amp;col=14&amp;number=7908833.08646&amp;sourceID=30","7908833.08646")</f>
        <v>7908833.08646</v>
      </c>
      <c r="O9" s="4" t="str">
        <f>HYPERLINK("http://141.218.60.56/~jnz1568/getInfo.php?workbook=09_01.xlsx&amp;sheet=E0&amp;row=9&amp;col=15&amp;number=7909618&amp;sourceID=13","7909618")</f>
        <v>7909618</v>
      </c>
    </row>
    <row r="10" spans="1:15">
      <c r="A10" s="3">
        <v>9</v>
      </c>
      <c r="B10" s="3">
        <v>1</v>
      </c>
      <c r="C10" s="3">
        <f/>
        <v>0</v>
      </c>
      <c r="D10" s="3" t="s">
        <v>24</v>
      </c>
      <c r="E10" s="3" t="s">
        <v>25</v>
      </c>
      <c r="F10" s="3">
        <v>2</v>
      </c>
      <c r="G10" s="3">
        <v>2</v>
      </c>
      <c r="H10" s="3">
        <v>0</v>
      </c>
      <c r="I10" s="3">
        <v>1.5</v>
      </c>
      <c r="J10" s="4" t="str">
        <f>HYPERLINK("http://141.218.60.56/~jnz1568/getInfo.php?workbook=09_01.xlsx&amp;sheet=E0&amp;row=10&amp;col=10&amp;number=7909277.4818&amp;sourceID=2","7909277.4818")</f>
        <v>7909277.4818</v>
      </c>
      <c r="K10" s="4" t="str">
        <f>HYPERLINK("http://141.218.60.56/~jnz1568/getInfo.php?workbook=09_01.xlsx&amp;sheet=E0&amp;row=10&amp;col=11&amp;number=7910108.8492&amp;sourceID=11","7910108.8492")</f>
        <v>7910108.8492</v>
      </c>
      <c r="L10" s="4" t="str">
        <f>HYPERLINK("http://141.218.60.56/~jnz1568/getInfo.php?workbook=09_01.xlsx&amp;sheet=E0&amp;row=10&amp;col=12&amp;number=7909281.3401&amp;sourceID=12","7909281.3401")</f>
        <v>7909281.3401</v>
      </c>
      <c r="M10" s="4" t="str">
        <f>HYPERLINK("http://141.218.60.56/~jnz1568/getInfo.php?workbook=09_01.xlsx&amp;sheet=E0&amp;row=10&amp;col=13&amp;number=7910337.58506&amp;sourceID=30","7910337.58506")</f>
        <v>7910337.58506</v>
      </c>
      <c r="N10" s="4" t="str">
        <f>HYPERLINK("http://141.218.60.56/~jnz1568/getInfo.php?workbook=09_01.xlsx&amp;sheet=E0&amp;row=10&amp;col=14&amp;number=7909513.45782&amp;sourceID=30","7909513.45782")</f>
        <v>7909513.45782</v>
      </c>
      <c r="O10" s="4" t="str">
        <f>HYPERLINK("http://141.218.60.56/~jnz1568/getInfo.php?workbook=09_01.xlsx&amp;sheet=E0&amp;row=10&amp;col=15&amp;number=7910325&amp;sourceID=13","7910325")</f>
        <v>7910325</v>
      </c>
    </row>
    <row r="11" spans="1:15">
      <c r="A11" s="3">
        <v>9</v>
      </c>
      <c r="B11" s="3">
        <v>1</v>
      </c>
      <c r="C11" s="3">
        <f/>
        <v>0</v>
      </c>
      <c r="D11" s="3" t="s">
        <v>22</v>
      </c>
      <c r="E11" s="3" t="s">
        <v>20</v>
      </c>
      <c r="F11" s="3">
        <v>2</v>
      </c>
      <c r="G11" s="3">
        <v>1</v>
      </c>
      <c r="H11" s="3">
        <v>1</v>
      </c>
      <c r="I11" s="3">
        <v>1.5</v>
      </c>
      <c r="J11" s="4" t="str">
        <f>HYPERLINK("http://141.218.60.56/~jnz1568/getInfo.php?workbook=09_01.xlsx&amp;sheet=E0&amp;row=11&amp;col=10&amp;number=7909278.686&amp;sourceID=2","7909278.686")</f>
        <v>7909278.686</v>
      </c>
      <c r="K11" s="4" t="str">
        <f>HYPERLINK("http://141.218.60.56/~jnz1568/getInfo.php?workbook=09_01.xlsx&amp;sheet=E0&amp;row=11&amp;col=11&amp;number=7910108.8492&amp;sourceID=11","7910108.8492")</f>
        <v>7910108.8492</v>
      </c>
      <c r="L11" s="4" t="str">
        <f>HYPERLINK("http://141.218.60.56/~jnz1568/getInfo.php?workbook=09_01.xlsx&amp;sheet=E0&amp;row=11&amp;col=12&amp;number=7909282.5443&amp;sourceID=12","7909282.5443")</f>
        <v>7909282.5443</v>
      </c>
      <c r="M11" s="4" t="str">
        <f>HYPERLINK("http://141.218.60.56/~jnz1568/getInfo.php?workbook=09_01.xlsx&amp;sheet=E0&amp;row=11&amp;col=13&amp;number=7910337.58506&amp;sourceID=30","7910337.58506")</f>
        <v>7910337.58506</v>
      </c>
      <c r="N11" s="4" t="str">
        <f>HYPERLINK("http://141.218.60.56/~jnz1568/getInfo.php?workbook=09_01.xlsx&amp;sheet=E0&amp;row=11&amp;col=14&amp;number=7909514.55519&amp;sourceID=30","7909514.55519")</f>
        <v>7909514.55519</v>
      </c>
      <c r="O11" s="4" t="str">
        <f>HYPERLINK("http://141.218.60.56/~jnz1568/getInfo.php?workbook=09_01.xlsx&amp;sheet=E0&amp;row=11&amp;col=15&amp;number=7910325&amp;sourceID=13","7910325")</f>
        <v>7910325</v>
      </c>
    </row>
    <row r="12" spans="1:15">
      <c r="A12" s="3">
        <v>9</v>
      </c>
      <c r="B12" s="3">
        <v>1</v>
      </c>
      <c r="C12" s="3">
        <f/>
        <v>0</v>
      </c>
      <c r="D12" s="3" t="s">
        <v>24</v>
      </c>
      <c r="E12" s="3" t="s">
        <v>25</v>
      </c>
      <c r="F12" s="3">
        <v>2</v>
      </c>
      <c r="G12" s="3">
        <v>2</v>
      </c>
      <c r="H12" s="3">
        <v>0</v>
      </c>
      <c r="I12" s="3">
        <v>2.5</v>
      </c>
      <c r="J12" s="4" t="str">
        <f>HYPERLINK("http://141.218.60.56/~jnz1568/getInfo.php?workbook=09_01.xlsx&amp;sheet=E0&amp;row=12&amp;col=10&amp;number=7909514.8691&amp;sourceID=2","7909514.8691")</f>
        <v>7909514.8691</v>
      </c>
      <c r="K12" s="4" t="str">
        <f>HYPERLINK("http://141.218.60.56/~jnz1568/getInfo.php?workbook=09_01.xlsx&amp;sheet=E0&amp;row=12&amp;col=11&amp;number=7910345.688&amp;sourceID=11","7910345.688")</f>
        <v>7910345.688</v>
      </c>
      <c r="L12" s="4" t="str">
        <f>HYPERLINK("http://141.218.60.56/~jnz1568/getInfo.php?workbook=09_01.xlsx&amp;sheet=E0&amp;row=12&amp;col=12&amp;number=7909518.7274&amp;sourceID=12","7909518.7274")</f>
        <v>7909518.7274</v>
      </c>
      <c r="M12" s="4" t="str">
        <f>HYPERLINK("http://141.218.60.56/~jnz1568/getInfo.php?workbook=09_01.xlsx&amp;sheet=E0&amp;row=12&amp;col=13&amp;number=7910574.61766&amp;sourceID=30","7910574.61766")</f>
        <v>7910574.61766</v>
      </c>
      <c r="N12" s="4" t="str">
        <f>HYPERLINK("http://141.218.60.56/~jnz1568/getInfo.php?workbook=09_01.xlsx&amp;sheet=E0&amp;row=12&amp;col=14&amp;number=7909750.49042&amp;sourceID=30","7909750.49042")</f>
        <v>7909750.49042</v>
      </c>
      <c r="O12" s="4" t="str">
        <f>HYPERLINK("http://141.218.60.56/~jnz1568/getInfo.php?workbook=09_01.xlsx&amp;sheet=E0&amp;row=12&amp;col=15&amp;number=7910562&amp;sourceID=13","7910562")</f>
        <v>7910562</v>
      </c>
    </row>
    <row r="13" spans="1:15">
      <c r="A13" s="3">
        <v>9</v>
      </c>
      <c r="B13" s="3">
        <v>1</v>
      </c>
      <c r="C13" s="3">
        <f/>
        <v>0</v>
      </c>
      <c r="D13" s="3" t="s">
        <v>26</v>
      </c>
      <c r="E13" s="3" t="s">
        <v>20</v>
      </c>
      <c r="F13" s="3">
        <v>2</v>
      </c>
      <c r="G13" s="3">
        <v>1</v>
      </c>
      <c r="H13" s="3">
        <v>1</v>
      </c>
      <c r="I13" s="3">
        <v>0.5</v>
      </c>
      <c r="J13" s="4" t="str">
        <f>HYPERLINK("http://141.218.60.56/~jnz1568/getInfo.php?workbook=09_01.xlsx&amp;sheet=E0&amp;row=13&amp;col=10&amp;number=8341223.26&amp;sourceID=2","8341223.26")</f>
        <v>8341223.26</v>
      </c>
      <c r="K13" s="4" t="str">
        <f>HYPERLINK("http://141.218.60.56/~jnz1568/getInfo.php?workbook=09_01.xlsx&amp;sheet=E0&amp;row=13&amp;col=11&amp;number=8342054.6049&amp;sourceID=11","8342054.6049")</f>
        <v>8342054.6049</v>
      </c>
      <c r="L13" s="4" t="str">
        <f>HYPERLINK("http://141.218.60.56/~jnz1568/getInfo.php?workbook=09_01.xlsx&amp;sheet=E0&amp;row=13&amp;col=12&amp;number=8341227.1183&amp;sourceID=12","8341227.1183")</f>
        <v>8341227.1183</v>
      </c>
      <c r="M13" s="4" t="str">
        <f>HYPERLINK("http://141.218.60.56/~jnz1568/getInfo.php?workbook=09_01.xlsx&amp;sheet=E0&amp;row=13&amp;col=13&amp;number=8342295.48342&amp;sourceID=30","8342295.48342")</f>
        <v>8342295.48342</v>
      </c>
      <c r="N13" s="4" t="str">
        <f>HYPERLINK("http://141.218.60.56/~jnz1568/getInfo.php?workbook=09_01.xlsx&amp;sheet=E0&amp;row=13&amp;col=14&amp;number=8341471.35618&amp;sourceID=30","8341471.35618")</f>
        <v>8341471.35618</v>
      </c>
      <c r="O13" s="4" t="str">
        <f>HYPERLINK("http://141.218.60.56/~jnz1568/getInfo.php?workbook=09_01.xlsx&amp;sheet=E0&amp;row=13&amp;col=15&amp;number=8342286&amp;sourceID=13","8342286")</f>
        <v>8342286</v>
      </c>
    </row>
    <row r="14" spans="1:15">
      <c r="A14" s="3">
        <v>9</v>
      </c>
      <c r="B14" s="3">
        <v>1</v>
      </c>
      <c r="C14" s="3">
        <f/>
        <v>0</v>
      </c>
      <c r="D14" s="3" t="s">
        <v>27</v>
      </c>
      <c r="E14" s="3" t="s">
        <v>18</v>
      </c>
      <c r="F14" s="3">
        <v>2</v>
      </c>
      <c r="G14" s="3">
        <v>0</v>
      </c>
      <c r="H14" s="3">
        <v>0</v>
      </c>
      <c r="I14" s="3">
        <v>0.5</v>
      </c>
      <c r="J14" s="4" t="str">
        <f>HYPERLINK("http://141.218.60.56/~jnz1568/getInfo.php?workbook=09_01.xlsx&amp;sheet=E0&amp;row=14&amp;col=10&amp;number=8341237.441&amp;sourceID=2","8341237.441")</f>
        <v>8341237.441</v>
      </c>
      <c r="K14" s="4" t="str">
        <f>HYPERLINK("http://141.218.60.56/~jnz1568/getInfo.php?workbook=09_01.xlsx&amp;sheet=E0&amp;row=14&amp;col=11&amp;number=8342054.6049&amp;sourceID=11","8342054.6049")</f>
        <v>8342054.6049</v>
      </c>
      <c r="L14" s="4" t="str">
        <f>HYPERLINK("http://141.218.60.56/~jnz1568/getInfo.php?workbook=09_01.xlsx&amp;sheet=E0&amp;row=14&amp;col=12&amp;number=8341241.2993&amp;sourceID=12","8341241.2993")</f>
        <v>8341241.2993</v>
      </c>
      <c r="M14" s="4" t="str">
        <f>HYPERLINK("http://141.218.60.56/~jnz1568/getInfo.php?workbook=09_01.xlsx&amp;sheet=E0&amp;row=14&amp;col=13&amp;number=8342295.48342&amp;sourceID=30","8342295.48342")</f>
        <v>8342295.48342</v>
      </c>
      <c r="N14" s="4" t="str">
        <f>HYPERLINK("http://141.218.60.56/~jnz1568/getInfo.php?workbook=09_01.xlsx&amp;sheet=E0&amp;row=14&amp;col=14&amp;number=8341485.62203&amp;sourceID=30","8341485.62203")</f>
        <v>8341485.62203</v>
      </c>
      <c r="O14" s="4" t="str">
        <f>HYPERLINK("http://141.218.60.56/~jnz1568/getInfo.php?workbook=09_01.xlsx&amp;sheet=E0&amp;row=14&amp;col=15&amp;number=8342287&amp;sourceID=13","8342287")</f>
        <v>8342287</v>
      </c>
    </row>
    <row r="15" spans="1:15">
      <c r="A15" s="3">
        <v>9</v>
      </c>
      <c r="B15" s="3">
        <v>1</v>
      </c>
      <c r="C15" s="3">
        <f/>
        <v>0</v>
      </c>
      <c r="D15" s="3" t="s">
        <v>28</v>
      </c>
      <c r="E15" s="3" t="s">
        <v>25</v>
      </c>
      <c r="F15" s="3">
        <v>2</v>
      </c>
      <c r="G15" s="3">
        <v>2</v>
      </c>
      <c r="H15" s="3">
        <v>0</v>
      </c>
      <c r="I15" s="3">
        <v>1.5</v>
      </c>
      <c r="J15" s="4" t="str">
        <f>HYPERLINK("http://141.218.60.56/~jnz1568/getInfo.php?workbook=09_01.xlsx&amp;sheet=E0&amp;row=15&amp;col=10&amp;number=8341523.753&amp;sourceID=2","8341523.753")</f>
        <v>8341523.753</v>
      </c>
      <c r="K15" s="4" t="str">
        <f>HYPERLINK("http://141.218.60.56/~jnz1568/getInfo.php?workbook=09_01.xlsx&amp;sheet=E0&amp;row=15&amp;col=11&amp;number=8342354.9391&amp;sourceID=11","8342354.9391")</f>
        <v>8342354.9391</v>
      </c>
      <c r="L15" s="4" t="str">
        <f>HYPERLINK("http://141.218.60.56/~jnz1568/getInfo.php?workbook=09_01.xlsx&amp;sheet=E0&amp;row=15&amp;col=12&amp;number=8341527.6113&amp;sourceID=12","8341527.6113")</f>
        <v>8341527.6113</v>
      </c>
      <c r="M15" s="4" t="str">
        <f>HYPERLINK("http://141.218.60.56/~jnz1568/getInfo.php?workbook=09_01.xlsx&amp;sheet=E0&amp;row=15&amp;col=13&amp;number=8342596.16366&amp;sourceID=30","8342596.16366")</f>
        <v>8342596.16366</v>
      </c>
      <c r="N15" s="4" t="str">
        <f>HYPERLINK("http://141.218.60.56/~jnz1568/getInfo.php?workbook=09_01.xlsx&amp;sheet=E0&amp;row=15&amp;col=14&amp;number=8341772.03642&amp;sourceID=30","8341772.03642")</f>
        <v>8341772.03642</v>
      </c>
      <c r="O15" s="4" t="str">
        <f>HYPERLINK("http://141.218.60.56/~jnz1568/getInfo.php?workbook=09_01.xlsx&amp;sheet=E0&amp;row=15&amp;col=15&amp;number=8342585&amp;sourceID=13","8342585")</f>
        <v>8342585</v>
      </c>
    </row>
    <row r="16" spans="1:15">
      <c r="A16" s="3">
        <v>9</v>
      </c>
      <c r="B16" s="3">
        <v>1</v>
      </c>
      <c r="C16" s="3">
        <f/>
        <v>0</v>
      </c>
      <c r="D16" s="3" t="s">
        <v>26</v>
      </c>
      <c r="E16" s="3" t="s">
        <v>20</v>
      </c>
      <c r="F16" s="3">
        <v>2</v>
      </c>
      <c r="G16" s="3">
        <v>1</v>
      </c>
      <c r="H16" s="3">
        <v>1</v>
      </c>
      <c r="I16" s="3">
        <v>1.5</v>
      </c>
      <c r="J16" s="4" t="str">
        <f>HYPERLINK("http://141.218.60.56/~jnz1568/getInfo.php?workbook=09_01.xlsx&amp;sheet=E0&amp;row=16&amp;col=10&amp;number=8341524.268&amp;sourceID=2","8341524.268")</f>
        <v>8341524.268</v>
      </c>
      <c r="K16" s="4" t="str">
        <f>HYPERLINK("http://141.218.60.56/~jnz1568/getInfo.php?workbook=09_01.xlsx&amp;sheet=E0&amp;row=16&amp;col=11&amp;number=8342354.9391&amp;sourceID=11","8342354.9391")</f>
        <v>8342354.9391</v>
      </c>
      <c r="L16" s="4" t="str">
        <f>HYPERLINK("http://141.218.60.56/~jnz1568/getInfo.php?workbook=09_01.xlsx&amp;sheet=E0&amp;row=16&amp;col=12&amp;number=8341528.1263&amp;sourceID=12","8341528.1263")</f>
        <v>8341528.1263</v>
      </c>
      <c r="M16" s="4" t="str">
        <f>HYPERLINK("http://141.218.60.56/~jnz1568/getInfo.php?workbook=09_01.xlsx&amp;sheet=E0&amp;row=16&amp;col=13&amp;number=8342596.16366&amp;sourceID=30","8342596.16366")</f>
        <v>8342596.16366</v>
      </c>
      <c r="N16" s="4" t="str">
        <f>HYPERLINK("http://141.218.60.56/~jnz1568/getInfo.php?workbook=09_01.xlsx&amp;sheet=E0&amp;row=16&amp;col=14&amp;number=8341772.03642&amp;sourceID=30","8341772.03642")</f>
        <v>8341772.03642</v>
      </c>
      <c r="O16" s="4" t="str">
        <f>HYPERLINK("http://141.218.60.56/~jnz1568/getInfo.php?workbook=09_01.xlsx&amp;sheet=E0&amp;row=16&amp;col=15&amp;number=8342584&amp;sourceID=13","8342584")</f>
        <v>8342584</v>
      </c>
    </row>
    <row r="17" spans="1:15">
      <c r="A17" s="3">
        <v>9</v>
      </c>
      <c r="B17" s="3">
        <v>1</v>
      </c>
      <c r="C17" s="3">
        <f/>
        <v>0</v>
      </c>
      <c r="D17" s="3" t="s">
        <v>29</v>
      </c>
      <c r="E17" s="3" t="s">
        <v>30</v>
      </c>
      <c r="F17" s="3">
        <v>2</v>
      </c>
      <c r="G17" s="3">
        <v>3</v>
      </c>
      <c r="H17" s="3">
        <v>1</v>
      </c>
      <c r="I17" s="3">
        <v>2.5</v>
      </c>
      <c r="J17" s="4" t="str">
        <f>HYPERLINK("http://141.218.60.56/~jnz1568/getInfo.php?workbook=09_01.xlsx&amp;sheet=E0&amp;row=17&amp;col=10&amp;number=8341623.729&amp;sourceID=2","8341623.729")</f>
        <v>8341623.729</v>
      </c>
      <c r="K17" s="4" t="str">
        <f>HYPERLINK("http://141.218.60.56/~jnz1568/getInfo.php?workbook=09_01.xlsx&amp;sheet=E0&amp;row=17&amp;col=11&amp;number=8342454.8645&amp;sourceID=11","8342454.8645")</f>
        <v>8342454.8645</v>
      </c>
      <c r="L17" s="4" t="str">
        <f>HYPERLINK("http://141.218.60.56/~jnz1568/getInfo.php?workbook=09_01.xlsx&amp;sheet=E0&amp;row=17&amp;col=12&amp;number=8341627.5873&amp;sourceID=12","8341627.5873")</f>
        <v>8341627.5873</v>
      </c>
      <c r="M17" s="4" t="str">
        <f>HYPERLINK("http://141.218.60.56/~jnz1568/getInfo.php?workbook=09_01.xlsx&amp;sheet=E0&amp;row=17&amp;col=13&amp;number=8342696.02462&amp;sourceID=30","8342696.02462")</f>
        <v>8342696.02462</v>
      </c>
      <c r="N17" s="4" t="str">
        <f>HYPERLINK("http://141.218.60.56/~jnz1568/getInfo.php?workbook=09_01.xlsx&amp;sheet=E0&amp;row=17&amp;col=14&amp;number=8341871.89738&amp;sourceID=30","8341871.89738")</f>
        <v>8341871.89738</v>
      </c>
      <c r="O17" s="4" t="str">
        <f>HYPERLINK("http://141.218.60.56/~jnz1568/getInfo.php?workbook=09_01.xlsx&amp;sheet=E0&amp;row=17&amp;col=15&amp;number=8342683&amp;sourceID=13","8342683")</f>
        <v>8342683</v>
      </c>
    </row>
    <row r="18" spans="1:15">
      <c r="A18" s="3">
        <v>9</v>
      </c>
      <c r="B18" s="3">
        <v>1</v>
      </c>
      <c r="C18" s="3">
        <f/>
        <v>0</v>
      </c>
      <c r="D18" s="3" t="s">
        <v>28</v>
      </c>
      <c r="E18" s="3" t="s">
        <v>25</v>
      </c>
      <c r="F18" s="3">
        <v>2</v>
      </c>
      <c r="G18" s="3">
        <v>2</v>
      </c>
      <c r="H18" s="3">
        <v>0</v>
      </c>
      <c r="I18" s="3">
        <v>2.5</v>
      </c>
      <c r="J18" s="4" t="str">
        <f>HYPERLINK("http://141.218.60.56/~jnz1568/getInfo.php?workbook=09_01.xlsx&amp;sheet=E0&amp;row=18&amp;col=10&amp;number=8341623.91&amp;sourceID=2","8341623.91")</f>
        <v>8341623.91</v>
      </c>
      <c r="K18" s="4" t="str">
        <f>HYPERLINK("http://141.218.60.56/~jnz1568/getInfo.php?workbook=09_01.xlsx&amp;sheet=E0&amp;row=18&amp;col=11&amp;number=8342454.8645&amp;sourceID=11","8342454.8645")</f>
        <v>8342454.8645</v>
      </c>
      <c r="L18" s="4" t="str">
        <f>HYPERLINK("http://141.218.60.56/~jnz1568/getInfo.php?workbook=09_01.xlsx&amp;sheet=E0&amp;row=18&amp;col=12&amp;number=8341627.7683&amp;sourceID=12","8341627.7683")</f>
        <v>8341627.7683</v>
      </c>
      <c r="M18" s="4" t="str">
        <f>HYPERLINK("http://141.218.60.56/~jnz1568/getInfo.php?workbook=09_01.xlsx&amp;sheet=E0&amp;row=18&amp;col=13&amp;number=8342696.02462&amp;sourceID=30","8342696.02462")</f>
        <v>8342696.02462</v>
      </c>
      <c r="N18" s="4" t="str">
        <f>HYPERLINK("http://141.218.60.56/~jnz1568/getInfo.php?workbook=09_01.xlsx&amp;sheet=E0&amp;row=18&amp;col=14&amp;number=8341871.89738&amp;sourceID=30","8341871.89738")</f>
        <v>8341871.89738</v>
      </c>
      <c r="O18" s="4" t="str">
        <f>HYPERLINK("http://141.218.60.56/~jnz1568/getInfo.php?workbook=09_01.xlsx&amp;sheet=E0&amp;row=18&amp;col=15&amp;number=8342685&amp;sourceID=13","8342685")</f>
        <v>8342685</v>
      </c>
    </row>
    <row r="19" spans="1:15">
      <c r="A19" s="3">
        <v>9</v>
      </c>
      <c r="B19" s="3">
        <v>1</v>
      </c>
      <c r="C19" s="3">
        <f/>
        <v>0</v>
      </c>
      <c r="D19" s="3" t="s">
        <v>29</v>
      </c>
      <c r="E19" s="3" t="s">
        <v>30</v>
      </c>
      <c r="F19" s="3">
        <v>2</v>
      </c>
      <c r="G19" s="3">
        <v>3</v>
      </c>
      <c r="H19" s="3">
        <v>1</v>
      </c>
      <c r="I19" s="3">
        <v>3.5</v>
      </c>
      <c r="J19" s="4" t="str">
        <f>HYPERLINK("http://141.218.60.56/~jnz1568/getInfo.php?workbook=09_01.xlsx&amp;sheet=E0&amp;row=19&amp;col=10&amp;number=8341673.783&amp;sourceID=2","8341673.783")</f>
        <v>8341673.783</v>
      </c>
      <c r="K19" s="4" t="str">
        <f>HYPERLINK("http://141.218.60.56/~jnz1568/getInfo.php?workbook=09_01.xlsx&amp;sheet=E0&amp;row=19&amp;col=11&amp;number=8342504.8025&amp;sourceID=11","8342504.8025")</f>
        <v>8342504.8025</v>
      </c>
      <c r="L19" s="4" t="str">
        <f>HYPERLINK("http://141.218.60.56/~jnz1568/getInfo.php?workbook=09_01.xlsx&amp;sheet=E0&amp;row=19&amp;col=12&amp;number=8341677.6413&amp;sourceID=12","8341677.6413")</f>
        <v>8341677.6413</v>
      </c>
      <c r="M19" s="4" t="str">
        <f>HYPERLINK("http://141.218.60.56/~jnz1568/getInfo.php?workbook=09_01.xlsx&amp;sheet=E0&amp;row=19&amp;col=13&amp;number=8342746.50379&amp;sourceID=30","8342746.50379")</f>
        <v>8342746.50379</v>
      </c>
      <c r="N19" s="4" t="str">
        <f>HYPERLINK("http://141.218.60.56/~jnz1568/getInfo.php?workbook=09_01.xlsx&amp;sheet=E0&amp;row=19&amp;col=14&amp;number=8341921.27917&amp;sourceID=30","8341921.27917")</f>
        <v>8341921.27917</v>
      </c>
      <c r="O19" s="4" t="str">
        <f>HYPERLINK("http://141.218.60.56/~jnz1568/getInfo.php?workbook=09_01.xlsx&amp;sheet=E0&amp;row=19&amp;col=15&amp;number=8342733&amp;sourceID=13","8342733")</f>
        <v>8342733</v>
      </c>
    </row>
    <row r="20" spans="1:15">
      <c r="A20" s="3">
        <v>9</v>
      </c>
      <c r="B20" s="3">
        <v>1</v>
      </c>
      <c r="C20" s="3">
        <f/>
        <v>0</v>
      </c>
      <c r="D20" s="3" t="s">
        <v>31</v>
      </c>
      <c r="E20" s="3" t="s">
        <v>20</v>
      </c>
      <c r="F20" s="3">
        <v>2</v>
      </c>
      <c r="G20" s="3">
        <v>1</v>
      </c>
      <c r="H20" s="3">
        <v>1</v>
      </c>
      <c r="I20" s="3">
        <v>0.5</v>
      </c>
      <c r="J20" s="4" t="str">
        <f>HYPERLINK("http://141.218.60.56/~jnz1568/getInfo.php?workbook=09_01.xlsx&amp;sheet=E0&amp;row=20&amp;col=10&amp;number=8541440.362&amp;sourceID=2","8541440.362")</f>
        <v>8541440.362</v>
      </c>
      <c r="K20" s="4" t="str">
        <f>HYPERLINK("http://141.218.60.56/~jnz1568/getInfo.php?workbook=09_01.xlsx&amp;sheet=E0&amp;row=20&amp;col=11&amp;number=8542271.5659&amp;sourceID=11","8542271.5659")</f>
        <v>8542271.5659</v>
      </c>
      <c r="L20" s="4" t="str">
        <f>HYPERLINK("http://141.218.60.56/~jnz1568/getInfo.php?workbook=09_01.xlsx&amp;sheet=E0&amp;row=20&amp;col=12&amp;number=8541444.2203&amp;sourceID=12","8541444.2203")</f>
        <v>8541444.2203</v>
      </c>
      <c r="M20" s="4" t="str">
        <f>HYPERLINK("http://141.218.60.56/~jnz1568/getInfo.php?workbook=09_01.xlsx&amp;sheet=E0&amp;row=20&amp;col=13&amp;number=8542517.80013&amp;sourceID=30","8542517.80013")</f>
        <v>8542517.80013</v>
      </c>
      <c r="N20" s="4" t="str">
        <f>HYPERLINK("http://141.218.60.56/~jnz1568/getInfo.php?workbook=09_01.xlsx&amp;sheet=E0&amp;row=20&amp;col=14&amp;number=8541694.77026&amp;sourceID=30","8541694.77026")</f>
        <v>8541694.77026</v>
      </c>
      <c r="O20" s="4" t="str">
        <f>HYPERLINK("http://141.218.60.56/~jnz1568/getInfo.php?workbook=09_01.xlsx&amp;sheet=E0&amp;row=20&amp;col=15&amp;number=&amp;sourceID=13","")</f>
        <v/>
      </c>
    </row>
    <row r="21" spans="1:15">
      <c r="A21" s="3">
        <v>9</v>
      </c>
      <c r="B21" s="3">
        <v>1</v>
      </c>
      <c r="C21" s="3">
        <f/>
        <v>0</v>
      </c>
      <c r="D21" s="3" t="s">
        <v>32</v>
      </c>
      <c r="E21" s="3" t="s">
        <v>18</v>
      </c>
      <c r="F21" s="3">
        <v>2</v>
      </c>
      <c r="G21" s="3">
        <v>0</v>
      </c>
      <c r="H21" s="3">
        <v>0</v>
      </c>
      <c r="I21" s="3">
        <v>0.5</v>
      </c>
      <c r="J21" s="4" t="str">
        <f>HYPERLINK("http://141.218.60.56/~jnz1568/getInfo.php?workbook=09_01.xlsx&amp;sheet=E0&amp;row=21&amp;col=10&amp;number=8541447.634&amp;sourceID=2","8541447.634")</f>
        <v>8541447.634</v>
      </c>
      <c r="K21" s="4" t="str">
        <f>HYPERLINK("http://141.218.60.56/~jnz1568/getInfo.php?workbook=09_01.xlsx&amp;sheet=E0&amp;row=21&amp;col=11&amp;number=8542271.5659&amp;sourceID=11","8542271.5659")</f>
        <v>8542271.5659</v>
      </c>
      <c r="L21" s="4" t="str">
        <f>HYPERLINK("http://141.218.60.56/~jnz1568/getInfo.php?workbook=09_01.xlsx&amp;sheet=E0&amp;row=21&amp;col=12&amp;number=8541451.4923&amp;sourceID=12","8541451.4923")</f>
        <v>8541451.4923</v>
      </c>
      <c r="M21" s="4" t="str">
        <f>HYPERLINK("http://141.218.60.56/~jnz1568/getInfo.php?workbook=09_01.xlsx&amp;sheet=E0&amp;row=21&amp;col=13&amp;number=8542517.80013&amp;sourceID=30","8542517.80013")</f>
        <v>8542517.80013</v>
      </c>
      <c r="N21" s="4" t="str">
        <f>HYPERLINK("http://141.218.60.56/~jnz1568/getInfo.php?workbook=09_01.xlsx&amp;sheet=E0&amp;row=21&amp;col=14&amp;number=8541701.3545&amp;sourceID=30","8541701.3545")</f>
        <v>8541701.3545</v>
      </c>
      <c r="O21" s="4" t="str">
        <f>HYPERLINK("http://141.218.60.56/~jnz1568/getInfo.php?workbook=09_01.xlsx&amp;sheet=E0&amp;row=21&amp;col=15&amp;number=&amp;sourceID=13","")</f>
        <v/>
      </c>
    </row>
    <row r="22" spans="1:15">
      <c r="A22" s="3">
        <v>9</v>
      </c>
      <c r="B22" s="3">
        <v>1</v>
      </c>
      <c r="C22" s="3">
        <f/>
        <v>0</v>
      </c>
      <c r="D22" s="3" t="s">
        <v>33</v>
      </c>
      <c r="E22" s="3" t="s">
        <v>25</v>
      </c>
      <c r="F22" s="3">
        <v>2</v>
      </c>
      <c r="G22" s="3">
        <v>2</v>
      </c>
      <c r="H22" s="3">
        <v>0</v>
      </c>
      <c r="I22" s="3">
        <v>1.5</v>
      </c>
      <c r="J22" s="4" t="str">
        <f>HYPERLINK("http://141.218.60.56/~jnz1568/getInfo.php?workbook=09_01.xlsx&amp;sheet=E0&amp;row=22&amp;col=10&amp;number=8541594.197&amp;sourceID=2","8541594.197")</f>
        <v>8541594.197</v>
      </c>
      <c r="K22" s="4" t="str">
        <f>HYPERLINK("http://141.218.60.56/~jnz1568/getInfo.php?workbook=09_01.xlsx&amp;sheet=E0&amp;row=22&amp;col=11&amp;number=8542425.3221&amp;sourceID=11","8542425.3221")</f>
        <v>8542425.3221</v>
      </c>
      <c r="L22" s="4" t="str">
        <f>HYPERLINK("http://141.218.60.56/~jnz1568/getInfo.php?workbook=09_01.xlsx&amp;sheet=E0&amp;row=22&amp;col=12&amp;number=8541598.0553&amp;sourceID=12","8541598.0553")</f>
        <v>8541598.0553</v>
      </c>
      <c r="M22" s="4" t="str">
        <f>HYPERLINK("http://141.218.60.56/~jnz1568/getInfo.php?workbook=09_01.xlsx&amp;sheet=E0&amp;row=22&amp;col=13&amp;number=8542672.52974&amp;sourceID=30","8542672.52974")</f>
        <v>8542672.52974</v>
      </c>
      <c r="N22" s="4" t="str">
        <f>HYPERLINK("http://141.218.60.56/~jnz1568/getInfo.php?workbook=09_01.xlsx&amp;sheet=E0&amp;row=22&amp;col=14&amp;number=8541848.4025&amp;sourceID=30","8541848.4025")</f>
        <v>8541848.4025</v>
      </c>
      <c r="O22" s="4" t="str">
        <f>HYPERLINK("http://141.218.60.56/~jnz1568/getInfo.php?workbook=09_01.xlsx&amp;sheet=E0&amp;row=22&amp;col=15&amp;number=&amp;sourceID=13","")</f>
        <v/>
      </c>
    </row>
    <row r="23" spans="1:15">
      <c r="A23" s="3">
        <v>9</v>
      </c>
      <c r="B23" s="3">
        <v>1</v>
      </c>
      <c r="C23" s="3">
        <f/>
        <v>0</v>
      </c>
      <c r="D23" s="3" t="s">
        <v>31</v>
      </c>
      <c r="E23" s="3" t="s">
        <v>20</v>
      </c>
      <c r="F23" s="3">
        <v>2</v>
      </c>
      <c r="G23" s="3">
        <v>1</v>
      </c>
      <c r="H23" s="3">
        <v>1</v>
      </c>
      <c r="I23" s="3">
        <v>1.5</v>
      </c>
      <c r="J23" s="4" t="str">
        <f>HYPERLINK("http://141.218.60.56/~jnz1568/getInfo.php?workbook=09_01.xlsx&amp;sheet=E0&amp;row=23&amp;col=10&amp;number=8541594.463&amp;sourceID=2","8541594.463")</f>
        <v>8541594.463</v>
      </c>
      <c r="K23" s="4" t="str">
        <f>HYPERLINK("http://141.218.60.56/~jnz1568/getInfo.php?workbook=09_01.xlsx&amp;sheet=E0&amp;row=23&amp;col=11&amp;number=8542425.3221&amp;sourceID=11","8542425.3221")</f>
        <v>8542425.3221</v>
      </c>
      <c r="L23" s="4" t="str">
        <f>HYPERLINK("http://141.218.60.56/~jnz1568/getInfo.php?workbook=09_01.xlsx&amp;sheet=E0&amp;row=23&amp;col=12&amp;number=8541598.3213&amp;sourceID=12","8541598.3213")</f>
        <v>8541598.3213</v>
      </c>
      <c r="M23" s="4" t="str">
        <f>HYPERLINK("http://141.218.60.56/~jnz1568/getInfo.php?workbook=09_01.xlsx&amp;sheet=E0&amp;row=23&amp;col=13&amp;number=8542672.52974&amp;sourceID=30","8542672.52974")</f>
        <v>8542672.52974</v>
      </c>
      <c r="N23" s="4" t="str">
        <f>HYPERLINK("http://141.218.60.56/~jnz1568/getInfo.php?workbook=09_01.xlsx&amp;sheet=E0&amp;row=23&amp;col=14&amp;number=8541848.4025&amp;sourceID=30","8541848.4025")</f>
        <v>8541848.4025</v>
      </c>
      <c r="O23" s="4" t="str">
        <f>HYPERLINK("http://141.218.60.56/~jnz1568/getInfo.php?workbook=09_01.xlsx&amp;sheet=E0&amp;row=23&amp;col=15&amp;number=&amp;sourceID=13","")</f>
        <v/>
      </c>
    </row>
    <row r="24" spans="1:15">
      <c r="A24" s="3">
        <v>9</v>
      </c>
      <c r="B24" s="3">
        <v>1</v>
      </c>
      <c r="C24" s="3">
        <f/>
        <v>0</v>
      </c>
      <c r="D24" s="3" t="s">
        <v>34</v>
      </c>
      <c r="E24" s="3" t="s">
        <v>30</v>
      </c>
      <c r="F24" s="3">
        <v>2</v>
      </c>
      <c r="G24" s="3">
        <v>3</v>
      </c>
      <c r="H24" s="3">
        <v>1</v>
      </c>
      <c r="I24" s="3">
        <v>2.5</v>
      </c>
      <c r="J24" s="4" t="str">
        <f>HYPERLINK("http://141.218.60.56/~jnz1568/getInfo.php?workbook=09_01.xlsx&amp;sheet=E0&amp;row=24&amp;col=10&amp;number=8541645.385&amp;sourceID=2","8541645.385")</f>
        <v>8541645.385</v>
      </c>
      <c r="K24" s="4" t="str">
        <f>HYPERLINK("http://141.218.60.56/~jnz1568/getInfo.php?workbook=09_01.xlsx&amp;sheet=E0&amp;row=24&amp;col=11&amp;number=8542476.4845&amp;sourceID=11","8542476.4845")</f>
        <v>8542476.4845</v>
      </c>
      <c r="L24" s="4" t="str">
        <f>HYPERLINK("http://141.218.60.56/~jnz1568/getInfo.php?workbook=09_01.xlsx&amp;sheet=E0&amp;row=24&amp;col=12&amp;number=8541649.2433&amp;sourceID=12","8541649.2433")</f>
        <v>8541649.2433</v>
      </c>
      <c r="M24" s="4" t="str">
        <f>HYPERLINK("http://141.218.60.56/~jnz1568/getInfo.php?workbook=09_01.xlsx&amp;sheet=E0&amp;row=24&amp;col=13&amp;number=8542723.00891&amp;sourceID=30","8542723.00891")</f>
        <v>8542723.00891</v>
      </c>
      <c r="N24" s="4" t="str">
        <f>HYPERLINK("http://141.218.60.56/~jnz1568/getInfo.php?workbook=09_01.xlsx&amp;sheet=E0&amp;row=24&amp;col=14&amp;number=8541899.97904&amp;sourceID=30","8541899.97904")</f>
        <v>8541899.97904</v>
      </c>
      <c r="O24" s="4" t="str">
        <f>HYPERLINK("http://141.218.60.56/~jnz1568/getInfo.php?workbook=09_01.xlsx&amp;sheet=E0&amp;row=24&amp;col=15&amp;number=&amp;sourceID=13","")</f>
        <v/>
      </c>
    </row>
    <row r="25" spans="1:15">
      <c r="A25" s="3">
        <v>9</v>
      </c>
      <c r="B25" s="3">
        <v>1</v>
      </c>
      <c r="C25" s="3">
        <f/>
        <v>0</v>
      </c>
      <c r="D25" s="3" t="s">
        <v>33</v>
      </c>
      <c r="E25" s="3" t="s">
        <v>25</v>
      </c>
      <c r="F25" s="3">
        <v>2</v>
      </c>
      <c r="G25" s="3">
        <v>2</v>
      </c>
      <c r="H25" s="3">
        <v>0</v>
      </c>
      <c r="I25" s="3">
        <v>2.5</v>
      </c>
      <c r="J25" s="4" t="str">
        <f>HYPERLINK("http://141.218.60.56/~jnz1568/getInfo.php?workbook=09_01.xlsx&amp;sheet=E0&amp;row=25&amp;col=10&amp;number=8541645.478&amp;sourceID=2","8541645.478")</f>
        <v>8541645.478</v>
      </c>
      <c r="K25" s="4" t="str">
        <f>HYPERLINK("http://141.218.60.56/~jnz1568/getInfo.php?workbook=09_01.xlsx&amp;sheet=E0&amp;row=25&amp;col=11&amp;number=8542476.4845&amp;sourceID=11","8542476.4845")</f>
        <v>8542476.4845</v>
      </c>
      <c r="L25" s="4" t="str">
        <f>HYPERLINK("http://141.218.60.56/~jnz1568/getInfo.php?workbook=09_01.xlsx&amp;sheet=E0&amp;row=25&amp;col=12&amp;number=8541649.3363&amp;sourceID=12","8541649.3363")</f>
        <v>8541649.3363</v>
      </c>
      <c r="M25" s="4" t="str">
        <f>HYPERLINK("http://141.218.60.56/~jnz1568/getInfo.php?workbook=09_01.xlsx&amp;sheet=E0&amp;row=25&amp;col=13&amp;number=8542723.00891&amp;sourceID=30","8542723.00891")</f>
        <v>8542723.00891</v>
      </c>
      <c r="N25" s="4" t="str">
        <f>HYPERLINK("http://141.218.60.56/~jnz1568/getInfo.php?workbook=09_01.xlsx&amp;sheet=E0&amp;row=25&amp;col=14&amp;number=8541899.97904&amp;sourceID=30","8541899.97904")</f>
        <v>8541899.97904</v>
      </c>
      <c r="O25" s="4" t="str">
        <f>HYPERLINK("http://141.218.60.56/~jnz1568/getInfo.php?workbook=09_01.xlsx&amp;sheet=E0&amp;row=25&amp;col=15&amp;number=&amp;sourceID=13","")</f>
        <v/>
      </c>
    </row>
    <row r="26" spans="1:15">
      <c r="A26" s="3">
        <v>9</v>
      </c>
      <c r="B26" s="3">
        <v>1</v>
      </c>
      <c r="C26" s="3">
        <f/>
        <v>0</v>
      </c>
      <c r="D26" s="3" t="s">
        <v>35</v>
      </c>
      <c r="E26" s="3" t="s">
        <v>36</v>
      </c>
      <c r="F26" s="3">
        <v>2</v>
      </c>
      <c r="G26" s="3">
        <v>4</v>
      </c>
      <c r="H26" s="3">
        <v>0</v>
      </c>
      <c r="I26" s="3">
        <v>3.5</v>
      </c>
      <c r="J26" s="4" t="str">
        <f>HYPERLINK("http://141.218.60.56/~jnz1568/getInfo.php?workbook=09_01.xlsx&amp;sheet=E0&amp;row=26&amp;col=10&amp;number=8541670.9649&amp;sourceID=2","8541670.9649")</f>
        <v>8541670.9649</v>
      </c>
      <c r="K26" s="4" t="str">
        <f>HYPERLINK("http://141.218.60.56/~jnz1568/getInfo.php?workbook=09_01.xlsx&amp;sheet=E0&amp;row=26&amp;col=11&amp;number=8542502.054&amp;sourceID=11","8542502.054")</f>
        <v>8542502.054</v>
      </c>
      <c r="L26" s="4" t="str">
        <f>HYPERLINK("http://141.218.60.56/~jnz1568/getInfo.php?workbook=09_01.xlsx&amp;sheet=E0&amp;row=26&amp;col=12&amp;number=8541674.8232&amp;sourceID=12","8541674.8232")</f>
        <v>8541674.8232</v>
      </c>
      <c r="M26" s="4" t="str">
        <f>HYPERLINK("http://141.218.60.56/~jnz1568/getInfo.php?workbook=09_01.xlsx&amp;sheet=E0&amp;row=26&amp;col=13&amp;number=8542748.24849&amp;sourceID=30","8542748.24849")</f>
        <v>8542748.24849</v>
      </c>
      <c r="N26" s="4" t="str">
        <f>HYPERLINK("http://141.218.60.56/~jnz1568/getInfo.php?workbook=09_01.xlsx&amp;sheet=E0&amp;row=26&amp;col=14&amp;number=8541924.12125&amp;sourceID=30","8541924.12125")</f>
        <v>8541924.12125</v>
      </c>
      <c r="O26" s="4" t="str">
        <f>HYPERLINK("http://141.218.60.56/~jnz1568/getInfo.php?workbook=09_01.xlsx&amp;sheet=E0&amp;row=26&amp;col=15&amp;number=&amp;sourceID=13","")</f>
        <v/>
      </c>
    </row>
    <row r="27" spans="1:15">
      <c r="A27" s="3">
        <v>9</v>
      </c>
      <c r="B27" s="3">
        <v>1</v>
      </c>
      <c r="C27" s="3">
        <f/>
        <v>0</v>
      </c>
      <c r="D27" s="3" t="s">
        <v>34</v>
      </c>
      <c r="E27" s="3" t="s">
        <v>30</v>
      </c>
      <c r="F27" s="3">
        <v>2</v>
      </c>
      <c r="G27" s="3">
        <v>3</v>
      </c>
      <c r="H27" s="3">
        <v>1</v>
      </c>
      <c r="I27" s="3">
        <v>3.5</v>
      </c>
      <c r="J27" s="4" t="str">
        <f>HYPERLINK("http://141.218.60.56/~jnz1568/getInfo.php?workbook=09_01.xlsx&amp;sheet=E0&amp;row=27&amp;col=10&amp;number=8541671.013&amp;sourceID=2","8541671.013")</f>
        <v>8541671.013</v>
      </c>
      <c r="K27" s="4" t="str">
        <f>HYPERLINK("http://141.218.60.56/~jnz1568/getInfo.php?workbook=09_01.xlsx&amp;sheet=E0&amp;row=27&amp;col=11&amp;number=8542502.054&amp;sourceID=11","8542502.054")</f>
        <v>8542502.054</v>
      </c>
      <c r="L27" s="4" t="str">
        <f>HYPERLINK("http://141.218.60.56/~jnz1568/getInfo.php?workbook=09_01.xlsx&amp;sheet=E0&amp;row=27&amp;col=12&amp;number=8541674.8713&amp;sourceID=12","8541674.8713")</f>
        <v>8541674.8713</v>
      </c>
      <c r="M27" s="4" t="str">
        <f>HYPERLINK("http://141.218.60.56/~jnz1568/getInfo.php?workbook=09_01.xlsx&amp;sheet=E0&amp;row=27&amp;col=13&amp;number=8542748.24849&amp;sourceID=30","8542748.24849")</f>
        <v>8542748.24849</v>
      </c>
      <c r="N27" s="4" t="str">
        <f>HYPERLINK("http://141.218.60.56/~jnz1568/getInfo.php?workbook=09_01.xlsx&amp;sheet=E0&amp;row=27&amp;col=14&amp;number=8541924.12125&amp;sourceID=30","8541924.12125")</f>
        <v>8541924.12125</v>
      </c>
      <c r="O27" s="4" t="str">
        <f>HYPERLINK("http://141.218.60.56/~jnz1568/getInfo.php?workbook=09_01.xlsx&amp;sheet=E0&amp;row=27&amp;col=15&amp;number=&amp;sourceID=13","")</f>
        <v/>
      </c>
    </row>
    <row r="28" spans="1:15">
      <c r="A28" s="3">
        <v>9</v>
      </c>
      <c r="B28" s="3">
        <v>1</v>
      </c>
      <c r="C28" s="3">
        <f/>
        <v>0</v>
      </c>
      <c r="D28" s="3" t="s">
        <v>35</v>
      </c>
      <c r="E28" s="3" t="s">
        <v>36</v>
      </c>
      <c r="F28" s="3">
        <v>2</v>
      </c>
      <c r="G28" s="3">
        <v>4</v>
      </c>
      <c r="H28" s="3">
        <v>0</v>
      </c>
      <c r="I28" s="3">
        <v>4.5</v>
      </c>
      <c r="J28" s="4" t="str">
        <f>HYPERLINK("http://141.218.60.56/~jnz1568/getInfo.php?workbook=09_01.xlsx&amp;sheet=E0&amp;row=28&amp;col=10&amp;number=8541686.3391&amp;sourceID=2","8541686.3391")</f>
        <v>8541686.3391</v>
      </c>
      <c r="K28" s="4" t="str">
        <f>HYPERLINK("http://141.218.60.56/~jnz1568/getInfo.php?workbook=09_01.xlsx&amp;sheet=E0&amp;row=28&amp;col=11&amp;number=8542517.3927&amp;sourceID=11","8542517.3927")</f>
        <v>8542517.3927</v>
      </c>
      <c r="L28" s="4" t="str">
        <f>HYPERLINK("http://141.218.60.56/~jnz1568/getInfo.php?workbook=09_01.xlsx&amp;sheet=E0&amp;row=28&amp;col=12&amp;number=8541690.1974&amp;sourceID=12","8541690.1974")</f>
        <v>8541690.1974</v>
      </c>
      <c r="M28" s="4" t="str">
        <f>HYPERLINK("http://141.218.60.56/~jnz1568/getInfo.php?workbook=09_01.xlsx&amp;sheet=E0&amp;row=28&amp;col=13&amp;number=8542764.70909&amp;sourceID=30","8542764.70909")</f>
        <v>8542764.70909</v>
      </c>
      <c r="N28" s="4" t="str">
        <f>HYPERLINK("http://141.218.60.56/~jnz1568/getInfo.php?workbook=09_01.xlsx&amp;sheet=E0&amp;row=28&amp;col=14&amp;number=8541940.58185&amp;sourceID=30","8541940.58185")</f>
        <v>8541940.58185</v>
      </c>
      <c r="O28" s="4" t="str">
        <f>HYPERLINK("http://141.218.60.56/~jnz1568/getInfo.php?workbook=09_01.xlsx&amp;sheet=E0&amp;row=28&amp;col=15&amp;number=&amp;sourceID=13","")</f>
        <v/>
      </c>
    </row>
  </sheetData>
  <mergeCells count="1">
    <mergeCell ref="A1:O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E284"/>
  <sheetViews>
    <sheetView workbookViewId="0"/>
  </sheetViews>
  <sheetFormatPr defaultRowHeight="15"/>
  <cols>
    <col min="1" max="1" width="2.7109375" customWidth="1"/>
    <col min="2" max="2" width="2.7109375" customWidth="1"/>
    <col min="3" max="3" width="3.7109375" customWidth="1"/>
    <col min="4" max="4" width="3.7109375" customWidth="1"/>
    <col min="5" max="5" width="15.7109375" customWidth="1"/>
    <col min="6" max="6" width="11.7109375" customWidth="1"/>
    <col min="7" max="7" width="15.7109375" customWidth="1"/>
    <col min="8" max="8" width="14.7109375" customWidth="1"/>
    <col min="9" max="9" width="11.7109375" customWidth="1"/>
    <col min="10" max="10" width="11.7109375" customWidth="1"/>
    <col min="11" max="11" width="11.7109375" customWidth="1"/>
    <col min="12" max="12" width="11.7109375" customWidth="1"/>
    <col min="13" max="13" width="11.7109375" customWidth="1"/>
    <col min="14" max="14" width="14.7109375" customWidth="1"/>
    <col min="15" max="15" width="14.7109375" customWidth="1"/>
    <col min="16" max="16" width="11.7109375" customWidth="1"/>
    <col min="17" max="17" width="11.7109375" customWidth="1"/>
    <col min="18" max="18" width="11.7109375" customWidth="1"/>
    <col min="19" max="19" width="11.7109375" customWidth="1"/>
    <col min="20" max="20" width="11.7109375" customWidth="1"/>
    <col min="21" max="21" width="18.7109375" customWidth="1"/>
    <col min="22" max="22" width="14.7109375" customWidth="1"/>
    <col min="23" max="23" width="10.7109375" customWidth="1"/>
    <col min="24" max="24" width="10.7109375" customWidth="1"/>
    <col min="25" max="25" width="10.7109375" customWidth="1"/>
    <col min="26" max="26" width="15.7109375" customWidth="1"/>
    <col min="27" max="27" width="14.7109375" customWidth="1"/>
    <col min="28" max="28" width="10.7109375" customWidth="1"/>
    <col min="29" max="29" width="10.7109375" customWidth="1"/>
    <col min="30" max="30" width="10.7109375" customWidth="1"/>
    <col min="31" max="31" width="10.7109375" customWidth="1"/>
  </cols>
  <sheetData>
    <row r="1" spans="1:31">
      <c r="A1" s="1" t="s">
        <v>37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>
      <c r="A2" s="2"/>
      <c r="B2" s="2"/>
      <c r="C2" s="2"/>
      <c r="D2" s="2"/>
      <c r="E2" s="2"/>
      <c r="F2" s="2" t="s">
        <v>38</v>
      </c>
      <c r="G2" s="2" t="s">
        <v>2</v>
      </c>
      <c r="H2" s="2" t="s">
        <v>2</v>
      </c>
      <c r="I2" s="2" t="s">
        <v>2</v>
      </c>
      <c r="J2" s="2" t="s">
        <v>2</v>
      </c>
      <c r="K2" s="2" t="s">
        <v>2</v>
      </c>
      <c r="L2" s="2" t="s">
        <v>2</v>
      </c>
      <c r="M2" s="2" t="s">
        <v>2</v>
      </c>
      <c r="N2" s="2" t="s">
        <v>3</v>
      </c>
      <c r="O2" s="2" t="s">
        <v>3</v>
      </c>
      <c r="P2" s="2" t="s">
        <v>3</v>
      </c>
      <c r="Q2" s="2" t="s">
        <v>3</v>
      </c>
      <c r="R2" s="2" t="s">
        <v>3</v>
      </c>
      <c r="S2" s="2" t="s">
        <v>3</v>
      </c>
      <c r="T2" s="2" t="s">
        <v>3</v>
      </c>
      <c r="U2" s="2" t="s">
        <v>4</v>
      </c>
      <c r="V2" s="2" t="s">
        <v>4</v>
      </c>
      <c r="W2" s="2" t="s">
        <v>4</v>
      </c>
      <c r="X2" s="2" t="s">
        <v>4</v>
      </c>
      <c r="Y2" s="2" t="s">
        <v>4</v>
      </c>
      <c r="Z2" s="2" t="s">
        <v>5</v>
      </c>
      <c r="AA2" s="2" t="s">
        <v>5</v>
      </c>
      <c r="AB2" s="2" t="s">
        <v>5</v>
      </c>
      <c r="AC2" s="2" t="s">
        <v>5</v>
      </c>
      <c r="AD2" s="2" t="s">
        <v>5</v>
      </c>
      <c r="AE2" s="2" t="s">
        <v>5</v>
      </c>
    </row>
    <row r="3" spans="1:31">
      <c r="A3" s="2" t="s">
        <v>6</v>
      </c>
      <c r="B3" s="2" t="s">
        <v>7</v>
      </c>
      <c r="C3" s="2" t="s">
        <v>39</v>
      </c>
      <c r="D3" s="2" t="s">
        <v>8</v>
      </c>
      <c r="E3" s="2" t="s">
        <v>40</v>
      </c>
      <c r="F3" s="2" t="s">
        <v>41</v>
      </c>
      <c r="G3" s="2" t="s">
        <v>42</v>
      </c>
      <c r="H3" s="2" t="s">
        <v>43</v>
      </c>
      <c r="I3" s="2" t="s">
        <v>44</v>
      </c>
      <c r="J3" s="2" t="s">
        <v>45</v>
      </c>
      <c r="K3" s="2" t="s">
        <v>46</v>
      </c>
      <c r="L3" s="2" t="s">
        <v>47</v>
      </c>
      <c r="M3" s="2" t="s">
        <v>48</v>
      </c>
      <c r="N3" s="2" t="s">
        <v>42</v>
      </c>
      <c r="O3" s="2" t="s">
        <v>43</v>
      </c>
      <c r="P3" s="2" t="s">
        <v>44</v>
      </c>
      <c r="Q3" s="2" t="s">
        <v>45</v>
      </c>
      <c r="R3" s="2" t="s">
        <v>46</v>
      </c>
      <c r="S3" s="2" t="s">
        <v>47</v>
      </c>
      <c r="T3" s="2" t="s">
        <v>48</v>
      </c>
      <c r="U3" s="2" t="s">
        <v>42</v>
      </c>
      <c r="V3" s="2" t="s">
        <v>43</v>
      </c>
      <c r="W3" s="2" t="s">
        <v>44</v>
      </c>
      <c r="X3" s="2" t="s">
        <v>46</v>
      </c>
      <c r="Y3" s="2" t="s">
        <v>47</v>
      </c>
      <c r="Z3" s="2" t="s">
        <v>42</v>
      </c>
      <c r="AA3" s="2" t="s">
        <v>43</v>
      </c>
      <c r="AB3" s="2" t="s">
        <v>44</v>
      </c>
      <c r="AC3" s="2" t="s">
        <v>45</v>
      </c>
      <c r="AD3" s="2" t="s">
        <v>46</v>
      </c>
      <c r="AE3" s="2" t="s">
        <v>47</v>
      </c>
    </row>
    <row r="4" spans="1:31">
      <c r="A4" s="3">
        <v>9</v>
      </c>
      <c r="B4" s="3">
        <v>1</v>
      </c>
      <c r="C4" s="3">
        <v>2</v>
      </c>
      <c r="D4" s="3">
        <v>1</v>
      </c>
      <c r="E4" s="3">
        <f>((1/(INDEX(E0!J$4:J$28,C4,1)-INDEX(E0!J$4:J$28,D4,1))))*100000000</f>
        <v>0</v>
      </c>
      <c r="F4" s="4" t="str">
        <f>HYPERLINK("http://141.218.60.56/~jnz1568/getInfo.php?workbook=09_01.xlsx&amp;sheet=A0&amp;row=4&amp;col=6&amp;number=&amp;sourceID=18","")</f>
        <v/>
      </c>
      <c r="G4" s="4" t="str">
        <f>HYPERLINK("http://141.218.60.56/~jnz1568/getInfo.php?workbook=09_01.xlsx&amp;sheet=A0&amp;row=4&amp;col=7&amp;number==SUM(H4:M4)&amp;sourceID=11","=SUM(H4:M4)")</f>
        <v>=SUM(H4:M4)</v>
      </c>
      <c r="H4" s="4" t="str">
        <f>HYPERLINK("http://141.218.60.56/~jnz1568/getInfo.php?workbook=09_01.xlsx&amp;sheet=A0&amp;row=4&amp;col=8&amp;number=4114600000000&amp;sourceID=11","4114600000000")</f>
        <v>4114600000000</v>
      </c>
      <c r="I4" s="4" t="str">
        <f>HYPERLINK("http://141.218.60.56/~jnz1568/getInfo.php?workbook=09_01.xlsx&amp;sheet=A0&amp;row=4&amp;col=9&amp;number=&amp;sourceID=11","")</f>
        <v/>
      </c>
      <c r="J4" s="4" t="str">
        <f>HYPERLINK("http://141.218.60.56/~jnz1568/getInfo.php?workbook=09_01.xlsx&amp;sheet=A0&amp;row=4&amp;col=10&amp;number=&amp;sourceID=11","")</f>
        <v/>
      </c>
      <c r="K4" s="4" t="str">
        <f>HYPERLINK("http://141.218.60.56/~jnz1568/getInfo.php?workbook=09_01.xlsx&amp;sheet=A0&amp;row=4&amp;col=11&amp;number=&amp;sourceID=11","")</f>
        <v/>
      </c>
      <c r="L4" s="4" t="str">
        <f>HYPERLINK("http://141.218.60.56/~jnz1568/getInfo.php?workbook=09_01.xlsx&amp;sheet=A0&amp;row=4&amp;col=12&amp;number=&amp;sourceID=11","")</f>
        <v/>
      </c>
      <c r="M4" s="4" t="str">
        <f>HYPERLINK("http://141.218.60.56/~jnz1568/getInfo.php?workbook=09_01.xlsx&amp;sheet=A0&amp;row=4&amp;col=13&amp;number=&amp;sourceID=11","")</f>
        <v/>
      </c>
      <c r="N4" s="4" t="str">
        <f>HYPERLINK("http://141.218.60.56/~jnz1568/getInfo.php?workbook=09_01.xlsx&amp;sheet=A0&amp;row=4&amp;col=14&amp;number=4114700000000&amp;sourceID=12","4114700000000")</f>
        <v>4114700000000</v>
      </c>
      <c r="O4" s="4" t="str">
        <f>HYPERLINK("http://141.218.60.56/~jnz1568/getInfo.php?workbook=09_01.xlsx&amp;sheet=A0&amp;row=4&amp;col=15&amp;number=4114700000000&amp;sourceID=12","4114700000000")</f>
        <v>4114700000000</v>
      </c>
      <c r="P4" s="4" t="str">
        <f>HYPERLINK("http://141.218.60.56/~jnz1568/getInfo.php?workbook=09_01.xlsx&amp;sheet=A0&amp;row=4&amp;col=16&amp;number=&amp;sourceID=12","")</f>
        <v/>
      </c>
      <c r="Q4" s="4" t="str">
        <f>HYPERLINK("http://141.218.60.56/~jnz1568/getInfo.php?workbook=09_01.xlsx&amp;sheet=A0&amp;row=4&amp;col=17&amp;number=&amp;sourceID=12","")</f>
        <v/>
      </c>
      <c r="R4" s="4" t="str">
        <f>HYPERLINK("http://141.218.60.56/~jnz1568/getInfo.php?workbook=09_01.xlsx&amp;sheet=A0&amp;row=4&amp;col=18&amp;number=&amp;sourceID=12","")</f>
        <v/>
      </c>
      <c r="S4" s="4" t="str">
        <f>HYPERLINK("http://141.218.60.56/~jnz1568/getInfo.php?workbook=09_01.xlsx&amp;sheet=A0&amp;row=4&amp;col=19&amp;number=&amp;sourceID=12","")</f>
        <v/>
      </c>
      <c r="T4" s="4" t="str">
        <f>HYPERLINK("http://141.218.60.56/~jnz1568/getInfo.php?workbook=09_01.xlsx&amp;sheet=A0&amp;row=4&amp;col=20&amp;number=&amp;sourceID=12","")</f>
        <v/>
      </c>
      <c r="U4" s="4" t="str">
        <f>HYPERLINK("http://141.218.60.56/~jnz1568/getInfo.php?workbook=09_01.xlsx&amp;sheet=A0&amp;row=4&amp;col=21&amp;number=4115000000000&amp;sourceID=30","4115000000000")</f>
        <v>4115000000000</v>
      </c>
      <c r="V4" s="4" t="str">
        <f>HYPERLINK("http://141.218.60.56/~jnz1568/getInfo.php?workbook=09_01.xlsx&amp;sheet=A0&amp;row=4&amp;col=22&amp;number=4115000000000&amp;sourceID=30","4115000000000")</f>
        <v>4115000000000</v>
      </c>
      <c r="W4" s="4" t="str">
        <f>HYPERLINK("http://141.218.60.56/~jnz1568/getInfo.php?workbook=09_01.xlsx&amp;sheet=A0&amp;row=4&amp;col=23&amp;number=&amp;sourceID=30","")</f>
        <v/>
      </c>
      <c r="X4" s="4" t="str">
        <f>HYPERLINK("http://141.218.60.56/~jnz1568/getInfo.php?workbook=09_01.xlsx&amp;sheet=A0&amp;row=4&amp;col=24&amp;number=&amp;sourceID=30","")</f>
        <v/>
      </c>
      <c r="Y4" s="4" t="str">
        <f>HYPERLINK("http://141.218.60.56/~jnz1568/getInfo.php?workbook=09_01.xlsx&amp;sheet=A0&amp;row=4&amp;col=25&amp;number=&amp;sourceID=30","")</f>
        <v/>
      </c>
      <c r="Z4" s="4" t="str">
        <f>HYPERLINK("http://141.218.60.56/~jnz1568/getInfo.php?workbook=09_01.xlsx&amp;sheet=A0&amp;row=4&amp;col=26&amp;number==SUM(AA4:AE4)&amp;sourceID=13","=SUM(AA4:AE4)")</f>
        <v>=SUM(AA4:AE4)</v>
      </c>
      <c r="AA4" s="4" t="str">
        <f>HYPERLINK("http://141.218.60.56/~jnz1568/getInfo.php?workbook=09_01.xlsx&amp;sheet=A0&amp;row=4&amp;col=27&amp;number=4110000000000&amp;sourceID=13","4110000000000")</f>
        <v>4110000000000</v>
      </c>
      <c r="AB4" s="4" t="str">
        <f>HYPERLINK("http://141.218.60.56/~jnz1568/getInfo.php?workbook=09_01.xlsx&amp;sheet=A0&amp;row=4&amp;col=28&amp;number=&amp;sourceID=13","")</f>
        <v/>
      </c>
      <c r="AC4" s="4" t="str">
        <f>HYPERLINK("http://141.218.60.56/~jnz1568/getInfo.php?workbook=09_01.xlsx&amp;sheet=A0&amp;row=4&amp;col=29&amp;number=&amp;sourceID=13","")</f>
        <v/>
      </c>
      <c r="AD4" s="4" t="str">
        <f>HYPERLINK("http://141.218.60.56/~jnz1568/getInfo.php?workbook=09_01.xlsx&amp;sheet=A0&amp;row=4&amp;col=30&amp;number=&amp;sourceID=13","")</f>
        <v/>
      </c>
      <c r="AE4" s="4" t="str">
        <f>HYPERLINK("http://141.218.60.56/~jnz1568/getInfo.php?workbook=09_01.xlsx&amp;sheet=A0&amp;row=4&amp;col=31&amp;number=&amp;sourceID=13","")</f>
        <v/>
      </c>
    </row>
    <row r="5" spans="1:31">
      <c r="A5" s="3">
        <v>9</v>
      </c>
      <c r="B5" s="3">
        <v>1</v>
      </c>
      <c r="C5" s="3">
        <v>3</v>
      </c>
      <c r="D5" s="3">
        <v>1</v>
      </c>
      <c r="E5" s="3">
        <f>((1/(INDEX(E0!J$4:J$28,C5,1)-INDEX(E0!J$4:J$28,D5,1))))*100000000</f>
        <v>0</v>
      </c>
      <c r="F5" s="4" t="str">
        <f>HYPERLINK("http://141.218.60.56/~jnz1568/getInfo.php?workbook=09_01.xlsx&amp;sheet=A0&amp;row=5&amp;col=6&amp;number=4361200&amp;sourceID=18","4361200")</f>
        <v>4361200</v>
      </c>
      <c r="G5" s="4" t="str">
        <f>HYPERLINK("http://141.218.60.56/~jnz1568/getInfo.php?workbook=09_01.xlsx&amp;sheet=A0&amp;row=5&amp;col=7&amp;number==&amp;sourceID=11","=")</f>
        <v>=</v>
      </c>
      <c r="H5" s="4" t="str">
        <f>HYPERLINK("http://141.218.60.56/~jnz1568/getInfo.php?workbook=09_01.xlsx&amp;sheet=A0&amp;row=5&amp;col=8&amp;number=&amp;sourceID=11","")</f>
        <v/>
      </c>
      <c r="I5" s="4" t="str">
        <f>HYPERLINK("http://141.218.60.56/~jnz1568/getInfo.php?workbook=09_01.xlsx&amp;sheet=A0&amp;row=5&amp;col=9&amp;number=&amp;sourceID=11","")</f>
        <v/>
      </c>
      <c r="J5" s="4" t="str">
        <f>HYPERLINK("http://141.218.60.56/~jnz1568/getInfo.php?workbook=09_01.xlsx&amp;sheet=A0&amp;row=5&amp;col=10&amp;number=&amp;sourceID=11","")</f>
        <v/>
      </c>
      <c r="K5" s="4" t="str">
        <f>HYPERLINK("http://141.218.60.56/~jnz1568/getInfo.php?workbook=09_01.xlsx&amp;sheet=A0&amp;row=5&amp;col=11&amp;number=8742.2&amp;sourceID=11","8742.2")</f>
        <v>8742.2</v>
      </c>
      <c r="L5" s="4" t="str">
        <f>HYPERLINK("http://141.218.60.56/~jnz1568/getInfo.php?workbook=09_01.xlsx&amp;sheet=A0&amp;row=5&amp;col=12&amp;number=&amp;sourceID=11","")</f>
        <v/>
      </c>
      <c r="M5" s="4" t="str">
        <f>HYPERLINK("http://141.218.60.56/~jnz1568/getInfo.php?workbook=09_01.xlsx&amp;sheet=A0&amp;row=5&amp;col=13&amp;number=&amp;sourceID=11","")</f>
        <v/>
      </c>
      <c r="N5" s="4" t="str">
        <f>HYPERLINK("http://141.218.60.56/~jnz1568/getInfo.php?workbook=09_01.xlsx&amp;sheet=A0&amp;row=5&amp;col=14&amp;number=8742.5&amp;sourceID=12","8742.5")</f>
        <v>8742.5</v>
      </c>
      <c r="O5" s="4" t="str">
        <f>HYPERLINK("http://141.218.60.56/~jnz1568/getInfo.php?workbook=09_01.xlsx&amp;sheet=A0&amp;row=5&amp;col=15&amp;number=&amp;sourceID=12","")</f>
        <v/>
      </c>
      <c r="P5" s="4" t="str">
        <f>HYPERLINK("http://141.218.60.56/~jnz1568/getInfo.php?workbook=09_01.xlsx&amp;sheet=A0&amp;row=5&amp;col=16&amp;number=&amp;sourceID=12","")</f>
        <v/>
      </c>
      <c r="Q5" s="4" t="str">
        <f>HYPERLINK("http://141.218.60.56/~jnz1568/getInfo.php?workbook=09_01.xlsx&amp;sheet=A0&amp;row=5&amp;col=17&amp;number=&amp;sourceID=12","")</f>
        <v/>
      </c>
      <c r="R5" s="4" t="str">
        <f>HYPERLINK("http://141.218.60.56/~jnz1568/getInfo.php?workbook=09_01.xlsx&amp;sheet=A0&amp;row=5&amp;col=18&amp;number=8742.5&amp;sourceID=12","8742.5")</f>
        <v>8742.5</v>
      </c>
      <c r="S5" s="4" t="str">
        <f>HYPERLINK("http://141.218.60.56/~jnz1568/getInfo.php?workbook=09_01.xlsx&amp;sheet=A0&amp;row=5&amp;col=19&amp;number=&amp;sourceID=12","")</f>
        <v/>
      </c>
      <c r="T5" s="4" t="str">
        <f>HYPERLINK("http://141.218.60.56/~jnz1568/getInfo.php?workbook=09_01.xlsx&amp;sheet=A0&amp;row=5&amp;col=20&amp;number=&amp;sourceID=12","")</f>
        <v/>
      </c>
      <c r="U5" s="4" t="str">
        <f>HYPERLINK("http://141.218.60.56/~jnz1568/getInfo.php?workbook=09_01.xlsx&amp;sheet=A0&amp;row=5&amp;col=21&amp;number=8742&amp;sourceID=30","8742")</f>
        <v>8742</v>
      </c>
      <c r="V5" s="4" t="str">
        <f>HYPERLINK("http://141.218.60.56/~jnz1568/getInfo.php?workbook=09_01.xlsx&amp;sheet=A0&amp;row=5&amp;col=22&amp;number=&amp;sourceID=30","")</f>
        <v/>
      </c>
      <c r="W5" s="4" t="str">
        <f>HYPERLINK("http://141.218.60.56/~jnz1568/getInfo.php?workbook=09_01.xlsx&amp;sheet=A0&amp;row=5&amp;col=23&amp;number=&amp;sourceID=30","")</f>
        <v/>
      </c>
      <c r="X5" s="4" t="str">
        <f>HYPERLINK("http://141.218.60.56/~jnz1568/getInfo.php?workbook=09_01.xlsx&amp;sheet=A0&amp;row=5&amp;col=24&amp;number=8742&amp;sourceID=30","8742")</f>
        <v>8742</v>
      </c>
      <c r="Y5" s="4" t="str">
        <f>HYPERLINK("http://141.218.60.56/~jnz1568/getInfo.php?workbook=09_01.xlsx&amp;sheet=A0&amp;row=5&amp;col=25&amp;number=&amp;sourceID=30","")</f>
        <v/>
      </c>
      <c r="Z5" s="4" t="str">
        <f>HYPERLINK("http://141.218.60.56/~jnz1568/getInfo.php?workbook=09_01.xlsx&amp;sheet=A0&amp;row=5&amp;col=26&amp;number=&amp;sourceID=13","")</f>
        <v/>
      </c>
      <c r="AA5" s="4" t="str">
        <f>HYPERLINK("http://141.218.60.56/~jnz1568/getInfo.php?workbook=09_01.xlsx&amp;sheet=A0&amp;row=5&amp;col=27&amp;number=&amp;sourceID=13","")</f>
        <v/>
      </c>
      <c r="AB5" s="4" t="str">
        <f>HYPERLINK("http://141.218.60.56/~jnz1568/getInfo.php?workbook=09_01.xlsx&amp;sheet=A0&amp;row=5&amp;col=28&amp;number=&amp;sourceID=13","")</f>
        <v/>
      </c>
      <c r="AC5" s="4" t="str">
        <f>HYPERLINK("http://141.218.60.56/~jnz1568/getInfo.php?workbook=09_01.xlsx&amp;sheet=A0&amp;row=5&amp;col=29&amp;number=&amp;sourceID=13","")</f>
        <v/>
      </c>
      <c r="AD5" s="4" t="str">
        <f>HYPERLINK("http://141.218.60.56/~jnz1568/getInfo.php?workbook=09_01.xlsx&amp;sheet=A0&amp;row=5&amp;col=30&amp;number=8760&amp;sourceID=13","8760")</f>
        <v>8760</v>
      </c>
      <c r="AE5" s="4" t="str">
        <f>HYPERLINK("http://141.218.60.56/~jnz1568/getInfo.php?workbook=09_01.xlsx&amp;sheet=A0&amp;row=5&amp;col=31&amp;number=&amp;sourceID=13","")</f>
        <v/>
      </c>
    </row>
    <row r="6" spans="1:31">
      <c r="A6" s="3">
        <v>9</v>
      </c>
      <c r="B6" s="3">
        <v>1</v>
      </c>
      <c r="C6" s="3">
        <v>4</v>
      </c>
      <c r="D6" s="3">
        <v>1</v>
      </c>
      <c r="E6" s="3">
        <f>((1/(INDEX(E0!J$4:J$28,C6,1)-INDEX(E0!J$4:J$28,D6,1))))*100000000</f>
        <v>0</v>
      </c>
      <c r="F6" s="4" t="str">
        <f>HYPERLINK("http://141.218.60.56/~jnz1568/getInfo.php?workbook=09_01.xlsx&amp;sheet=A0&amp;row=6&amp;col=6&amp;number=&amp;sourceID=18","")</f>
        <v/>
      </c>
      <c r="G6" s="4" t="str">
        <f>HYPERLINK("http://141.218.60.56/~jnz1568/getInfo.php?workbook=09_01.xlsx&amp;sheet=A0&amp;row=6&amp;col=7&amp;number==&amp;sourceID=11","=")</f>
        <v>=</v>
      </c>
      <c r="H6" s="4" t="str">
        <f>HYPERLINK("http://141.218.60.56/~jnz1568/getInfo.php?workbook=09_01.xlsx&amp;sheet=A0&amp;row=6&amp;col=8&amp;number=4108400000000&amp;sourceID=11","4108400000000")</f>
        <v>4108400000000</v>
      </c>
      <c r="I6" s="4" t="str">
        <f>HYPERLINK("http://141.218.60.56/~jnz1568/getInfo.php?workbook=09_01.xlsx&amp;sheet=A0&amp;row=6&amp;col=9&amp;number=&amp;sourceID=11","")</f>
        <v/>
      </c>
      <c r="J6" s="4" t="str">
        <f>HYPERLINK("http://141.218.60.56/~jnz1568/getInfo.php?workbook=09_01.xlsx&amp;sheet=A0&amp;row=6&amp;col=10&amp;number=&amp;sourceID=11","")</f>
        <v/>
      </c>
      <c r="K6" s="4" t="str">
        <f>HYPERLINK("http://141.218.60.56/~jnz1568/getInfo.php?workbook=09_01.xlsx&amp;sheet=A0&amp;row=6&amp;col=11&amp;number=&amp;sourceID=11","")</f>
        <v/>
      </c>
      <c r="L6" s="4" t="str">
        <f>HYPERLINK("http://141.218.60.56/~jnz1568/getInfo.php?workbook=09_01.xlsx&amp;sheet=A0&amp;row=6&amp;col=12&amp;number=2019900&amp;sourceID=11","2019900")</f>
        <v>2019900</v>
      </c>
      <c r="M6" s="4" t="str">
        <f>HYPERLINK("http://141.218.60.56/~jnz1568/getInfo.php?workbook=09_01.xlsx&amp;sheet=A0&amp;row=6&amp;col=13&amp;number=&amp;sourceID=11","")</f>
        <v/>
      </c>
      <c r="N6" s="4" t="str">
        <f>HYPERLINK("http://141.218.60.56/~jnz1568/getInfo.php?workbook=09_01.xlsx&amp;sheet=A0&amp;row=6&amp;col=14&amp;number=4108500000000&amp;sourceID=12","4108500000000")</f>
        <v>4108500000000</v>
      </c>
      <c r="O6" s="4" t="str">
        <f>HYPERLINK("http://141.218.60.56/~jnz1568/getInfo.php?workbook=09_01.xlsx&amp;sheet=A0&amp;row=6&amp;col=15&amp;number=4108500000000&amp;sourceID=12","4108500000000")</f>
        <v>4108500000000</v>
      </c>
      <c r="P6" s="4" t="str">
        <f>HYPERLINK("http://141.218.60.56/~jnz1568/getInfo.php?workbook=09_01.xlsx&amp;sheet=A0&amp;row=6&amp;col=16&amp;number=&amp;sourceID=12","")</f>
        <v/>
      </c>
      <c r="Q6" s="4" t="str">
        <f>HYPERLINK("http://141.218.60.56/~jnz1568/getInfo.php?workbook=09_01.xlsx&amp;sheet=A0&amp;row=6&amp;col=17&amp;number=&amp;sourceID=12","")</f>
        <v/>
      </c>
      <c r="R6" s="4" t="str">
        <f>HYPERLINK("http://141.218.60.56/~jnz1568/getInfo.php?workbook=09_01.xlsx&amp;sheet=A0&amp;row=6&amp;col=18&amp;number=&amp;sourceID=12","")</f>
        <v/>
      </c>
      <c r="S6" s="4" t="str">
        <f>HYPERLINK("http://141.218.60.56/~jnz1568/getInfo.php?workbook=09_01.xlsx&amp;sheet=A0&amp;row=6&amp;col=19&amp;number=2020000&amp;sourceID=12","2020000")</f>
        <v>2020000</v>
      </c>
      <c r="T6" s="4" t="str">
        <f>HYPERLINK("http://141.218.60.56/~jnz1568/getInfo.php?workbook=09_01.xlsx&amp;sheet=A0&amp;row=6&amp;col=20&amp;number=&amp;sourceID=12","")</f>
        <v/>
      </c>
      <c r="U6" s="4" t="str">
        <f>HYPERLINK("http://141.218.60.56/~jnz1568/getInfo.php?workbook=09_01.xlsx&amp;sheet=A0&amp;row=6&amp;col=21&amp;number=4109002020000&amp;sourceID=30","4109002020000")</f>
        <v>4109002020000</v>
      </c>
      <c r="V6" s="4" t="str">
        <f>HYPERLINK("http://141.218.60.56/~jnz1568/getInfo.php?workbook=09_01.xlsx&amp;sheet=A0&amp;row=6&amp;col=22&amp;number=4109000000000&amp;sourceID=30","4109000000000")</f>
        <v>4109000000000</v>
      </c>
      <c r="W6" s="4" t="str">
        <f>HYPERLINK("http://141.218.60.56/~jnz1568/getInfo.php?workbook=09_01.xlsx&amp;sheet=A0&amp;row=6&amp;col=23&amp;number=&amp;sourceID=30","")</f>
        <v/>
      </c>
      <c r="X6" s="4" t="str">
        <f>HYPERLINK("http://141.218.60.56/~jnz1568/getInfo.php?workbook=09_01.xlsx&amp;sheet=A0&amp;row=6&amp;col=24&amp;number=&amp;sourceID=30","")</f>
        <v/>
      </c>
      <c r="Y6" s="4" t="str">
        <f>HYPERLINK("http://141.218.60.56/~jnz1568/getInfo.php?workbook=09_01.xlsx&amp;sheet=A0&amp;row=6&amp;col=25&amp;number=2020000&amp;sourceID=30","2020000")</f>
        <v>2020000</v>
      </c>
      <c r="Z6" s="4" t="str">
        <f>HYPERLINK("http://141.218.60.56/~jnz1568/getInfo.php?workbook=09_01.xlsx&amp;sheet=A0&amp;row=6&amp;col=26&amp;number==SUM(AA6:AE6)&amp;sourceID=13","=SUM(AA6:AE6)")</f>
        <v>=SUM(AA6:AE6)</v>
      </c>
      <c r="AA6" s="4" t="str">
        <f>HYPERLINK("http://141.218.60.56/~jnz1568/getInfo.php?workbook=09_01.xlsx&amp;sheet=A0&amp;row=6&amp;col=27&amp;number=4110000000000&amp;sourceID=13","4110000000000")</f>
        <v>4110000000000</v>
      </c>
      <c r="AB6" s="4" t="str">
        <f>HYPERLINK("http://141.218.60.56/~jnz1568/getInfo.php?workbook=09_01.xlsx&amp;sheet=A0&amp;row=6&amp;col=28&amp;number=&amp;sourceID=13","")</f>
        <v/>
      </c>
      <c r="AC6" s="4" t="str">
        <f>HYPERLINK("http://141.218.60.56/~jnz1568/getInfo.php?workbook=09_01.xlsx&amp;sheet=A0&amp;row=6&amp;col=29&amp;number=&amp;sourceID=13","")</f>
        <v/>
      </c>
      <c r="AD6" s="4" t="str">
        <f>HYPERLINK("http://141.218.60.56/~jnz1568/getInfo.php?workbook=09_01.xlsx&amp;sheet=A0&amp;row=6&amp;col=30&amp;number=&amp;sourceID=13","")</f>
        <v/>
      </c>
      <c r="AE6" s="4" t="str">
        <f>HYPERLINK("http://141.218.60.56/~jnz1568/getInfo.php?workbook=09_01.xlsx&amp;sheet=A0&amp;row=6&amp;col=31&amp;number=&amp;sourceID=13","")</f>
        <v/>
      </c>
    </row>
    <row r="7" spans="1:31">
      <c r="A7" s="3">
        <v>9</v>
      </c>
      <c r="B7" s="3">
        <v>1</v>
      </c>
      <c r="C7" s="3">
        <v>4</v>
      </c>
      <c r="D7" s="3">
        <v>2</v>
      </c>
      <c r="E7" s="3">
        <f>((1/(INDEX(E0!J$4:J$28,C7,1)-INDEX(E0!J$4:J$28,D7,1))))*100000000</f>
        <v>0</v>
      </c>
      <c r="F7" s="4" t="str">
        <f>HYPERLINK("http://141.218.60.56/~jnz1568/getInfo.php?workbook=09_01.xlsx&amp;sheet=A0&amp;row=7&amp;col=6&amp;number=&amp;sourceID=18","")</f>
        <v/>
      </c>
      <c r="G7" s="4" t="str">
        <f>HYPERLINK("http://141.218.60.56/~jnz1568/getInfo.php?workbook=09_01.xlsx&amp;sheet=A0&amp;row=7&amp;col=7&amp;number==&amp;sourceID=11","=")</f>
        <v>=</v>
      </c>
      <c r="H7" s="4" t="str">
        <f>HYPERLINK("http://141.218.60.56/~jnz1568/getInfo.php?workbook=09_01.xlsx&amp;sheet=A0&amp;row=7&amp;col=8&amp;number=&amp;sourceID=11","")</f>
        <v/>
      </c>
      <c r="I7" s="4" t="str">
        <f>HYPERLINK("http://141.218.60.56/~jnz1568/getInfo.php?workbook=09_01.xlsx&amp;sheet=A0&amp;row=7&amp;col=9&amp;number=2.4494e-07&amp;sourceID=11","2.4494e-07")</f>
        <v>2.4494e-07</v>
      </c>
      <c r="J7" s="4" t="str">
        <f>HYPERLINK("http://141.218.60.56/~jnz1568/getInfo.php?workbook=09_01.xlsx&amp;sheet=A0&amp;row=7&amp;col=10&amp;number=&amp;sourceID=11","")</f>
        <v/>
      </c>
      <c r="K7" s="4" t="str">
        <f>HYPERLINK("http://141.218.60.56/~jnz1568/getInfo.php?workbook=09_01.xlsx&amp;sheet=A0&amp;row=7&amp;col=11&amp;number=0.12465&amp;sourceID=11","0.12465")</f>
        <v>0.12465</v>
      </c>
      <c r="L7" s="4" t="str">
        <f>HYPERLINK("http://141.218.60.56/~jnz1568/getInfo.php?workbook=09_01.xlsx&amp;sheet=A0&amp;row=7&amp;col=12&amp;number=&amp;sourceID=11","")</f>
        <v/>
      </c>
      <c r="M7" s="4" t="str">
        <f>HYPERLINK("http://141.218.60.56/~jnz1568/getInfo.php?workbook=09_01.xlsx&amp;sheet=A0&amp;row=7&amp;col=13&amp;number=&amp;sourceID=11","")</f>
        <v/>
      </c>
      <c r="N7" s="4" t="str">
        <f>HYPERLINK("http://141.218.60.56/~jnz1568/getInfo.php?workbook=09_01.xlsx&amp;sheet=A0&amp;row=7&amp;col=14&amp;number=0.12465&amp;sourceID=12","0.12465")</f>
        <v>0.12465</v>
      </c>
      <c r="O7" s="4" t="str">
        <f>HYPERLINK("http://141.218.60.56/~jnz1568/getInfo.php?workbook=09_01.xlsx&amp;sheet=A0&amp;row=7&amp;col=15&amp;number=&amp;sourceID=12","")</f>
        <v/>
      </c>
      <c r="P7" s="4" t="str">
        <f>HYPERLINK("http://141.218.60.56/~jnz1568/getInfo.php?workbook=09_01.xlsx&amp;sheet=A0&amp;row=7&amp;col=16&amp;number=2.4495e-07&amp;sourceID=12","2.4495e-07")</f>
        <v>2.4495e-07</v>
      </c>
      <c r="Q7" s="4" t="str">
        <f>HYPERLINK("http://141.218.60.56/~jnz1568/getInfo.php?workbook=09_01.xlsx&amp;sheet=A0&amp;row=7&amp;col=17&amp;number=&amp;sourceID=12","")</f>
        <v/>
      </c>
      <c r="R7" s="4" t="str">
        <f>HYPERLINK("http://141.218.60.56/~jnz1568/getInfo.php?workbook=09_01.xlsx&amp;sheet=A0&amp;row=7&amp;col=18&amp;number=0.12465&amp;sourceID=12","0.12465")</f>
        <v>0.12465</v>
      </c>
      <c r="S7" s="4" t="str">
        <f>HYPERLINK("http://141.218.60.56/~jnz1568/getInfo.php?workbook=09_01.xlsx&amp;sheet=A0&amp;row=7&amp;col=19&amp;number=&amp;sourceID=12","")</f>
        <v/>
      </c>
      <c r="T7" s="4" t="str">
        <f>HYPERLINK("http://141.218.60.56/~jnz1568/getInfo.php?workbook=09_01.xlsx&amp;sheet=A0&amp;row=7&amp;col=20&amp;number=&amp;sourceID=12","")</f>
        <v/>
      </c>
      <c r="U7" s="4" t="str">
        <f>HYPERLINK("http://141.218.60.56/~jnz1568/getInfo.php?workbook=09_01.xlsx&amp;sheet=A0&amp;row=7&amp;col=21&amp;number=0.124700245&amp;sourceID=30","0.124700245")</f>
        <v>0.124700245</v>
      </c>
      <c r="V7" s="4" t="str">
        <f>HYPERLINK("http://141.218.60.56/~jnz1568/getInfo.php?workbook=09_01.xlsx&amp;sheet=A0&amp;row=7&amp;col=22&amp;number=&amp;sourceID=30","")</f>
        <v/>
      </c>
      <c r="W7" s="4" t="str">
        <f>HYPERLINK("http://141.218.60.56/~jnz1568/getInfo.php?workbook=09_01.xlsx&amp;sheet=A0&amp;row=7&amp;col=23&amp;number=2.45e-07&amp;sourceID=30","2.45e-07")</f>
        <v>2.45e-07</v>
      </c>
      <c r="X7" s="4" t="str">
        <f>HYPERLINK("http://141.218.60.56/~jnz1568/getInfo.php?workbook=09_01.xlsx&amp;sheet=A0&amp;row=7&amp;col=24&amp;number=0.1247&amp;sourceID=30","0.1247")</f>
        <v>0.1247</v>
      </c>
      <c r="Y7" s="4" t="str">
        <f>HYPERLINK("http://141.218.60.56/~jnz1568/getInfo.php?workbook=09_01.xlsx&amp;sheet=A0&amp;row=7&amp;col=25&amp;number=&amp;sourceID=30","")</f>
        <v/>
      </c>
      <c r="Z7" s="4" t="str">
        <f>HYPERLINK("http://141.218.60.56/~jnz1568/getInfo.php?workbook=09_01.xlsx&amp;sheet=A0&amp;row=7&amp;col=26&amp;number==&amp;sourceID=13","=")</f>
        <v>=</v>
      </c>
      <c r="AA7" s="4" t="str">
        <f>HYPERLINK("http://141.218.60.56/~jnz1568/getInfo.php?workbook=09_01.xlsx&amp;sheet=A0&amp;row=7&amp;col=27&amp;number=&amp;sourceID=13","")</f>
        <v/>
      </c>
      <c r="AB7" s="4" t="str">
        <f>HYPERLINK("http://141.218.60.56/~jnz1568/getInfo.php?workbook=09_01.xlsx&amp;sheet=A0&amp;row=7&amp;col=28&amp;number=2.43e-07&amp;sourceID=13","2.43e-07")</f>
        <v>2.43e-07</v>
      </c>
      <c r="AC7" s="4" t="str">
        <f>HYPERLINK("http://141.218.60.56/~jnz1568/getInfo.php?workbook=09_01.xlsx&amp;sheet=A0&amp;row=7&amp;col=29&amp;number=&amp;sourceID=13","")</f>
        <v/>
      </c>
      <c r="AD7" s="4" t="str">
        <f>HYPERLINK("http://141.218.60.56/~jnz1568/getInfo.php?workbook=09_01.xlsx&amp;sheet=A0&amp;row=7&amp;col=30&amp;number=0.124&amp;sourceID=13","0.124")</f>
        <v>0.124</v>
      </c>
      <c r="AE7" s="4" t="str">
        <f>HYPERLINK("http://141.218.60.56/~jnz1568/getInfo.php?workbook=09_01.xlsx&amp;sheet=A0&amp;row=7&amp;col=31&amp;number=&amp;sourceID=13","")</f>
        <v/>
      </c>
    </row>
    <row r="8" spans="1:31">
      <c r="A8" s="3">
        <v>9</v>
      </c>
      <c r="B8" s="3">
        <v>1</v>
      </c>
      <c r="C8" s="3">
        <v>4</v>
      </c>
      <c r="D8" s="3">
        <v>3</v>
      </c>
      <c r="E8" s="3">
        <f>((1/(INDEX(E0!J$4:J$28,C8,1)-INDEX(E0!J$4:J$28,D8,1))))*100000000</f>
        <v>0</v>
      </c>
      <c r="F8" s="4" t="str">
        <f>HYPERLINK("http://141.218.60.56/~jnz1568/getInfo.php?workbook=09_01.xlsx&amp;sheet=A0&amp;row=8&amp;col=6&amp;number=&amp;sourceID=18","")</f>
        <v/>
      </c>
      <c r="G8" s="4" t="str">
        <f>HYPERLINK("http://141.218.60.56/~jnz1568/getInfo.php?workbook=09_01.xlsx&amp;sheet=A0&amp;row=8&amp;col=7&amp;number==&amp;sourceID=11","=")</f>
        <v>=</v>
      </c>
      <c r="H8" s="4" t="str">
        <f>HYPERLINK("http://141.218.60.56/~jnz1568/getInfo.php?workbook=09_01.xlsx&amp;sheet=A0&amp;row=8&amp;col=8&amp;number=3118.2&amp;sourceID=11","3118.2")</f>
        <v>3118.2</v>
      </c>
      <c r="I8" s="4" t="str">
        <f>HYPERLINK("http://141.218.60.56/~jnz1568/getInfo.php?workbook=09_01.xlsx&amp;sheet=A0&amp;row=8&amp;col=9&amp;number=&amp;sourceID=11","")</f>
        <v/>
      </c>
      <c r="J8" s="4" t="str">
        <f>HYPERLINK("http://141.218.60.56/~jnz1568/getInfo.php?workbook=09_01.xlsx&amp;sheet=A0&amp;row=8&amp;col=10&amp;number=&amp;sourceID=11","")</f>
        <v/>
      </c>
      <c r="K8" s="4" t="str">
        <f>HYPERLINK("http://141.218.60.56/~jnz1568/getInfo.php?workbook=09_01.xlsx&amp;sheet=A0&amp;row=8&amp;col=11&amp;number=&amp;sourceID=11","")</f>
        <v/>
      </c>
      <c r="L8" s="4" t="str">
        <f>HYPERLINK("http://141.218.60.56/~jnz1568/getInfo.php?workbook=09_01.xlsx&amp;sheet=A0&amp;row=8&amp;col=12&amp;number=1.9867e-10&amp;sourceID=11","1.9867e-10")</f>
        <v>1.9867e-10</v>
      </c>
      <c r="M8" s="4" t="str">
        <f>HYPERLINK("http://141.218.60.56/~jnz1568/getInfo.php?workbook=09_01.xlsx&amp;sheet=A0&amp;row=8&amp;col=13&amp;number=&amp;sourceID=11","")</f>
        <v/>
      </c>
      <c r="N8" s="4" t="str">
        <f>HYPERLINK("http://141.218.60.56/~jnz1568/getInfo.php?workbook=09_01.xlsx&amp;sheet=A0&amp;row=8&amp;col=14&amp;number=3118.3&amp;sourceID=12","3118.3")</f>
        <v>3118.3</v>
      </c>
      <c r="O8" s="4" t="str">
        <f>HYPERLINK("http://141.218.60.56/~jnz1568/getInfo.php?workbook=09_01.xlsx&amp;sheet=A0&amp;row=8&amp;col=15&amp;number=3118.3&amp;sourceID=12","3118.3")</f>
        <v>3118.3</v>
      </c>
      <c r="P8" s="4" t="str">
        <f>HYPERLINK("http://141.218.60.56/~jnz1568/getInfo.php?workbook=09_01.xlsx&amp;sheet=A0&amp;row=8&amp;col=16&amp;number=&amp;sourceID=12","")</f>
        <v/>
      </c>
      <c r="Q8" s="4" t="str">
        <f>HYPERLINK("http://141.218.60.56/~jnz1568/getInfo.php?workbook=09_01.xlsx&amp;sheet=A0&amp;row=8&amp;col=17&amp;number=&amp;sourceID=12","")</f>
        <v/>
      </c>
      <c r="R8" s="4" t="str">
        <f>HYPERLINK("http://141.218.60.56/~jnz1568/getInfo.php?workbook=09_01.xlsx&amp;sheet=A0&amp;row=8&amp;col=18&amp;number=&amp;sourceID=12","")</f>
        <v/>
      </c>
      <c r="S8" s="4" t="str">
        <f>HYPERLINK("http://141.218.60.56/~jnz1568/getInfo.php?workbook=09_01.xlsx&amp;sheet=A0&amp;row=8&amp;col=19&amp;number=1.9867e-10&amp;sourceID=12","1.9867e-10")</f>
        <v>1.9867e-10</v>
      </c>
      <c r="T8" s="4" t="str">
        <f>HYPERLINK("http://141.218.60.56/~jnz1568/getInfo.php?workbook=09_01.xlsx&amp;sheet=A0&amp;row=8&amp;col=20&amp;number=&amp;sourceID=12","")</f>
        <v/>
      </c>
      <c r="U8" s="4" t="str">
        <f>HYPERLINK("http://141.218.60.56/~jnz1568/getInfo.php?workbook=09_01.xlsx&amp;sheet=A0&amp;row=8&amp;col=21&amp;number=3118.0&amp;sourceID=30","3118.0")</f>
        <v>3118.0</v>
      </c>
      <c r="V8" s="4" t="str">
        <f>HYPERLINK("http://141.218.60.56/~jnz1568/getInfo.php?workbook=09_01.xlsx&amp;sheet=A0&amp;row=8&amp;col=22&amp;number=3118&amp;sourceID=30","3118")</f>
        <v>3118</v>
      </c>
      <c r="W8" s="4" t="str">
        <f>HYPERLINK("http://141.218.60.56/~jnz1568/getInfo.php?workbook=09_01.xlsx&amp;sheet=A0&amp;row=8&amp;col=23&amp;number=&amp;sourceID=30","")</f>
        <v/>
      </c>
      <c r="X8" s="4" t="str">
        <f>HYPERLINK("http://141.218.60.56/~jnz1568/getInfo.php?workbook=09_01.xlsx&amp;sheet=A0&amp;row=8&amp;col=24&amp;number=&amp;sourceID=30","")</f>
        <v/>
      </c>
      <c r="Y8" s="4" t="str">
        <f>HYPERLINK("http://141.218.60.56/~jnz1568/getInfo.php?workbook=09_01.xlsx&amp;sheet=A0&amp;row=8&amp;col=25&amp;number=1.987e-10&amp;sourceID=30","1.987e-10")</f>
        <v>1.987e-10</v>
      </c>
      <c r="Z8" s="4" t="str">
        <f>HYPERLINK("http://141.218.60.56/~jnz1568/getInfo.php?workbook=09_01.xlsx&amp;sheet=A0&amp;row=8&amp;col=26&amp;number==&amp;sourceID=13","=")</f>
        <v>=</v>
      </c>
      <c r="AA8" s="4" t="str">
        <f>HYPERLINK("http://141.218.60.56/~jnz1568/getInfo.php?workbook=09_01.xlsx&amp;sheet=A0&amp;row=8&amp;col=27&amp;number=3080&amp;sourceID=13","3080")</f>
        <v>3080</v>
      </c>
      <c r="AB8" s="4" t="str">
        <f>HYPERLINK("http://141.218.60.56/~jnz1568/getInfo.php?workbook=09_01.xlsx&amp;sheet=A0&amp;row=8&amp;col=28&amp;number=&amp;sourceID=13","")</f>
        <v/>
      </c>
      <c r="AC8" s="4" t="str">
        <f>HYPERLINK("http://141.218.60.56/~jnz1568/getInfo.php?workbook=09_01.xlsx&amp;sheet=A0&amp;row=8&amp;col=29&amp;number=&amp;sourceID=13","")</f>
        <v/>
      </c>
      <c r="AD8" s="4" t="str">
        <f>HYPERLINK("http://141.218.60.56/~jnz1568/getInfo.php?workbook=09_01.xlsx&amp;sheet=A0&amp;row=8&amp;col=30&amp;number=&amp;sourceID=13","")</f>
        <v/>
      </c>
      <c r="AE8" s="4" t="str">
        <f>HYPERLINK("http://141.218.60.56/~jnz1568/getInfo.php?workbook=09_01.xlsx&amp;sheet=A0&amp;row=8&amp;col=31&amp;number=&amp;sourceID=13","")</f>
        <v/>
      </c>
    </row>
    <row r="9" spans="1:31">
      <c r="A9" s="3">
        <v>9</v>
      </c>
      <c r="B9" s="3">
        <v>1</v>
      </c>
      <c r="C9" s="3">
        <v>5</v>
      </c>
      <c r="D9" s="3">
        <v>1</v>
      </c>
      <c r="E9" s="3">
        <f>((1/(INDEX(E0!J$4:J$28,C9,1)-INDEX(E0!J$4:J$28,D9,1))))*100000000</f>
        <v>0</v>
      </c>
      <c r="F9" s="4" t="str">
        <f>HYPERLINK("http://141.218.60.56/~jnz1568/getInfo.php?workbook=09_01.xlsx&amp;sheet=A0&amp;row=9&amp;col=6&amp;number=&amp;sourceID=18","")</f>
        <v/>
      </c>
      <c r="G9" s="4" t="str">
        <f>HYPERLINK("http://141.218.60.56/~jnz1568/getInfo.php?workbook=09_01.xlsx&amp;sheet=A0&amp;row=9&amp;col=7&amp;number==&amp;sourceID=11","=")</f>
        <v>=</v>
      </c>
      <c r="H9" s="4" t="str">
        <f>HYPERLINK("http://141.218.60.56/~jnz1568/getInfo.php?workbook=09_01.xlsx&amp;sheet=A0&amp;row=9&amp;col=8&amp;number=1097200000000&amp;sourceID=11","1097200000000")</f>
        <v>1097200000000</v>
      </c>
      <c r="I9" s="4" t="str">
        <f>HYPERLINK("http://141.218.60.56/~jnz1568/getInfo.php?workbook=09_01.xlsx&amp;sheet=A0&amp;row=9&amp;col=9&amp;number=&amp;sourceID=11","")</f>
        <v/>
      </c>
      <c r="J9" s="4" t="str">
        <f>HYPERLINK("http://141.218.60.56/~jnz1568/getInfo.php?workbook=09_01.xlsx&amp;sheet=A0&amp;row=9&amp;col=10&amp;number=&amp;sourceID=11","")</f>
        <v/>
      </c>
      <c r="K9" s="4" t="str">
        <f>HYPERLINK("http://141.218.60.56/~jnz1568/getInfo.php?workbook=09_01.xlsx&amp;sheet=A0&amp;row=9&amp;col=11&amp;number=&amp;sourceID=11","")</f>
        <v/>
      </c>
      <c r="L9" s="4" t="str">
        <f>HYPERLINK("http://141.218.60.56/~jnz1568/getInfo.php?workbook=09_01.xlsx&amp;sheet=A0&amp;row=9&amp;col=12&amp;number=&amp;sourceID=11","")</f>
        <v/>
      </c>
      <c r="M9" s="4" t="str">
        <f>HYPERLINK("http://141.218.60.56/~jnz1568/getInfo.php?workbook=09_01.xlsx&amp;sheet=A0&amp;row=9&amp;col=13&amp;number=&amp;sourceID=11","")</f>
        <v/>
      </c>
      <c r="N9" s="4" t="str">
        <f>HYPERLINK("http://141.218.60.56/~jnz1568/getInfo.php?workbook=09_01.xlsx&amp;sheet=A0&amp;row=9&amp;col=14&amp;number=1097200000000&amp;sourceID=12","1097200000000")</f>
        <v>1097200000000</v>
      </c>
      <c r="O9" s="4" t="str">
        <f>HYPERLINK("http://141.218.60.56/~jnz1568/getInfo.php?workbook=09_01.xlsx&amp;sheet=A0&amp;row=9&amp;col=15&amp;number=1097200000000&amp;sourceID=12","1097200000000")</f>
        <v>1097200000000</v>
      </c>
      <c r="P9" s="4" t="str">
        <f>HYPERLINK("http://141.218.60.56/~jnz1568/getInfo.php?workbook=09_01.xlsx&amp;sheet=A0&amp;row=9&amp;col=16&amp;number=&amp;sourceID=12","")</f>
        <v/>
      </c>
      <c r="Q9" s="4" t="str">
        <f>HYPERLINK("http://141.218.60.56/~jnz1568/getInfo.php?workbook=09_01.xlsx&amp;sheet=A0&amp;row=9&amp;col=17&amp;number=&amp;sourceID=12","")</f>
        <v/>
      </c>
      <c r="R9" s="4" t="str">
        <f>HYPERLINK("http://141.218.60.56/~jnz1568/getInfo.php?workbook=09_01.xlsx&amp;sheet=A0&amp;row=9&amp;col=18&amp;number=&amp;sourceID=12","")</f>
        <v/>
      </c>
      <c r="S9" s="4" t="str">
        <f>HYPERLINK("http://141.218.60.56/~jnz1568/getInfo.php?workbook=09_01.xlsx&amp;sheet=A0&amp;row=9&amp;col=19&amp;number=&amp;sourceID=12","")</f>
        <v/>
      </c>
      <c r="T9" s="4" t="str">
        <f>HYPERLINK("http://141.218.60.56/~jnz1568/getInfo.php?workbook=09_01.xlsx&amp;sheet=A0&amp;row=9&amp;col=20&amp;number=&amp;sourceID=12","")</f>
        <v/>
      </c>
      <c r="U9" s="4" t="str">
        <f>HYPERLINK("http://141.218.60.56/~jnz1568/getInfo.php?workbook=09_01.xlsx&amp;sheet=A0&amp;row=9&amp;col=21&amp;number=1097000000000&amp;sourceID=30","1097000000000")</f>
        <v>1097000000000</v>
      </c>
      <c r="V9" s="4" t="str">
        <f>HYPERLINK("http://141.218.60.56/~jnz1568/getInfo.php?workbook=09_01.xlsx&amp;sheet=A0&amp;row=9&amp;col=22&amp;number=1097000000000&amp;sourceID=30","1097000000000")</f>
        <v>1097000000000</v>
      </c>
      <c r="W9" s="4" t="str">
        <f>HYPERLINK("http://141.218.60.56/~jnz1568/getInfo.php?workbook=09_01.xlsx&amp;sheet=A0&amp;row=9&amp;col=23&amp;number=&amp;sourceID=30","")</f>
        <v/>
      </c>
      <c r="X9" s="4" t="str">
        <f>HYPERLINK("http://141.218.60.56/~jnz1568/getInfo.php?workbook=09_01.xlsx&amp;sheet=A0&amp;row=9&amp;col=24&amp;number=&amp;sourceID=30","")</f>
        <v/>
      </c>
      <c r="Y9" s="4" t="str">
        <f>HYPERLINK("http://141.218.60.56/~jnz1568/getInfo.php?workbook=09_01.xlsx&amp;sheet=A0&amp;row=9&amp;col=25&amp;number=&amp;sourceID=30","")</f>
        <v/>
      </c>
      <c r="Z9" s="4" t="str">
        <f>HYPERLINK("http://141.218.60.56/~jnz1568/getInfo.php?workbook=09_01.xlsx&amp;sheet=A0&amp;row=9&amp;col=26&amp;number==&amp;sourceID=13","=")</f>
        <v>=</v>
      </c>
      <c r="AA9" s="4" t="str">
        <f>HYPERLINK("http://141.218.60.56/~jnz1568/getInfo.php?workbook=09_01.xlsx&amp;sheet=A0&amp;row=9&amp;col=27&amp;number=1090000000000&amp;sourceID=13","1090000000000")</f>
        <v>1090000000000</v>
      </c>
      <c r="AB9" s="4" t="str">
        <f>HYPERLINK("http://141.218.60.56/~jnz1568/getInfo.php?workbook=09_01.xlsx&amp;sheet=A0&amp;row=9&amp;col=28&amp;number=&amp;sourceID=13","")</f>
        <v/>
      </c>
      <c r="AC9" s="4" t="str">
        <f>HYPERLINK("http://141.218.60.56/~jnz1568/getInfo.php?workbook=09_01.xlsx&amp;sheet=A0&amp;row=9&amp;col=29&amp;number=&amp;sourceID=13","")</f>
        <v/>
      </c>
      <c r="AD9" s="4" t="str">
        <f>HYPERLINK("http://141.218.60.56/~jnz1568/getInfo.php?workbook=09_01.xlsx&amp;sheet=A0&amp;row=9&amp;col=30&amp;number=&amp;sourceID=13","")</f>
        <v/>
      </c>
      <c r="AE9" s="4" t="str">
        <f>HYPERLINK("http://141.218.60.56/~jnz1568/getInfo.php?workbook=09_01.xlsx&amp;sheet=A0&amp;row=9&amp;col=31&amp;number=&amp;sourceID=13","")</f>
        <v/>
      </c>
    </row>
    <row r="10" spans="1:31">
      <c r="A10" s="3">
        <v>9</v>
      </c>
      <c r="B10" s="3">
        <v>1</v>
      </c>
      <c r="C10" s="3">
        <v>5</v>
      </c>
      <c r="D10" s="3">
        <v>2</v>
      </c>
      <c r="E10" s="3">
        <f>((1/(INDEX(E0!J$4:J$28,C10,1)-INDEX(E0!J$4:J$28,D10,1))))*100000000</f>
        <v>0</v>
      </c>
      <c r="F10" s="4" t="str">
        <f>HYPERLINK("http://141.218.60.56/~jnz1568/getInfo.php?workbook=09_01.xlsx&amp;sheet=A0&amp;row=10&amp;col=6&amp;number=&amp;sourceID=18","")</f>
        <v/>
      </c>
      <c r="G10" s="4" t="str">
        <f>HYPERLINK("http://141.218.60.56/~jnz1568/getInfo.php?workbook=09_01.xlsx&amp;sheet=A0&amp;row=10&amp;col=7&amp;number==&amp;sourceID=11","=")</f>
        <v>=</v>
      </c>
      <c r="H10" s="4" t="str">
        <f>HYPERLINK("http://141.218.60.56/~jnz1568/getInfo.php?workbook=09_01.xlsx&amp;sheet=A0&amp;row=10&amp;col=8&amp;number=&amp;sourceID=11","")</f>
        <v/>
      </c>
      <c r="I10" s="4" t="str">
        <f>HYPERLINK("http://141.218.60.56/~jnz1568/getInfo.php?workbook=09_01.xlsx&amp;sheet=A0&amp;row=10&amp;col=9&amp;number=&amp;sourceID=11","")</f>
        <v/>
      </c>
      <c r="J10" s="4" t="str">
        <f>HYPERLINK("http://141.218.60.56/~jnz1568/getInfo.php?workbook=09_01.xlsx&amp;sheet=A0&amp;row=10&amp;col=10&amp;number=&amp;sourceID=11","")</f>
        <v/>
      </c>
      <c r="K10" s="4" t="str">
        <f>HYPERLINK("http://141.218.60.56/~jnz1568/getInfo.php?workbook=09_01.xlsx&amp;sheet=A0&amp;row=10&amp;col=11&amp;number=1.7228&amp;sourceID=11","1.7228")</f>
        <v>1.7228</v>
      </c>
      <c r="L10" s="4" t="str">
        <f>HYPERLINK("http://141.218.60.56/~jnz1568/getInfo.php?workbook=09_01.xlsx&amp;sheet=A0&amp;row=10&amp;col=12&amp;number=&amp;sourceID=11","")</f>
        <v/>
      </c>
      <c r="M10" s="4" t="str">
        <f>HYPERLINK("http://141.218.60.56/~jnz1568/getInfo.php?workbook=09_01.xlsx&amp;sheet=A0&amp;row=10&amp;col=13&amp;number=&amp;sourceID=11","")</f>
        <v/>
      </c>
      <c r="N10" s="4" t="str">
        <f>HYPERLINK("http://141.218.60.56/~jnz1568/getInfo.php?workbook=09_01.xlsx&amp;sheet=A0&amp;row=10&amp;col=14&amp;number=1.7228&amp;sourceID=12","1.7228")</f>
        <v>1.7228</v>
      </c>
      <c r="O10" s="4" t="str">
        <f>HYPERLINK("http://141.218.60.56/~jnz1568/getInfo.php?workbook=09_01.xlsx&amp;sheet=A0&amp;row=10&amp;col=15&amp;number=&amp;sourceID=12","")</f>
        <v/>
      </c>
      <c r="P10" s="4" t="str">
        <f>HYPERLINK("http://141.218.60.56/~jnz1568/getInfo.php?workbook=09_01.xlsx&amp;sheet=A0&amp;row=10&amp;col=16&amp;number=&amp;sourceID=12","")</f>
        <v/>
      </c>
      <c r="Q10" s="4" t="str">
        <f>HYPERLINK("http://141.218.60.56/~jnz1568/getInfo.php?workbook=09_01.xlsx&amp;sheet=A0&amp;row=10&amp;col=17&amp;number=&amp;sourceID=12","")</f>
        <v/>
      </c>
      <c r="R10" s="4" t="str">
        <f>HYPERLINK("http://141.218.60.56/~jnz1568/getInfo.php?workbook=09_01.xlsx&amp;sheet=A0&amp;row=10&amp;col=18&amp;number=1.7228&amp;sourceID=12","1.7228")</f>
        <v>1.7228</v>
      </c>
      <c r="S10" s="4" t="str">
        <f>HYPERLINK("http://141.218.60.56/~jnz1568/getInfo.php?workbook=09_01.xlsx&amp;sheet=A0&amp;row=10&amp;col=19&amp;number=&amp;sourceID=12","")</f>
        <v/>
      </c>
      <c r="T10" s="4" t="str">
        <f>HYPERLINK("http://141.218.60.56/~jnz1568/getInfo.php?workbook=09_01.xlsx&amp;sheet=A0&amp;row=10&amp;col=20&amp;number=&amp;sourceID=12","")</f>
        <v/>
      </c>
      <c r="U10" s="4" t="str">
        <f>HYPERLINK("http://141.218.60.56/~jnz1568/getInfo.php?workbook=09_01.xlsx&amp;sheet=A0&amp;row=10&amp;col=21&amp;number=1.723&amp;sourceID=30","1.723")</f>
        <v>1.723</v>
      </c>
      <c r="V10" s="4" t="str">
        <f>HYPERLINK("http://141.218.60.56/~jnz1568/getInfo.php?workbook=09_01.xlsx&amp;sheet=A0&amp;row=10&amp;col=22&amp;number=&amp;sourceID=30","")</f>
        <v/>
      </c>
      <c r="W10" s="4" t="str">
        <f>HYPERLINK("http://141.218.60.56/~jnz1568/getInfo.php?workbook=09_01.xlsx&amp;sheet=A0&amp;row=10&amp;col=23&amp;number=&amp;sourceID=30","")</f>
        <v/>
      </c>
      <c r="X10" s="4" t="str">
        <f>HYPERLINK("http://141.218.60.56/~jnz1568/getInfo.php?workbook=09_01.xlsx&amp;sheet=A0&amp;row=10&amp;col=24&amp;number=1.723&amp;sourceID=30","1.723")</f>
        <v>1.723</v>
      </c>
      <c r="Y10" s="4" t="str">
        <f>HYPERLINK("http://141.218.60.56/~jnz1568/getInfo.php?workbook=09_01.xlsx&amp;sheet=A0&amp;row=10&amp;col=25&amp;number=&amp;sourceID=30","")</f>
        <v/>
      </c>
      <c r="Z10" s="4" t="str">
        <f>HYPERLINK("http://141.218.60.56/~jnz1568/getInfo.php?workbook=09_01.xlsx&amp;sheet=A0&amp;row=10&amp;col=26&amp;number==&amp;sourceID=13","=")</f>
        <v>=</v>
      </c>
      <c r="AA10" s="4" t="str">
        <f>HYPERLINK("http://141.218.60.56/~jnz1568/getInfo.php?workbook=09_01.xlsx&amp;sheet=A0&amp;row=10&amp;col=27&amp;number=&amp;sourceID=13","")</f>
        <v/>
      </c>
      <c r="AB10" s="4" t="str">
        <f>HYPERLINK("http://141.218.60.56/~jnz1568/getInfo.php?workbook=09_01.xlsx&amp;sheet=A0&amp;row=10&amp;col=28&amp;number=&amp;sourceID=13","")</f>
        <v/>
      </c>
      <c r="AC10" s="4" t="str">
        <f>HYPERLINK("http://141.218.60.56/~jnz1568/getInfo.php?workbook=09_01.xlsx&amp;sheet=A0&amp;row=10&amp;col=29&amp;number=&amp;sourceID=13","")</f>
        <v/>
      </c>
      <c r="AD10" s="4" t="str">
        <f>HYPERLINK("http://141.218.60.56/~jnz1568/getInfo.php?workbook=09_01.xlsx&amp;sheet=A0&amp;row=10&amp;col=30&amp;number=1.71&amp;sourceID=13","1.71")</f>
        <v>1.71</v>
      </c>
      <c r="AE10" s="4" t="str">
        <f>HYPERLINK("http://141.218.60.56/~jnz1568/getInfo.php?workbook=09_01.xlsx&amp;sheet=A0&amp;row=10&amp;col=31&amp;number=&amp;sourceID=13","")</f>
        <v/>
      </c>
    </row>
    <row r="11" spans="1:31">
      <c r="A11" s="3">
        <v>9</v>
      </c>
      <c r="B11" s="3">
        <v>1</v>
      </c>
      <c r="C11" s="3">
        <v>5</v>
      </c>
      <c r="D11" s="3">
        <v>3</v>
      </c>
      <c r="E11" s="3">
        <f>((1/(INDEX(E0!J$4:J$28,C11,1)-INDEX(E0!J$4:J$28,D11,1))))*100000000</f>
        <v>0</v>
      </c>
      <c r="F11" s="4" t="str">
        <f>HYPERLINK("http://141.218.60.56/~jnz1568/getInfo.php?workbook=09_01.xlsx&amp;sheet=A0&amp;row=11&amp;col=6&amp;number=&amp;sourceID=18","")</f>
        <v/>
      </c>
      <c r="G11" s="4" t="str">
        <f>HYPERLINK("http://141.218.60.56/~jnz1568/getInfo.php?workbook=09_01.xlsx&amp;sheet=A0&amp;row=11&amp;col=7&amp;number==&amp;sourceID=11","=")</f>
        <v>=</v>
      </c>
      <c r="H11" s="4" t="str">
        <f>HYPERLINK("http://141.218.60.56/~jnz1568/getInfo.php?workbook=09_01.xlsx&amp;sheet=A0&amp;row=11&amp;col=8&amp;number=147790000000&amp;sourceID=11","147790000000")</f>
        <v>147790000000</v>
      </c>
      <c r="I11" s="4" t="str">
        <f>HYPERLINK("http://141.218.60.56/~jnz1568/getInfo.php?workbook=09_01.xlsx&amp;sheet=A0&amp;row=11&amp;col=9&amp;number=&amp;sourceID=11","")</f>
        <v/>
      </c>
      <c r="J11" s="4" t="str">
        <f>HYPERLINK("http://141.218.60.56/~jnz1568/getInfo.php?workbook=09_01.xlsx&amp;sheet=A0&amp;row=11&amp;col=10&amp;number=&amp;sourceID=11","")</f>
        <v/>
      </c>
      <c r="K11" s="4" t="str">
        <f>HYPERLINK("http://141.218.60.56/~jnz1568/getInfo.php?workbook=09_01.xlsx&amp;sheet=A0&amp;row=11&amp;col=11&amp;number=&amp;sourceID=11","")</f>
        <v/>
      </c>
      <c r="L11" s="4" t="str">
        <f>HYPERLINK("http://141.218.60.56/~jnz1568/getInfo.php?workbook=09_01.xlsx&amp;sheet=A0&amp;row=11&amp;col=12&amp;number=&amp;sourceID=11","")</f>
        <v/>
      </c>
      <c r="M11" s="4" t="str">
        <f>HYPERLINK("http://141.218.60.56/~jnz1568/getInfo.php?workbook=09_01.xlsx&amp;sheet=A0&amp;row=11&amp;col=13&amp;number=&amp;sourceID=11","")</f>
        <v/>
      </c>
      <c r="N11" s="4" t="str">
        <f>HYPERLINK("http://141.218.60.56/~jnz1568/getInfo.php?workbook=09_01.xlsx&amp;sheet=A0&amp;row=11&amp;col=14&amp;number=147790000000&amp;sourceID=12","147790000000")</f>
        <v>147790000000</v>
      </c>
      <c r="O11" s="4" t="str">
        <f>HYPERLINK("http://141.218.60.56/~jnz1568/getInfo.php?workbook=09_01.xlsx&amp;sheet=A0&amp;row=11&amp;col=15&amp;number=147790000000&amp;sourceID=12","147790000000")</f>
        <v>147790000000</v>
      </c>
      <c r="P11" s="4" t="str">
        <f>HYPERLINK("http://141.218.60.56/~jnz1568/getInfo.php?workbook=09_01.xlsx&amp;sheet=A0&amp;row=11&amp;col=16&amp;number=&amp;sourceID=12","")</f>
        <v/>
      </c>
      <c r="Q11" s="4" t="str">
        <f>HYPERLINK("http://141.218.60.56/~jnz1568/getInfo.php?workbook=09_01.xlsx&amp;sheet=A0&amp;row=11&amp;col=17&amp;number=&amp;sourceID=12","")</f>
        <v/>
      </c>
      <c r="R11" s="4" t="str">
        <f>HYPERLINK("http://141.218.60.56/~jnz1568/getInfo.php?workbook=09_01.xlsx&amp;sheet=A0&amp;row=11&amp;col=18&amp;number=&amp;sourceID=12","")</f>
        <v/>
      </c>
      <c r="S11" s="4" t="str">
        <f>HYPERLINK("http://141.218.60.56/~jnz1568/getInfo.php?workbook=09_01.xlsx&amp;sheet=A0&amp;row=11&amp;col=19&amp;number=&amp;sourceID=12","")</f>
        <v/>
      </c>
      <c r="T11" s="4" t="str">
        <f>HYPERLINK("http://141.218.60.56/~jnz1568/getInfo.php?workbook=09_01.xlsx&amp;sheet=A0&amp;row=11&amp;col=20&amp;number=&amp;sourceID=12","")</f>
        <v/>
      </c>
      <c r="U11" s="4" t="str">
        <f>HYPERLINK("http://141.218.60.56/~jnz1568/getInfo.php?workbook=09_01.xlsx&amp;sheet=A0&amp;row=11&amp;col=21&amp;number=147800000000&amp;sourceID=30","147800000000")</f>
        <v>147800000000</v>
      </c>
      <c r="V11" s="4" t="str">
        <f>HYPERLINK("http://141.218.60.56/~jnz1568/getInfo.php?workbook=09_01.xlsx&amp;sheet=A0&amp;row=11&amp;col=22&amp;number=147800000000&amp;sourceID=30","147800000000")</f>
        <v>147800000000</v>
      </c>
      <c r="W11" s="4" t="str">
        <f>HYPERLINK("http://141.218.60.56/~jnz1568/getInfo.php?workbook=09_01.xlsx&amp;sheet=A0&amp;row=11&amp;col=23&amp;number=&amp;sourceID=30","")</f>
        <v/>
      </c>
      <c r="X11" s="4" t="str">
        <f>HYPERLINK("http://141.218.60.56/~jnz1568/getInfo.php?workbook=09_01.xlsx&amp;sheet=A0&amp;row=11&amp;col=24&amp;number=&amp;sourceID=30","")</f>
        <v/>
      </c>
      <c r="Y11" s="4" t="str">
        <f>HYPERLINK("http://141.218.60.56/~jnz1568/getInfo.php?workbook=09_01.xlsx&amp;sheet=A0&amp;row=11&amp;col=25&amp;number=&amp;sourceID=30","")</f>
        <v/>
      </c>
      <c r="Z11" s="4" t="str">
        <f>HYPERLINK("http://141.218.60.56/~jnz1568/getInfo.php?workbook=09_01.xlsx&amp;sheet=A0&amp;row=11&amp;col=26&amp;number==&amp;sourceID=13","=")</f>
        <v>=</v>
      </c>
      <c r="AA11" s="4" t="str">
        <f>HYPERLINK("http://141.218.60.56/~jnz1568/getInfo.php?workbook=09_01.xlsx&amp;sheet=A0&amp;row=11&amp;col=27&amp;number=147000000000&amp;sourceID=13","147000000000")</f>
        <v>147000000000</v>
      </c>
      <c r="AB11" s="4" t="str">
        <f>HYPERLINK("http://141.218.60.56/~jnz1568/getInfo.php?workbook=09_01.xlsx&amp;sheet=A0&amp;row=11&amp;col=28&amp;number=&amp;sourceID=13","")</f>
        <v/>
      </c>
      <c r="AC11" s="4" t="str">
        <f>HYPERLINK("http://141.218.60.56/~jnz1568/getInfo.php?workbook=09_01.xlsx&amp;sheet=A0&amp;row=11&amp;col=29&amp;number=&amp;sourceID=13","")</f>
        <v/>
      </c>
      <c r="AD11" s="4" t="str">
        <f>HYPERLINK("http://141.218.60.56/~jnz1568/getInfo.php?workbook=09_01.xlsx&amp;sheet=A0&amp;row=11&amp;col=30&amp;number=&amp;sourceID=13","")</f>
        <v/>
      </c>
      <c r="AE11" s="4" t="str">
        <f>HYPERLINK("http://141.218.60.56/~jnz1568/getInfo.php?workbook=09_01.xlsx&amp;sheet=A0&amp;row=11&amp;col=31&amp;number=&amp;sourceID=13","")</f>
        <v/>
      </c>
    </row>
    <row r="12" spans="1:31">
      <c r="A12" s="3">
        <v>9</v>
      </c>
      <c r="B12" s="3">
        <v>1</v>
      </c>
      <c r="C12" s="3">
        <v>5</v>
      </c>
      <c r="D12" s="3">
        <v>4</v>
      </c>
      <c r="E12" s="3">
        <f>((1/(INDEX(E0!J$4:J$28,C12,1)-INDEX(E0!J$4:J$28,D12,1))))*100000000</f>
        <v>0</v>
      </c>
      <c r="F12" s="4" t="str">
        <f>HYPERLINK("http://141.218.60.56/~jnz1568/getInfo.php?workbook=09_01.xlsx&amp;sheet=A0&amp;row=12&amp;col=6&amp;number=&amp;sourceID=18","")</f>
        <v/>
      </c>
      <c r="G12" s="4" t="str">
        <f>HYPERLINK("http://141.218.60.56/~jnz1568/getInfo.php?workbook=09_01.xlsx&amp;sheet=A0&amp;row=12&amp;col=7&amp;number==&amp;sourceID=11","=")</f>
        <v>=</v>
      </c>
      <c r="H12" s="4" t="str">
        <f>HYPERLINK("http://141.218.60.56/~jnz1568/getInfo.php?workbook=09_01.xlsx&amp;sheet=A0&amp;row=12&amp;col=8&amp;number=&amp;sourceID=11","")</f>
        <v/>
      </c>
      <c r="I12" s="4" t="str">
        <f>HYPERLINK("http://141.218.60.56/~jnz1568/getInfo.php?workbook=09_01.xlsx&amp;sheet=A0&amp;row=12&amp;col=9&amp;number=12720000&amp;sourceID=11","12720000")</f>
        <v>12720000</v>
      </c>
      <c r="J12" s="4" t="str">
        <f>HYPERLINK("http://141.218.60.56/~jnz1568/getInfo.php?workbook=09_01.xlsx&amp;sheet=A0&amp;row=12&amp;col=10&amp;number=&amp;sourceID=11","")</f>
        <v/>
      </c>
      <c r="K12" s="4" t="str">
        <f>HYPERLINK("http://141.218.60.56/~jnz1568/getInfo.php?workbook=09_01.xlsx&amp;sheet=A0&amp;row=12&amp;col=11&amp;number=45.135&amp;sourceID=11","45.135")</f>
        <v>45.135</v>
      </c>
      <c r="L12" s="4" t="str">
        <f>HYPERLINK("http://141.218.60.56/~jnz1568/getInfo.php?workbook=09_01.xlsx&amp;sheet=A0&amp;row=12&amp;col=12&amp;number=&amp;sourceID=11","")</f>
        <v/>
      </c>
      <c r="M12" s="4" t="str">
        <f>HYPERLINK("http://141.218.60.56/~jnz1568/getInfo.php?workbook=09_01.xlsx&amp;sheet=A0&amp;row=12&amp;col=13&amp;number=&amp;sourceID=11","")</f>
        <v/>
      </c>
      <c r="N12" s="4" t="str">
        <f>HYPERLINK("http://141.218.60.56/~jnz1568/getInfo.php?workbook=09_01.xlsx&amp;sheet=A0&amp;row=12&amp;col=14&amp;number=12721000&amp;sourceID=12","12721000")</f>
        <v>12721000</v>
      </c>
      <c r="O12" s="4" t="str">
        <f>HYPERLINK("http://141.218.60.56/~jnz1568/getInfo.php?workbook=09_01.xlsx&amp;sheet=A0&amp;row=12&amp;col=15&amp;number=&amp;sourceID=12","")</f>
        <v/>
      </c>
      <c r="P12" s="4" t="str">
        <f>HYPERLINK("http://141.218.60.56/~jnz1568/getInfo.php?workbook=09_01.xlsx&amp;sheet=A0&amp;row=12&amp;col=16&amp;number=12721000&amp;sourceID=12","12721000")</f>
        <v>12721000</v>
      </c>
      <c r="Q12" s="4" t="str">
        <f>HYPERLINK("http://141.218.60.56/~jnz1568/getInfo.php?workbook=09_01.xlsx&amp;sheet=A0&amp;row=12&amp;col=17&amp;number=&amp;sourceID=12","")</f>
        <v/>
      </c>
      <c r="R12" s="4" t="str">
        <f>HYPERLINK("http://141.218.60.56/~jnz1568/getInfo.php?workbook=09_01.xlsx&amp;sheet=A0&amp;row=12&amp;col=18&amp;number=45.136&amp;sourceID=12","45.136")</f>
        <v>45.136</v>
      </c>
      <c r="S12" s="4" t="str">
        <f>HYPERLINK("http://141.218.60.56/~jnz1568/getInfo.php?workbook=09_01.xlsx&amp;sheet=A0&amp;row=12&amp;col=19&amp;number=&amp;sourceID=12","")</f>
        <v/>
      </c>
      <c r="T12" s="4" t="str">
        <f>HYPERLINK("http://141.218.60.56/~jnz1568/getInfo.php?workbook=09_01.xlsx&amp;sheet=A0&amp;row=12&amp;col=20&amp;number=&amp;sourceID=12","")</f>
        <v/>
      </c>
      <c r="U12" s="4" t="str">
        <f>HYPERLINK("http://141.218.60.56/~jnz1568/getInfo.php?workbook=09_01.xlsx&amp;sheet=A0&amp;row=12&amp;col=21&amp;number=12720045.13&amp;sourceID=30","12720045.13")</f>
        <v>12720045.13</v>
      </c>
      <c r="V12" s="4" t="str">
        <f>HYPERLINK("http://141.218.60.56/~jnz1568/getInfo.php?workbook=09_01.xlsx&amp;sheet=A0&amp;row=12&amp;col=22&amp;number=&amp;sourceID=30","")</f>
        <v/>
      </c>
      <c r="W12" s="4" t="str">
        <f>HYPERLINK("http://141.218.60.56/~jnz1568/getInfo.php?workbook=09_01.xlsx&amp;sheet=A0&amp;row=12&amp;col=23&amp;number=12720000&amp;sourceID=30","12720000")</f>
        <v>12720000</v>
      </c>
      <c r="X12" s="4" t="str">
        <f>HYPERLINK("http://141.218.60.56/~jnz1568/getInfo.php?workbook=09_01.xlsx&amp;sheet=A0&amp;row=12&amp;col=24&amp;number=45.13&amp;sourceID=30","45.13")</f>
        <v>45.13</v>
      </c>
      <c r="Y12" s="4" t="str">
        <f>HYPERLINK("http://141.218.60.56/~jnz1568/getInfo.php?workbook=09_01.xlsx&amp;sheet=A0&amp;row=12&amp;col=25&amp;number=&amp;sourceID=30","")</f>
        <v/>
      </c>
      <c r="Z12" s="4" t="str">
        <f>HYPERLINK("http://141.218.60.56/~jnz1568/getInfo.php?workbook=09_01.xlsx&amp;sheet=A0&amp;row=12&amp;col=26&amp;number==&amp;sourceID=13","=")</f>
        <v>=</v>
      </c>
      <c r="AA12" s="4" t="str">
        <f>HYPERLINK("http://141.218.60.56/~jnz1568/getInfo.php?workbook=09_01.xlsx&amp;sheet=A0&amp;row=12&amp;col=27&amp;number=&amp;sourceID=13","")</f>
        <v/>
      </c>
      <c r="AB12" s="4" t="str">
        <f>HYPERLINK("http://141.218.60.56/~jnz1568/getInfo.php?workbook=09_01.xlsx&amp;sheet=A0&amp;row=12&amp;col=28&amp;number=12700000&amp;sourceID=13","12700000")</f>
        <v>12700000</v>
      </c>
      <c r="AC12" s="4" t="str">
        <f>HYPERLINK("http://141.218.60.56/~jnz1568/getInfo.php?workbook=09_01.xlsx&amp;sheet=A0&amp;row=12&amp;col=29&amp;number=&amp;sourceID=13","")</f>
        <v/>
      </c>
      <c r="AD12" s="4" t="str">
        <f>HYPERLINK("http://141.218.60.56/~jnz1568/getInfo.php?workbook=09_01.xlsx&amp;sheet=A0&amp;row=12&amp;col=30&amp;number=49.2&amp;sourceID=13","49.2")</f>
        <v>49.2</v>
      </c>
      <c r="AE12" s="4" t="str">
        <f>HYPERLINK("http://141.218.60.56/~jnz1568/getInfo.php?workbook=09_01.xlsx&amp;sheet=A0&amp;row=12&amp;col=31&amp;number=&amp;sourceID=13","")</f>
        <v/>
      </c>
    </row>
    <row r="13" spans="1:31">
      <c r="A13" s="3">
        <v>9</v>
      </c>
      <c r="B13" s="3">
        <v>1</v>
      </c>
      <c r="C13" s="3">
        <v>6</v>
      </c>
      <c r="D13" s="3">
        <v>1</v>
      </c>
      <c r="E13" s="3">
        <f>((1/(INDEX(E0!J$4:J$28,C13,1)-INDEX(E0!J$4:J$28,D13,1))))*100000000</f>
        <v>0</v>
      </c>
      <c r="F13" s="4" t="str">
        <f>HYPERLINK("http://141.218.60.56/~jnz1568/getInfo.php?workbook=09_01.xlsx&amp;sheet=A0&amp;row=13&amp;col=6&amp;number=&amp;sourceID=18","")</f>
        <v/>
      </c>
      <c r="G13" s="4" t="str">
        <f>HYPERLINK("http://141.218.60.56/~jnz1568/getInfo.php?workbook=09_01.xlsx&amp;sheet=A0&amp;row=13&amp;col=7&amp;number==&amp;sourceID=11","=")</f>
        <v>=</v>
      </c>
      <c r="H13" s="4" t="str">
        <f>HYPERLINK("http://141.218.60.56/~jnz1568/getInfo.php?workbook=09_01.xlsx&amp;sheet=A0&amp;row=13&amp;col=8&amp;number=&amp;sourceID=11","")</f>
        <v/>
      </c>
      <c r="I13" s="4" t="str">
        <f>HYPERLINK("http://141.218.60.56/~jnz1568/getInfo.php?workbook=09_01.xlsx&amp;sheet=A0&amp;row=13&amp;col=9&amp;number=&amp;sourceID=11","")</f>
        <v/>
      </c>
      <c r="J13" s="4" t="str">
        <f>HYPERLINK("http://141.218.60.56/~jnz1568/getInfo.php?workbook=09_01.xlsx&amp;sheet=A0&amp;row=13&amp;col=10&amp;number=&amp;sourceID=11","")</f>
        <v/>
      </c>
      <c r="K13" s="4" t="str">
        <f>HYPERLINK("http://141.218.60.56/~jnz1568/getInfo.php?workbook=09_01.xlsx&amp;sheet=A0&amp;row=13&amp;col=11&amp;number=3883.6&amp;sourceID=11","3883.6")</f>
        <v>3883.6</v>
      </c>
      <c r="L13" s="4" t="str">
        <f>HYPERLINK("http://141.218.60.56/~jnz1568/getInfo.php?workbook=09_01.xlsx&amp;sheet=A0&amp;row=13&amp;col=12&amp;number=&amp;sourceID=11","")</f>
        <v/>
      </c>
      <c r="M13" s="4" t="str">
        <f>HYPERLINK("http://141.218.60.56/~jnz1568/getInfo.php?workbook=09_01.xlsx&amp;sheet=A0&amp;row=13&amp;col=13&amp;number=&amp;sourceID=11","")</f>
        <v/>
      </c>
      <c r="N13" s="4" t="str">
        <f>HYPERLINK("http://141.218.60.56/~jnz1568/getInfo.php?workbook=09_01.xlsx&amp;sheet=A0&amp;row=13&amp;col=14&amp;number=3883.8&amp;sourceID=12","3883.8")</f>
        <v>3883.8</v>
      </c>
      <c r="O13" s="4" t="str">
        <f>HYPERLINK("http://141.218.60.56/~jnz1568/getInfo.php?workbook=09_01.xlsx&amp;sheet=A0&amp;row=13&amp;col=15&amp;number=&amp;sourceID=12","")</f>
        <v/>
      </c>
      <c r="P13" s="4" t="str">
        <f>HYPERLINK("http://141.218.60.56/~jnz1568/getInfo.php?workbook=09_01.xlsx&amp;sheet=A0&amp;row=13&amp;col=16&amp;number=&amp;sourceID=12","")</f>
        <v/>
      </c>
      <c r="Q13" s="4" t="str">
        <f>HYPERLINK("http://141.218.60.56/~jnz1568/getInfo.php?workbook=09_01.xlsx&amp;sheet=A0&amp;row=13&amp;col=17&amp;number=&amp;sourceID=12","")</f>
        <v/>
      </c>
      <c r="R13" s="4" t="str">
        <f>HYPERLINK("http://141.218.60.56/~jnz1568/getInfo.php?workbook=09_01.xlsx&amp;sheet=A0&amp;row=13&amp;col=18&amp;number=3883.8&amp;sourceID=12","3883.8")</f>
        <v>3883.8</v>
      </c>
      <c r="S13" s="4" t="str">
        <f>HYPERLINK("http://141.218.60.56/~jnz1568/getInfo.php?workbook=09_01.xlsx&amp;sheet=A0&amp;row=13&amp;col=19&amp;number=&amp;sourceID=12","")</f>
        <v/>
      </c>
      <c r="T13" s="4" t="str">
        <f>HYPERLINK("http://141.218.60.56/~jnz1568/getInfo.php?workbook=09_01.xlsx&amp;sheet=A0&amp;row=13&amp;col=20&amp;number=&amp;sourceID=12","")</f>
        <v/>
      </c>
      <c r="U13" s="4" t="str">
        <f>HYPERLINK("http://141.218.60.56/~jnz1568/getInfo.php?workbook=09_01.xlsx&amp;sheet=A0&amp;row=13&amp;col=21&amp;number=3884&amp;sourceID=30","3884")</f>
        <v>3884</v>
      </c>
      <c r="V13" s="4" t="str">
        <f>HYPERLINK("http://141.218.60.56/~jnz1568/getInfo.php?workbook=09_01.xlsx&amp;sheet=A0&amp;row=13&amp;col=22&amp;number=&amp;sourceID=30","")</f>
        <v/>
      </c>
      <c r="W13" s="4" t="str">
        <f>HYPERLINK("http://141.218.60.56/~jnz1568/getInfo.php?workbook=09_01.xlsx&amp;sheet=A0&amp;row=13&amp;col=23&amp;number=&amp;sourceID=30","")</f>
        <v/>
      </c>
      <c r="X13" s="4" t="str">
        <f>HYPERLINK("http://141.218.60.56/~jnz1568/getInfo.php?workbook=09_01.xlsx&amp;sheet=A0&amp;row=13&amp;col=24&amp;number=3884&amp;sourceID=30","3884")</f>
        <v>3884</v>
      </c>
      <c r="Y13" s="4" t="str">
        <f>HYPERLINK("http://141.218.60.56/~jnz1568/getInfo.php?workbook=09_01.xlsx&amp;sheet=A0&amp;row=13&amp;col=25&amp;number=&amp;sourceID=30","")</f>
        <v/>
      </c>
      <c r="Z13" s="4" t="str">
        <f>HYPERLINK("http://141.218.60.56/~jnz1568/getInfo.php?workbook=09_01.xlsx&amp;sheet=A0&amp;row=13&amp;col=26&amp;number==&amp;sourceID=13","=")</f>
        <v>=</v>
      </c>
      <c r="AA13" s="4" t="str">
        <f>HYPERLINK("http://141.218.60.56/~jnz1568/getInfo.php?workbook=09_01.xlsx&amp;sheet=A0&amp;row=13&amp;col=27&amp;number=&amp;sourceID=13","")</f>
        <v/>
      </c>
      <c r="AB13" s="4" t="str">
        <f>HYPERLINK("http://141.218.60.56/~jnz1568/getInfo.php?workbook=09_01.xlsx&amp;sheet=A0&amp;row=13&amp;col=28&amp;number=&amp;sourceID=13","")</f>
        <v/>
      </c>
      <c r="AC13" s="4" t="str">
        <f>HYPERLINK("http://141.218.60.56/~jnz1568/getInfo.php?workbook=09_01.xlsx&amp;sheet=A0&amp;row=13&amp;col=29&amp;number=&amp;sourceID=13","")</f>
        <v/>
      </c>
      <c r="AD13" s="4" t="str">
        <f>HYPERLINK("http://141.218.60.56/~jnz1568/getInfo.php?workbook=09_01.xlsx&amp;sheet=A0&amp;row=13&amp;col=30&amp;number=3950&amp;sourceID=13","3950")</f>
        <v>3950</v>
      </c>
      <c r="AE13" s="4" t="str">
        <f>HYPERLINK("http://141.218.60.56/~jnz1568/getInfo.php?workbook=09_01.xlsx&amp;sheet=A0&amp;row=13&amp;col=31&amp;number=&amp;sourceID=13","")</f>
        <v/>
      </c>
    </row>
    <row r="14" spans="1:31">
      <c r="A14" s="3">
        <v>9</v>
      </c>
      <c r="B14" s="3">
        <v>1</v>
      </c>
      <c r="C14" s="3">
        <v>6</v>
      </c>
      <c r="D14" s="3">
        <v>2</v>
      </c>
      <c r="E14" s="3">
        <f>((1/(INDEX(E0!J$4:J$28,C14,1)-INDEX(E0!J$4:J$28,D14,1))))*100000000</f>
        <v>0</v>
      </c>
      <c r="F14" s="4" t="str">
        <f>HYPERLINK("http://141.218.60.56/~jnz1568/getInfo.php?workbook=09_01.xlsx&amp;sheet=A0&amp;row=14&amp;col=6&amp;number=&amp;sourceID=18","")</f>
        <v/>
      </c>
      <c r="G14" s="4" t="str">
        <f>HYPERLINK("http://141.218.60.56/~jnz1568/getInfo.php?workbook=09_01.xlsx&amp;sheet=A0&amp;row=14&amp;col=7&amp;number==&amp;sourceID=11","=")</f>
        <v>=</v>
      </c>
      <c r="H14" s="4" t="str">
        <f>HYPERLINK("http://141.218.60.56/~jnz1568/getInfo.php?workbook=09_01.xlsx&amp;sheet=A0&amp;row=14&amp;col=8&amp;number=13853000000&amp;sourceID=11","13853000000")</f>
        <v>13853000000</v>
      </c>
      <c r="I14" s="4" t="str">
        <f>HYPERLINK("http://141.218.60.56/~jnz1568/getInfo.php?workbook=09_01.xlsx&amp;sheet=A0&amp;row=14&amp;col=9&amp;number=&amp;sourceID=11","")</f>
        <v/>
      </c>
      <c r="J14" s="4" t="str">
        <f>HYPERLINK("http://141.218.60.56/~jnz1568/getInfo.php?workbook=09_01.xlsx&amp;sheet=A0&amp;row=14&amp;col=10&amp;number=&amp;sourceID=11","")</f>
        <v/>
      </c>
      <c r="K14" s="4" t="str">
        <f>HYPERLINK("http://141.218.60.56/~jnz1568/getInfo.php?workbook=09_01.xlsx&amp;sheet=A0&amp;row=14&amp;col=11&amp;number=&amp;sourceID=11","")</f>
        <v/>
      </c>
      <c r="L14" s="4" t="str">
        <f>HYPERLINK("http://141.218.60.56/~jnz1568/getInfo.php?workbook=09_01.xlsx&amp;sheet=A0&amp;row=14&amp;col=12&amp;number=&amp;sourceID=11","")</f>
        <v/>
      </c>
      <c r="M14" s="4" t="str">
        <f>HYPERLINK("http://141.218.60.56/~jnz1568/getInfo.php?workbook=09_01.xlsx&amp;sheet=A0&amp;row=14&amp;col=13&amp;number=&amp;sourceID=11","")</f>
        <v/>
      </c>
      <c r="N14" s="4" t="str">
        <f>HYPERLINK("http://141.218.60.56/~jnz1568/getInfo.php?workbook=09_01.xlsx&amp;sheet=A0&amp;row=14&amp;col=14&amp;number=13853000000&amp;sourceID=12","13853000000")</f>
        <v>13853000000</v>
      </c>
      <c r="O14" s="4" t="str">
        <f>HYPERLINK("http://141.218.60.56/~jnz1568/getInfo.php?workbook=09_01.xlsx&amp;sheet=A0&amp;row=14&amp;col=15&amp;number=13853000000&amp;sourceID=12","13853000000")</f>
        <v>13853000000</v>
      </c>
      <c r="P14" s="4" t="str">
        <f>HYPERLINK("http://141.218.60.56/~jnz1568/getInfo.php?workbook=09_01.xlsx&amp;sheet=A0&amp;row=14&amp;col=16&amp;number=&amp;sourceID=12","")</f>
        <v/>
      </c>
      <c r="Q14" s="4" t="str">
        <f>HYPERLINK("http://141.218.60.56/~jnz1568/getInfo.php?workbook=09_01.xlsx&amp;sheet=A0&amp;row=14&amp;col=17&amp;number=&amp;sourceID=12","")</f>
        <v/>
      </c>
      <c r="R14" s="4" t="str">
        <f>HYPERLINK("http://141.218.60.56/~jnz1568/getInfo.php?workbook=09_01.xlsx&amp;sheet=A0&amp;row=14&amp;col=18&amp;number=&amp;sourceID=12","")</f>
        <v/>
      </c>
      <c r="S14" s="4" t="str">
        <f>HYPERLINK("http://141.218.60.56/~jnz1568/getInfo.php?workbook=09_01.xlsx&amp;sheet=A0&amp;row=14&amp;col=19&amp;number=&amp;sourceID=12","")</f>
        <v/>
      </c>
      <c r="T14" s="4" t="str">
        <f>HYPERLINK("http://141.218.60.56/~jnz1568/getInfo.php?workbook=09_01.xlsx&amp;sheet=A0&amp;row=14&amp;col=20&amp;number=&amp;sourceID=12","")</f>
        <v/>
      </c>
      <c r="U14" s="4" t="str">
        <f>HYPERLINK("http://141.218.60.56/~jnz1568/getInfo.php?workbook=09_01.xlsx&amp;sheet=A0&amp;row=14&amp;col=21&amp;number=13850000000&amp;sourceID=30","13850000000")</f>
        <v>13850000000</v>
      </c>
      <c r="V14" s="4" t="str">
        <f>HYPERLINK("http://141.218.60.56/~jnz1568/getInfo.php?workbook=09_01.xlsx&amp;sheet=A0&amp;row=14&amp;col=22&amp;number=13850000000&amp;sourceID=30","13850000000")</f>
        <v>13850000000</v>
      </c>
      <c r="W14" s="4" t="str">
        <f>HYPERLINK("http://141.218.60.56/~jnz1568/getInfo.php?workbook=09_01.xlsx&amp;sheet=A0&amp;row=14&amp;col=23&amp;number=&amp;sourceID=30","")</f>
        <v/>
      </c>
      <c r="X14" s="4" t="str">
        <f>HYPERLINK("http://141.218.60.56/~jnz1568/getInfo.php?workbook=09_01.xlsx&amp;sheet=A0&amp;row=14&amp;col=24&amp;number=&amp;sourceID=30","")</f>
        <v/>
      </c>
      <c r="Y14" s="4" t="str">
        <f>HYPERLINK("http://141.218.60.56/~jnz1568/getInfo.php?workbook=09_01.xlsx&amp;sheet=A0&amp;row=14&amp;col=25&amp;number=&amp;sourceID=30","")</f>
        <v/>
      </c>
      <c r="Z14" s="4" t="str">
        <f>HYPERLINK("http://141.218.60.56/~jnz1568/getInfo.php?workbook=09_01.xlsx&amp;sheet=A0&amp;row=14&amp;col=26&amp;number==&amp;sourceID=13","=")</f>
        <v>=</v>
      </c>
      <c r="AA14" s="4" t="str">
        <f>HYPERLINK("http://141.218.60.56/~jnz1568/getInfo.php?workbook=09_01.xlsx&amp;sheet=A0&amp;row=14&amp;col=27&amp;number=13700000000&amp;sourceID=13","13700000000")</f>
        <v>13700000000</v>
      </c>
      <c r="AB14" s="4" t="str">
        <f>HYPERLINK("http://141.218.60.56/~jnz1568/getInfo.php?workbook=09_01.xlsx&amp;sheet=A0&amp;row=14&amp;col=28&amp;number=&amp;sourceID=13","")</f>
        <v/>
      </c>
      <c r="AC14" s="4" t="str">
        <f>HYPERLINK("http://141.218.60.56/~jnz1568/getInfo.php?workbook=09_01.xlsx&amp;sheet=A0&amp;row=14&amp;col=29&amp;number=&amp;sourceID=13","")</f>
        <v/>
      </c>
      <c r="AD14" s="4" t="str">
        <f>HYPERLINK("http://141.218.60.56/~jnz1568/getInfo.php?workbook=09_01.xlsx&amp;sheet=A0&amp;row=14&amp;col=30&amp;number=&amp;sourceID=13","")</f>
        <v/>
      </c>
      <c r="AE14" s="4" t="str">
        <f>HYPERLINK("http://141.218.60.56/~jnz1568/getInfo.php?workbook=09_01.xlsx&amp;sheet=A0&amp;row=14&amp;col=31&amp;number=&amp;sourceID=13","")</f>
        <v/>
      </c>
    </row>
    <row r="15" spans="1:31">
      <c r="A15" s="3">
        <v>9</v>
      </c>
      <c r="B15" s="3">
        <v>1</v>
      </c>
      <c r="C15" s="3">
        <v>6</v>
      </c>
      <c r="D15" s="3">
        <v>3</v>
      </c>
      <c r="E15" s="3">
        <f>((1/(INDEX(E0!J$4:J$28,C15,1)-INDEX(E0!J$4:J$28,D15,1))))*100000000</f>
        <v>0</v>
      </c>
      <c r="F15" s="4" t="str">
        <f>HYPERLINK("http://141.218.60.56/~jnz1568/getInfo.php?workbook=09_01.xlsx&amp;sheet=A0&amp;row=15&amp;col=6&amp;number=&amp;sourceID=18","")</f>
        <v/>
      </c>
      <c r="G15" s="4" t="str">
        <f>HYPERLINK("http://141.218.60.56/~jnz1568/getInfo.php?workbook=09_01.xlsx&amp;sheet=A0&amp;row=15&amp;col=7&amp;number==&amp;sourceID=11","=")</f>
        <v>=</v>
      </c>
      <c r="H15" s="4" t="str">
        <f>HYPERLINK("http://141.218.60.56/~jnz1568/getInfo.php?workbook=09_01.xlsx&amp;sheet=A0&amp;row=15&amp;col=8&amp;number=&amp;sourceID=11","")</f>
        <v/>
      </c>
      <c r="I15" s="4" t="str">
        <f>HYPERLINK("http://141.218.60.56/~jnz1568/getInfo.php?workbook=09_01.xlsx&amp;sheet=A0&amp;row=15&amp;col=9&amp;number=&amp;sourceID=11","")</f>
        <v/>
      </c>
      <c r="J15" s="4" t="str">
        <f>HYPERLINK("http://141.218.60.56/~jnz1568/getInfo.php?workbook=09_01.xlsx&amp;sheet=A0&amp;row=15&amp;col=10&amp;number=&amp;sourceID=11","")</f>
        <v/>
      </c>
      <c r="K15" s="4" t="str">
        <f>HYPERLINK("http://141.218.60.56/~jnz1568/getInfo.php?workbook=09_01.xlsx&amp;sheet=A0&amp;row=15&amp;col=11&amp;number=6.5922&amp;sourceID=11","6.5922")</f>
        <v>6.5922</v>
      </c>
      <c r="L15" s="4" t="str">
        <f>HYPERLINK("http://141.218.60.56/~jnz1568/getInfo.php?workbook=09_01.xlsx&amp;sheet=A0&amp;row=15&amp;col=12&amp;number=&amp;sourceID=11","")</f>
        <v/>
      </c>
      <c r="M15" s="4" t="str">
        <f>HYPERLINK("http://141.218.60.56/~jnz1568/getInfo.php?workbook=09_01.xlsx&amp;sheet=A0&amp;row=15&amp;col=13&amp;number=&amp;sourceID=11","")</f>
        <v/>
      </c>
      <c r="N15" s="4" t="str">
        <f>HYPERLINK("http://141.218.60.56/~jnz1568/getInfo.php?workbook=09_01.xlsx&amp;sheet=A0&amp;row=15&amp;col=14&amp;number=6.5924&amp;sourceID=12","6.5924")</f>
        <v>6.5924</v>
      </c>
      <c r="O15" s="4" t="str">
        <f>HYPERLINK("http://141.218.60.56/~jnz1568/getInfo.php?workbook=09_01.xlsx&amp;sheet=A0&amp;row=15&amp;col=15&amp;number=&amp;sourceID=12","")</f>
        <v/>
      </c>
      <c r="P15" s="4" t="str">
        <f>HYPERLINK("http://141.218.60.56/~jnz1568/getInfo.php?workbook=09_01.xlsx&amp;sheet=A0&amp;row=15&amp;col=16&amp;number=&amp;sourceID=12","")</f>
        <v/>
      </c>
      <c r="Q15" s="4" t="str">
        <f>HYPERLINK("http://141.218.60.56/~jnz1568/getInfo.php?workbook=09_01.xlsx&amp;sheet=A0&amp;row=15&amp;col=17&amp;number=&amp;sourceID=12","")</f>
        <v/>
      </c>
      <c r="R15" s="4" t="str">
        <f>HYPERLINK("http://141.218.60.56/~jnz1568/getInfo.php?workbook=09_01.xlsx&amp;sheet=A0&amp;row=15&amp;col=18&amp;number=6.5924&amp;sourceID=12","6.5924")</f>
        <v>6.5924</v>
      </c>
      <c r="S15" s="4" t="str">
        <f>HYPERLINK("http://141.218.60.56/~jnz1568/getInfo.php?workbook=09_01.xlsx&amp;sheet=A0&amp;row=15&amp;col=19&amp;number=&amp;sourceID=12","")</f>
        <v/>
      </c>
      <c r="T15" s="4" t="str">
        <f>HYPERLINK("http://141.218.60.56/~jnz1568/getInfo.php?workbook=09_01.xlsx&amp;sheet=A0&amp;row=15&amp;col=20&amp;number=&amp;sourceID=12","")</f>
        <v/>
      </c>
      <c r="U15" s="4" t="str">
        <f>HYPERLINK("http://141.218.60.56/~jnz1568/getInfo.php?workbook=09_01.xlsx&amp;sheet=A0&amp;row=15&amp;col=21&amp;number=6.592&amp;sourceID=30","6.592")</f>
        <v>6.592</v>
      </c>
      <c r="V15" s="4" t="str">
        <f>HYPERLINK("http://141.218.60.56/~jnz1568/getInfo.php?workbook=09_01.xlsx&amp;sheet=A0&amp;row=15&amp;col=22&amp;number=&amp;sourceID=30","")</f>
        <v/>
      </c>
      <c r="W15" s="4" t="str">
        <f>HYPERLINK("http://141.218.60.56/~jnz1568/getInfo.php?workbook=09_01.xlsx&amp;sheet=A0&amp;row=15&amp;col=23&amp;number=&amp;sourceID=30","")</f>
        <v/>
      </c>
      <c r="X15" s="4" t="str">
        <f>HYPERLINK("http://141.218.60.56/~jnz1568/getInfo.php?workbook=09_01.xlsx&amp;sheet=A0&amp;row=15&amp;col=24&amp;number=6.592&amp;sourceID=30","6.592")</f>
        <v>6.592</v>
      </c>
      <c r="Y15" s="4" t="str">
        <f>HYPERLINK("http://141.218.60.56/~jnz1568/getInfo.php?workbook=09_01.xlsx&amp;sheet=A0&amp;row=15&amp;col=25&amp;number=&amp;sourceID=30","")</f>
        <v/>
      </c>
      <c r="Z15" s="4" t="str">
        <f>HYPERLINK("http://141.218.60.56/~jnz1568/getInfo.php?workbook=09_01.xlsx&amp;sheet=A0&amp;row=15&amp;col=26&amp;number==&amp;sourceID=13","=")</f>
        <v>=</v>
      </c>
      <c r="AA15" s="4" t="str">
        <f>HYPERLINK("http://141.218.60.56/~jnz1568/getInfo.php?workbook=09_01.xlsx&amp;sheet=A0&amp;row=15&amp;col=27&amp;number=&amp;sourceID=13","")</f>
        <v/>
      </c>
      <c r="AB15" s="4" t="str">
        <f>HYPERLINK("http://141.218.60.56/~jnz1568/getInfo.php?workbook=09_01.xlsx&amp;sheet=A0&amp;row=15&amp;col=28&amp;number=&amp;sourceID=13","")</f>
        <v/>
      </c>
      <c r="AC15" s="4" t="str">
        <f>HYPERLINK("http://141.218.60.56/~jnz1568/getInfo.php?workbook=09_01.xlsx&amp;sheet=A0&amp;row=15&amp;col=29&amp;number=&amp;sourceID=13","")</f>
        <v/>
      </c>
      <c r="AD15" s="4" t="str">
        <f>HYPERLINK("http://141.218.60.56/~jnz1568/getInfo.php?workbook=09_01.xlsx&amp;sheet=A0&amp;row=15&amp;col=30&amp;number=6.55&amp;sourceID=13","6.55")</f>
        <v>6.55</v>
      </c>
      <c r="AE15" s="4" t="str">
        <f>HYPERLINK("http://141.218.60.56/~jnz1568/getInfo.php?workbook=09_01.xlsx&amp;sheet=A0&amp;row=15&amp;col=31&amp;number=&amp;sourceID=13","")</f>
        <v/>
      </c>
    </row>
    <row r="16" spans="1:31">
      <c r="A16" s="3">
        <v>9</v>
      </c>
      <c r="B16" s="3">
        <v>1</v>
      </c>
      <c r="C16" s="3">
        <v>6</v>
      </c>
      <c r="D16" s="3">
        <v>4</v>
      </c>
      <c r="E16" s="3">
        <f>((1/(INDEX(E0!J$4:J$28,C16,1)-INDEX(E0!J$4:J$28,D16,1))))*100000000</f>
        <v>0</v>
      </c>
      <c r="F16" s="4" t="str">
        <f>HYPERLINK("http://141.218.60.56/~jnz1568/getInfo.php?workbook=09_01.xlsx&amp;sheet=A0&amp;row=16&amp;col=6&amp;number=&amp;sourceID=18","")</f>
        <v/>
      </c>
      <c r="G16" s="4" t="str">
        <f>HYPERLINK("http://141.218.60.56/~jnz1568/getInfo.php?workbook=09_01.xlsx&amp;sheet=A0&amp;row=16&amp;col=7&amp;number==&amp;sourceID=11","=")</f>
        <v>=</v>
      </c>
      <c r="H16" s="4" t="str">
        <f>HYPERLINK("http://141.218.60.56/~jnz1568/getInfo.php?workbook=09_01.xlsx&amp;sheet=A0&amp;row=16&amp;col=8&amp;number=27954000000&amp;sourceID=11","27954000000")</f>
        <v>27954000000</v>
      </c>
      <c r="I16" s="4" t="str">
        <f>HYPERLINK("http://141.218.60.56/~jnz1568/getInfo.php?workbook=09_01.xlsx&amp;sheet=A0&amp;row=16&amp;col=9&amp;number=&amp;sourceID=11","")</f>
        <v/>
      </c>
      <c r="J16" s="4" t="str">
        <f>HYPERLINK("http://141.218.60.56/~jnz1568/getInfo.php?workbook=09_01.xlsx&amp;sheet=A0&amp;row=16&amp;col=10&amp;number=&amp;sourceID=11","")</f>
        <v/>
      </c>
      <c r="K16" s="4" t="str">
        <f>HYPERLINK("http://141.218.60.56/~jnz1568/getInfo.php?workbook=09_01.xlsx&amp;sheet=A0&amp;row=16&amp;col=11&amp;number=&amp;sourceID=11","")</f>
        <v/>
      </c>
      <c r="L16" s="4" t="str">
        <f>HYPERLINK("http://141.218.60.56/~jnz1568/getInfo.php?workbook=09_01.xlsx&amp;sheet=A0&amp;row=16&amp;col=12&amp;number=470.32&amp;sourceID=11","470.32")</f>
        <v>470.32</v>
      </c>
      <c r="M16" s="4" t="str">
        <f>HYPERLINK("http://141.218.60.56/~jnz1568/getInfo.php?workbook=09_01.xlsx&amp;sheet=A0&amp;row=16&amp;col=13&amp;number=&amp;sourceID=11","")</f>
        <v/>
      </c>
      <c r="N16" s="4" t="str">
        <f>HYPERLINK("http://141.218.60.56/~jnz1568/getInfo.php?workbook=09_01.xlsx&amp;sheet=A0&amp;row=16&amp;col=14&amp;number=27955000000&amp;sourceID=12","27955000000")</f>
        <v>27955000000</v>
      </c>
      <c r="O16" s="4" t="str">
        <f>HYPERLINK("http://141.218.60.56/~jnz1568/getInfo.php?workbook=09_01.xlsx&amp;sheet=A0&amp;row=16&amp;col=15&amp;number=27955000000&amp;sourceID=12","27955000000")</f>
        <v>27955000000</v>
      </c>
      <c r="P16" s="4" t="str">
        <f>HYPERLINK("http://141.218.60.56/~jnz1568/getInfo.php?workbook=09_01.xlsx&amp;sheet=A0&amp;row=16&amp;col=16&amp;number=&amp;sourceID=12","")</f>
        <v/>
      </c>
      <c r="Q16" s="4" t="str">
        <f>HYPERLINK("http://141.218.60.56/~jnz1568/getInfo.php?workbook=09_01.xlsx&amp;sheet=A0&amp;row=16&amp;col=17&amp;number=&amp;sourceID=12","")</f>
        <v/>
      </c>
      <c r="R16" s="4" t="str">
        <f>HYPERLINK("http://141.218.60.56/~jnz1568/getInfo.php?workbook=09_01.xlsx&amp;sheet=A0&amp;row=16&amp;col=18&amp;number=&amp;sourceID=12","")</f>
        <v/>
      </c>
      <c r="S16" s="4" t="str">
        <f>HYPERLINK("http://141.218.60.56/~jnz1568/getInfo.php?workbook=09_01.xlsx&amp;sheet=A0&amp;row=16&amp;col=19&amp;number=470.33&amp;sourceID=12","470.33")</f>
        <v>470.33</v>
      </c>
      <c r="T16" s="4" t="str">
        <f>HYPERLINK("http://141.218.60.56/~jnz1568/getInfo.php?workbook=09_01.xlsx&amp;sheet=A0&amp;row=16&amp;col=20&amp;number=&amp;sourceID=12","")</f>
        <v/>
      </c>
      <c r="U16" s="4" t="str">
        <f>HYPERLINK("http://141.218.60.56/~jnz1568/getInfo.php?workbook=09_01.xlsx&amp;sheet=A0&amp;row=16&amp;col=21&amp;number=27950000470.3&amp;sourceID=30","27950000470.3")</f>
        <v>27950000470.3</v>
      </c>
      <c r="V16" s="4" t="str">
        <f>HYPERLINK("http://141.218.60.56/~jnz1568/getInfo.php?workbook=09_01.xlsx&amp;sheet=A0&amp;row=16&amp;col=22&amp;number=27950000000&amp;sourceID=30","27950000000")</f>
        <v>27950000000</v>
      </c>
      <c r="W16" s="4" t="str">
        <f>HYPERLINK("http://141.218.60.56/~jnz1568/getInfo.php?workbook=09_01.xlsx&amp;sheet=A0&amp;row=16&amp;col=23&amp;number=&amp;sourceID=30","")</f>
        <v/>
      </c>
      <c r="X16" s="4" t="str">
        <f>HYPERLINK("http://141.218.60.56/~jnz1568/getInfo.php?workbook=09_01.xlsx&amp;sheet=A0&amp;row=16&amp;col=24&amp;number=&amp;sourceID=30","")</f>
        <v/>
      </c>
      <c r="Y16" s="4" t="str">
        <f>HYPERLINK("http://141.218.60.56/~jnz1568/getInfo.php?workbook=09_01.xlsx&amp;sheet=A0&amp;row=16&amp;col=25&amp;number=470.3&amp;sourceID=30","470.3")</f>
        <v>470.3</v>
      </c>
      <c r="Z16" s="4" t="str">
        <f>HYPERLINK("http://141.218.60.56/~jnz1568/getInfo.php?workbook=09_01.xlsx&amp;sheet=A0&amp;row=16&amp;col=26&amp;number==&amp;sourceID=13","=")</f>
        <v>=</v>
      </c>
      <c r="AA16" s="4" t="str">
        <f>HYPERLINK("http://141.218.60.56/~jnz1568/getInfo.php?workbook=09_01.xlsx&amp;sheet=A0&amp;row=16&amp;col=27&amp;number=27800000000&amp;sourceID=13","27800000000")</f>
        <v>27800000000</v>
      </c>
      <c r="AB16" s="4" t="str">
        <f>HYPERLINK("http://141.218.60.56/~jnz1568/getInfo.php?workbook=09_01.xlsx&amp;sheet=A0&amp;row=16&amp;col=28&amp;number=&amp;sourceID=13","")</f>
        <v/>
      </c>
      <c r="AC16" s="4" t="str">
        <f>HYPERLINK("http://141.218.60.56/~jnz1568/getInfo.php?workbook=09_01.xlsx&amp;sheet=A0&amp;row=16&amp;col=29&amp;number=&amp;sourceID=13","")</f>
        <v/>
      </c>
      <c r="AD16" s="4" t="str">
        <f>HYPERLINK("http://141.218.60.56/~jnz1568/getInfo.php?workbook=09_01.xlsx&amp;sheet=A0&amp;row=16&amp;col=30&amp;number=&amp;sourceID=13","")</f>
        <v/>
      </c>
      <c r="AE16" s="4" t="str">
        <f>HYPERLINK("http://141.218.60.56/~jnz1568/getInfo.php?workbook=09_01.xlsx&amp;sheet=A0&amp;row=16&amp;col=31&amp;number=&amp;sourceID=13","")</f>
        <v/>
      </c>
    </row>
    <row r="17" spans="1:31">
      <c r="A17" s="3">
        <v>9</v>
      </c>
      <c r="B17" s="3">
        <v>1</v>
      </c>
      <c r="C17" s="3">
        <v>7</v>
      </c>
      <c r="D17" s="3">
        <v>1</v>
      </c>
      <c r="E17" s="3">
        <f>((1/(INDEX(E0!J$4:J$28,C17,1)-INDEX(E0!J$4:J$28,D17,1))))*100000000</f>
        <v>0</v>
      </c>
      <c r="F17" s="4" t="str">
        <f>HYPERLINK("http://141.218.60.56/~jnz1568/getInfo.php?workbook=09_01.xlsx&amp;sheet=A0&amp;row=17&amp;col=6&amp;number=&amp;sourceID=18","")</f>
        <v/>
      </c>
      <c r="G17" s="4" t="str">
        <f>HYPERLINK("http://141.218.60.56/~jnz1568/getInfo.php?workbook=09_01.xlsx&amp;sheet=A0&amp;row=17&amp;col=7&amp;number==&amp;sourceID=11","=")</f>
        <v>=</v>
      </c>
      <c r="H17" s="4" t="str">
        <f>HYPERLINK("http://141.218.60.56/~jnz1568/getInfo.php?workbook=09_01.xlsx&amp;sheet=A0&amp;row=17&amp;col=8&amp;number=&amp;sourceID=11","")</f>
        <v/>
      </c>
      <c r="I17" s="4" t="str">
        <f>HYPERLINK("http://141.218.60.56/~jnz1568/getInfo.php?workbook=09_01.xlsx&amp;sheet=A0&amp;row=17&amp;col=9&amp;number=315290000&amp;sourceID=11","315290000")</f>
        <v>315290000</v>
      </c>
      <c r="J17" s="4" t="str">
        <f>HYPERLINK("http://141.218.60.56/~jnz1568/getInfo.php?workbook=09_01.xlsx&amp;sheet=A0&amp;row=17&amp;col=10&amp;number=&amp;sourceID=11","")</f>
        <v/>
      </c>
      <c r="K17" s="4" t="str">
        <f>HYPERLINK("http://141.218.60.56/~jnz1568/getInfo.php?workbook=09_01.xlsx&amp;sheet=A0&amp;row=17&amp;col=11&amp;number=24.199&amp;sourceID=11","24.199")</f>
        <v>24.199</v>
      </c>
      <c r="L17" s="4" t="str">
        <f>HYPERLINK("http://141.218.60.56/~jnz1568/getInfo.php?workbook=09_01.xlsx&amp;sheet=A0&amp;row=17&amp;col=12&amp;number=&amp;sourceID=11","")</f>
        <v/>
      </c>
      <c r="M17" s="4" t="str">
        <f>HYPERLINK("http://141.218.60.56/~jnz1568/getInfo.php?workbook=09_01.xlsx&amp;sheet=A0&amp;row=17&amp;col=13&amp;number=&amp;sourceID=11","")</f>
        <v/>
      </c>
      <c r="N17" s="4" t="str">
        <f>HYPERLINK("http://141.218.60.56/~jnz1568/getInfo.php?workbook=09_01.xlsx&amp;sheet=A0&amp;row=17&amp;col=14&amp;number=315300000&amp;sourceID=12","315300000")</f>
        <v>315300000</v>
      </c>
      <c r="O17" s="4" t="str">
        <f>HYPERLINK("http://141.218.60.56/~jnz1568/getInfo.php?workbook=09_01.xlsx&amp;sheet=A0&amp;row=17&amp;col=15&amp;number=&amp;sourceID=12","")</f>
        <v/>
      </c>
      <c r="P17" s="4" t="str">
        <f>HYPERLINK("http://141.218.60.56/~jnz1568/getInfo.php?workbook=09_01.xlsx&amp;sheet=A0&amp;row=17&amp;col=16&amp;number=315300000&amp;sourceID=12","315300000")</f>
        <v>315300000</v>
      </c>
      <c r="Q17" s="4" t="str">
        <f>HYPERLINK("http://141.218.60.56/~jnz1568/getInfo.php?workbook=09_01.xlsx&amp;sheet=A0&amp;row=17&amp;col=17&amp;number=&amp;sourceID=12","")</f>
        <v/>
      </c>
      <c r="R17" s="4" t="str">
        <f>HYPERLINK("http://141.218.60.56/~jnz1568/getInfo.php?workbook=09_01.xlsx&amp;sheet=A0&amp;row=17&amp;col=18&amp;number=24.199&amp;sourceID=12","24.199")</f>
        <v>24.199</v>
      </c>
      <c r="S17" s="4" t="str">
        <f>HYPERLINK("http://141.218.60.56/~jnz1568/getInfo.php?workbook=09_01.xlsx&amp;sheet=A0&amp;row=17&amp;col=19&amp;number=&amp;sourceID=12","")</f>
        <v/>
      </c>
      <c r="T17" s="4" t="str">
        <f>HYPERLINK("http://141.218.60.56/~jnz1568/getInfo.php?workbook=09_01.xlsx&amp;sheet=A0&amp;row=17&amp;col=20&amp;number=&amp;sourceID=12","")</f>
        <v/>
      </c>
      <c r="U17" s="4" t="str">
        <f>HYPERLINK("http://141.218.60.56/~jnz1568/getInfo.php?workbook=09_01.xlsx&amp;sheet=A0&amp;row=17&amp;col=21&amp;number=315300024.2&amp;sourceID=30","315300024.2")</f>
        <v>315300024.2</v>
      </c>
      <c r="V17" s="4" t="str">
        <f>HYPERLINK("http://141.218.60.56/~jnz1568/getInfo.php?workbook=09_01.xlsx&amp;sheet=A0&amp;row=17&amp;col=22&amp;number=&amp;sourceID=30","")</f>
        <v/>
      </c>
      <c r="W17" s="4" t="str">
        <f>HYPERLINK("http://141.218.60.56/~jnz1568/getInfo.php?workbook=09_01.xlsx&amp;sheet=A0&amp;row=17&amp;col=23&amp;number=315300000&amp;sourceID=30","315300000")</f>
        <v>315300000</v>
      </c>
      <c r="X17" s="4" t="str">
        <f>HYPERLINK("http://141.218.60.56/~jnz1568/getInfo.php?workbook=09_01.xlsx&amp;sheet=A0&amp;row=17&amp;col=24&amp;number=24.2&amp;sourceID=30","24.2")</f>
        <v>24.2</v>
      </c>
      <c r="Y17" s="4" t="str">
        <f>HYPERLINK("http://141.218.60.56/~jnz1568/getInfo.php?workbook=09_01.xlsx&amp;sheet=A0&amp;row=17&amp;col=25&amp;number=&amp;sourceID=30","")</f>
        <v/>
      </c>
      <c r="Z17" s="4" t="str">
        <f>HYPERLINK("http://141.218.60.56/~jnz1568/getInfo.php?workbook=09_01.xlsx&amp;sheet=A0&amp;row=17&amp;col=26&amp;number==&amp;sourceID=13","=")</f>
        <v>=</v>
      </c>
      <c r="AA17" s="4" t="str">
        <f>HYPERLINK("http://141.218.60.56/~jnz1568/getInfo.php?workbook=09_01.xlsx&amp;sheet=A0&amp;row=17&amp;col=27&amp;number=&amp;sourceID=13","")</f>
        <v/>
      </c>
      <c r="AB17" s="4" t="str">
        <f>HYPERLINK("http://141.218.60.56/~jnz1568/getInfo.php?workbook=09_01.xlsx&amp;sheet=A0&amp;row=17&amp;col=28&amp;number=319000000&amp;sourceID=13","319000000")</f>
        <v>319000000</v>
      </c>
      <c r="AC17" s="4" t="str">
        <f>HYPERLINK("http://141.218.60.56/~jnz1568/getInfo.php?workbook=09_01.xlsx&amp;sheet=A0&amp;row=17&amp;col=29&amp;number=&amp;sourceID=13","")</f>
        <v/>
      </c>
      <c r="AD17" s="4" t="str">
        <f>HYPERLINK("http://141.218.60.56/~jnz1568/getInfo.php?workbook=09_01.xlsx&amp;sheet=A0&amp;row=17&amp;col=30&amp;number=66.5&amp;sourceID=13","66.5")</f>
        <v>66.5</v>
      </c>
      <c r="AE17" s="4" t="str">
        <f>HYPERLINK("http://141.218.60.56/~jnz1568/getInfo.php?workbook=09_01.xlsx&amp;sheet=A0&amp;row=17&amp;col=31&amp;number=&amp;sourceID=13","")</f>
        <v/>
      </c>
    </row>
    <row r="18" spans="1:31">
      <c r="A18" s="3">
        <v>9</v>
      </c>
      <c r="B18" s="3">
        <v>1</v>
      </c>
      <c r="C18" s="3">
        <v>7</v>
      </c>
      <c r="D18" s="3">
        <v>2</v>
      </c>
      <c r="E18" s="3">
        <f>((1/(INDEX(E0!J$4:J$28,C18,1)-INDEX(E0!J$4:J$28,D18,1))))*100000000</f>
        <v>0</v>
      </c>
      <c r="F18" s="4" t="str">
        <f>HYPERLINK("http://141.218.60.56/~jnz1568/getInfo.php?workbook=09_01.xlsx&amp;sheet=A0&amp;row=18&amp;col=6&amp;number=&amp;sourceID=18","")</f>
        <v/>
      </c>
      <c r="G18" s="4" t="str">
        <f>HYPERLINK("http://141.218.60.56/~jnz1568/getInfo.php?workbook=09_01.xlsx&amp;sheet=A0&amp;row=18&amp;col=7&amp;number==&amp;sourceID=11","=")</f>
        <v>=</v>
      </c>
      <c r="H18" s="4" t="str">
        <f>HYPERLINK("http://141.218.60.56/~jnz1568/getInfo.php?workbook=09_01.xlsx&amp;sheet=A0&amp;row=18&amp;col=8&amp;number=354300000000&amp;sourceID=11","354300000000")</f>
        <v>354300000000</v>
      </c>
      <c r="I18" s="4" t="str">
        <f>HYPERLINK("http://141.218.60.56/~jnz1568/getInfo.php?workbook=09_01.xlsx&amp;sheet=A0&amp;row=18&amp;col=9&amp;number=&amp;sourceID=11","")</f>
        <v/>
      </c>
      <c r="J18" s="4" t="str">
        <f>HYPERLINK("http://141.218.60.56/~jnz1568/getInfo.php?workbook=09_01.xlsx&amp;sheet=A0&amp;row=18&amp;col=10&amp;number=&amp;sourceID=11","")</f>
        <v/>
      </c>
      <c r="K18" s="4" t="str">
        <f>HYPERLINK("http://141.218.60.56/~jnz1568/getInfo.php?workbook=09_01.xlsx&amp;sheet=A0&amp;row=18&amp;col=11&amp;number=&amp;sourceID=11","")</f>
        <v/>
      </c>
      <c r="L18" s="4" t="str">
        <f>HYPERLINK("http://141.218.60.56/~jnz1568/getInfo.php?workbook=09_01.xlsx&amp;sheet=A0&amp;row=18&amp;col=12&amp;number=239.21&amp;sourceID=11","239.21")</f>
        <v>239.21</v>
      </c>
      <c r="M18" s="4" t="str">
        <f>HYPERLINK("http://141.218.60.56/~jnz1568/getInfo.php?workbook=09_01.xlsx&amp;sheet=A0&amp;row=18&amp;col=13&amp;number=&amp;sourceID=11","")</f>
        <v/>
      </c>
      <c r="N18" s="4" t="str">
        <f>HYPERLINK("http://141.218.60.56/~jnz1568/getInfo.php?workbook=09_01.xlsx&amp;sheet=A0&amp;row=18&amp;col=14&amp;number=354310000000&amp;sourceID=12","354310000000")</f>
        <v>354310000000</v>
      </c>
      <c r="O18" s="4" t="str">
        <f>HYPERLINK("http://141.218.60.56/~jnz1568/getInfo.php?workbook=09_01.xlsx&amp;sheet=A0&amp;row=18&amp;col=15&amp;number=354310000000&amp;sourceID=12","354310000000")</f>
        <v>354310000000</v>
      </c>
      <c r="P18" s="4" t="str">
        <f>HYPERLINK("http://141.218.60.56/~jnz1568/getInfo.php?workbook=09_01.xlsx&amp;sheet=A0&amp;row=18&amp;col=16&amp;number=&amp;sourceID=12","")</f>
        <v/>
      </c>
      <c r="Q18" s="4" t="str">
        <f>HYPERLINK("http://141.218.60.56/~jnz1568/getInfo.php?workbook=09_01.xlsx&amp;sheet=A0&amp;row=18&amp;col=17&amp;number=&amp;sourceID=12","")</f>
        <v/>
      </c>
      <c r="R18" s="4" t="str">
        <f>HYPERLINK("http://141.218.60.56/~jnz1568/getInfo.php?workbook=09_01.xlsx&amp;sheet=A0&amp;row=18&amp;col=18&amp;number=&amp;sourceID=12","")</f>
        <v/>
      </c>
      <c r="S18" s="4" t="str">
        <f>HYPERLINK("http://141.218.60.56/~jnz1568/getInfo.php?workbook=09_01.xlsx&amp;sheet=A0&amp;row=18&amp;col=19&amp;number=239.21&amp;sourceID=12","239.21")</f>
        <v>239.21</v>
      </c>
      <c r="T18" s="4" t="str">
        <f>HYPERLINK("http://141.218.60.56/~jnz1568/getInfo.php?workbook=09_01.xlsx&amp;sheet=A0&amp;row=18&amp;col=20&amp;number=&amp;sourceID=12","")</f>
        <v/>
      </c>
      <c r="U18" s="4" t="str">
        <f>HYPERLINK("http://141.218.60.56/~jnz1568/getInfo.php?workbook=09_01.xlsx&amp;sheet=A0&amp;row=18&amp;col=21&amp;number=3.54300000239e+11&amp;sourceID=30","3.54300000239e+11")</f>
        <v>3.54300000239e+11</v>
      </c>
      <c r="V18" s="4" t="str">
        <f>HYPERLINK("http://141.218.60.56/~jnz1568/getInfo.php?workbook=09_01.xlsx&amp;sheet=A0&amp;row=18&amp;col=22&amp;number=354300000000&amp;sourceID=30","354300000000")</f>
        <v>354300000000</v>
      </c>
      <c r="W18" s="4" t="str">
        <f>HYPERLINK("http://141.218.60.56/~jnz1568/getInfo.php?workbook=09_01.xlsx&amp;sheet=A0&amp;row=18&amp;col=23&amp;number=&amp;sourceID=30","")</f>
        <v/>
      </c>
      <c r="X18" s="4" t="str">
        <f>HYPERLINK("http://141.218.60.56/~jnz1568/getInfo.php?workbook=09_01.xlsx&amp;sheet=A0&amp;row=18&amp;col=24&amp;number=&amp;sourceID=30","")</f>
        <v/>
      </c>
      <c r="Y18" s="4" t="str">
        <f>HYPERLINK("http://141.218.60.56/~jnz1568/getInfo.php?workbook=09_01.xlsx&amp;sheet=A0&amp;row=18&amp;col=25&amp;number=239.2&amp;sourceID=30","239.2")</f>
        <v>239.2</v>
      </c>
      <c r="Z18" s="4" t="str">
        <f>HYPERLINK("http://141.218.60.56/~jnz1568/getInfo.php?workbook=09_01.xlsx&amp;sheet=A0&amp;row=18&amp;col=26&amp;number==&amp;sourceID=13","=")</f>
        <v>=</v>
      </c>
      <c r="AA18" s="4" t="str">
        <f>HYPERLINK("http://141.218.60.56/~jnz1568/getInfo.php?workbook=09_01.xlsx&amp;sheet=A0&amp;row=18&amp;col=27&amp;number=354000000000&amp;sourceID=13","354000000000")</f>
        <v>354000000000</v>
      </c>
      <c r="AB18" s="4" t="str">
        <f>HYPERLINK("http://141.218.60.56/~jnz1568/getInfo.php?workbook=09_01.xlsx&amp;sheet=A0&amp;row=18&amp;col=28&amp;number=&amp;sourceID=13","")</f>
        <v/>
      </c>
      <c r="AC18" s="4" t="str">
        <f>HYPERLINK("http://141.218.60.56/~jnz1568/getInfo.php?workbook=09_01.xlsx&amp;sheet=A0&amp;row=18&amp;col=29&amp;number=&amp;sourceID=13","")</f>
        <v/>
      </c>
      <c r="AD18" s="4" t="str">
        <f>HYPERLINK("http://141.218.60.56/~jnz1568/getInfo.php?workbook=09_01.xlsx&amp;sheet=A0&amp;row=18&amp;col=30&amp;number=&amp;sourceID=13","")</f>
        <v/>
      </c>
      <c r="AE18" s="4" t="str">
        <f>HYPERLINK("http://141.218.60.56/~jnz1568/getInfo.php?workbook=09_01.xlsx&amp;sheet=A0&amp;row=18&amp;col=31&amp;number=&amp;sourceID=13","")</f>
        <v/>
      </c>
    </row>
    <row r="19" spans="1:31">
      <c r="A19" s="3">
        <v>9</v>
      </c>
      <c r="B19" s="3">
        <v>1</v>
      </c>
      <c r="C19" s="3">
        <v>7</v>
      </c>
      <c r="D19" s="3">
        <v>3</v>
      </c>
      <c r="E19" s="3">
        <f>((1/(INDEX(E0!J$4:J$28,C19,1)-INDEX(E0!J$4:J$28,D19,1))))*100000000</f>
        <v>0</v>
      </c>
      <c r="F19" s="4" t="str">
        <f>HYPERLINK("http://141.218.60.56/~jnz1568/getInfo.php?workbook=09_01.xlsx&amp;sheet=A0&amp;row=19&amp;col=6&amp;number=&amp;sourceID=18","")</f>
        <v/>
      </c>
      <c r="G19" s="4" t="str">
        <f>HYPERLINK("http://141.218.60.56/~jnz1568/getInfo.php?workbook=09_01.xlsx&amp;sheet=A0&amp;row=19&amp;col=7&amp;number==&amp;sourceID=11","=")</f>
        <v>=</v>
      </c>
      <c r="H19" s="4" t="str">
        <f>HYPERLINK("http://141.218.60.56/~jnz1568/getInfo.php?workbook=09_01.xlsx&amp;sheet=A0&amp;row=19&amp;col=8&amp;number=&amp;sourceID=11","")</f>
        <v/>
      </c>
      <c r="I19" s="4" t="str">
        <f>HYPERLINK("http://141.218.60.56/~jnz1568/getInfo.php?workbook=09_01.xlsx&amp;sheet=A0&amp;row=19&amp;col=9&amp;number=27252000&amp;sourceID=11","27252000")</f>
        <v>27252000</v>
      </c>
      <c r="J19" s="4" t="str">
        <f>HYPERLINK("http://141.218.60.56/~jnz1568/getInfo.php?workbook=09_01.xlsx&amp;sheet=A0&amp;row=19&amp;col=10&amp;number=&amp;sourceID=11","")</f>
        <v/>
      </c>
      <c r="K19" s="4" t="str">
        <f>HYPERLINK("http://141.218.60.56/~jnz1568/getInfo.php?workbook=09_01.xlsx&amp;sheet=A0&amp;row=19&amp;col=11&amp;number=0.36869&amp;sourceID=11","0.36869")</f>
        <v>0.36869</v>
      </c>
      <c r="L19" s="4" t="str">
        <f>HYPERLINK("http://141.218.60.56/~jnz1568/getInfo.php?workbook=09_01.xlsx&amp;sheet=A0&amp;row=19&amp;col=12&amp;number=&amp;sourceID=11","")</f>
        <v/>
      </c>
      <c r="M19" s="4" t="str">
        <f>HYPERLINK("http://141.218.60.56/~jnz1568/getInfo.php?workbook=09_01.xlsx&amp;sheet=A0&amp;row=19&amp;col=13&amp;number=&amp;sourceID=11","")</f>
        <v/>
      </c>
      <c r="N19" s="4" t="str">
        <f>HYPERLINK("http://141.218.60.56/~jnz1568/getInfo.php?workbook=09_01.xlsx&amp;sheet=A0&amp;row=19&amp;col=14&amp;number=27253000&amp;sourceID=12","27253000")</f>
        <v>27253000</v>
      </c>
      <c r="O19" s="4" t="str">
        <f>HYPERLINK("http://141.218.60.56/~jnz1568/getInfo.php?workbook=09_01.xlsx&amp;sheet=A0&amp;row=19&amp;col=15&amp;number=&amp;sourceID=12","")</f>
        <v/>
      </c>
      <c r="P19" s="4" t="str">
        <f>HYPERLINK("http://141.218.60.56/~jnz1568/getInfo.php?workbook=09_01.xlsx&amp;sheet=A0&amp;row=19&amp;col=16&amp;number=27253000&amp;sourceID=12","27253000")</f>
        <v>27253000</v>
      </c>
      <c r="Q19" s="4" t="str">
        <f>HYPERLINK("http://141.218.60.56/~jnz1568/getInfo.php?workbook=09_01.xlsx&amp;sheet=A0&amp;row=19&amp;col=17&amp;number=&amp;sourceID=12","")</f>
        <v/>
      </c>
      <c r="R19" s="4" t="str">
        <f>HYPERLINK("http://141.218.60.56/~jnz1568/getInfo.php?workbook=09_01.xlsx&amp;sheet=A0&amp;row=19&amp;col=18&amp;number=0.3687&amp;sourceID=12","0.3687")</f>
        <v>0.3687</v>
      </c>
      <c r="S19" s="4" t="str">
        <f>HYPERLINK("http://141.218.60.56/~jnz1568/getInfo.php?workbook=09_01.xlsx&amp;sheet=A0&amp;row=19&amp;col=19&amp;number=&amp;sourceID=12","")</f>
        <v/>
      </c>
      <c r="T19" s="4" t="str">
        <f>HYPERLINK("http://141.218.60.56/~jnz1568/getInfo.php?workbook=09_01.xlsx&amp;sheet=A0&amp;row=19&amp;col=20&amp;number=&amp;sourceID=12","")</f>
        <v/>
      </c>
      <c r="U19" s="4" t="str">
        <f>HYPERLINK("http://141.218.60.56/~jnz1568/getInfo.php?workbook=09_01.xlsx&amp;sheet=A0&amp;row=19&amp;col=21&amp;number=27250000.3687&amp;sourceID=30","27250000.3687")</f>
        <v>27250000.3687</v>
      </c>
      <c r="V19" s="4" t="str">
        <f>HYPERLINK("http://141.218.60.56/~jnz1568/getInfo.php?workbook=09_01.xlsx&amp;sheet=A0&amp;row=19&amp;col=22&amp;number=&amp;sourceID=30","")</f>
        <v/>
      </c>
      <c r="W19" s="4" t="str">
        <f>HYPERLINK("http://141.218.60.56/~jnz1568/getInfo.php?workbook=09_01.xlsx&amp;sheet=A0&amp;row=19&amp;col=23&amp;number=27250000&amp;sourceID=30","27250000")</f>
        <v>27250000</v>
      </c>
      <c r="X19" s="4" t="str">
        <f>HYPERLINK("http://141.218.60.56/~jnz1568/getInfo.php?workbook=09_01.xlsx&amp;sheet=A0&amp;row=19&amp;col=24&amp;number=0.3687&amp;sourceID=30","0.3687")</f>
        <v>0.3687</v>
      </c>
      <c r="Y19" s="4" t="str">
        <f>HYPERLINK("http://141.218.60.56/~jnz1568/getInfo.php?workbook=09_01.xlsx&amp;sheet=A0&amp;row=19&amp;col=25&amp;number=&amp;sourceID=30","")</f>
        <v/>
      </c>
      <c r="Z19" s="4" t="str">
        <f>HYPERLINK("http://141.218.60.56/~jnz1568/getInfo.php?workbook=09_01.xlsx&amp;sheet=A0&amp;row=19&amp;col=26&amp;number==&amp;sourceID=13","=")</f>
        <v>=</v>
      </c>
      <c r="AA19" s="4" t="str">
        <f>HYPERLINK("http://141.218.60.56/~jnz1568/getInfo.php?workbook=09_01.xlsx&amp;sheet=A0&amp;row=19&amp;col=27&amp;number=&amp;sourceID=13","")</f>
        <v/>
      </c>
      <c r="AB19" s="4" t="str">
        <f>HYPERLINK("http://141.218.60.56/~jnz1568/getInfo.php?workbook=09_01.xlsx&amp;sheet=A0&amp;row=19&amp;col=28&amp;number=27200000&amp;sourceID=13","27200000")</f>
        <v>27200000</v>
      </c>
      <c r="AC19" s="4" t="str">
        <f>HYPERLINK("http://141.218.60.56/~jnz1568/getInfo.php?workbook=09_01.xlsx&amp;sheet=A0&amp;row=19&amp;col=29&amp;number=&amp;sourceID=13","")</f>
        <v/>
      </c>
      <c r="AD19" s="4" t="str">
        <f>HYPERLINK("http://141.218.60.56/~jnz1568/getInfo.php?workbook=09_01.xlsx&amp;sheet=A0&amp;row=19&amp;col=30&amp;number=0.71&amp;sourceID=13","0.71")</f>
        <v>0.71</v>
      </c>
      <c r="AE19" s="4" t="str">
        <f>HYPERLINK("http://141.218.60.56/~jnz1568/getInfo.php?workbook=09_01.xlsx&amp;sheet=A0&amp;row=19&amp;col=31&amp;number=&amp;sourceID=13","")</f>
        <v/>
      </c>
    </row>
    <row r="20" spans="1:31">
      <c r="A20" s="3">
        <v>9</v>
      </c>
      <c r="B20" s="3">
        <v>1</v>
      </c>
      <c r="C20" s="3">
        <v>7</v>
      </c>
      <c r="D20" s="3">
        <v>4</v>
      </c>
      <c r="E20" s="3">
        <f>((1/(INDEX(E0!J$4:J$28,C20,1)-INDEX(E0!J$4:J$28,D20,1))))*100000000</f>
        <v>0</v>
      </c>
      <c r="F20" s="4" t="str">
        <f>HYPERLINK("http://141.218.60.56/~jnz1568/getInfo.php?workbook=09_01.xlsx&amp;sheet=A0&amp;row=20&amp;col=6&amp;number=&amp;sourceID=18","")</f>
        <v/>
      </c>
      <c r="G20" s="4" t="str">
        <f>HYPERLINK("http://141.218.60.56/~jnz1568/getInfo.php?workbook=09_01.xlsx&amp;sheet=A0&amp;row=20&amp;col=7&amp;number==&amp;sourceID=11","=")</f>
        <v>=</v>
      </c>
      <c r="H20" s="4" t="str">
        <f>HYPERLINK("http://141.218.60.56/~jnz1568/getInfo.php?workbook=09_01.xlsx&amp;sheet=A0&amp;row=20&amp;col=8&amp;number=70712000000&amp;sourceID=11","70712000000")</f>
        <v>70712000000</v>
      </c>
      <c r="I20" s="4" t="str">
        <f>HYPERLINK("http://141.218.60.56/~jnz1568/getInfo.php?workbook=09_01.xlsx&amp;sheet=A0&amp;row=20&amp;col=9&amp;number=&amp;sourceID=11","")</f>
        <v/>
      </c>
      <c r="J20" s="4" t="str">
        <f>HYPERLINK("http://141.218.60.56/~jnz1568/getInfo.php?workbook=09_01.xlsx&amp;sheet=A0&amp;row=20&amp;col=10&amp;number=973.76&amp;sourceID=11","973.76")</f>
        <v>973.76</v>
      </c>
      <c r="K20" s="4" t="str">
        <f>HYPERLINK("http://141.218.60.56/~jnz1568/getInfo.php?workbook=09_01.xlsx&amp;sheet=A0&amp;row=20&amp;col=11&amp;number=&amp;sourceID=11","")</f>
        <v/>
      </c>
      <c r="L20" s="4" t="str">
        <f>HYPERLINK("http://141.218.60.56/~jnz1568/getInfo.php?workbook=09_01.xlsx&amp;sheet=A0&amp;row=20&amp;col=12&amp;number=&amp;sourceID=11","")</f>
        <v/>
      </c>
      <c r="M20" s="4" t="str">
        <f>HYPERLINK("http://141.218.60.56/~jnz1568/getInfo.php?workbook=09_01.xlsx&amp;sheet=A0&amp;row=20&amp;col=13&amp;number=&amp;sourceID=11","")</f>
        <v/>
      </c>
      <c r="N20" s="4" t="str">
        <f>HYPERLINK("http://141.218.60.56/~jnz1568/getInfo.php?workbook=09_01.xlsx&amp;sheet=A0&amp;row=20&amp;col=14&amp;number=70714000000&amp;sourceID=12","70714000000")</f>
        <v>70714000000</v>
      </c>
      <c r="O20" s="4" t="str">
        <f>HYPERLINK("http://141.218.60.56/~jnz1568/getInfo.php?workbook=09_01.xlsx&amp;sheet=A0&amp;row=20&amp;col=15&amp;number=70714000000&amp;sourceID=12","70714000000")</f>
        <v>70714000000</v>
      </c>
      <c r="P20" s="4" t="str">
        <f>HYPERLINK("http://141.218.60.56/~jnz1568/getInfo.php?workbook=09_01.xlsx&amp;sheet=A0&amp;row=20&amp;col=16&amp;number=&amp;sourceID=12","")</f>
        <v/>
      </c>
      <c r="Q20" s="4" t="str">
        <f>HYPERLINK("http://141.218.60.56/~jnz1568/getInfo.php?workbook=09_01.xlsx&amp;sheet=A0&amp;row=20&amp;col=17&amp;number=973.79&amp;sourceID=12","973.79")</f>
        <v>973.79</v>
      </c>
      <c r="R20" s="4" t="str">
        <f>HYPERLINK("http://141.218.60.56/~jnz1568/getInfo.php?workbook=09_01.xlsx&amp;sheet=A0&amp;row=20&amp;col=18&amp;number=&amp;sourceID=12","")</f>
        <v/>
      </c>
      <c r="S20" s="4" t="str">
        <f>HYPERLINK("http://141.218.60.56/~jnz1568/getInfo.php?workbook=09_01.xlsx&amp;sheet=A0&amp;row=20&amp;col=19&amp;number=&amp;sourceID=12","")</f>
        <v/>
      </c>
      <c r="T20" s="4" t="str">
        <f>HYPERLINK("http://141.218.60.56/~jnz1568/getInfo.php?workbook=09_01.xlsx&amp;sheet=A0&amp;row=20&amp;col=20&amp;number=&amp;sourceID=12","")</f>
        <v/>
      </c>
      <c r="U20" s="4" t="str">
        <f>HYPERLINK("http://141.218.60.56/~jnz1568/getInfo.php?workbook=09_01.xlsx&amp;sheet=A0&amp;row=20&amp;col=21&amp;number=70710000000&amp;sourceID=30","70710000000")</f>
        <v>70710000000</v>
      </c>
      <c r="V20" s="4" t="str">
        <f>HYPERLINK("http://141.218.60.56/~jnz1568/getInfo.php?workbook=09_01.xlsx&amp;sheet=A0&amp;row=20&amp;col=22&amp;number=70710000000&amp;sourceID=30","70710000000")</f>
        <v>70710000000</v>
      </c>
      <c r="W20" s="4" t="str">
        <f>HYPERLINK("http://141.218.60.56/~jnz1568/getInfo.php?workbook=09_01.xlsx&amp;sheet=A0&amp;row=20&amp;col=23&amp;number=&amp;sourceID=30","")</f>
        <v/>
      </c>
      <c r="X20" s="4" t="str">
        <f>HYPERLINK("http://141.218.60.56/~jnz1568/getInfo.php?workbook=09_01.xlsx&amp;sheet=A0&amp;row=20&amp;col=24&amp;number=&amp;sourceID=30","")</f>
        <v/>
      </c>
      <c r="Y20" s="4" t="str">
        <f>HYPERLINK("http://141.218.60.56/~jnz1568/getInfo.php?workbook=09_01.xlsx&amp;sheet=A0&amp;row=20&amp;col=25&amp;number=&amp;sourceID=30","")</f>
        <v/>
      </c>
      <c r="Z20" s="4" t="str">
        <f>HYPERLINK("http://141.218.60.56/~jnz1568/getInfo.php?workbook=09_01.xlsx&amp;sheet=A0&amp;row=20&amp;col=26&amp;number==&amp;sourceID=13","=")</f>
        <v>=</v>
      </c>
      <c r="AA20" s="4" t="str">
        <f>HYPERLINK("http://141.218.60.56/~jnz1568/getInfo.php?workbook=09_01.xlsx&amp;sheet=A0&amp;row=20&amp;col=27&amp;number=70700000000&amp;sourceID=13","70700000000")</f>
        <v>70700000000</v>
      </c>
      <c r="AB20" s="4" t="str">
        <f>HYPERLINK("http://141.218.60.56/~jnz1568/getInfo.php?workbook=09_01.xlsx&amp;sheet=A0&amp;row=20&amp;col=28&amp;number=&amp;sourceID=13","")</f>
        <v/>
      </c>
      <c r="AC20" s="4" t="str">
        <f>HYPERLINK("http://141.218.60.56/~jnz1568/getInfo.php?workbook=09_01.xlsx&amp;sheet=A0&amp;row=20&amp;col=29&amp;number=&amp;sourceID=13","")</f>
        <v/>
      </c>
      <c r="AD20" s="4" t="str">
        <f>HYPERLINK("http://141.218.60.56/~jnz1568/getInfo.php?workbook=09_01.xlsx&amp;sheet=A0&amp;row=20&amp;col=30&amp;number=&amp;sourceID=13","")</f>
        <v/>
      </c>
      <c r="AE20" s="4" t="str">
        <f>HYPERLINK("http://141.218.60.56/~jnz1568/getInfo.php?workbook=09_01.xlsx&amp;sheet=A0&amp;row=20&amp;col=31&amp;number=&amp;sourceID=13","")</f>
        <v/>
      </c>
    </row>
    <row r="21" spans="1:31">
      <c r="A21" s="3">
        <v>9</v>
      </c>
      <c r="B21" s="3">
        <v>1</v>
      </c>
      <c r="C21" s="3">
        <v>7</v>
      </c>
      <c r="D21" s="3">
        <v>5</v>
      </c>
      <c r="E21" s="3">
        <f>((1/(INDEX(E0!J$4:J$28,C21,1)-INDEX(E0!J$4:J$28,D21,1))))*100000000</f>
        <v>0</v>
      </c>
      <c r="F21" s="4" t="str">
        <f>HYPERLINK("http://141.218.60.56/~jnz1568/getInfo.php?workbook=09_01.xlsx&amp;sheet=A0&amp;row=21&amp;col=6&amp;number=&amp;sourceID=18","")</f>
        <v/>
      </c>
      <c r="G21" s="4" t="str">
        <f>HYPERLINK("http://141.218.60.56/~jnz1568/getInfo.php?workbook=09_01.xlsx&amp;sheet=A0&amp;row=21&amp;col=7&amp;number==&amp;sourceID=11","=")</f>
        <v>=</v>
      </c>
      <c r="H21" s="4" t="str">
        <f>HYPERLINK("http://141.218.60.56/~jnz1568/getInfo.php?workbook=09_01.xlsx&amp;sheet=A0&amp;row=21&amp;col=8&amp;number=304.5&amp;sourceID=11","304.5")</f>
        <v>304.5</v>
      </c>
      <c r="I21" s="4" t="str">
        <f>HYPERLINK("http://141.218.60.56/~jnz1568/getInfo.php?workbook=09_01.xlsx&amp;sheet=A0&amp;row=21&amp;col=9&amp;number=&amp;sourceID=11","")</f>
        <v/>
      </c>
      <c r="J21" s="4" t="str">
        <f>HYPERLINK("http://141.218.60.56/~jnz1568/getInfo.php?workbook=09_01.xlsx&amp;sheet=A0&amp;row=21&amp;col=10&amp;number=&amp;sourceID=11","")</f>
        <v/>
      </c>
      <c r="K21" s="4" t="str">
        <f>HYPERLINK("http://141.218.60.56/~jnz1568/getInfo.php?workbook=09_01.xlsx&amp;sheet=A0&amp;row=21&amp;col=11&amp;number=&amp;sourceID=11","")</f>
        <v/>
      </c>
      <c r="L21" s="4" t="str">
        <f>HYPERLINK("http://141.218.60.56/~jnz1568/getInfo.php?workbook=09_01.xlsx&amp;sheet=A0&amp;row=21&amp;col=12&amp;number=6.8e-14&amp;sourceID=11","6.8e-14")</f>
        <v>6.8e-14</v>
      </c>
      <c r="M21" s="4" t="str">
        <f>HYPERLINK("http://141.218.60.56/~jnz1568/getInfo.php?workbook=09_01.xlsx&amp;sheet=A0&amp;row=21&amp;col=13&amp;number=&amp;sourceID=11","")</f>
        <v/>
      </c>
      <c r="N21" s="4" t="str">
        <f>HYPERLINK("http://141.218.60.56/~jnz1568/getInfo.php?workbook=09_01.xlsx&amp;sheet=A0&amp;row=21&amp;col=14&amp;number=304.51&amp;sourceID=12","304.51")</f>
        <v>304.51</v>
      </c>
      <c r="O21" s="4" t="str">
        <f>HYPERLINK("http://141.218.60.56/~jnz1568/getInfo.php?workbook=09_01.xlsx&amp;sheet=A0&amp;row=21&amp;col=15&amp;number=304.51&amp;sourceID=12","304.51")</f>
        <v>304.51</v>
      </c>
      <c r="P21" s="4" t="str">
        <f>HYPERLINK("http://141.218.60.56/~jnz1568/getInfo.php?workbook=09_01.xlsx&amp;sheet=A0&amp;row=21&amp;col=16&amp;number=&amp;sourceID=12","")</f>
        <v/>
      </c>
      <c r="Q21" s="4" t="str">
        <f>HYPERLINK("http://141.218.60.56/~jnz1568/getInfo.php?workbook=09_01.xlsx&amp;sheet=A0&amp;row=21&amp;col=17&amp;number=&amp;sourceID=12","")</f>
        <v/>
      </c>
      <c r="R21" s="4" t="str">
        <f>HYPERLINK("http://141.218.60.56/~jnz1568/getInfo.php?workbook=09_01.xlsx&amp;sheet=A0&amp;row=21&amp;col=18&amp;number=&amp;sourceID=12","")</f>
        <v/>
      </c>
      <c r="S21" s="4" t="str">
        <f>HYPERLINK("http://141.218.60.56/~jnz1568/getInfo.php?workbook=09_01.xlsx&amp;sheet=A0&amp;row=21&amp;col=19&amp;number=6.8e-14&amp;sourceID=12","6.8e-14")</f>
        <v>6.8e-14</v>
      </c>
      <c r="T21" s="4" t="str">
        <f>HYPERLINK("http://141.218.60.56/~jnz1568/getInfo.php?workbook=09_01.xlsx&amp;sheet=A0&amp;row=21&amp;col=20&amp;number=&amp;sourceID=12","")</f>
        <v/>
      </c>
      <c r="U21" s="4" t="str">
        <f>HYPERLINK("http://141.218.60.56/~jnz1568/getInfo.php?workbook=09_01.xlsx&amp;sheet=A0&amp;row=21&amp;col=21&amp;number=304.5&amp;sourceID=30","304.5")</f>
        <v>304.5</v>
      </c>
      <c r="V21" s="4" t="str">
        <f>HYPERLINK("http://141.218.60.56/~jnz1568/getInfo.php?workbook=09_01.xlsx&amp;sheet=A0&amp;row=21&amp;col=22&amp;number=304.5&amp;sourceID=30","304.5")</f>
        <v>304.5</v>
      </c>
      <c r="W21" s="4" t="str">
        <f>HYPERLINK("http://141.218.60.56/~jnz1568/getInfo.php?workbook=09_01.xlsx&amp;sheet=A0&amp;row=21&amp;col=23&amp;number=&amp;sourceID=30","")</f>
        <v/>
      </c>
      <c r="X21" s="4" t="str">
        <f>HYPERLINK("http://141.218.60.56/~jnz1568/getInfo.php?workbook=09_01.xlsx&amp;sheet=A0&amp;row=21&amp;col=24&amp;number=&amp;sourceID=30","")</f>
        <v/>
      </c>
      <c r="Y21" s="4" t="str">
        <f>HYPERLINK("http://141.218.60.56/~jnz1568/getInfo.php?workbook=09_01.xlsx&amp;sheet=A0&amp;row=21&amp;col=25&amp;number=6.8e-14&amp;sourceID=30","6.8e-14")</f>
        <v>6.8e-14</v>
      </c>
      <c r="Z21" s="4" t="str">
        <f>HYPERLINK("http://141.218.60.56/~jnz1568/getInfo.php?workbook=09_01.xlsx&amp;sheet=A0&amp;row=21&amp;col=26&amp;number==&amp;sourceID=13","=")</f>
        <v>=</v>
      </c>
      <c r="AA21" s="4" t="str">
        <f>HYPERLINK("http://141.218.60.56/~jnz1568/getInfo.php?workbook=09_01.xlsx&amp;sheet=A0&amp;row=21&amp;col=27&amp;number=300&amp;sourceID=13","300")</f>
        <v>300</v>
      </c>
      <c r="AB21" s="4" t="str">
        <f>HYPERLINK("http://141.218.60.56/~jnz1568/getInfo.php?workbook=09_01.xlsx&amp;sheet=A0&amp;row=21&amp;col=28&amp;number=&amp;sourceID=13","")</f>
        <v/>
      </c>
      <c r="AC21" s="4" t="str">
        <f>HYPERLINK("http://141.218.60.56/~jnz1568/getInfo.php?workbook=09_01.xlsx&amp;sheet=A0&amp;row=21&amp;col=29&amp;number=&amp;sourceID=13","")</f>
        <v/>
      </c>
      <c r="AD21" s="4" t="str">
        <f>HYPERLINK("http://141.218.60.56/~jnz1568/getInfo.php?workbook=09_01.xlsx&amp;sheet=A0&amp;row=21&amp;col=30&amp;number=&amp;sourceID=13","")</f>
        <v/>
      </c>
      <c r="AE21" s="4" t="str">
        <f>HYPERLINK("http://141.218.60.56/~jnz1568/getInfo.php?workbook=09_01.xlsx&amp;sheet=A0&amp;row=21&amp;col=31&amp;number=&amp;sourceID=13","")</f>
        <v/>
      </c>
    </row>
    <row r="22" spans="1:31">
      <c r="A22" s="3">
        <v>9</v>
      </c>
      <c r="B22" s="3">
        <v>1</v>
      </c>
      <c r="C22" s="3">
        <v>7</v>
      </c>
      <c r="D22" s="3">
        <v>6</v>
      </c>
      <c r="E22" s="3">
        <f>((1/(INDEX(E0!J$4:J$28,C22,1)-INDEX(E0!J$4:J$28,D22,1))))*100000000</f>
        <v>0</v>
      </c>
      <c r="F22" s="4" t="str">
        <f>HYPERLINK("http://141.218.60.56/~jnz1568/getInfo.php?workbook=09_01.xlsx&amp;sheet=A0&amp;row=22&amp;col=6&amp;number=&amp;sourceID=18","")</f>
        <v/>
      </c>
      <c r="G22" s="4" t="str">
        <f>HYPERLINK("http://141.218.60.56/~jnz1568/getInfo.php?workbook=09_01.xlsx&amp;sheet=A0&amp;row=22&amp;col=7&amp;number==&amp;sourceID=11","=")</f>
        <v>=</v>
      </c>
      <c r="H22" s="4" t="str">
        <f>HYPERLINK("http://141.218.60.56/~jnz1568/getInfo.php?workbook=09_01.xlsx&amp;sheet=A0&amp;row=22&amp;col=8&amp;number=&amp;sourceID=11","")</f>
        <v/>
      </c>
      <c r="I22" s="4" t="str">
        <f>HYPERLINK("http://141.218.60.56/~jnz1568/getInfo.php?workbook=09_01.xlsx&amp;sheet=A0&amp;row=22&amp;col=9&amp;number=1.2621e-08&amp;sourceID=11","1.2621e-08")</f>
        <v>1.2621e-08</v>
      </c>
      <c r="J22" s="4" t="str">
        <f>HYPERLINK("http://141.218.60.56/~jnz1568/getInfo.php?workbook=09_01.xlsx&amp;sheet=A0&amp;row=22&amp;col=10&amp;number=&amp;sourceID=11","")</f>
        <v/>
      </c>
      <c r="K22" s="4" t="str">
        <f>HYPERLINK("http://141.218.60.56/~jnz1568/getInfo.php?workbook=09_01.xlsx&amp;sheet=A0&amp;row=22&amp;col=11&amp;number=4.69e-12&amp;sourceID=11","4.69e-12")</f>
        <v>4.69e-12</v>
      </c>
      <c r="L22" s="4" t="str">
        <f>HYPERLINK("http://141.218.60.56/~jnz1568/getInfo.php?workbook=09_01.xlsx&amp;sheet=A0&amp;row=22&amp;col=12&amp;number=&amp;sourceID=11","")</f>
        <v/>
      </c>
      <c r="M22" s="4" t="str">
        <f>HYPERLINK("http://141.218.60.56/~jnz1568/getInfo.php?workbook=09_01.xlsx&amp;sheet=A0&amp;row=22&amp;col=13&amp;number=&amp;sourceID=11","")</f>
        <v/>
      </c>
      <c r="N22" s="4" t="str">
        <f>HYPERLINK("http://141.218.60.56/~jnz1568/getInfo.php?workbook=09_01.xlsx&amp;sheet=A0&amp;row=22&amp;col=14&amp;number=1.2626e-08&amp;sourceID=12","1.2626e-08")</f>
        <v>1.2626e-08</v>
      </c>
      <c r="O22" s="4" t="str">
        <f>HYPERLINK("http://141.218.60.56/~jnz1568/getInfo.php?workbook=09_01.xlsx&amp;sheet=A0&amp;row=22&amp;col=15&amp;number=&amp;sourceID=12","")</f>
        <v/>
      </c>
      <c r="P22" s="4" t="str">
        <f>HYPERLINK("http://141.218.60.56/~jnz1568/getInfo.php?workbook=09_01.xlsx&amp;sheet=A0&amp;row=22&amp;col=16&amp;number=1.2621e-08&amp;sourceID=12","1.2621e-08")</f>
        <v>1.2621e-08</v>
      </c>
      <c r="Q22" s="4" t="str">
        <f>HYPERLINK("http://141.218.60.56/~jnz1568/getInfo.php?workbook=09_01.xlsx&amp;sheet=A0&amp;row=22&amp;col=17&amp;number=&amp;sourceID=12","")</f>
        <v/>
      </c>
      <c r="R22" s="4" t="str">
        <f>HYPERLINK("http://141.218.60.56/~jnz1568/getInfo.php?workbook=09_01.xlsx&amp;sheet=A0&amp;row=22&amp;col=18&amp;number=4.69e-12&amp;sourceID=12","4.69e-12")</f>
        <v>4.69e-12</v>
      </c>
      <c r="S22" s="4" t="str">
        <f>HYPERLINK("http://141.218.60.56/~jnz1568/getInfo.php?workbook=09_01.xlsx&amp;sheet=A0&amp;row=22&amp;col=19&amp;number=&amp;sourceID=12","")</f>
        <v/>
      </c>
      <c r="T22" s="4" t="str">
        <f>HYPERLINK("http://141.218.60.56/~jnz1568/getInfo.php?workbook=09_01.xlsx&amp;sheet=A0&amp;row=22&amp;col=20&amp;number=&amp;sourceID=12","")</f>
        <v/>
      </c>
      <c r="U22" s="4" t="str">
        <f>HYPERLINK("http://141.218.60.56/~jnz1568/getInfo.php?workbook=09_01.xlsx&amp;sheet=A0&amp;row=22&amp;col=21&amp;number=1.2624693e-08&amp;sourceID=30","1.2624693e-08")</f>
        <v>1.2624693e-08</v>
      </c>
      <c r="V22" s="4" t="str">
        <f>HYPERLINK("http://141.218.60.56/~jnz1568/getInfo.php?workbook=09_01.xlsx&amp;sheet=A0&amp;row=22&amp;col=22&amp;number=&amp;sourceID=30","")</f>
        <v/>
      </c>
      <c r="W22" s="4" t="str">
        <f>HYPERLINK("http://141.218.60.56/~jnz1568/getInfo.php?workbook=09_01.xlsx&amp;sheet=A0&amp;row=22&amp;col=23&amp;number=1.262e-08&amp;sourceID=30","1.262e-08")</f>
        <v>1.262e-08</v>
      </c>
      <c r="X22" s="4" t="str">
        <f>HYPERLINK("http://141.218.60.56/~jnz1568/getInfo.php?workbook=09_01.xlsx&amp;sheet=A0&amp;row=22&amp;col=24&amp;number=4.693e-12&amp;sourceID=30","4.693e-12")</f>
        <v>4.693e-12</v>
      </c>
      <c r="Y22" s="4" t="str">
        <f>HYPERLINK("http://141.218.60.56/~jnz1568/getInfo.php?workbook=09_01.xlsx&amp;sheet=A0&amp;row=22&amp;col=25&amp;number=&amp;sourceID=30","")</f>
        <v/>
      </c>
      <c r="Z22" s="4" t="str">
        <f>HYPERLINK("http://141.218.60.56/~jnz1568/getInfo.php?workbook=09_01.xlsx&amp;sheet=A0&amp;row=22&amp;col=26&amp;number=&amp;sourceID=13","")</f>
        <v/>
      </c>
      <c r="AA22" s="4" t="str">
        <f>HYPERLINK("http://141.218.60.56/~jnz1568/getInfo.php?workbook=09_01.xlsx&amp;sheet=A0&amp;row=22&amp;col=27&amp;number=&amp;sourceID=13","")</f>
        <v/>
      </c>
      <c r="AB22" s="4" t="str">
        <f>HYPERLINK("http://141.218.60.56/~jnz1568/getInfo.php?workbook=09_01.xlsx&amp;sheet=A0&amp;row=22&amp;col=28&amp;number=&amp;sourceID=13","")</f>
        <v/>
      </c>
      <c r="AC22" s="4" t="str">
        <f>HYPERLINK("http://141.218.60.56/~jnz1568/getInfo.php?workbook=09_01.xlsx&amp;sheet=A0&amp;row=22&amp;col=29&amp;number=&amp;sourceID=13","")</f>
        <v/>
      </c>
      <c r="AD22" s="4" t="str">
        <f>HYPERLINK("http://141.218.60.56/~jnz1568/getInfo.php?workbook=09_01.xlsx&amp;sheet=A0&amp;row=22&amp;col=30&amp;number=&amp;sourceID=13","")</f>
        <v/>
      </c>
      <c r="AE22" s="4" t="str">
        <f>HYPERLINK("http://141.218.60.56/~jnz1568/getInfo.php?workbook=09_01.xlsx&amp;sheet=A0&amp;row=22&amp;col=31&amp;number=&amp;sourceID=13","")</f>
        <v/>
      </c>
    </row>
    <row r="23" spans="1:31">
      <c r="A23" s="3">
        <v>9</v>
      </c>
      <c r="B23" s="3">
        <v>1</v>
      </c>
      <c r="C23" s="3">
        <v>8</v>
      </c>
      <c r="D23" s="3">
        <v>1</v>
      </c>
      <c r="E23" s="3">
        <f>((1/(INDEX(E0!J$4:J$28,C23,1)-INDEX(E0!J$4:J$28,D23,1))))*100000000</f>
        <v>0</v>
      </c>
      <c r="F23" s="4" t="str">
        <f>HYPERLINK("http://141.218.60.56/~jnz1568/getInfo.php?workbook=09_01.xlsx&amp;sheet=A0&amp;row=23&amp;col=6&amp;number=&amp;sourceID=18","")</f>
        <v/>
      </c>
      <c r="G23" s="4" t="str">
        <f>HYPERLINK("http://141.218.60.56/~jnz1568/getInfo.php?workbook=09_01.xlsx&amp;sheet=A0&amp;row=23&amp;col=7&amp;number==&amp;sourceID=11","=")</f>
        <v>=</v>
      </c>
      <c r="H23" s="4" t="str">
        <f>HYPERLINK("http://141.218.60.56/~jnz1568/getInfo.php?workbook=09_01.xlsx&amp;sheet=A0&amp;row=23&amp;col=8&amp;number=1097400000000&amp;sourceID=11","1097400000000")</f>
        <v>1097400000000</v>
      </c>
      <c r="I23" s="4" t="str">
        <f>HYPERLINK("http://141.218.60.56/~jnz1568/getInfo.php?workbook=09_01.xlsx&amp;sheet=A0&amp;row=23&amp;col=9&amp;number=&amp;sourceID=11","")</f>
        <v/>
      </c>
      <c r="J23" s="4" t="str">
        <f>HYPERLINK("http://141.218.60.56/~jnz1568/getInfo.php?workbook=09_01.xlsx&amp;sheet=A0&amp;row=23&amp;col=10&amp;number=&amp;sourceID=11","")</f>
        <v/>
      </c>
      <c r="K23" s="4" t="str">
        <f>HYPERLINK("http://141.218.60.56/~jnz1568/getInfo.php?workbook=09_01.xlsx&amp;sheet=A0&amp;row=23&amp;col=11&amp;number=&amp;sourceID=11","")</f>
        <v/>
      </c>
      <c r="L23" s="4" t="str">
        <f>HYPERLINK("http://141.218.60.56/~jnz1568/getInfo.php?workbook=09_01.xlsx&amp;sheet=A0&amp;row=23&amp;col=12&amp;number=757170&amp;sourceID=11","757170")</f>
        <v>757170</v>
      </c>
      <c r="M23" s="4" t="str">
        <f>HYPERLINK("http://141.218.60.56/~jnz1568/getInfo.php?workbook=09_01.xlsx&amp;sheet=A0&amp;row=23&amp;col=13&amp;number=&amp;sourceID=11","")</f>
        <v/>
      </c>
      <c r="N23" s="4" t="str">
        <f>HYPERLINK("http://141.218.60.56/~jnz1568/getInfo.php?workbook=09_01.xlsx&amp;sheet=A0&amp;row=23&amp;col=14&amp;number=1097400000000&amp;sourceID=12","1097400000000")</f>
        <v>1097400000000</v>
      </c>
      <c r="O23" s="4" t="str">
        <f>HYPERLINK("http://141.218.60.56/~jnz1568/getInfo.php?workbook=09_01.xlsx&amp;sheet=A0&amp;row=23&amp;col=15&amp;number=1097400000000&amp;sourceID=12","1097400000000")</f>
        <v>1097400000000</v>
      </c>
      <c r="P23" s="4" t="str">
        <f>HYPERLINK("http://141.218.60.56/~jnz1568/getInfo.php?workbook=09_01.xlsx&amp;sheet=A0&amp;row=23&amp;col=16&amp;number=&amp;sourceID=12","")</f>
        <v/>
      </c>
      <c r="Q23" s="4" t="str">
        <f>HYPERLINK("http://141.218.60.56/~jnz1568/getInfo.php?workbook=09_01.xlsx&amp;sheet=A0&amp;row=23&amp;col=17&amp;number=&amp;sourceID=12","")</f>
        <v/>
      </c>
      <c r="R23" s="4" t="str">
        <f>HYPERLINK("http://141.218.60.56/~jnz1568/getInfo.php?workbook=09_01.xlsx&amp;sheet=A0&amp;row=23&amp;col=18&amp;number=&amp;sourceID=12","")</f>
        <v/>
      </c>
      <c r="S23" s="4" t="str">
        <f>HYPERLINK("http://141.218.60.56/~jnz1568/getInfo.php?workbook=09_01.xlsx&amp;sheet=A0&amp;row=23&amp;col=19&amp;number=757190&amp;sourceID=12","757190")</f>
        <v>757190</v>
      </c>
      <c r="T23" s="4" t="str">
        <f>HYPERLINK("http://141.218.60.56/~jnz1568/getInfo.php?workbook=09_01.xlsx&amp;sheet=A0&amp;row=23&amp;col=20&amp;number=&amp;sourceID=12","")</f>
        <v/>
      </c>
      <c r="U23" s="4" t="str">
        <f>HYPERLINK("http://141.218.60.56/~jnz1568/getInfo.php?workbook=09_01.xlsx&amp;sheet=A0&amp;row=23&amp;col=21&amp;number=1097000757200&amp;sourceID=30","1097000757200")</f>
        <v>1097000757200</v>
      </c>
      <c r="V23" s="4" t="str">
        <f>HYPERLINK("http://141.218.60.56/~jnz1568/getInfo.php?workbook=09_01.xlsx&amp;sheet=A0&amp;row=23&amp;col=22&amp;number=1097000000000&amp;sourceID=30","1097000000000")</f>
        <v>1097000000000</v>
      </c>
      <c r="W23" s="4" t="str">
        <f>HYPERLINK("http://141.218.60.56/~jnz1568/getInfo.php?workbook=09_01.xlsx&amp;sheet=A0&amp;row=23&amp;col=23&amp;number=&amp;sourceID=30","")</f>
        <v/>
      </c>
      <c r="X23" s="4" t="str">
        <f>HYPERLINK("http://141.218.60.56/~jnz1568/getInfo.php?workbook=09_01.xlsx&amp;sheet=A0&amp;row=23&amp;col=24&amp;number=&amp;sourceID=30","")</f>
        <v/>
      </c>
      <c r="Y23" s="4" t="str">
        <f>HYPERLINK("http://141.218.60.56/~jnz1568/getInfo.php?workbook=09_01.xlsx&amp;sheet=A0&amp;row=23&amp;col=25&amp;number=757200&amp;sourceID=30","757200")</f>
        <v>757200</v>
      </c>
      <c r="Z23" s="4" t="str">
        <f>HYPERLINK("http://141.218.60.56/~jnz1568/getInfo.php?workbook=09_01.xlsx&amp;sheet=A0&amp;row=23&amp;col=26&amp;number==SUM(AA23:AE23)&amp;sourceID=13","=SUM(AA23:AE23)")</f>
        <v>=SUM(AA23:AE23)</v>
      </c>
      <c r="AA23" s="4" t="str">
        <f>HYPERLINK("http://141.218.60.56/~jnz1568/getInfo.php?workbook=09_01.xlsx&amp;sheet=A0&amp;row=23&amp;col=27&amp;number=1090000000000&amp;sourceID=13","1090000000000")</f>
        <v>1090000000000</v>
      </c>
      <c r="AB23" s="4" t="str">
        <f>HYPERLINK("http://141.218.60.56/~jnz1568/getInfo.php?workbook=09_01.xlsx&amp;sheet=A0&amp;row=23&amp;col=28&amp;number=&amp;sourceID=13","")</f>
        <v/>
      </c>
      <c r="AC23" s="4" t="str">
        <f>HYPERLINK("http://141.218.60.56/~jnz1568/getInfo.php?workbook=09_01.xlsx&amp;sheet=A0&amp;row=23&amp;col=29&amp;number=&amp;sourceID=13","")</f>
        <v/>
      </c>
      <c r="AD23" s="4" t="str">
        <f>HYPERLINK("http://141.218.60.56/~jnz1568/getInfo.php?workbook=09_01.xlsx&amp;sheet=A0&amp;row=23&amp;col=30&amp;number=&amp;sourceID=13","")</f>
        <v/>
      </c>
      <c r="AE23" s="4" t="str">
        <f>HYPERLINK("http://141.218.60.56/~jnz1568/getInfo.php?workbook=09_01.xlsx&amp;sheet=A0&amp;row=23&amp;col=31&amp;number=&amp;sourceID=13","")</f>
        <v/>
      </c>
    </row>
    <row r="24" spans="1:31">
      <c r="A24" s="3">
        <v>9</v>
      </c>
      <c r="B24" s="3">
        <v>1</v>
      </c>
      <c r="C24" s="3">
        <v>8</v>
      </c>
      <c r="D24" s="3">
        <v>2</v>
      </c>
      <c r="E24" s="3">
        <f>((1/(INDEX(E0!J$4:J$28,C24,1)-INDEX(E0!J$4:J$28,D24,1))))*100000000</f>
        <v>0</v>
      </c>
      <c r="F24" s="4" t="str">
        <f>HYPERLINK("http://141.218.60.56/~jnz1568/getInfo.php?workbook=09_01.xlsx&amp;sheet=A0&amp;row=24&amp;col=6&amp;number=&amp;sourceID=18","")</f>
        <v/>
      </c>
      <c r="G24" s="4" t="str">
        <f>HYPERLINK("http://141.218.60.56/~jnz1568/getInfo.php?workbook=09_01.xlsx&amp;sheet=A0&amp;row=24&amp;col=7&amp;number==&amp;sourceID=11","=")</f>
        <v>=</v>
      </c>
      <c r="H24" s="4" t="str">
        <f>HYPERLINK("http://141.218.60.56/~jnz1568/getInfo.php?workbook=09_01.xlsx&amp;sheet=A0&amp;row=24&amp;col=8&amp;number=&amp;sourceID=11","")</f>
        <v/>
      </c>
      <c r="I24" s="4" t="str">
        <f>HYPERLINK("http://141.218.60.56/~jnz1568/getInfo.php?workbook=09_01.xlsx&amp;sheet=A0&amp;row=24&amp;col=9&amp;number=6368100&amp;sourceID=11","6368100")</f>
        <v>6368100</v>
      </c>
      <c r="J24" s="4" t="str">
        <f>HYPERLINK("http://141.218.60.56/~jnz1568/getInfo.php?workbook=09_01.xlsx&amp;sheet=A0&amp;row=24&amp;col=10&amp;number=&amp;sourceID=11","")</f>
        <v/>
      </c>
      <c r="K24" s="4" t="str">
        <f>HYPERLINK("http://141.218.60.56/~jnz1568/getInfo.php?workbook=09_01.xlsx&amp;sheet=A0&amp;row=24&amp;col=11&amp;number=11.883&amp;sourceID=11","11.883")</f>
        <v>11.883</v>
      </c>
      <c r="L24" s="4" t="str">
        <f>HYPERLINK("http://141.218.60.56/~jnz1568/getInfo.php?workbook=09_01.xlsx&amp;sheet=A0&amp;row=24&amp;col=12&amp;number=&amp;sourceID=11","")</f>
        <v/>
      </c>
      <c r="M24" s="4" t="str">
        <f>HYPERLINK("http://141.218.60.56/~jnz1568/getInfo.php?workbook=09_01.xlsx&amp;sheet=A0&amp;row=24&amp;col=13&amp;number=&amp;sourceID=11","")</f>
        <v/>
      </c>
      <c r="N24" s="4" t="str">
        <f>HYPERLINK("http://141.218.60.56/~jnz1568/getInfo.php?workbook=09_01.xlsx&amp;sheet=A0&amp;row=24&amp;col=14&amp;number=6368200&amp;sourceID=12","6368200")</f>
        <v>6368200</v>
      </c>
      <c r="O24" s="4" t="str">
        <f>HYPERLINK("http://141.218.60.56/~jnz1568/getInfo.php?workbook=09_01.xlsx&amp;sheet=A0&amp;row=24&amp;col=15&amp;number=&amp;sourceID=12","")</f>
        <v/>
      </c>
      <c r="P24" s="4" t="str">
        <f>HYPERLINK("http://141.218.60.56/~jnz1568/getInfo.php?workbook=09_01.xlsx&amp;sheet=A0&amp;row=24&amp;col=16&amp;number=6368200&amp;sourceID=12","6368200")</f>
        <v>6368200</v>
      </c>
      <c r="Q24" s="4" t="str">
        <f>HYPERLINK("http://141.218.60.56/~jnz1568/getInfo.php?workbook=09_01.xlsx&amp;sheet=A0&amp;row=24&amp;col=17&amp;number=&amp;sourceID=12","")</f>
        <v/>
      </c>
      <c r="R24" s="4" t="str">
        <f>HYPERLINK("http://141.218.60.56/~jnz1568/getInfo.php?workbook=09_01.xlsx&amp;sheet=A0&amp;row=24&amp;col=18&amp;number=11.884&amp;sourceID=12","11.884")</f>
        <v>11.884</v>
      </c>
      <c r="S24" s="4" t="str">
        <f>HYPERLINK("http://141.218.60.56/~jnz1568/getInfo.php?workbook=09_01.xlsx&amp;sheet=A0&amp;row=24&amp;col=19&amp;number=&amp;sourceID=12","")</f>
        <v/>
      </c>
      <c r="T24" s="4" t="str">
        <f>HYPERLINK("http://141.218.60.56/~jnz1568/getInfo.php?workbook=09_01.xlsx&amp;sheet=A0&amp;row=24&amp;col=20&amp;number=&amp;sourceID=12","")</f>
        <v/>
      </c>
      <c r="U24" s="4" t="str">
        <f>HYPERLINK("http://141.218.60.56/~jnz1568/getInfo.php?workbook=09_01.xlsx&amp;sheet=A0&amp;row=24&amp;col=21&amp;number=6368011.88&amp;sourceID=30","6368011.88")</f>
        <v>6368011.88</v>
      </c>
      <c r="V24" s="4" t="str">
        <f>HYPERLINK("http://141.218.60.56/~jnz1568/getInfo.php?workbook=09_01.xlsx&amp;sheet=A0&amp;row=24&amp;col=22&amp;number=&amp;sourceID=30","")</f>
        <v/>
      </c>
      <c r="W24" s="4" t="str">
        <f>HYPERLINK("http://141.218.60.56/~jnz1568/getInfo.php?workbook=09_01.xlsx&amp;sheet=A0&amp;row=24&amp;col=23&amp;number=6368000&amp;sourceID=30","6368000")</f>
        <v>6368000</v>
      </c>
      <c r="X24" s="4" t="str">
        <f>HYPERLINK("http://141.218.60.56/~jnz1568/getInfo.php?workbook=09_01.xlsx&amp;sheet=A0&amp;row=24&amp;col=24&amp;number=11.88&amp;sourceID=30","11.88")</f>
        <v>11.88</v>
      </c>
      <c r="Y24" s="4" t="str">
        <f>HYPERLINK("http://141.218.60.56/~jnz1568/getInfo.php?workbook=09_01.xlsx&amp;sheet=A0&amp;row=24&amp;col=25&amp;number=&amp;sourceID=30","")</f>
        <v/>
      </c>
      <c r="Z24" s="4" t="str">
        <f>HYPERLINK("http://141.218.60.56/~jnz1568/getInfo.php?workbook=09_01.xlsx&amp;sheet=A0&amp;row=24&amp;col=26&amp;number==&amp;sourceID=13","=")</f>
        <v>=</v>
      </c>
      <c r="AA24" s="4" t="str">
        <f>HYPERLINK("http://141.218.60.56/~jnz1568/getInfo.php?workbook=09_01.xlsx&amp;sheet=A0&amp;row=24&amp;col=27&amp;number=&amp;sourceID=13","")</f>
        <v/>
      </c>
      <c r="AB24" s="4" t="str">
        <f>HYPERLINK("http://141.218.60.56/~jnz1568/getInfo.php?workbook=09_01.xlsx&amp;sheet=A0&amp;row=24&amp;col=28&amp;number=6350000&amp;sourceID=13","6350000")</f>
        <v>6350000</v>
      </c>
      <c r="AC24" s="4" t="str">
        <f>HYPERLINK("http://141.218.60.56/~jnz1568/getInfo.php?workbook=09_01.xlsx&amp;sheet=A0&amp;row=24&amp;col=29&amp;number=&amp;sourceID=13","")</f>
        <v/>
      </c>
      <c r="AD24" s="4" t="str">
        <f>HYPERLINK("http://141.218.60.56/~jnz1568/getInfo.php?workbook=09_01.xlsx&amp;sheet=A0&amp;row=24&amp;col=30&amp;number=10.3&amp;sourceID=13","10.3")</f>
        <v>10.3</v>
      </c>
      <c r="AE24" s="4" t="str">
        <f>HYPERLINK("http://141.218.60.56/~jnz1568/getInfo.php?workbook=09_01.xlsx&amp;sheet=A0&amp;row=24&amp;col=31&amp;number=&amp;sourceID=13","")</f>
        <v/>
      </c>
    </row>
    <row r="25" spans="1:31">
      <c r="A25" s="3">
        <v>9</v>
      </c>
      <c r="B25" s="3">
        <v>1</v>
      </c>
      <c r="C25" s="3">
        <v>8</v>
      </c>
      <c r="D25" s="3">
        <v>3</v>
      </c>
      <c r="E25" s="3">
        <f>((1/(INDEX(E0!J$4:J$28,C25,1)-INDEX(E0!J$4:J$28,D25,1))))*100000000</f>
        <v>0</v>
      </c>
      <c r="F25" s="4" t="str">
        <f>HYPERLINK("http://141.218.60.56/~jnz1568/getInfo.php?workbook=09_01.xlsx&amp;sheet=A0&amp;row=25&amp;col=6&amp;number=&amp;sourceID=18","")</f>
        <v/>
      </c>
      <c r="G25" s="4" t="str">
        <f>HYPERLINK("http://141.218.60.56/~jnz1568/getInfo.php?workbook=09_01.xlsx&amp;sheet=A0&amp;row=25&amp;col=7&amp;number==&amp;sourceID=11","=")</f>
        <v>=</v>
      </c>
      <c r="H25" s="4" t="str">
        <f>HYPERLINK("http://141.218.60.56/~jnz1568/getInfo.php?workbook=09_01.xlsx&amp;sheet=A0&amp;row=25&amp;col=8&amp;number=147200000000&amp;sourceID=11","147200000000")</f>
        <v>147200000000</v>
      </c>
      <c r="I25" s="4" t="str">
        <f>HYPERLINK("http://141.218.60.56/~jnz1568/getInfo.php?workbook=09_01.xlsx&amp;sheet=A0&amp;row=25&amp;col=9&amp;number=&amp;sourceID=11","")</f>
        <v/>
      </c>
      <c r="J25" s="4" t="str">
        <f>HYPERLINK("http://141.218.60.56/~jnz1568/getInfo.php?workbook=09_01.xlsx&amp;sheet=A0&amp;row=25&amp;col=10&amp;number=&amp;sourceID=11","")</f>
        <v/>
      </c>
      <c r="K25" s="4" t="str">
        <f>HYPERLINK("http://141.218.60.56/~jnz1568/getInfo.php?workbook=09_01.xlsx&amp;sheet=A0&amp;row=25&amp;col=11&amp;number=&amp;sourceID=11","")</f>
        <v/>
      </c>
      <c r="L25" s="4" t="str">
        <f>HYPERLINK("http://141.218.60.56/~jnz1568/getInfo.php?workbook=09_01.xlsx&amp;sheet=A0&amp;row=25&amp;col=12&amp;number=2487.2&amp;sourceID=11","2487.2")</f>
        <v>2487.2</v>
      </c>
      <c r="M25" s="4" t="str">
        <f>HYPERLINK("http://141.218.60.56/~jnz1568/getInfo.php?workbook=09_01.xlsx&amp;sheet=A0&amp;row=25&amp;col=13&amp;number=&amp;sourceID=11","")</f>
        <v/>
      </c>
      <c r="N25" s="4" t="str">
        <f>HYPERLINK("http://141.218.60.56/~jnz1568/getInfo.php?workbook=09_01.xlsx&amp;sheet=A0&amp;row=25&amp;col=14&amp;number=147210000000&amp;sourceID=12","147210000000")</f>
        <v>147210000000</v>
      </c>
      <c r="O25" s="4" t="str">
        <f>HYPERLINK("http://141.218.60.56/~jnz1568/getInfo.php?workbook=09_01.xlsx&amp;sheet=A0&amp;row=25&amp;col=15&amp;number=147210000000&amp;sourceID=12","147210000000")</f>
        <v>147210000000</v>
      </c>
      <c r="P25" s="4" t="str">
        <f>HYPERLINK("http://141.218.60.56/~jnz1568/getInfo.php?workbook=09_01.xlsx&amp;sheet=A0&amp;row=25&amp;col=16&amp;number=&amp;sourceID=12","")</f>
        <v/>
      </c>
      <c r="Q25" s="4" t="str">
        <f>HYPERLINK("http://141.218.60.56/~jnz1568/getInfo.php?workbook=09_01.xlsx&amp;sheet=A0&amp;row=25&amp;col=17&amp;number=&amp;sourceID=12","")</f>
        <v/>
      </c>
      <c r="R25" s="4" t="str">
        <f>HYPERLINK("http://141.218.60.56/~jnz1568/getInfo.php?workbook=09_01.xlsx&amp;sheet=A0&amp;row=25&amp;col=18&amp;number=&amp;sourceID=12","")</f>
        <v/>
      </c>
      <c r="S25" s="4" t="str">
        <f>HYPERLINK("http://141.218.60.56/~jnz1568/getInfo.php?workbook=09_01.xlsx&amp;sheet=A0&amp;row=25&amp;col=19&amp;number=2487.3&amp;sourceID=12","2487.3")</f>
        <v>2487.3</v>
      </c>
      <c r="T25" s="4" t="str">
        <f>HYPERLINK("http://141.218.60.56/~jnz1568/getInfo.php?workbook=09_01.xlsx&amp;sheet=A0&amp;row=25&amp;col=20&amp;number=&amp;sourceID=12","")</f>
        <v/>
      </c>
      <c r="U25" s="4" t="str">
        <f>HYPERLINK("http://141.218.60.56/~jnz1568/getInfo.php?workbook=09_01.xlsx&amp;sheet=A0&amp;row=25&amp;col=21&amp;number=147200002487&amp;sourceID=30","147200002487")</f>
        <v>147200002487</v>
      </c>
      <c r="V25" s="4" t="str">
        <f>HYPERLINK("http://141.218.60.56/~jnz1568/getInfo.php?workbook=09_01.xlsx&amp;sheet=A0&amp;row=25&amp;col=22&amp;number=147200000000&amp;sourceID=30","147200000000")</f>
        <v>147200000000</v>
      </c>
      <c r="W25" s="4" t="str">
        <f>HYPERLINK("http://141.218.60.56/~jnz1568/getInfo.php?workbook=09_01.xlsx&amp;sheet=A0&amp;row=25&amp;col=23&amp;number=&amp;sourceID=30","")</f>
        <v/>
      </c>
      <c r="X25" s="4" t="str">
        <f>HYPERLINK("http://141.218.60.56/~jnz1568/getInfo.php?workbook=09_01.xlsx&amp;sheet=A0&amp;row=25&amp;col=24&amp;number=&amp;sourceID=30","")</f>
        <v/>
      </c>
      <c r="Y25" s="4" t="str">
        <f>HYPERLINK("http://141.218.60.56/~jnz1568/getInfo.php?workbook=09_01.xlsx&amp;sheet=A0&amp;row=25&amp;col=25&amp;number=2487&amp;sourceID=30","2487")</f>
        <v>2487</v>
      </c>
      <c r="Z25" s="4" t="str">
        <f>HYPERLINK("http://141.218.60.56/~jnz1568/getInfo.php?workbook=09_01.xlsx&amp;sheet=A0&amp;row=25&amp;col=26&amp;number==&amp;sourceID=13","=")</f>
        <v>=</v>
      </c>
      <c r="AA25" s="4" t="str">
        <f>HYPERLINK("http://141.218.60.56/~jnz1568/getInfo.php?workbook=09_01.xlsx&amp;sheet=A0&amp;row=25&amp;col=27&amp;number=147000000000&amp;sourceID=13","147000000000")</f>
        <v>147000000000</v>
      </c>
      <c r="AB25" s="4" t="str">
        <f>HYPERLINK("http://141.218.60.56/~jnz1568/getInfo.php?workbook=09_01.xlsx&amp;sheet=A0&amp;row=25&amp;col=28&amp;number=&amp;sourceID=13","")</f>
        <v/>
      </c>
      <c r="AC25" s="4" t="str">
        <f>HYPERLINK("http://141.218.60.56/~jnz1568/getInfo.php?workbook=09_01.xlsx&amp;sheet=A0&amp;row=25&amp;col=29&amp;number=&amp;sourceID=13","")</f>
        <v/>
      </c>
      <c r="AD25" s="4" t="str">
        <f>HYPERLINK("http://141.218.60.56/~jnz1568/getInfo.php?workbook=09_01.xlsx&amp;sheet=A0&amp;row=25&amp;col=30&amp;number=&amp;sourceID=13","")</f>
        <v/>
      </c>
      <c r="AE25" s="4" t="str">
        <f>HYPERLINK("http://141.218.60.56/~jnz1568/getInfo.php?workbook=09_01.xlsx&amp;sheet=A0&amp;row=25&amp;col=31&amp;number=&amp;sourceID=13","")</f>
        <v/>
      </c>
    </row>
    <row r="26" spans="1:31">
      <c r="A26" s="3">
        <v>9</v>
      </c>
      <c r="B26" s="3">
        <v>1</v>
      </c>
      <c r="C26" s="3">
        <v>8</v>
      </c>
      <c r="D26" s="3">
        <v>4</v>
      </c>
      <c r="E26" s="3">
        <f>((1/(INDEX(E0!J$4:J$28,C26,1)-INDEX(E0!J$4:J$28,D26,1))))*100000000</f>
        <v>0</v>
      </c>
      <c r="F26" s="4" t="str">
        <f>HYPERLINK("http://141.218.60.56/~jnz1568/getInfo.php?workbook=09_01.xlsx&amp;sheet=A0&amp;row=26&amp;col=6&amp;number=&amp;sourceID=18","")</f>
        <v/>
      </c>
      <c r="G26" s="4" t="str">
        <f>HYPERLINK("http://141.218.60.56/~jnz1568/getInfo.php?workbook=09_01.xlsx&amp;sheet=A0&amp;row=26&amp;col=7&amp;number==&amp;sourceID=11","=")</f>
        <v>=</v>
      </c>
      <c r="H26" s="4" t="str">
        <f>HYPERLINK("http://141.218.60.56/~jnz1568/getInfo.php?workbook=09_01.xlsx&amp;sheet=A0&amp;row=26&amp;col=8&amp;number=&amp;sourceID=11","")</f>
        <v/>
      </c>
      <c r="I26" s="4" t="str">
        <f>HYPERLINK("http://141.218.60.56/~jnz1568/getInfo.php?workbook=09_01.xlsx&amp;sheet=A0&amp;row=26&amp;col=9&amp;number=6354700&amp;sourceID=11","6354700")</f>
        <v>6354700</v>
      </c>
      <c r="J26" s="4" t="str">
        <f>HYPERLINK("http://141.218.60.56/~jnz1568/getInfo.php?workbook=09_01.xlsx&amp;sheet=A0&amp;row=26&amp;col=10&amp;number=&amp;sourceID=11","")</f>
        <v/>
      </c>
      <c r="K26" s="4" t="str">
        <f>HYPERLINK("http://141.218.60.56/~jnz1568/getInfo.php?workbook=09_01.xlsx&amp;sheet=A0&amp;row=26&amp;col=11&amp;number=12.329&amp;sourceID=11","12.329")</f>
        <v>12.329</v>
      </c>
      <c r="L26" s="4" t="str">
        <f>HYPERLINK("http://141.218.60.56/~jnz1568/getInfo.php?workbook=09_01.xlsx&amp;sheet=A0&amp;row=26&amp;col=12&amp;number=&amp;sourceID=11","")</f>
        <v/>
      </c>
      <c r="M26" s="4" t="str">
        <f>HYPERLINK("http://141.218.60.56/~jnz1568/getInfo.php?workbook=09_01.xlsx&amp;sheet=A0&amp;row=26&amp;col=13&amp;number=0.22818&amp;sourceID=11","0.22818")</f>
        <v>0.22818</v>
      </c>
      <c r="N26" s="4" t="str">
        <f>HYPERLINK("http://141.218.60.56/~jnz1568/getInfo.php?workbook=09_01.xlsx&amp;sheet=A0&amp;row=26&amp;col=14&amp;number=6354900&amp;sourceID=12","6354900")</f>
        <v>6354900</v>
      </c>
      <c r="O26" s="4" t="str">
        <f>HYPERLINK("http://141.218.60.56/~jnz1568/getInfo.php?workbook=09_01.xlsx&amp;sheet=A0&amp;row=26&amp;col=15&amp;number=&amp;sourceID=12","")</f>
        <v/>
      </c>
      <c r="P26" s="4" t="str">
        <f>HYPERLINK("http://141.218.60.56/~jnz1568/getInfo.php?workbook=09_01.xlsx&amp;sheet=A0&amp;row=26&amp;col=16&amp;number=6354900&amp;sourceID=12","6354900")</f>
        <v>6354900</v>
      </c>
      <c r="Q26" s="4" t="str">
        <f>HYPERLINK("http://141.218.60.56/~jnz1568/getInfo.php?workbook=09_01.xlsx&amp;sheet=A0&amp;row=26&amp;col=17&amp;number=&amp;sourceID=12","")</f>
        <v/>
      </c>
      <c r="R26" s="4" t="str">
        <f>HYPERLINK("http://141.218.60.56/~jnz1568/getInfo.php?workbook=09_01.xlsx&amp;sheet=A0&amp;row=26&amp;col=18&amp;number=12.329&amp;sourceID=12","12.329")</f>
        <v>12.329</v>
      </c>
      <c r="S26" s="4" t="str">
        <f>HYPERLINK("http://141.218.60.56/~jnz1568/getInfo.php?workbook=09_01.xlsx&amp;sheet=A0&amp;row=26&amp;col=19&amp;number=&amp;sourceID=12","")</f>
        <v/>
      </c>
      <c r="T26" s="4" t="str">
        <f>HYPERLINK("http://141.218.60.56/~jnz1568/getInfo.php?workbook=09_01.xlsx&amp;sheet=A0&amp;row=26&amp;col=20&amp;number=0.22819&amp;sourceID=12","0.22819")</f>
        <v>0.22819</v>
      </c>
      <c r="U26" s="4" t="str">
        <f>HYPERLINK("http://141.218.60.56/~jnz1568/getInfo.php?workbook=09_01.xlsx&amp;sheet=A0&amp;row=26&amp;col=21&amp;number=6355012.33&amp;sourceID=30","6355012.33")</f>
        <v>6355012.33</v>
      </c>
      <c r="V26" s="4" t="str">
        <f>HYPERLINK("http://141.218.60.56/~jnz1568/getInfo.php?workbook=09_01.xlsx&amp;sheet=A0&amp;row=26&amp;col=22&amp;number=&amp;sourceID=30","")</f>
        <v/>
      </c>
      <c r="W26" s="4" t="str">
        <f>HYPERLINK("http://141.218.60.56/~jnz1568/getInfo.php?workbook=09_01.xlsx&amp;sheet=A0&amp;row=26&amp;col=23&amp;number=6355000&amp;sourceID=30","6355000")</f>
        <v>6355000</v>
      </c>
      <c r="X26" s="4" t="str">
        <f>HYPERLINK("http://141.218.60.56/~jnz1568/getInfo.php?workbook=09_01.xlsx&amp;sheet=A0&amp;row=26&amp;col=24&amp;number=12.33&amp;sourceID=30","12.33")</f>
        <v>12.33</v>
      </c>
      <c r="Y26" s="4" t="str">
        <f>HYPERLINK("http://141.218.60.56/~jnz1568/getInfo.php?workbook=09_01.xlsx&amp;sheet=A0&amp;row=26&amp;col=25&amp;number=&amp;sourceID=30","")</f>
        <v/>
      </c>
      <c r="Z26" s="4" t="str">
        <f>HYPERLINK("http://141.218.60.56/~jnz1568/getInfo.php?workbook=09_01.xlsx&amp;sheet=A0&amp;row=26&amp;col=26&amp;number==&amp;sourceID=13","=")</f>
        <v>=</v>
      </c>
      <c r="AA26" s="4" t="str">
        <f>HYPERLINK("http://141.218.60.56/~jnz1568/getInfo.php?workbook=09_01.xlsx&amp;sheet=A0&amp;row=26&amp;col=27&amp;number=&amp;sourceID=13","")</f>
        <v/>
      </c>
      <c r="AB26" s="4" t="str">
        <f>HYPERLINK("http://141.218.60.56/~jnz1568/getInfo.php?workbook=09_01.xlsx&amp;sheet=A0&amp;row=26&amp;col=28&amp;number=6350000&amp;sourceID=13","6350000")</f>
        <v>6350000</v>
      </c>
      <c r="AC26" s="4" t="str">
        <f>HYPERLINK("http://141.218.60.56/~jnz1568/getInfo.php?workbook=09_01.xlsx&amp;sheet=A0&amp;row=26&amp;col=29&amp;number=&amp;sourceID=13","")</f>
        <v/>
      </c>
      <c r="AD26" s="4" t="str">
        <f>HYPERLINK("http://141.218.60.56/~jnz1568/getInfo.php?workbook=09_01.xlsx&amp;sheet=A0&amp;row=26&amp;col=30&amp;number=12.3&amp;sourceID=13","12.3")</f>
        <v>12.3</v>
      </c>
      <c r="AE26" s="4" t="str">
        <f>HYPERLINK("http://141.218.60.56/~jnz1568/getInfo.php?workbook=09_01.xlsx&amp;sheet=A0&amp;row=26&amp;col=31&amp;number=&amp;sourceID=13","")</f>
        <v/>
      </c>
    </row>
    <row r="27" spans="1:31">
      <c r="A27" s="3">
        <v>9</v>
      </c>
      <c r="B27" s="3">
        <v>1</v>
      </c>
      <c r="C27" s="3">
        <v>8</v>
      </c>
      <c r="D27" s="3">
        <v>5</v>
      </c>
      <c r="E27" s="3">
        <f>((1/(INDEX(E0!J$4:J$28,C27,1)-INDEX(E0!J$4:J$28,D27,1))))*100000000</f>
        <v>0</v>
      </c>
      <c r="F27" s="4" t="str">
        <f>HYPERLINK("http://141.218.60.56/~jnz1568/getInfo.php?workbook=09_01.xlsx&amp;sheet=A0&amp;row=27&amp;col=6&amp;number=&amp;sourceID=18","")</f>
        <v/>
      </c>
      <c r="G27" s="4" t="str">
        <f>HYPERLINK("http://141.218.60.56/~jnz1568/getInfo.php?workbook=09_01.xlsx&amp;sheet=A0&amp;row=27&amp;col=7&amp;number==&amp;sourceID=11","=")</f>
        <v>=</v>
      </c>
      <c r="H27" s="4" t="str">
        <f>HYPERLINK("http://141.218.60.56/~jnz1568/getInfo.php?workbook=09_01.xlsx&amp;sheet=A0&amp;row=27&amp;col=8&amp;number=&amp;sourceID=11","")</f>
        <v/>
      </c>
      <c r="I27" s="4" t="str">
        <f>HYPERLINK("http://141.218.60.56/~jnz1568/getInfo.php?workbook=09_01.xlsx&amp;sheet=A0&amp;row=27&amp;col=9&amp;number=2.0169e-08&amp;sourceID=11","2.0169e-08")</f>
        <v>2.0169e-08</v>
      </c>
      <c r="J27" s="4" t="str">
        <f>HYPERLINK("http://141.218.60.56/~jnz1568/getInfo.php?workbook=09_01.xlsx&amp;sheet=A0&amp;row=27&amp;col=10&amp;number=&amp;sourceID=11","")</f>
        <v/>
      </c>
      <c r="K27" s="4" t="str">
        <f>HYPERLINK("http://141.218.60.56/~jnz1568/getInfo.php?workbook=09_01.xlsx&amp;sheet=A0&amp;row=27&amp;col=11&amp;number=0.0032443&amp;sourceID=11","0.0032443")</f>
        <v>0.0032443</v>
      </c>
      <c r="L27" s="4" t="str">
        <f>HYPERLINK("http://141.218.60.56/~jnz1568/getInfo.php?workbook=09_01.xlsx&amp;sheet=A0&amp;row=27&amp;col=12&amp;number=&amp;sourceID=11","")</f>
        <v/>
      </c>
      <c r="M27" s="4" t="str">
        <f>HYPERLINK("http://141.218.60.56/~jnz1568/getInfo.php?workbook=09_01.xlsx&amp;sheet=A0&amp;row=27&amp;col=13&amp;number=&amp;sourceID=11","")</f>
        <v/>
      </c>
      <c r="N27" s="4" t="str">
        <f>HYPERLINK("http://141.218.60.56/~jnz1568/getInfo.php?workbook=09_01.xlsx&amp;sheet=A0&amp;row=27&amp;col=14&amp;number=0.0032444&amp;sourceID=12","0.0032444")</f>
        <v>0.0032444</v>
      </c>
      <c r="O27" s="4" t="str">
        <f>HYPERLINK("http://141.218.60.56/~jnz1568/getInfo.php?workbook=09_01.xlsx&amp;sheet=A0&amp;row=27&amp;col=15&amp;number=&amp;sourceID=12","")</f>
        <v/>
      </c>
      <c r="P27" s="4" t="str">
        <f>HYPERLINK("http://141.218.60.56/~jnz1568/getInfo.php?workbook=09_01.xlsx&amp;sheet=A0&amp;row=27&amp;col=16&amp;number=2.017e-08&amp;sourceID=12","2.017e-08")</f>
        <v>2.017e-08</v>
      </c>
      <c r="Q27" s="4" t="str">
        <f>HYPERLINK("http://141.218.60.56/~jnz1568/getInfo.php?workbook=09_01.xlsx&amp;sheet=A0&amp;row=27&amp;col=17&amp;number=&amp;sourceID=12","")</f>
        <v/>
      </c>
      <c r="R27" s="4" t="str">
        <f>HYPERLINK("http://141.218.60.56/~jnz1568/getInfo.php?workbook=09_01.xlsx&amp;sheet=A0&amp;row=27&amp;col=18&amp;number=0.0032444&amp;sourceID=12","0.0032444")</f>
        <v>0.0032444</v>
      </c>
      <c r="S27" s="4" t="str">
        <f>HYPERLINK("http://141.218.60.56/~jnz1568/getInfo.php?workbook=09_01.xlsx&amp;sheet=A0&amp;row=27&amp;col=19&amp;number=&amp;sourceID=12","")</f>
        <v/>
      </c>
      <c r="T27" s="4" t="str">
        <f>HYPERLINK("http://141.218.60.56/~jnz1568/getInfo.php?workbook=09_01.xlsx&amp;sheet=A0&amp;row=27&amp;col=20&amp;number=&amp;sourceID=12","")</f>
        <v/>
      </c>
      <c r="U27" s="4" t="str">
        <f>HYPERLINK("http://141.218.60.56/~jnz1568/getInfo.php?workbook=09_01.xlsx&amp;sheet=A0&amp;row=27&amp;col=21&amp;number=0.00324402017&amp;sourceID=30","0.00324402017")</f>
        <v>0.00324402017</v>
      </c>
      <c r="V27" s="4" t="str">
        <f>HYPERLINK("http://141.218.60.56/~jnz1568/getInfo.php?workbook=09_01.xlsx&amp;sheet=A0&amp;row=27&amp;col=22&amp;number=&amp;sourceID=30","")</f>
        <v/>
      </c>
      <c r="W27" s="4" t="str">
        <f>HYPERLINK("http://141.218.60.56/~jnz1568/getInfo.php?workbook=09_01.xlsx&amp;sheet=A0&amp;row=27&amp;col=23&amp;number=2.017e-08&amp;sourceID=30","2.017e-08")</f>
        <v>2.017e-08</v>
      </c>
      <c r="X27" s="4" t="str">
        <f>HYPERLINK("http://141.218.60.56/~jnz1568/getInfo.php?workbook=09_01.xlsx&amp;sheet=A0&amp;row=27&amp;col=24&amp;number=0.003244&amp;sourceID=30","0.003244")</f>
        <v>0.003244</v>
      </c>
      <c r="Y27" s="4" t="str">
        <f>HYPERLINK("http://141.218.60.56/~jnz1568/getInfo.php?workbook=09_01.xlsx&amp;sheet=A0&amp;row=27&amp;col=25&amp;number=&amp;sourceID=30","")</f>
        <v/>
      </c>
      <c r="Z27" s="4" t="str">
        <f>HYPERLINK("http://141.218.60.56/~jnz1568/getInfo.php?workbook=09_01.xlsx&amp;sheet=A0&amp;row=27&amp;col=26&amp;number==&amp;sourceID=13","=")</f>
        <v>=</v>
      </c>
      <c r="AA27" s="4" t="str">
        <f>HYPERLINK("http://141.218.60.56/~jnz1568/getInfo.php?workbook=09_01.xlsx&amp;sheet=A0&amp;row=27&amp;col=27&amp;number=&amp;sourceID=13","")</f>
        <v/>
      </c>
      <c r="AB27" s="4" t="str">
        <f>HYPERLINK("http://141.218.60.56/~jnz1568/getInfo.php?workbook=09_01.xlsx&amp;sheet=A0&amp;row=27&amp;col=28&amp;number=1.97e-08&amp;sourceID=13","1.97e-08")</f>
        <v>1.97e-08</v>
      </c>
      <c r="AC27" s="4" t="str">
        <f>HYPERLINK("http://141.218.60.56/~jnz1568/getInfo.php?workbook=09_01.xlsx&amp;sheet=A0&amp;row=27&amp;col=29&amp;number=&amp;sourceID=13","")</f>
        <v/>
      </c>
      <c r="AD27" s="4" t="str">
        <f>HYPERLINK("http://141.218.60.56/~jnz1568/getInfo.php?workbook=09_01.xlsx&amp;sheet=A0&amp;row=27&amp;col=30&amp;number=0.0032&amp;sourceID=13","0.0032")</f>
        <v>0.0032</v>
      </c>
      <c r="AE27" s="4" t="str">
        <f>HYPERLINK("http://141.218.60.56/~jnz1568/getInfo.php?workbook=09_01.xlsx&amp;sheet=A0&amp;row=27&amp;col=31&amp;number=&amp;sourceID=13","")</f>
        <v/>
      </c>
    </row>
    <row r="28" spans="1:31">
      <c r="A28" s="3">
        <v>9</v>
      </c>
      <c r="B28" s="3">
        <v>1</v>
      </c>
      <c r="C28" s="3">
        <v>8</v>
      </c>
      <c r="D28" s="3">
        <v>6</v>
      </c>
      <c r="E28" s="3">
        <f>((1/(INDEX(E0!J$4:J$28,C28,1)-INDEX(E0!J$4:J$28,D28,1))))*100000000</f>
        <v>0</v>
      </c>
      <c r="F28" s="4" t="str">
        <f>HYPERLINK("http://141.218.60.56/~jnz1568/getInfo.php?workbook=09_01.xlsx&amp;sheet=A0&amp;row=28&amp;col=6&amp;number=&amp;sourceID=18","")</f>
        <v/>
      </c>
      <c r="G28" s="4" t="str">
        <f>HYPERLINK("http://141.218.60.56/~jnz1568/getInfo.php?workbook=09_01.xlsx&amp;sheet=A0&amp;row=28&amp;col=7&amp;number==&amp;sourceID=11","=")</f>
        <v>=</v>
      </c>
      <c r="H28" s="4" t="str">
        <f>HYPERLINK("http://141.218.60.56/~jnz1568/getInfo.php?workbook=09_01.xlsx&amp;sheet=A0&amp;row=28&amp;col=8&amp;number=486.95&amp;sourceID=11","486.95")</f>
        <v>486.95</v>
      </c>
      <c r="I28" s="4" t="str">
        <f>HYPERLINK("http://141.218.60.56/~jnz1568/getInfo.php?workbook=09_01.xlsx&amp;sheet=A0&amp;row=28&amp;col=9&amp;number=&amp;sourceID=11","")</f>
        <v/>
      </c>
      <c r="J28" s="4" t="str">
        <f>HYPERLINK("http://141.218.60.56/~jnz1568/getInfo.php?workbook=09_01.xlsx&amp;sheet=A0&amp;row=28&amp;col=10&amp;number=&amp;sourceID=11","")</f>
        <v/>
      </c>
      <c r="K28" s="4" t="str">
        <f>HYPERLINK("http://141.218.60.56/~jnz1568/getInfo.php?workbook=09_01.xlsx&amp;sheet=A0&amp;row=28&amp;col=11&amp;number=&amp;sourceID=11","")</f>
        <v/>
      </c>
      <c r="L28" s="4" t="str">
        <f>HYPERLINK("http://141.218.60.56/~jnz1568/getInfo.php?workbook=09_01.xlsx&amp;sheet=A0&amp;row=28&amp;col=12&amp;number=2.724e-12&amp;sourceID=11","2.724e-12")</f>
        <v>2.724e-12</v>
      </c>
      <c r="M28" s="4" t="str">
        <f>HYPERLINK("http://141.218.60.56/~jnz1568/getInfo.php?workbook=09_01.xlsx&amp;sheet=A0&amp;row=28&amp;col=13&amp;number=&amp;sourceID=11","")</f>
        <v/>
      </c>
      <c r="N28" s="4" t="str">
        <f>HYPERLINK("http://141.218.60.56/~jnz1568/getInfo.php?workbook=09_01.xlsx&amp;sheet=A0&amp;row=28&amp;col=14&amp;number=486.97&amp;sourceID=12","486.97")</f>
        <v>486.97</v>
      </c>
      <c r="O28" s="4" t="str">
        <f>HYPERLINK("http://141.218.60.56/~jnz1568/getInfo.php?workbook=09_01.xlsx&amp;sheet=A0&amp;row=28&amp;col=15&amp;number=486.97&amp;sourceID=12","486.97")</f>
        <v>486.97</v>
      </c>
      <c r="P28" s="4" t="str">
        <f>HYPERLINK("http://141.218.60.56/~jnz1568/getInfo.php?workbook=09_01.xlsx&amp;sheet=A0&amp;row=28&amp;col=16&amp;number=&amp;sourceID=12","")</f>
        <v/>
      </c>
      <c r="Q28" s="4" t="str">
        <f>HYPERLINK("http://141.218.60.56/~jnz1568/getInfo.php?workbook=09_01.xlsx&amp;sheet=A0&amp;row=28&amp;col=17&amp;number=&amp;sourceID=12","")</f>
        <v/>
      </c>
      <c r="R28" s="4" t="str">
        <f>HYPERLINK("http://141.218.60.56/~jnz1568/getInfo.php?workbook=09_01.xlsx&amp;sheet=A0&amp;row=28&amp;col=18&amp;number=&amp;sourceID=12","")</f>
        <v/>
      </c>
      <c r="S28" s="4" t="str">
        <f>HYPERLINK("http://141.218.60.56/~jnz1568/getInfo.php?workbook=09_01.xlsx&amp;sheet=A0&amp;row=28&amp;col=19&amp;number=2.725e-12&amp;sourceID=12","2.725e-12")</f>
        <v>2.725e-12</v>
      </c>
      <c r="T28" s="4" t="str">
        <f>HYPERLINK("http://141.218.60.56/~jnz1568/getInfo.php?workbook=09_01.xlsx&amp;sheet=A0&amp;row=28&amp;col=20&amp;number=&amp;sourceID=12","")</f>
        <v/>
      </c>
      <c r="U28" s="4" t="str">
        <f>HYPERLINK("http://141.218.60.56/~jnz1568/getInfo.php?workbook=09_01.xlsx&amp;sheet=A0&amp;row=28&amp;col=21&amp;number=487.0&amp;sourceID=30","487.0")</f>
        <v>487.0</v>
      </c>
      <c r="V28" s="4" t="str">
        <f>HYPERLINK("http://141.218.60.56/~jnz1568/getInfo.php?workbook=09_01.xlsx&amp;sheet=A0&amp;row=28&amp;col=22&amp;number=487&amp;sourceID=30","487")</f>
        <v>487</v>
      </c>
      <c r="W28" s="4" t="str">
        <f>HYPERLINK("http://141.218.60.56/~jnz1568/getInfo.php?workbook=09_01.xlsx&amp;sheet=A0&amp;row=28&amp;col=23&amp;number=&amp;sourceID=30","")</f>
        <v/>
      </c>
      <c r="X28" s="4" t="str">
        <f>HYPERLINK("http://141.218.60.56/~jnz1568/getInfo.php?workbook=09_01.xlsx&amp;sheet=A0&amp;row=28&amp;col=24&amp;number=&amp;sourceID=30","")</f>
        <v/>
      </c>
      <c r="Y28" s="4" t="str">
        <f>HYPERLINK("http://141.218.60.56/~jnz1568/getInfo.php?workbook=09_01.xlsx&amp;sheet=A0&amp;row=28&amp;col=25&amp;number=2.725e-12&amp;sourceID=30","2.725e-12")</f>
        <v>2.725e-12</v>
      </c>
      <c r="Z28" s="4" t="str">
        <f>HYPERLINK("http://141.218.60.56/~jnz1568/getInfo.php?workbook=09_01.xlsx&amp;sheet=A0&amp;row=28&amp;col=26&amp;number==&amp;sourceID=13","=")</f>
        <v>=</v>
      </c>
      <c r="AA28" s="4" t="str">
        <f>HYPERLINK("http://141.218.60.56/~jnz1568/getInfo.php?workbook=09_01.xlsx&amp;sheet=A0&amp;row=28&amp;col=27&amp;number=478&amp;sourceID=13","478")</f>
        <v>478</v>
      </c>
      <c r="AB28" s="4" t="str">
        <f>HYPERLINK("http://141.218.60.56/~jnz1568/getInfo.php?workbook=09_01.xlsx&amp;sheet=A0&amp;row=28&amp;col=28&amp;number=&amp;sourceID=13","")</f>
        <v/>
      </c>
      <c r="AC28" s="4" t="str">
        <f>HYPERLINK("http://141.218.60.56/~jnz1568/getInfo.php?workbook=09_01.xlsx&amp;sheet=A0&amp;row=28&amp;col=29&amp;number=&amp;sourceID=13","")</f>
        <v/>
      </c>
      <c r="AD28" s="4" t="str">
        <f>HYPERLINK("http://141.218.60.56/~jnz1568/getInfo.php?workbook=09_01.xlsx&amp;sheet=A0&amp;row=28&amp;col=30&amp;number=&amp;sourceID=13","")</f>
        <v/>
      </c>
      <c r="AE28" s="4" t="str">
        <f>HYPERLINK("http://141.218.60.56/~jnz1568/getInfo.php?workbook=09_01.xlsx&amp;sheet=A0&amp;row=28&amp;col=31&amp;number=&amp;sourceID=13","")</f>
        <v/>
      </c>
    </row>
    <row r="29" spans="1:31">
      <c r="A29" s="3">
        <v>9</v>
      </c>
      <c r="B29" s="3">
        <v>1</v>
      </c>
      <c r="C29" s="3">
        <v>9</v>
      </c>
      <c r="D29" s="3">
        <v>1</v>
      </c>
      <c r="E29" s="3">
        <f>((1/(INDEX(E0!J$4:J$28,C29,1)-INDEX(E0!J$4:J$28,D29,1))))*100000000</f>
        <v>0</v>
      </c>
      <c r="F29" s="4" t="str">
        <f>HYPERLINK("http://141.218.60.56/~jnz1568/getInfo.php?workbook=09_01.xlsx&amp;sheet=A0&amp;row=29&amp;col=6&amp;number=&amp;sourceID=18","")</f>
        <v/>
      </c>
      <c r="G29" s="4" t="str">
        <f>HYPERLINK("http://141.218.60.56/~jnz1568/getInfo.php?workbook=09_01.xlsx&amp;sheet=A0&amp;row=29&amp;col=7&amp;number==&amp;sourceID=11","=")</f>
        <v>=</v>
      </c>
      <c r="H29" s="4" t="str">
        <f>HYPERLINK("http://141.218.60.56/~jnz1568/getInfo.php?workbook=09_01.xlsx&amp;sheet=A0&amp;row=29&amp;col=8&amp;number=&amp;sourceID=11","")</f>
        <v/>
      </c>
      <c r="I29" s="4" t="str">
        <f>HYPERLINK("http://141.218.60.56/~jnz1568/getInfo.php?workbook=09_01.xlsx&amp;sheet=A0&amp;row=29&amp;col=9&amp;number=314610000&amp;sourceID=11","314610000")</f>
        <v>314610000</v>
      </c>
      <c r="J29" s="4" t="str">
        <f>HYPERLINK("http://141.218.60.56/~jnz1568/getInfo.php?workbook=09_01.xlsx&amp;sheet=A0&amp;row=29&amp;col=10&amp;number=&amp;sourceID=11","")</f>
        <v/>
      </c>
      <c r="K29" s="4" t="str">
        <f>HYPERLINK("http://141.218.60.56/~jnz1568/getInfo.php?workbook=09_01.xlsx&amp;sheet=A0&amp;row=29&amp;col=11&amp;number=&amp;sourceID=11","")</f>
        <v/>
      </c>
      <c r="L29" s="4" t="str">
        <f>HYPERLINK("http://141.218.60.56/~jnz1568/getInfo.php?workbook=09_01.xlsx&amp;sheet=A0&amp;row=29&amp;col=12&amp;number=&amp;sourceID=11","")</f>
        <v/>
      </c>
      <c r="M29" s="4" t="str">
        <f>HYPERLINK("http://141.218.60.56/~jnz1568/getInfo.php?workbook=09_01.xlsx&amp;sheet=A0&amp;row=29&amp;col=13&amp;number=257.67&amp;sourceID=11","257.67")</f>
        <v>257.67</v>
      </c>
      <c r="N29" s="4" t="str">
        <f>HYPERLINK("http://141.218.60.56/~jnz1568/getInfo.php?workbook=09_01.xlsx&amp;sheet=A0&amp;row=29&amp;col=14&amp;number=314620000&amp;sourceID=12","314620000")</f>
        <v>314620000</v>
      </c>
      <c r="O29" s="4" t="str">
        <f>HYPERLINK("http://141.218.60.56/~jnz1568/getInfo.php?workbook=09_01.xlsx&amp;sheet=A0&amp;row=29&amp;col=15&amp;number=&amp;sourceID=12","")</f>
        <v/>
      </c>
      <c r="P29" s="4" t="str">
        <f>HYPERLINK("http://141.218.60.56/~jnz1568/getInfo.php?workbook=09_01.xlsx&amp;sheet=A0&amp;row=29&amp;col=16&amp;number=314620000&amp;sourceID=12","314620000")</f>
        <v>314620000</v>
      </c>
      <c r="Q29" s="4" t="str">
        <f>HYPERLINK("http://141.218.60.56/~jnz1568/getInfo.php?workbook=09_01.xlsx&amp;sheet=A0&amp;row=29&amp;col=17&amp;number=&amp;sourceID=12","")</f>
        <v/>
      </c>
      <c r="R29" s="4" t="str">
        <f>HYPERLINK("http://141.218.60.56/~jnz1568/getInfo.php?workbook=09_01.xlsx&amp;sheet=A0&amp;row=29&amp;col=18&amp;number=&amp;sourceID=12","")</f>
        <v/>
      </c>
      <c r="S29" s="4" t="str">
        <f>HYPERLINK("http://141.218.60.56/~jnz1568/getInfo.php?workbook=09_01.xlsx&amp;sheet=A0&amp;row=29&amp;col=19&amp;number=&amp;sourceID=12","")</f>
        <v/>
      </c>
      <c r="T29" s="4" t="str">
        <f>HYPERLINK("http://141.218.60.56/~jnz1568/getInfo.php?workbook=09_01.xlsx&amp;sheet=A0&amp;row=29&amp;col=20&amp;number=257.68&amp;sourceID=12","257.68")</f>
        <v>257.68</v>
      </c>
      <c r="U29" s="4" t="str">
        <f>HYPERLINK("http://141.218.60.56/~jnz1568/getInfo.php?workbook=09_01.xlsx&amp;sheet=A0&amp;row=29&amp;col=21&amp;number=314600000&amp;sourceID=30","314600000")</f>
        <v>314600000</v>
      </c>
      <c r="V29" s="4" t="str">
        <f>HYPERLINK("http://141.218.60.56/~jnz1568/getInfo.php?workbook=09_01.xlsx&amp;sheet=A0&amp;row=29&amp;col=22&amp;number=&amp;sourceID=30","")</f>
        <v/>
      </c>
      <c r="W29" s="4" t="str">
        <f>HYPERLINK("http://141.218.60.56/~jnz1568/getInfo.php?workbook=09_01.xlsx&amp;sheet=A0&amp;row=29&amp;col=23&amp;number=314600000&amp;sourceID=30","314600000")</f>
        <v>314600000</v>
      </c>
      <c r="X29" s="4" t="str">
        <f>HYPERLINK("http://141.218.60.56/~jnz1568/getInfo.php?workbook=09_01.xlsx&amp;sheet=A0&amp;row=29&amp;col=24&amp;number=&amp;sourceID=30","")</f>
        <v/>
      </c>
      <c r="Y29" s="4" t="str">
        <f>HYPERLINK("http://141.218.60.56/~jnz1568/getInfo.php?workbook=09_01.xlsx&amp;sheet=A0&amp;row=29&amp;col=25&amp;number=&amp;sourceID=30","")</f>
        <v/>
      </c>
      <c r="Z29" s="4" t="str">
        <f>HYPERLINK("http://141.218.60.56/~jnz1568/getInfo.php?workbook=09_01.xlsx&amp;sheet=A0&amp;row=29&amp;col=26&amp;number==&amp;sourceID=13","=")</f>
        <v>=</v>
      </c>
      <c r="AA29" s="4" t="str">
        <f>HYPERLINK("http://141.218.60.56/~jnz1568/getInfo.php?workbook=09_01.xlsx&amp;sheet=A0&amp;row=29&amp;col=27&amp;number=&amp;sourceID=13","")</f>
        <v/>
      </c>
      <c r="AB29" s="4" t="str">
        <f>HYPERLINK("http://141.218.60.56/~jnz1568/getInfo.php?workbook=09_01.xlsx&amp;sheet=A0&amp;row=29&amp;col=28&amp;number=319000000&amp;sourceID=13","319000000")</f>
        <v>319000000</v>
      </c>
      <c r="AC29" s="4" t="str">
        <f>HYPERLINK("http://141.218.60.56/~jnz1568/getInfo.php?workbook=09_01.xlsx&amp;sheet=A0&amp;row=29&amp;col=29&amp;number=&amp;sourceID=13","")</f>
        <v/>
      </c>
      <c r="AD29" s="4" t="str">
        <f>HYPERLINK("http://141.218.60.56/~jnz1568/getInfo.php?workbook=09_01.xlsx&amp;sheet=A0&amp;row=29&amp;col=30&amp;number=&amp;sourceID=13","")</f>
        <v/>
      </c>
      <c r="AE29" s="4" t="str">
        <f>HYPERLINK("http://141.218.60.56/~jnz1568/getInfo.php?workbook=09_01.xlsx&amp;sheet=A0&amp;row=29&amp;col=31&amp;number=&amp;sourceID=13","")</f>
        <v/>
      </c>
    </row>
    <row r="30" spans="1:31">
      <c r="A30" s="3">
        <v>9</v>
      </c>
      <c r="B30" s="3">
        <v>1</v>
      </c>
      <c r="C30" s="3">
        <v>9</v>
      </c>
      <c r="D30" s="3">
        <v>2</v>
      </c>
      <c r="E30" s="3">
        <f>((1/(INDEX(E0!J$4:J$28,C30,1)-INDEX(E0!J$4:J$28,D30,1))))*100000000</f>
        <v>0</v>
      </c>
      <c r="F30" s="4" t="str">
        <f>HYPERLINK("http://141.218.60.56/~jnz1568/getInfo.php?workbook=09_01.xlsx&amp;sheet=A0&amp;row=30&amp;col=6&amp;number=&amp;sourceID=18","")</f>
        <v/>
      </c>
      <c r="G30" s="4" t="str">
        <f>HYPERLINK("http://141.218.60.56/~jnz1568/getInfo.php?workbook=09_01.xlsx&amp;sheet=A0&amp;row=30&amp;col=7&amp;number==&amp;sourceID=11","=")</f>
        <v>=</v>
      </c>
      <c r="H30" s="4" t="str">
        <f>HYPERLINK("http://141.218.60.56/~jnz1568/getInfo.php?workbook=09_01.xlsx&amp;sheet=A0&amp;row=30&amp;col=8&amp;number=&amp;sourceID=11","")</f>
        <v/>
      </c>
      <c r="I30" s="4" t="str">
        <f>HYPERLINK("http://141.218.60.56/~jnz1568/getInfo.php?workbook=09_01.xlsx&amp;sheet=A0&amp;row=30&amp;col=9&amp;number=&amp;sourceID=11","")</f>
        <v/>
      </c>
      <c r="J30" s="4" t="str">
        <f>HYPERLINK("http://141.218.60.56/~jnz1568/getInfo.php?workbook=09_01.xlsx&amp;sheet=A0&amp;row=30&amp;col=10&amp;number=545.83&amp;sourceID=11","545.83")</f>
        <v>545.83</v>
      </c>
      <c r="K30" s="4" t="str">
        <f>HYPERLINK("http://141.218.60.56/~jnz1568/getInfo.php?workbook=09_01.xlsx&amp;sheet=A0&amp;row=30&amp;col=11&amp;number=&amp;sourceID=11","")</f>
        <v/>
      </c>
      <c r="L30" s="4" t="str">
        <f>HYPERLINK("http://141.218.60.56/~jnz1568/getInfo.php?workbook=09_01.xlsx&amp;sheet=A0&amp;row=30&amp;col=12&amp;number=1702.9&amp;sourceID=11","1702.9")</f>
        <v>1702.9</v>
      </c>
      <c r="M30" s="4" t="str">
        <f>HYPERLINK("http://141.218.60.56/~jnz1568/getInfo.php?workbook=09_01.xlsx&amp;sheet=A0&amp;row=30&amp;col=13&amp;number=&amp;sourceID=11","")</f>
        <v/>
      </c>
      <c r="N30" s="4" t="str">
        <f>HYPERLINK("http://141.218.60.56/~jnz1568/getInfo.php?workbook=09_01.xlsx&amp;sheet=A0&amp;row=30&amp;col=14&amp;number=2248.8&amp;sourceID=12","2248.8")</f>
        <v>2248.8</v>
      </c>
      <c r="O30" s="4" t="str">
        <f>HYPERLINK("http://141.218.60.56/~jnz1568/getInfo.php?workbook=09_01.xlsx&amp;sheet=A0&amp;row=30&amp;col=15&amp;number=&amp;sourceID=12","")</f>
        <v/>
      </c>
      <c r="P30" s="4" t="str">
        <f>HYPERLINK("http://141.218.60.56/~jnz1568/getInfo.php?workbook=09_01.xlsx&amp;sheet=A0&amp;row=30&amp;col=16&amp;number=&amp;sourceID=12","")</f>
        <v/>
      </c>
      <c r="Q30" s="4" t="str">
        <f>HYPERLINK("http://141.218.60.56/~jnz1568/getInfo.php?workbook=09_01.xlsx&amp;sheet=A0&amp;row=30&amp;col=17&amp;number=545.85&amp;sourceID=12","545.85")</f>
        <v>545.85</v>
      </c>
      <c r="R30" s="4" t="str">
        <f>HYPERLINK("http://141.218.60.56/~jnz1568/getInfo.php?workbook=09_01.xlsx&amp;sheet=A0&amp;row=30&amp;col=18&amp;number=&amp;sourceID=12","")</f>
        <v/>
      </c>
      <c r="S30" s="4" t="str">
        <f>HYPERLINK("http://141.218.60.56/~jnz1568/getInfo.php?workbook=09_01.xlsx&amp;sheet=A0&amp;row=30&amp;col=19&amp;number=1702.9&amp;sourceID=12","1702.9")</f>
        <v>1702.9</v>
      </c>
      <c r="T30" s="4" t="str">
        <f>HYPERLINK("http://141.218.60.56/~jnz1568/getInfo.php?workbook=09_01.xlsx&amp;sheet=A0&amp;row=30&amp;col=20&amp;number=&amp;sourceID=12","")</f>
        <v/>
      </c>
      <c r="U30" s="4" t="str">
        <f>HYPERLINK("http://141.218.60.56/~jnz1568/getInfo.php?workbook=09_01.xlsx&amp;sheet=A0&amp;row=30&amp;col=21&amp;number=1703&amp;sourceID=30","1703")</f>
        <v>1703</v>
      </c>
      <c r="V30" s="4" t="str">
        <f>HYPERLINK("http://141.218.60.56/~jnz1568/getInfo.php?workbook=09_01.xlsx&amp;sheet=A0&amp;row=30&amp;col=22&amp;number=&amp;sourceID=30","")</f>
        <v/>
      </c>
      <c r="W30" s="4" t="str">
        <f>HYPERLINK("http://141.218.60.56/~jnz1568/getInfo.php?workbook=09_01.xlsx&amp;sheet=A0&amp;row=30&amp;col=23&amp;number=&amp;sourceID=30","")</f>
        <v/>
      </c>
      <c r="X30" s="4" t="str">
        <f>HYPERLINK("http://141.218.60.56/~jnz1568/getInfo.php?workbook=09_01.xlsx&amp;sheet=A0&amp;row=30&amp;col=24&amp;number=&amp;sourceID=30","")</f>
        <v/>
      </c>
      <c r="Y30" s="4" t="str">
        <f>HYPERLINK("http://141.218.60.56/~jnz1568/getInfo.php?workbook=09_01.xlsx&amp;sheet=A0&amp;row=30&amp;col=25&amp;number=1703&amp;sourceID=30","1703")</f>
        <v>1703</v>
      </c>
      <c r="Z30" s="4" t="str">
        <f>HYPERLINK("http://141.218.60.56/~jnz1568/getInfo.php?workbook=09_01.xlsx&amp;sheet=A0&amp;row=30&amp;col=26&amp;number==&amp;sourceID=13","=")</f>
        <v>=</v>
      </c>
      <c r="AA30" s="4" t="str">
        <f>HYPERLINK("http://141.218.60.56/~jnz1568/getInfo.php?workbook=09_01.xlsx&amp;sheet=A0&amp;row=30&amp;col=27&amp;number=&amp;sourceID=13","")</f>
        <v/>
      </c>
      <c r="AB30" s="4" t="str">
        <f>HYPERLINK("http://141.218.60.56/~jnz1568/getInfo.php?workbook=09_01.xlsx&amp;sheet=A0&amp;row=30&amp;col=28&amp;number=&amp;sourceID=13","")</f>
        <v/>
      </c>
      <c r="AC30" s="4" t="str">
        <f>HYPERLINK("http://141.218.60.56/~jnz1568/getInfo.php?workbook=09_01.xlsx&amp;sheet=A0&amp;row=30&amp;col=29&amp;number=848&amp;sourceID=13","848")</f>
        <v>848</v>
      </c>
      <c r="AD30" s="4" t="str">
        <f>HYPERLINK("http://141.218.60.56/~jnz1568/getInfo.php?workbook=09_01.xlsx&amp;sheet=A0&amp;row=30&amp;col=30&amp;number=&amp;sourceID=13","")</f>
        <v/>
      </c>
      <c r="AE30" s="4" t="str">
        <f>HYPERLINK("http://141.218.60.56/~jnz1568/getInfo.php?workbook=09_01.xlsx&amp;sheet=A0&amp;row=30&amp;col=31&amp;number=6810&amp;sourceID=13","6810")</f>
        <v>6810</v>
      </c>
    </row>
    <row r="31" spans="1:31">
      <c r="A31" s="3">
        <v>9</v>
      </c>
      <c r="B31" s="3">
        <v>1</v>
      </c>
      <c r="C31" s="3">
        <v>9</v>
      </c>
      <c r="D31" s="3">
        <v>3</v>
      </c>
      <c r="E31" s="3">
        <f>((1/(INDEX(E0!J$4:J$28,C31,1)-INDEX(E0!J$4:J$28,D31,1))))*100000000</f>
        <v>0</v>
      </c>
      <c r="F31" s="4" t="str">
        <f>HYPERLINK("http://141.218.60.56/~jnz1568/getInfo.php?workbook=09_01.xlsx&amp;sheet=A0&amp;row=31&amp;col=6&amp;number=&amp;sourceID=18","")</f>
        <v/>
      </c>
      <c r="G31" s="4" t="str">
        <f>HYPERLINK("http://141.218.60.56/~jnz1568/getInfo.php?workbook=09_01.xlsx&amp;sheet=A0&amp;row=31&amp;col=7&amp;number==&amp;sourceID=11","=")</f>
        <v>=</v>
      </c>
      <c r="H31" s="4" t="str">
        <f>HYPERLINK("http://141.218.60.56/~jnz1568/getInfo.php?workbook=09_01.xlsx&amp;sheet=A0&amp;row=31&amp;col=8&amp;number=&amp;sourceID=11","")</f>
        <v/>
      </c>
      <c r="I31" s="4" t="str">
        <f>HYPERLINK("http://141.218.60.56/~jnz1568/getInfo.php?workbook=09_01.xlsx&amp;sheet=A0&amp;row=31&amp;col=9&amp;number=27273000&amp;sourceID=11","27273000")</f>
        <v>27273000</v>
      </c>
      <c r="J31" s="4" t="str">
        <f>HYPERLINK("http://141.218.60.56/~jnz1568/getInfo.php?workbook=09_01.xlsx&amp;sheet=A0&amp;row=31&amp;col=10&amp;number=&amp;sourceID=11","")</f>
        <v/>
      </c>
      <c r="K31" s="4" t="str">
        <f>HYPERLINK("http://141.218.60.56/~jnz1568/getInfo.php?workbook=09_01.xlsx&amp;sheet=A0&amp;row=31&amp;col=11&amp;number=&amp;sourceID=11","")</f>
        <v/>
      </c>
      <c r="L31" s="4" t="str">
        <f>HYPERLINK("http://141.218.60.56/~jnz1568/getInfo.php?workbook=09_01.xlsx&amp;sheet=A0&amp;row=31&amp;col=12&amp;number=&amp;sourceID=11","")</f>
        <v/>
      </c>
      <c r="M31" s="4" t="str">
        <f>HYPERLINK("http://141.218.60.56/~jnz1568/getInfo.php?workbook=09_01.xlsx&amp;sheet=A0&amp;row=31&amp;col=13&amp;number=0.54628&amp;sourceID=11","0.54628")</f>
        <v>0.54628</v>
      </c>
      <c r="N31" s="4" t="str">
        <f>HYPERLINK("http://141.218.60.56/~jnz1568/getInfo.php?workbook=09_01.xlsx&amp;sheet=A0&amp;row=31&amp;col=14&amp;number=27274000&amp;sourceID=12","27274000")</f>
        <v>27274000</v>
      </c>
      <c r="O31" s="4" t="str">
        <f>HYPERLINK("http://141.218.60.56/~jnz1568/getInfo.php?workbook=09_01.xlsx&amp;sheet=A0&amp;row=31&amp;col=15&amp;number=&amp;sourceID=12","")</f>
        <v/>
      </c>
      <c r="P31" s="4" t="str">
        <f>HYPERLINK("http://141.218.60.56/~jnz1568/getInfo.php?workbook=09_01.xlsx&amp;sheet=A0&amp;row=31&amp;col=16&amp;number=27274000&amp;sourceID=12","27274000")</f>
        <v>27274000</v>
      </c>
      <c r="Q31" s="4" t="str">
        <f>HYPERLINK("http://141.218.60.56/~jnz1568/getInfo.php?workbook=09_01.xlsx&amp;sheet=A0&amp;row=31&amp;col=17&amp;number=&amp;sourceID=12","")</f>
        <v/>
      </c>
      <c r="R31" s="4" t="str">
        <f>HYPERLINK("http://141.218.60.56/~jnz1568/getInfo.php?workbook=09_01.xlsx&amp;sheet=A0&amp;row=31&amp;col=18&amp;number=&amp;sourceID=12","")</f>
        <v/>
      </c>
      <c r="S31" s="4" t="str">
        <f>HYPERLINK("http://141.218.60.56/~jnz1568/getInfo.php?workbook=09_01.xlsx&amp;sheet=A0&amp;row=31&amp;col=19&amp;number=&amp;sourceID=12","")</f>
        <v/>
      </c>
      <c r="T31" s="4" t="str">
        <f>HYPERLINK("http://141.218.60.56/~jnz1568/getInfo.php?workbook=09_01.xlsx&amp;sheet=A0&amp;row=31&amp;col=20&amp;number=0.5463&amp;sourceID=12","0.5463")</f>
        <v>0.5463</v>
      </c>
      <c r="U31" s="4" t="str">
        <f>HYPERLINK("http://141.218.60.56/~jnz1568/getInfo.php?workbook=09_01.xlsx&amp;sheet=A0&amp;row=31&amp;col=21&amp;number=27270000&amp;sourceID=30","27270000")</f>
        <v>27270000</v>
      </c>
      <c r="V31" s="4" t="str">
        <f>HYPERLINK("http://141.218.60.56/~jnz1568/getInfo.php?workbook=09_01.xlsx&amp;sheet=A0&amp;row=31&amp;col=22&amp;number=&amp;sourceID=30","")</f>
        <v/>
      </c>
      <c r="W31" s="4" t="str">
        <f>HYPERLINK("http://141.218.60.56/~jnz1568/getInfo.php?workbook=09_01.xlsx&amp;sheet=A0&amp;row=31&amp;col=23&amp;number=27270000&amp;sourceID=30","27270000")</f>
        <v>27270000</v>
      </c>
      <c r="X31" s="4" t="str">
        <f>HYPERLINK("http://141.218.60.56/~jnz1568/getInfo.php?workbook=09_01.xlsx&amp;sheet=A0&amp;row=31&amp;col=24&amp;number=&amp;sourceID=30","")</f>
        <v/>
      </c>
      <c r="Y31" s="4" t="str">
        <f>HYPERLINK("http://141.218.60.56/~jnz1568/getInfo.php?workbook=09_01.xlsx&amp;sheet=A0&amp;row=31&amp;col=25&amp;number=&amp;sourceID=30","")</f>
        <v/>
      </c>
      <c r="Z31" s="4" t="str">
        <f>HYPERLINK("http://141.218.60.56/~jnz1568/getInfo.php?workbook=09_01.xlsx&amp;sheet=A0&amp;row=31&amp;col=26&amp;number==&amp;sourceID=13","=")</f>
        <v>=</v>
      </c>
      <c r="AA31" s="4" t="str">
        <f>HYPERLINK("http://141.218.60.56/~jnz1568/getInfo.php?workbook=09_01.xlsx&amp;sheet=A0&amp;row=31&amp;col=27&amp;number=&amp;sourceID=13","")</f>
        <v/>
      </c>
      <c r="AB31" s="4" t="str">
        <f>HYPERLINK("http://141.218.60.56/~jnz1568/getInfo.php?workbook=09_01.xlsx&amp;sheet=A0&amp;row=31&amp;col=28&amp;number=27300000&amp;sourceID=13","27300000")</f>
        <v>27300000</v>
      </c>
      <c r="AC31" s="4" t="str">
        <f>HYPERLINK("http://141.218.60.56/~jnz1568/getInfo.php?workbook=09_01.xlsx&amp;sheet=A0&amp;row=31&amp;col=29&amp;number=&amp;sourceID=13","")</f>
        <v/>
      </c>
      <c r="AD31" s="4" t="str">
        <f>HYPERLINK("http://141.218.60.56/~jnz1568/getInfo.php?workbook=09_01.xlsx&amp;sheet=A0&amp;row=31&amp;col=30&amp;number=&amp;sourceID=13","")</f>
        <v/>
      </c>
      <c r="AE31" s="4" t="str">
        <f>HYPERLINK("http://141.218.60.56/~jnz1568/getInfo.php?workbook=09_01.xlsx&amp;sheet=A0&amp;row=31&amp;col=31&amp;number=&amp;sourceID=13","")</f>
        <v/>
      </c>
    </row>
    <row r="32" spans="1:31">
      <c r="A32" s="3">
        <v>9</v>
      </c>
      <c r="B32" s="3">
        <v>1</v>
      </c>
      <c r="C32" s="3">
        <v>9</v>
      </c>
      <c r="D32" s="3">
        <v>4</v>
      </c>
      <c r="E32" s="3">
        <f>((1/(INDEX(E0!J$4:J$28,C32,1)-INDEX(E0!J$4:J$28,D32,1))))*100000000</f>
        <v>0</v>
      </c>
      <c r="F32" s="4" t="str">
        <f>HYPERLINK("http://141.218.60.56/~jnz1568/getInfo.php?workbook=09_01.xlsx&amp;sheet=A0&amp;row=32&amp;col=6&amp;number=&amp;sourceID=18","")</f>
        <v/>
      </c>
      <c r="G32" s="4" t="str">
        <f>HYPERLINK("http://141.218.60.56/~jnz1568/getInfo.php?workbook=09_01.xlsx&amp;sheet=A0&amp;row=32&amp;col=7&amp;number==&amp;sourceID=11","=")</f>
        <v>=</v>
      </c>
      <c r="H32" s="4" t="str">
        <f>HYPERLINK("http://141.218.60.56/~jnz1568/getInfo.php?workbook=09_01.xlsx&amp;sheet=A0&amp;row=32&amp;col=8&amp;number=424320000000&amp;sourceID=11","424320000000")</f>
        <v>424320000000</v>
      </c>
      <c r="I32" s="4" t="str">
        <f>HYPERLINK("http://141.218.60.56/~jnz1568/getInfo.php?workbook=09_01.xlsx&amp;sheet=A0&amp;row=32&amp;col=9&amp;number=&amp;sourceID=11","")</f>
        <v/>
      </c>
      <c r="J32" s="4" t="str">
        <f>HYPERLINK("http://141.218.60.56/~jnz1568/getInfo.php?workbook=09_01.xlsx&amp;sheet=A0&amp;row=32&amp;col=10&amp;number=433.49&amp;sourceID=11","433.49")</f>
        <v>433.49</v>
      </c>
      <c r="K32" s="4" t="str">
        <f>HYPERLINK("http://141.218.60.56/~jnz1568/getInfo.php?workbook=09_01.xlsx&amp;sheet=A0&amp;row=32&amp;col=11&amp;number=&amp;sourceID=11","")</f>
        <v/>
      </c>
      <c r="L32" s="4" t="str">
        <f>HYPERLINK("http://141.218.60.56/~jnz1568/getInfo.php?workbook=09_01.xlsx&amp;sheet=A0&amp;row=32&amp;col=12&amp;number=9257.8&amp;sourceID=11","9257.8")</f>
        <v>9257.8</v>
      </c>
      <c r="M32" s="4" t="str">
        <f>HYPERLINK("http://141.218.60.56/~jnz1568/getInfo.php?workbook=09_01.xlsx&amp;sheet=A0&amp;row=32&amp;col=13&amp;number=&amp;sourceID=11","")</f>
        <v/>
      </c>
      <c r="N32" s="4" t="str">
        <f>HYPERLINK("http://141.218.60.56/~jnz1568/getInfo.php?workbook=09_01.xlsx&amp;sheet=A0&amp;row=32&amp;col=14&amp;number=424330000000&amp;sourceID=12","424330000000")</f>
        <v>424330000000</v>
      </c>
      <c r="O32" s="4" t="str">
        <f>HYPERLINK("http://141.218.60.56/~jnz1568/getInfo.php?workbook=09_01.xlsx&amp;sheet=A0&amp;row=32&amp;col=15&amp;number=424330000000&amp;sourceID=12","424330000000")</f>
        <v>424330000000</v>
      </c>
      <c r="P32" s="4" t="str">
        <f>HYPERLINK("http://141.218.60.56/~jnz1568/getInfo.php?workbook=09_01.xlsx&amp;sheet=A0&amp;row=32&amp;col=16&amp;number=&amp;sourceID=12","")</f>
        <v/>
      </c>
      <c r="Q32" s="4" t="str">
        <f>HYPERLINK("http://141.218.60.56/~jnz1568/getInfo.php?workbook=09_01.xlsx&amp;sheet=A0&amp;row=32&amp;col=17&amp;number=433.5&amp;sourceID=12","433.5")</f>
        <v>433.5</v>
      </c>
      <c r="R32" s="4" t="str">
        <f>HYPERLINK("http://141.218.60.56/~jnz1568/getInfo.php?workbook=09_01.xlsx&amp;sheet=A0&amp;row=32&amp;col=18&amp;number=&amp;sourceID=12","")</f>
        <v/>
      </c>
      <c r="S32" s="4" t="str">
        <f>HYPERLINK("http://141.218.60.56/~jnz1568/getInfo.php?workbook=09_01.xlsx&amp;sheet=A0&amp;row=32&amp;col=19&amp;number=9258.1&amp;sourceID=12","9258.1")</f>
        <v>9258.1</v>
      </c>
      <c r="T32" s="4" t="str">
        <f>HYPERLINK("http://141.218.60.56/~jnz1568/getInfo.php?workbook=09_01.xlsx&amp;sheet=A0&amp;row=32&amp;col=20&amp;number=&amp;sourceID=12","")</f>
        <v/>
      </c>
      <c r="U32" s="4" t="str">
        <f>HYPERLINK("http://141.218.60.56/~jnz1568/getInfo.php?workbook=09_01.xlsx&amp;sheet=A0&amp;row=32&amp;col=21&amp;number=424300009258&amp;sourceID=30","424300009258")</f>
        <v>424300009258</v>
      </c>
      <c r="V32" s="4" t="str">
        <f>HYPERLINK("http://141.218.60.56/~jnz1568/getInfo.php?workbook=09_01.xlsx&amp;sheet=A0&amp;row=32&amp;col=22&amp;number=424300000000&amp;sourceID=30","424300000000")</f>
        <v>424300000000</v>
      </c>
      <c r="W32" s="4" t="str">
        <f>HYPERLINK("http://141.218.60.56/~jnz1568/getInfo.php?workbook=09_01.xlsx&amp;sheet=A0&amp;row=32&amp;col=23&amp;number=&amp;sourceID=30","")</f>
        <v/>
      </c>
      <c r="X32" s="4" t="str">
        <f>HYPERLINK("http://141.218.60.56/~jnz1568/getInfo.php?workbook=09_01.xlsx&amp;sheet=A0&amp;row=32&amp;col=24&amp;number=&amp;sourceID=30","")</f>
        <v/>
      </c>
      <c r="Y32" s="4" t="str">
        <f>HYPERLINK("http://141.218.60.56/~jnz1568/getInfo.php?workbook=09_01.xlsx&amp;sheet=A0&amp;row=32&amp;col=25&amp;number=9258&amp;sourceID=30","9258")</f>
        <v>9258</v>
      </c>
      <c r="Z32" s="4" t="str">
        <f>HYPERLINK("http://141.218.60.56/~jnz1568/getInfo.php?workbook=09_01.xlsx&amp;sheet=A0&amp;row=32&amp;col=26&amp;number==&amp;sourceID=13","=")</f>
        <v>=</v>
      </c>
      <c r="AA32" s="4" t="str">
        <f>HYPERLINK("http://141.218.60.56/~jnz1568/getInfo.php?workbook=09_01.xlsx&amp;sheet=A0&amp;row=32&amp;col=27&amp;number=424000000000&amp;sourceID=13","424000000000")</f>
        <v>424000000000</v>
      </c>
      <c r="AB32" s="4" t="str">
        <f>HYPERLINK("http://141.218.60.56/~jnz1568/getInfo.php?workbook=09_01.xlsx&amp;sheet=A0&amp;row=32&amp;col=28&amp;number=&amp;sourceID=13","")</f>
        <v/>
      </c>
      <c r="AC32" s="4" t="str">
        <f>HYPERLINK("http://141.218.60.56/~jnz1568/getInfo.php?workbook=09_01.xlsx&amp;sheet=A0&amp;row=32&amp;col=29&amp;number=&amp;sourceID=13","")</f>
        <v/>
      </c>
      <c r="AD32" s="4" t="str">
        <f>HYPERLINK("http://141.218.60.56/~jnz1568/getInfo.php?workbook=09_01.xlsx&amp;sheet=A0&amp;row=32&amp;col=30&amp;number=&amp;sourceID=13","")</f>
        <v/>
      </c>
      <c r="AE32" s="4" t="str">
        <f>HYPERLINK("http://141.218.60.56/~jnz1568/getInfo.php?workbook=09_01.xlsx&amp;sheet=A0&amp;row=32&amp;col=31&amp;number=&amp;sourceID=13","")</f>
        <v/>
      </c>
    </row>
    <row r="33" spans="1:31">
      <c r="A33" s="3">
        <v>9</v>
      </c>
      <c r="B33" s="3">
        <v>1</v>
      </c>
      <c r="C33" s="3">
        <v>9</v>
      </c>
      <c r="D33" s="3">
        <v>5</v>
      </c>
      <c r="E33" s="3">
        <f>((1/(INDEX(E0!J$4:J$28,C33,1)-INDEX(E0!J$4:J$28,D33,1))))*100000000</f>
        <v>0</v>
      </c>
      <c r="F33" s="4" t="str">
        <f>HYPERLINK("http://141.218.60.56/~jnz1568/getInfo.php?workbook=09_01.xlsx&amp;sheet=A0&amp;row=33&amp;col=6&amp;number=&amp;sourceID=18","")</f>
        <v/>
      </c>
      <c r="G33" s="4" t="str">
        <f>HYPERLINK("http://141.218.60.56/~jnz1568/getInfo.php?workbook=09_01.xlsx&amp;sheet=A0&amp;row=33&amp;col=7&amp;number==&amp;sourceID=11","=")</f>
        <v>=</v>
      </c>
      <c r="H33" s="4" t="str">
        <f>HYPERLINK("http://141.218.60.56/~jnz1568/getInfo.php?workbook=09_01.xlsx&amp;sheet=A0&amp;row=33&amp;col=8&amp;number=&amp;sourceID=11","")</f>
        <v/>
      </c>
      <c r="I33" s="4" t="str">
        <f>HYPERLINK("http://141.218.60.56/~jnz1568/getInfo.php?workbook=09_01.xlsx&amp;sheet=A0&amp;row=33&amp;col=9&amp;number=&amp;sourceID=11","")</f>
        <v/>
      </c>
      <c r="J33" s="4" t="str">
        <f>HYPERLINK("http://141.218.60.56/~jnz1568/getInfo.php?workbook=09_01.xlsx&amp;sheet=A0&amp;row=33&amp;col=10&amp;number=0&amp;sourceID=11","0")</f>
        <v>0</v>
      </c>
      <c r="K33" s="4" t="str">
        <f>HYPERLINK("http://141.218.60.56/~jnz1568/getInfo.php?workbook=09_01.xlsx&amp;sheet=A0&amp;row=33&amp;col=11&amp;number=&amp;sourceID=11","")</f>
        <v/>
      </c>
      <c r="L33" s="4" t="str">
        <f>HYPERLINK("http://141.218.60.56/~jnz1568/getInfo.php?workbook=09_01.xlsx&amp;sheet=A0&amp;row=33&amp;col=12&amp;number=2.038e-12&amp;sourceID=11","2.038e-12")</f>
        <v>2.038e-12</v>
      </c>
      <c r="M33" s="4" t="str">
        <f>HYPERLINK("http://141.218.60.56/~jnz1568/getInfo.php?workbook=09_01.xlsx&amp;sheet=A0&amp;row=33&amp;col=13&amp;number=&amp;sourceID=11","")</f>
        <v/>
      </c>
      <c r="N33" s="4" t="str">
        <f>HYPERLINK("http://141.218.60.56/~jnz1568/getInfo.php?workbook=09_01.xlsx&amp;sheet=A0&amp;row=33&amp;col=14&amp;number=2.038e-12&amp;sourceID=12","2.038e-12")</f>
        <v>2.038e-12</v>
      </c>
      <c r="O33" s="4" t="str">
        <f>HYPERLINK("http://141.218.60.56/~jnz1568/getInfo.php?workbook=09_01.xlsx&amp;sheet=A0&amp;row=33&amp;col=15&amp;number=&amp;sourceID=12","")</f>
        <v/>
      </c>
      <c r="P33" s="4" t="str">
        <f>HYPERLINK("http://141.218.60.56/~jnz1568/getInfo.php?workbook=09_01.xlsx&amp;sheet=A0&amp;row=33&amp;col=16&amp;number=&amp;sourceID=12","")</f>
        <v/>
      </c>
      <c r="Q33" s="4" t="str">
        <f>HYPERLINK("http://141.218.60.56/~jnz1568/getInfo.php?workbook=09_01.xlsx&amp;sheet=A0&amp;row=33&amp;col=17&amp;number=0&amp;sourceID=12","0")</f>
        <v>0</v>
      </c>
      <c r="R33" s="4" t="str">
        <f>HYPERLINK("http://141.218.60.56/~jnz1568/getInfo.php?workbook=09_01.xlsx&amp;sheet=A0&amp;row=33&amp;col=18&amp;number=&amp;sourceID=12","")</f>
        <v/>
      </c>
      <c r="S33" s="4" t="str">
        <f>HYPERLINK("http://141.218.60.56/~jnz1568/getInfo.php?workbook=09_01.xlsx&amp;sheet=A0&amp;row=33&amp;col=19&amp;number=2.038e-12&amp;sourceID=12","2.038e-12")</f>
        <v>2.038e-12</v>
      </c>
      <c r="T33" s="4" t="str">
        <f>HYPERLINK("http://141.218.60.56/~jnz1568/getInfo.php?workbook=09_01.xlsx&amp;sheet=A0&amp;row=33&amp;col=20&amp;number=&amp;sourceID=12","")</f>
        <v/>
      </c>
      <c r="U33" s="4" t="str">
        <f>HYPERLINK("http://141.218.60.56/~jnz1568/getInfo.php?workbook=09_01.xlsx&amp;sheet=A0&amp;row=33&amp;col=21&amp;number=2.039e-12&amp;sourceID=30","2.039e-12")</f>
        <v>2.039e-12</v>
      </c>
      <c r="V33" s="4" t="str">
        <f>HYPERLINK("http://141.218.60.56/~jnz1568/getInfo.php?workbook=09_01.xlsx&amp;sheet=A0&amp;row=33&amp;col=22&amp;number=&amp;sourceID=30","")</f>
        <v/>
      </c>
      <c r="W33" s="4" t="str">
        <f>HYPERLINK("http://141.218.60.56/~jnz1568/getInfo.php?workbook=09_01.xlsx&amp;sheet=A0&amp;row=33&amp;col=23&amp;number=&amp;sourceID=30","")</f>
        <v/>
      </c>
      <c r="X33" s="4" t="str">
        <f>HYPERLINK("http://141.218.60.56/~jnz1568/getInfo.php?workbook=09_01.xlsx&amp;sheet=A0&amp;row=33&amp;col=24&amp;number=&amp;sourceID=30","")</f>
        <v/>
      </c>
      <c r="Y33" s="4" t="str">
        <f>HYPERLINK("http://141.218.60.56/~jnz1568/getInfo.php?workbook=09_01.xlsx&amp;sheet=A0&amp;row=33&amp;col=25&amp;number=2.039e-12&amp;sourceID=30","2.039e-12")</f>
        <v>2.039e-12</v>
      </c>
      <c r="Z33" s="4" t="str">
        <f>HYPERLINK("http://141.218.60.56/~jnz1568/getInfo.php?workbook=09_01.xlsx&amp;sheet=A0&amp;row=33&amp;col=26&amp;number=&amp;sourceID=13","")</f>
        <v/>
      </c>
      <c r="AA33" s="4" t="str">
        <f>HYPERLINK("http://141.218.60.56/~jnz1568/getInfo.php?workbook=09_01.xlsx&amp;sheet=A0&amp;row=33&amp;col=27&amp;number=&amp;sourceID=13","")</f>
        <v/>
      </c>
      <c r="AB33" s="4" t="str">
        <f>HYPERLINK("http://141.218.60.56/~jnz1568/getInfo.php?workbook=09_01.xlsx&amp;sheet=A0&amp;row=33&amp;col=28&amp;number=&amp;sourceID=13","")</f>
        <v/>
      </c>
      <c r="AC33" s="4" t="str">
        <f>HYPERLINK("http://141.218.60.56/~jnz1568/getInfo.php?workbook=09_01.xlsx&amp;sheet=A0&amp;row=33&amp;col=29&amp;number=&amp;sourceID=13","")</f>
        <v/>
      </c>
      <c r="AD33" s="4" t="str">
        <f>HYPERLINK("http://141.218.60.56/~jnz1568/getInfo.php?workbook=09_01.xlsx&amp;sheet=A0&amp;row=33&amp;col=30&amp;number=&amp;sourceID=13","")</f>
        <v/>
      </c>
      <c r="AE33" s="4" t="str">
        <f>HYPERLINK("http://141.218.60.56/~jnz1568/getInfo.php?workbook=09_01.xlsx&amp;sheet=A0&amp;row=33&amp;col=31&amp;number=&amp;sourceID=13","")</f>
        <v/>
      </c>
    </row>
    <row r="34" spans="1:31">
      <c r="A34" s="3">
        <v>9</v>
      </c>
      <c r="B34" s="3">
        <v>1</v>
      </c>
      <c r="C34" s="3">
        <v>9</v>
      </c>
      <c r="D34" s="3">
        <v>6</v>
      </c>
      <c r="E34" s="3">
        <f>((1/(INDEX(E0!J$4:J$28,C34,1)-INDEX(E0!J$4:J$28,D34,1))))*100000000</f>
        <v>0</v>
      </c>
      <c r="F34" s="4" t="str">
        <f>HYPERLINK("http://141.218.60.56/~jnz1568/getInfo.php?workbook=09_01.xlsx&amp;sheet=A0&amp;row=34&amp;col=6&amp;number=&amp;sourceID=18","")</f>
        <v/>
      </c>
      <c r="G34" s="4" t="str">
        <f>HYPERLINK("http://141.218.60.56/~jnz1568/getInfo.php?workbook=09_01.xlsx&amp;sheet=A0&amp;row=34&amp;col=7&amp;number==&amp;sourceID=11","=")</f>
        <v>=</v>
      </c>
      <c r="H34" s="4" t="str">
        <f>HYPERLINK("http://141.218.60.56/~jnz1568/getInfo.php?workbook=09_01.xlsx&amp;sheet=A0&amp;row=34&amp;col=8&amp;number=&amp;sourceID=11","")</f>
        <v/>
      </c>
      <c r="I34" s="4" t="str">
        <f>HYPERLINK("http://141.218.60.56/~jnz1568/getInfo.php?workbook=09_01.xlsx&amp;sheet=A0&amp;row=34&amp;col=9&amp;number=5.3102e-08&amp;sourceID=11","5.3102e-08")</f>
        <v>5.3102e-08</v>
      </c>
      <c r="J34" s="4" t="str">
        <f>HYPERLINK("http://141.218.60.56/~jnz1568/getInfo.php?workbook=09_01.xlsx&amp;sheet=A0&amp;row=34&amp;col=10&amp;number=&amp;sourceID=11","")</f>
        <v/>
      </c>
      <c r="K34" s="4" t="str">
        <f>HYPERLINK("http://141.218.60.56/~jnz1568/getInfo.php?workbook=09_01.xlsx&amp;sheet=A0&amp;row=34&amp;col=11&amp;number=&amp;sourceID=11","")</f>
        <v/>
      </c>
      <c r="L34" s="4" t="str">
        <f>HYPERLINK("http://141.218.60.56/~jnz1568/getInfo.php?workbook=09_01.xlsx&amp;sheet=A0&amp;row=34&amp;col=12&amp;number=&amp;sourceID=11","")</f>
        <v/>
      </c>
      <c r="M34" s="4" t="str">
        <f>HYPERLINK("http://141.218.60.56/~jnz1568/getInfo.php?workbook=09_01.xlsx&amp;sheet=A0&amp;row=34&amp;col=13&amp;number=0&amp;sourceID=11","0")</f>
        <v>0</v>
      </c>
      <c r="N34" s="4" t="str">
        <f>HYPERLINK("http://141.218.60.56/~jnz1568/getInfo.php?workbook=09_01.xlsx&amp;sheet=A0&amp;row=34&amp;col=14&amp;number=5.3104e-08&amp;sourceID=12","5.3104e-08")</f>
        <v>5.3104e-08</v>
      </c>
      <c r="O34" s="4" t="str">
        <f>HYPERLINK("http://141.218.60.56/~jnz1568/getInfo.php?workbook=09_01.xlsx&amp;sheet=A0&amp;row=34&amp;col=15&amp;number=&amp;sourceID=12","")</f>
        <v/>
      </c>
      <c r="P34" s="4" t="str">
        <f>HYPERLINK("http://141.218.60.56/~jnz1568/getInfo.php?workbook=09_01.xlsx&amp;sheet=A0&amp;row=34&amp;col=16&amp;number=5.3104e-08&amp;sourceID=12","5.3104e-08")</f>
        <v>5.3104e-08</v>
      </c>
      <c r="Q34" s="4" t="str">
        <f>HYPERLINK("http://141.218.60.56/~jnz1568/getInfo.php?workbook=09_01.xlsx&amp;sheet=A0&amp;row=34&amp;col=17&amp;number=&amp;sourceID=12","")</f>
        <v/>
      </c>
      <c r="R34" s="4" t="str">
        <f>HYPERLINK("http://141.218.60.56/~jnz1568/getInfo.php?workbook=09_01.xlsx&amp;sheet=A0&amp;row=34&amp;col=18&amp;number=&amp;sourceID=12","")</f>
        <v/>
      </c>
      <c r="S34" s="4" t="str">
        <f>HYPERLINK("http://141.218.60.56/~jnz1568/getInfo.php?workbook=09_01.xlsx&amp;sheet=A0&amp;row=34&amp;col=19&amp;number=&amp;sourceID=12","")</f>
        <v/>
      </c>
      <c r="T34" s="4" t="str">
        <f>HYPERLINK("http://141.218.60.56/~jnz1568/getInfo.php?workbook=09_01.xlsx&amp;sheet=A0&amp;row=34&amp;col=20&amp;number=0&amp;sourceID=12","0")</f>
        <v>0</v>
      </c>
      <c r="U34" s="4" t="str">
        <f>HYPERLINK("http://141.218.60.56/~jnz1568/getInfo.php?workbook=09_01.xlsx&amp;sheet=A0&amp;row=34&amp;col=21&amp;number=5.31e-08&amp;sourceID=30","5.31e-08")</f>
        <v>5.31e-08</v>
      </c>
      <c r="V34" s="4" t="str">
        <f>HYPERLINK("http://141.218.60.56/~jnz1568/getInfo.php?workbook=09_01.xlsx&amp;sheet=A0&amp;row=34&amp;col=22&amp;number=&amp;sourceID=30","")</f>
        <v/>
      </c>
      <c r="W34" s="4" t="str">
        <f>HYPERLINK("http://141.218.60.56/~jnz1568/getInfo.php?workbook=09_01.xlsx&amp;sheet=A0&amp;row=34&amp;col=23&amp;number=5.31e-08&amp;sourceID=30","5.31e-08")</f>
        <v>5.31e-08</v>
      </c>
      <c r="X34" s="4" t="str">
        <f>HYPERLINK("http://141.218.60.56/~jnz1568/getInfo.php?workbook=09_01.xlsx&amp;sheet=A0&amp;row=34&amp;col=24&amp;number=&amp;sourceID=30","")</f>
        <v/>
      </c>
      <c r="Y34" s="4" t="str">
        <f>HYPERLINK("http://141.218.60.56/~jnz1568/getInfo.php?workbook=09_01.xlsx&amp;sheet=A0&amp;row=34&amp;col=25&amp;number=&amp;sourceID=30","")</f>
        <v/>
      </c>
      <c r="Z34" s="4" t="str">
        <f>HYPERLINK("http://141.218.60.56/~jnz1568/getInfo.php?workbook=09_01.xlsx&amp;sheet=A0&amp;row=34&amp;col=26&amp;number=&amp;sourceID=13","")</f>
        <v/>
      </c>
      <c r="AA34" s="4" t="str">
        <f>HYPERLINK("http://141.218.60.56/~jnz1568/getInfo.php?workbook=09_01.xlsx&amp;sheet=A0&amp;row=34&amp;col=27&amp;number=&amp;sourceID=13","")</f>
        <v/>
      </c>
      <c r="AB34" s="4" t="str">
        <f>HYPERLINK("http://141.218.60.56/~jnz1568/getInfo.php?workbook=09_01.xlsx&amp;sheet=A0&amp;row=34&amp;col=28&amp;number=&amp;sourceID=13","")</f>
        <v/>
      </c>
      <c r="AC34" s="4" t="str">
        <f>HYPERLINK("http://141.218.60.56/~jnz1568/getInfo.php?workbook=09_01.xlsx&amp;sheet=A0&amp;row=34&amp;col=29&amp;number=&amp;sourceID=13","")</f>
        <v/>
      </c>
      <c r="AD34" s="4" t="str">
        <f>HYPERLINK("http://141.218.60.56/~jnz1568/getInfo.php?workbook=09_01.xlsx&amp;sheet=A0&amp;row=34&amp;col=30&amp;number=&amp;sourceID=13","")</f>
        <v/>
      </c>
      <c r="AE34" s="4" t="str">
        <f>HYPERLINK("http://141.218.60.56/~jnz1568/getInfo.php?workbook=09_01.xlsx&amp;sheet=A0&amp;row=34&amp;col=31&amp;number=&amp;sourceID=13","")</f>
        <v/>
      </c>
    </row>
    <row r="35" spans="1:31">
      <c r="A35" s="3">
        <v>9</v>
      </c>
      <c r="B35" s="3">
        <v>1</v>
      </c>
      <c r="C35" s="3">
        <v>9</v>
      </c>
      <c r="D35" s="3">
        <v>7</v>
      </c>
      <c r="E35" s="3">
        <f>((1/(INDEX(E0!J$4:J$28,C35,1)-INDEX(E0!J$4:J$28,D35,1))))*100000000</f>
        <v>0</v>
      </c>
      <c r="F35" s="4" t="str">
        <f>HYPERLINK("http://141.218.60.56/~jnz1568/getInfo.php?workbook=09_01.xlsx&amp;sheet=A0&amp;row=35&amp;col=6&amp;number=&amp;sourceID=18","")</f>
        <v/>
      </c>
      <c r="G35" s="4" t="str">
        <f>HYPERLINK("http://141.218.60.56/~jnz1568/getInfo.php?workbook=09_01.xlsx&amp;sheet=A0&amp;row=35&amp;col=7&amp;number==&amp;sourceID=11","=")</f>
        <v>=</v>
      </c>
      <c r="H35" s="4" t="str">
        <f>HYPERLINK("http://141.218.60.56/~jnz1568/getInfo.php?workbook=09_01.xlsx&amp;sheet=A0&amp;row=35&amp;col=8&amp;number=&amp;sourceID=11","")</f>
        <v/>
      </c>
      <c r="I35" s="4" t="str">
        <f>HYPERLINK("http://141.218.60.56/~jnz1568/getInfo.php?workbook=09_01.xlsx&amp;sheet=A0&amp;row=35&amp;col=9&amp;number=1.1522e-11&amp;sourceID=11","1.1522e-11")</f>
        <v>1.1522e-11</v>
      </c>
      <c r="J35" s="4" t="str">
        <f>HYPERLINK("http://141.218.60.56/~jnz1568/getInfo.php?workbook=09_01.xlsx&amp;sheet=A0&amp;row=35&amp;col=10&amp;number=&amp;sourceID=11","")</f>
        <v/>
      </c>
      <c r="K35" s="4" t="str">
        <f>HYPERLINK("http://141.218.60.56/~jnz1568/getInfo.php?workbook=09_01.xlsx&amp;sheet=A0&amp;row=35&amp;col=11&amp;number=0.00014331&amp;sourceID=11","0.00014331")</f>
        <v>0.00014331</v>
      </c>
      <c r="L35" s="4" t="str">
        <f>HYPERLINK("http://141.218.60.56/~jnz1568/getInfo.php?workbook=09_01.xlsx&amp;sheet=A0&amp;row=35&amp;col=12&amp;number=&amp;sourceID=11","")</f>
        <v/>
      </c>
      <c r="M35" s="4" t="str">
        <f>HYPERLINK("http://141.218.60.56/~jnz1568/getInfo.php?workbook=09_01.xlsx&amp;sheet=A0&amp;row=35&amp;col=13&amp;number=0&amp;sourceID=11","0")</f>
        <v>0</v>
      </c>
      <c r="N35" s="4" t="str">
        <f>HYPERLINK("http://141.218.60.56/~jnz1568/getInfo.php?workbook=09_01.xlsx&amp;sheet=A0&amp;row=35&amp;col=14&amp;number=0.00014331&amp;sourceID=12","0.00014331")</f>
        <v>0.00014331</v>
      </c>
      <c r="O35" s="4" t="str">
        <f>HYPERLINK("http://141.218.60.56/~jnz1568/getInfo.php?workbook=09_01.xlsx&amp;sheet=A0&amp;row=35&amp;col=15&amp;number=&amp;sourceID=12","")</f>
        <v/>
      </c>
      <c r="P35" s="4" t="str">
        <f>HYPERLINK("http://141.218.60.56/~jnz1568/getInfo.php?workbook=09_01.xlsx&amp;sheet=A0&amp;row=35&amp;col=16&amp;number=1.1522e-11&amp;sourceID=12","1.1522e-11")</f>
        <v>1.1522e-11</v>
      </c>
      <c r="Q35" s="4" t="str">
        <f>HYPERLINK("http://141.218.60.56/~jnz1568/getInfo.php?workbook=09_01.xlsx&amp;sheet=A0&amp;row=35&amp;col=17&amp;number=&amp;sourceID=12","")</f>
        <v/>
      </c>
      <c r="R35" s="4" t="str">
        <f>HYPERLINK("http://141.218.60.56/~jnz1568/getInfo.php?workbook=09_01.xlsx&amp;sheet=A0&amp;row=35&amp;col=18&amp;number=0.00014331&amp;sourceID=12","0.00014331")</f>
        <v>0.00014331</v>
      </c>
      <c r="S35" s="4" t="str">
        <f>HYPERLINK("http://141.218.60.56/~jnz1568/getInfo.php?workbook=09_01.xlsx&amp;sheet=A0&amp;row=35&amp;col=19&amp;number=&amp;sourceID=12","")</f>
        <v/>
      </c>
      <c r="T35" s="4" t="str">
        <f>HYPERLINK("http://141.218.60.56/~jnz1568/getInfo.php?workbook=09_01.xlsx&amp;sheet=A0&amp;row=35&amp;col=20&amp;number=0&amp;sourceID=12","0")</f>
        <v>0</v>
      </c>
      <c r="U35" s="4" t="str">
        <f>HYPERLINK("http://141.218.60.56/~jnz1568/getInfo.php?workbook=09_01.xlsx&amp;sheet=A0&amp;row=35&amp;col=21&amp;number=0.00014330001152&amp;sourceID=30","0.00014330001152")</f>
        <v>0.00014330001152</v>
      </c>
      <c r="V35" s="4" t="str">
        <f>HYPERLINK("http://141.218.60.56/~jnz1568/getInfo.php?workbook=09_01.xlsx&amp;sheet=A0&amp;row=35&amp;col=22&amp;number=&amp;sourceID=30","")</f>
        <v/>
      </c>
      <c r="W35" s="4" t="str">
        <f>HYPERLINK("http://141.218.60.56/~jnz1568/getInfo.php?workbook=09_01.xlsx&amp;sheet=A0&amp;row=35&amp;col=23&amp;number=1.152e-11&amp;sourceID=30","1.152e-11")</f>
        <v>1.152e-11</v>
      </c>
      <c r="X35" s="4" t="str">
        <f>HYPERLINK("http://141.218.60.56/~jnz1568/getInfo.php?workbook=09_01.xlsx&amp;sheet=A0&amp;row=35&amp;col=24&amp;number=0.0001433&amp;sourceID=30","0.0001433")</f>
        <v>0.0001433</v>
      </c>
      <c r="Y35" s="4" t="str">
        <f>HYPERLINK("http://141.218.60.56/~jnz1568/getInfo.php?workbook=09_01.xlsx&amp;sheet=A0&amp;row=35&amp;col=25&amp;number=&amp;sourceID=30","")</f>
        <v/>
      </c>
      <c r="Z35" s="4" t="str">
        <f>HYPERLINK("http://141.218.60.56/~jnz1568/getInfo.php?workbook=09_01.xlsx&amp;sheet=A0&amp;row=35&amp;col=26&amp;number==SUM(AA35:AE35)&amp;sourceID=13","=SUM(AA35:AE35)")</f>
        <v>=SUM(AA35:AE35)</v>
      </c>
      <c r="AA35" s="4" t="str">
        <f>HYPERLINK("http://141.218.60.56/~jnz1568/getInfo.php?workbook=09_01.xlsx&amp;sheet=A0&amp;row=35&amp;col=27&amp;number=&amp;sourceID=13","")</f>
        <v/>
      </c>
      <c r="AB35" s="4" t="str">
        <f>HYPERLINK("http://141.218.60.56/~jnz1568/getInfo.php?workbook=09_01.xlsx&amp;sheet=A0&amp;row=35&amp;col=28&amp;number=1.15e-11&amp;sourceID=13","1.15e-11")</f>
        <v>1.15e-11</v>
      </c>
      <c r="AC35" s="4" t="str">
        <f>HYPERLINK("http://141.218.60.56/~jnz1568/getInfo.php?workbook=09_01.xlsx&amp;sheet=A0&amp;row=35&amp;col=29&amp;number=&amp;sourceID=13","")</f>
        <v/>
      </c>
      <c r="AD35" s="4" t="str">
        <f>HYPERLINK("http://141.218.60.56/~jnz1568/getInfo.php?workbook=09_01.xlsx&amp;sheet=A0&amp;row=35&amp;col=30&amp;number=0.000143&amp;sourceID=13","0.000143")</f>
        <v>0.000143</v>
      </c>
      <c r="AE35" s="4" t="str">
        <f>HYPERLINK("http://141.218.60.56/~jnz1568/getInfo.php?workbook=09_01.xlsx&amp;sheet=A0&amp;row=35&amp;col=31&amp;number=&amp;sourceID=13","")</f>
        <v/>
      </c>
    </row>
    <row r="36" spans="1:31">
      <c r="A36" s="3">
        <v>9</v>
      </c>
      <c r="B36" s="3">
        <v>1</v>
      </c>
      <c r="C36" s="3">
        <v>9</v>
      </c>
      <c r="D36" s="3">
        <v>8</v>
      </c>
      <c r="E36" s="3">
        <f>((1/(INDEX(E0!J$4:J$28,C36,1)-INDEX(E0!J$4:J$28,D36,1))))*100000000</f>
        <v>0</v>
      </c>
      <c r="F36" s="4" t="str">
        <f>HYPERLINK("http://141.218.60.56/~jnz1568/getInfo.php?workbook=09_01.xlsx&amp;sheet=A0&amp;row=36&amp;col=6&amp;number=&amp;sourceID=18","")</f>
        <v/>
      </c>
      <c r="G36" s="4" t="str">
        <f>HYPERLINK("http://141.218.60.56/~jnz1568/getInfo.php?workbook=09_01.xlsx&amp;sheet=A0&amp;row=36&amp;col=7&amp;number==&amp;sourceID=11","=")</f>
        <v>=</v>
      </c>
      <c r="H36" s="4" t="str">
        <f>HYPERLINK("http://141.218.60.56/~jnz1568/getInfo.php?workbook=09_01.xlsx&amp;sheet=A0&amp;row=36&amp;col=8&amp;number=13.453&amp;sourceID=11","13.453")</f>
        <v>13.453</v>
      </c>
      <c r="I36" s="4" t="str">
        <f>HYPERLINK("http://141.218.60.56/~jnz1568/getInfo.php?workbook=09_01.xlsx&amp;sheet=A0&amp;row=36&amp;col=9&amp;number=&amp;sourceID=11","")</f>
        <v/>
      </c>
      <c r="J36" s="4" t="str">
        <f>HYPERLINK("http://141.218.60.56/~jnz1568/getInfo.php?workbook=09_01.xlsx&amp;sheet=A0&amp;row=36&amp;col=10&amp;number=0&amp;sourceID=11","0")</f>
        <v>0</v>
      </c>
      <c r="K36" s="4" t="str">
        <f>HYPERLINK("http://141.218.60.56/~jnz1568/getInfo.php?workbook=09_01.xlsx&amp;sheet=A0&amp;row=36&amp;col=11&amp;number=&amp;sourceID=11","")</f>
        <v/>
      </c>
      <c r="L36" s="4" t="str">
        <f>HYPERLINK("http://141.218.60.56/~jnz1568/getInfo.php?workbook=09_01.xlsx&amp;sheet=A0&amp;row=36&amp;col=12&amp;number=1.1e-14&amp;sourceID=11","1.1e-14")</f>
        <v>1.1e-14</v>
      </c>
      <c r="M36" s="4" t="str">
        <f>HYPERLINK("http://141.218.60.56/~jnz1568/getInfo.php?workbook=09_01.xlsx&amp;sheet=A0&amp;row=36&amp;col=13&amp;number=&amp;sourceID=11","")</f>
        <v/>
      </c>
      <c r="N36" s="4" t="str">
        <f>HYPERLINK("http://141.218.60.56/~jnz1568/getInfo.php?workbook=09_01.xlsx&amp;sheet=A0&amp;row=36&amp;col=14&amp;number=13.454&amp;sourceID=12","13.454")</f>
        <v>13.454</v>
      </c>
      <c r="O36" s="4" t="str">
        <f>HYPERLINK("http://141.218.60.56/~jnz1568/getInfo.php?workbook=09_01.xlsx&amp;sheet=A0&amp;row=36&amp;col=15&amp;number=13.454&amp;sourceID=12","13.454")</f>
        <v>13.454</v>
      </c>
      <c r="P36" s="4" t="str">
        <f>HYPERLINK("http://141.218.60.56/~jnz1568/getInfo.php?workbook=09_01.xlsx&amp;sheet=A0&amp;row=36&amp;col=16&amp;number=&amp;sourceID=12","")</f>
        <v/>
      </c>
      <c r="Q36" s="4" t="str">
        <f>HYPERLINK("http://141.218.60.56/~jnz1568/getInfo.php?workbook=09_01.xlsx&amp;sheet=A0&amp;row=36&amp;col=17&amp;number=0&amp;sourceID=12","0")</f>
        <v>0</v>
      </c>
      <c r="R36" s="4" t="str">
        <f>HYPERLINK("http://141.218.60.56/~jnz1568/getInfo.php?workbook=09_01.xlsx&amp;sheet=A0&amp;row=36&amp;col=18&amp;number=&amp;sourceID=12","")</f>
        <v/>
      </c>
      <c r="S36" s="4" t="str">
        <f>HYPERLINK("http://141.218.60.56/~jnz1568/getInfo.php?workbook=09_01.xlsx&amp;sheet=A0&amp;row=36&amp;col=19&amp;number=1.1e-14&amp;sourceID=12","1.1e-14")</f>
        <v>1.1e-14</v>
      </c>
      <c r="T36" s="4" t="str">
        <f>HYPERLINK("http://141.218.60.56/~jnz1568/getInfo.php?workbook=09_01.xlsx&amp;sheet=A0&amp;row=36&amp;col=20&amp;number=&amp;sourceID=12","")</f>
        <v/>
      </c>
      <c r="U36" s="4" t="str">
        <f>HYPERLINK("http://141.218.60.56/~jnz1568/getInfo.php?workbook=09_01.xlsx&amp;sheet=A0&amp;row=36&amp;col=21&amp;number=13.45&amp;sourceID=30","13.45")</f>
        <v>13.45</v>
      </c>
      <c r="V36" s="4" t="str">
        <f>HYPERLINK("http://141.218.60.56/~jnz1568/getInfo.php?workbook=09_01.xlsx&amp;sheet=A0&amp;row=36&amp;col=22&amp;number=13.45&amp;sourceID=30","13.45")</f>
        <v>13.45</v>
      </c>
      <c r="W36" s="4" t="str">
        <f>HYPERLINK("http://141.218.60.56/~jnz1568/getInfo.php?workbook=09_01.xlsx&amp;sheet=A0&amp;row=36&amp;col=23&amp;number=&amp;sourceID=30","")</f>
        <v/>
      </c>
      <c r="X36" s="4" t="str">
        <f>HYPERLINK("http://141.218.60.56/~jnz1568/getInfo.php?workbook=09_01.xlsx&amp;sheet=A0&amp;row=36&amp;col=24&amp;number=&amp;sourceID=30","")</f>
        <v/>
      </c>
      <c r="Y36" s="4" t="str">
        <f>HYPERLINK("http://141.218.60.56/~jnz1568/getInfo.php?workbook=09_01.xlsx&amp;sheet=A0&amp;row=36&amp;col=25&amp;number=1.1e-14&amp;sourceID=30","1.1e-14")</f>
        <v>1.1e-14</v>
      </c>
      <c r="Z36" s="4" t="str">
        <f>HYPERLINK("http://141.218.60.56/~jnz1568/getInfo.php?workbook=09_01.xlsx&amp;sheet=A0&amp;row=36&amp;col=26&amp;number==&amp;sourceID=13","=")</f>
        <v>=</v>
      </c>
      <c r="AA36" s="4" t="str">
        <f>HYPERLINK("http://141.218.60.56/~jnz1568/getInfo.php?workbook=09_01.xlsx&amp;sheet=A0&amp;row=36&amp;col=27&amp;number=13.4&amp;sourceID=13","13.4")</f>
        <v>13.4</v>
      </c>
      <c r="AB36" s="4" t="str">
        <f>HYPERLINK("http://141.218.60.56/~jnz1568/getInfo.php?workbook=09_01.xlsx&amp;sheet=A0&amp;row=36&amp;col=28&amp;number=&amp;sourceID=13","")</f>
        <v/>
      </c>
      <c r="AC36" s="4" t="str">
        <f>HYPERLINK("http://141.218.60.56/~jnz1568/getInfo.php?workbook=09_01.xlsx&amp;sheet=A0&amp;row=36&amp;col=29&amp;number=&amp;sourceID=13","")</f>
        <v/>
      </c>
      <c r="AD36" s="4" t="str">
        <f>HYPERLINK("http://141.218.60.56/~jnz1568/getInfo.php?workbook=09_01.xlsx&amp;sheet=A0&amp;row=36&amp;col=30&amp;number=&amp;sourceID=13","")</f>
        <v/>
      </c>
      <c r="AE36" s="4" t="str">
        <f>HYPERLINK("http://141.218.60.56/~jnz1568/getInfo.php?workbook=09_01.xlsx&amp;sheet=A0&amp;row=36&amp;col=31&amp;number=&amp;sourceID=13","")</f>
        <v/>
      </c>
    </row>
    <row r="37" spans="1:31">
      <c r="A37" s="3">
        <v>9</v>
      </c>
      <c r="B37" s="3">
        <v>1</v>
      </c>
      <c r="C37" s="3">
        <v>10</v>
      </c>
      <c r="D37" s="3">
        <v>1</v>
      </c>
      <c r="E37" s="3">
        <f>((1/(INDEX(E0!J$4:J$28,C37,1)-INDEX(E0!J$4:J$28,D37,1))))*100000000</f>
        <v>0</v>
      </c>
      <c r="F37" s="4" t="str">
        <f>HYPERLINK("http://141.218.60.56/~jnz1568/getInfo.php?workbook=09_01.xlsx&amp;sheet=A0&amp;row=37&amp;col=6&amp;number=&amp;sourceID=18","")</f>
        <v/>
      </c>
      <c r="G37" s="4" t="str">
        <f>HYPERLINK("http://141.218.60.56/~jnz1568/getInfo.php?workbook=09_01.xlsx&amp;sheet=A0&amp;row=37&amp;col=7&amp;number==&amp;sourceID=11","=")</f>
        <v>=</v>
      </c>
      <c r="H37" s="4" t="str">
        <f>HYPERLINK("http://141.218.60.56/~jnz1568/getInfo.php?workbook=09_01.xlsx&amp;sheet=A0&amp;row=37&amp;col=8&amp;number=447050000000&amp;sourceID=11","447050000000")</f>
        <v>447050000000</v>
      </c>
      <c r="I37" s="4" t="str">
        <f>HYPERLINK("http://141.218.60.56/~jnz1568/getInfo.php?workbook=09_01.xlsx&amp;sheet=A0&amp;row=37&amp;col=9&amp;number=&amp;sourceID=11","")</f>
        <v/>
      </c>
      <c r="J37" s="4" t="str">
        <f>HYPERLINK("http://141.218.60.56/~jnz1568/getInfo.php?workbook=09_01.xlsx&amp;sheet=A0&amp;row=37&amp;col=10&amp;number=&amp;sourceID=11","")</f>
        <v/>
      </c>
      <c r="K37" s="4" t="str">
        <f>HYPERLINK("http://141.218.60.56/~jnz1568/getInfo.php?workbook=09_01.xlsx&amp;sheet=A0&amp;row=37&amp;col=11&amp;number=&amp;sourceID=11","")</f>
        <v/>
      </c>
      <c r="L37" s="4" t="str">
        <f>HYPERLINK("http://141.218.60.56/~jnz1568/getInfo.php?workbook=09_01.xlsx&amp;sheet=A0&amp;row=37&amp;col=12&amp;number=&amp;sourceID=11","")</f>
        <v/>
      </c>
      <c r="M37" s="4" t="str">
        <f>HYPERLINK("http://141.218.60.56/~jnz1568/getInfo.php?workbook=09_01.xlsx&amp;sheet=A0&amp;row=37&amp;col=13&amp;number=&amp;sourceID=11","")</f>
        <v/>
      </c>
      <c r="N37" s="4" t="str">
        <f>HYPERLINK("http://141.218.60.56/~jnz1568/getInfo.php?workbook=09_01.xlsx&amp;sheet=A0&amp;row=37&amp;col=14&amp;number=447060000000&amp;sourceID=12","447060000000")</f>
        <v>447060000000</v>
      </c>
      <c r="O37" s="4" t="str">
        <f>HYPERLINK("http://141.218.60.56/~jnz1568/getInfo.php?workbook=09_01.xlsx&amp;sheet=A0&amp;row=37&amp;col=15&amp;number=447060000000&amp;sourceID=12","447060000000")</f>
        <v>447060000000</v>
      </c>
      <c r="P37" s="4" t="str">
        <f>HYPERLINK("http://141.218.60.56/~jnz1568/getInfo.php?workbook=09_01.xlsx&amp;sheet=A0&amp;row=37&amp;col=16&amp;number=&amp;sourceID=12","")</f>
        <v/>
      </c>
      <c r="Q37" s="4" t="str">
        <f>HYPERLINK("http://141.218.60.56/~jnz1568/getInfo.php?workbook=09_01.xlsx&amp;sheet=A0&amp;row=37&amp;col=17&amp;number=&amp;sourceID=12","")</f>
        <v/>
      </c>
      <c r="R37" s="4" t="str">
        <f>HYPERLINK("http://141.218.60.56/~jnz1568/getInfo.php?workbook=09_01.xlsx&amp;sheet=A0&amp;row=37&amp;col=18&amp;number=&amp;sourceID=12","")</f>
        <v/>
      </c>
      <c r="S37" s="4" t="str">
        <f>HYPERLINK("http://141.218.60.56/~jnz1568/getInfo.php?workbook=09_01.xlsx&amp;sheet=A0&amp;row=37&amp;col=19&amp;number=&amp;sourceID=12","")</f>
        <v/>
      </c>
      <c r="T37" s="4" t="str">
        <f>HYPERLINK("http://141.218.60.56/~jnz1568/getInfo.php?workbook=09_01.xlsx&amp;sheet=A0&amp;row=37&amp;col=20&amp;number=&amp;sourceID=12","")</f>
        <v/>
      </c>
      <c r="U37" s="4" t="str">
        <f>HYPERLINK("http://141.218.60.56/~jnz1568/getInfo.php?workbook=09_01.xlsx&amp;sheet=A0&amp;row=37&amp;col=21&amp;number=447100000000&amp;sourceID=30","447100000000")</f>
        <v>447100000000</v>
      </c>
      <c r="V37" s="4" t="str">
        <f>HYPERLINK("http://141.218.60.56/~jnz1568/getInfo.php?workbook=09_01.xlsx&amp;sheet=A0&amp;row=37&amp;col=22&amp;number=447100000000&amp;sourceID=30","447100000000")</f>
        <v>447100000000</v>
      </c>
      <c r="W37" s="4" t="str">
        <f>HYPERLINK("http://141.218.60.56/~jnz1568/getInfo.php?workbook=09_01.xlsx&amp;sheet=A0&amp;row=37&amp;col=23&amp;number=&amp;sourceID=30","")</f>
        <v/>
      </c>
      <c r="X37" s="4" t="str">
        <f>HYPERLINK("http://141.218.60.56/~jnz1568/getInfo.php?workbook=09_01.xlsx&amp;sheet=A0&amp;row=37&amp;col=24&amp;number=&amp;sourceID=30","")</f>
        <v/>
      </c>
      <c r="Y37" s="4" t="str">
        <f>HYPERLINK("http://141.218.60.56/~jnz1568/getInfo.php?workbook=09_01.xlsx&amp;sheet=A0&amp;row=37&amp;col=25&amp;number=&amp;sourceID=30","")</f>
        <v/>
      </c>
      <c r="Z37" s="4" t="str">
        <f>HYPERLINK("http://141.218.60.56/~jnz1568/getInfo.php?workbook=09_01.xlsx&amp;sheet=A0&amp;row=37&amp;col=26&amp;number==&amp;sourceID=13","=")</f>
        <v>=</v>
      </c>
      <c r="AA37" s="4" t="str">
        <f>HYPERLINK("http://141.218.60.56/~jnz1568/getInfo.php?workbook=09_01.xlsx&amp;sheet=A0&amp;row=37&amp;col=27&amp;number=436000000000&amp;sourceID=13","436000000000")</f>
        <v>436000000000</v>
      </c>
      <c r="AB37" s="4" t="str">
        <f>HYPERLINK("http://141.218.60.56/~jnz1568/getInfo.php?workbook=09_01.xlsx&amp;sheet=A0&amp;row=37&amp;col=28&amp;number=&amp;sourceID=13","")</f>
        <v/>
      </c>
      <c r="AC37" s="4" t="str">
        <f>HYPERLINK("http://141.218.60.56/~jnz1568/getInfo.php?workbook=09_01.xlsx&amp;sheet=A0&amp;row=37&amp;col=29&amp;number=&amp;sourceID=13","")</f>
        <v/>
      </c>
      <c r="AD37" s="4" t="str">
        <f>HYPERLINK("http://141.218.60.56/~jnz1568/getInfo.php?workbook=09_01.xlsx&amp;sheet=A0&amp;row=37&amp;col=30&amp;number=&amp;sourceID=13","")</f>
        <v/>
      </c>
      <c r="AE37" s="4" t="str">
        <f>HYPERLINK("http://141.218.60.56/~jnz1568/getInfo.php?workbook=09_01.xlsx&amp;sheet=A0&amp;row=37&amp;col=31&amp;number=&amp;sourceID=13","")</f>
        <v/>
      </c>
    </row>
    <row r="38" spans="1:31">
      <c r="A38" s="3">
        <v>9</v>
      </c>
      <c r="B38" s="3">
        <v>1</v>
      </c>
      <c r="C38" s="3">
        <v>10</v>
      </c>
      <c r="D38" s="3">
        <v>2</v>
      </c>
      <c r="E38" s="3">
        <f>((1/(INDEX(E0!J$4:J$28,C38,1)-INDEX(E0!J$4:J$28,D38,1))))*100000000</f>
        <v>0</v>
      </c>
      <c r="F38" s="4" t="str">
        <f>HYPERLINK("http://141.218.60.56/~jnz1568/getInfo.php?workbook=09_01.xlsx&amp;sheet=A0&amp;row=38&amp;col=6&amp;number=&amp;sourceID=18","")</f>
        <v/>
      </c>
      <c r="G38" s="4" t="str">
        <f>HYPERLINK("http://141.218.60.56/~jnz1568/getInfo.php?workbook=09_01.xlsx&amp;sheet=A0&amp;row=38&amp;col=7&amp;number==&amp;sourceID=11","=")</f>
        <v>=</v>
      </c>
      <c r="H38" s="4" t="str">
        <f>HYPERLINK("http://141.218.60.56/~jnz1568/getInfo.php?workbook=09_01.xlsx&amp;sheet=A0&amp;row=38&amp;col=8&amp;number=&amp;sourceID=11","")</f>
        <v/>
      </c>
      <c r="I38" s="4" t="str">
        <f>HYPERLINK("http://141.218.60.56/~jnz1568/getInfo.php?workbook=09_01.xlsx&amp;sheet=A0&amp;row=38&amp;col=9&amp;number=&amp;sourceID=11","")</f>
        <v/>
      </c>
      <c r="J38" s="4" t="str">
        <f>HYPERLINK("http://141.218.60.56/~jnz1568/getInfo.php?workbook=09_01.xlsx&amp;sheet=A0&amp;row=38&amp;col=10&amp;number=&amp;sourceID=11","")</f>
        <v/>
      </c>
      <c r="K38" s="4" t="str">
        <f>HYPERLINK("http://141.218.60.56/~jnz1568/getInfo.php?workbook=09_01.xlsx&amp;sheet=A0&amp;row=38&amp;col=11&amp;number=1.3516&amp;sourceID=11","1.3516")</f>
        <v>1.3516</v>
      </c>
      <c r="L38" s="4" t="str">
        <f>HYPERLINK("http://141.218.60.56/~jnz1568/getInfo.php?workbook=09_01.xlsx&amp;sheet=A0&amp;row=38&amp;col=12&amp;number=&amp;sourceID=11","")</f>
        <v/>
      </c>
      <c r="M38" s="4" t="str">
        <f>HYPERLINK("http://141.218.60.56/~jnz1568/getInfo.php?workbook=09_01.xlsx&amp;sheet=A0&amp;row=38&amp;col=13&amp;number=&amp;sourceID=11","")</f>
        <v/>
      </c>
      <c r="N38" s="4" t="str">
        <f>HYPERLINK("http://141.218.60.56/~jnz1568/getInfo.php?workbook=09_01.xlsx&amp;sheet=A0&amp;row=38&amp;col=14&amp;number=1.3516&amp;sourceID=12","1.3516")</f>
        <v>1.3516</v>
      </c>
      <c r="O38" s="4" t="str">
        <f>HYPERLINK("http://141.218.60.56/~jnz1568/getInfo.php?workbook=09_01.xlsx&amp;sheet=A0&amp;row=38&amp;col=15&amp;number=&amp;sourceID=12","")</f>
        <v/>
      </c>
      <c r="P38" s="4" t="str">
        <f>HYPERLINK("http://141.218.60.56/~jnz1568/getInfo.php?workbook=09_01.xlsx&amp;sheet=A0&amp;row=38&amp;col=16&amp;number=&amp;sourceID=12","")</f>
        <v/>
      </c>
      <c r="Q38" s="4" t="str">
        <f>HYPERLINK("http://141.218.60.56/~jnz1568/getInfo.php?workbook=09_01.xlsx&amp;sheet=A0&amp;row=38&amp;col=17&amp;number=&amp;sourceID=12","")</f>
        <v/>
      </c>
      <c r="R38" s="4" t="str">
        <f>HYPERLINK("http://141.218.60.56/~jnz1568/getInfo.php?workbook=09_01.xlsx&amp;sheet=A0&amp;row=38&amp;col=18&amp;number=1.3516&amp;sourceID=12","1.3516")</f>
        <v>1.3516</v>
      </c>
      <c r="S38" s="4" t="str">
        <f>HYPERLINK("http://141.218.60.56/~jnz1568/getInfo.php?workbook=09_01.xlsx&amp;sheet=A0&amp;row=38&amp;col=19&amp;number=&amp;sourceID=12","")</f>
        <v/>
      </c>
      <c r="T38" s="4" t="str">
        <f>HYPERLINK("http://141.218.60.56/~jnz1568/getInfo.php?workbook=09_01.xlsx&amp;sheet=A0&amp;row=38&amp;col=20&amp;number=&amp;sourceID=12","")</f>
        <v/>
      </c>
      <c r="U38" s="4" t="str">
        <f>HYPERLINK("http://141.218.60.56/~jnz1568/getInfo.php?workbook=09_01.xlsx&amp;sheet=A0&amp;row=38&amp;col=21&amp;number=1.352&amp;sourceID=30","1.352")</f>
        <v>1.352</v>
      </c>
      <c r="V38" s="4" t="str">
        <f>HYPERLINK("http://141.218.60.56/~jnz1568/getInfo.php?workbook=09_01.xlsx&amp;sheet=A0&amp;row=38&amp;col=22&amp;number=&amp;sourceID=30","")</f>
        <v/>
      </c>
      <c r="W38" s="4" t="str">
        <f>HYPERLINK("http://141.218.60.56/~jnz1568/getInfo.php?workbook=09_01.xlsx&amp;sheet=A0&amp;row=38&amp;col=23&amp;number=&amp;sourceID=30","")</f>
        <v/>
      </c>
      <c r="X38" s="4" t="str">
        <f>HYPERLINK("http://141.218.60.56/~jnz1568/getInfo.php?workbook=09_01.xlsx&amp;sheet=A0&amp;row=38&amp;col=24&amp;number=1.352&amp;sourceID=30","1.352")</f>
        <v>1.352</v>
      </c>
      <c r="Y38" s="4" t="str">
        <f>HYPERLINK("http://141.218.60.56/~jnz1568/getInfo.php?workbook=09_01.xlsx&amp;sheet=A0&amp;row=38&amp;col=25&amp;number=&amp;sourceID=30","")</f>
        <v/>
      </c>
      <c r="Z38" s="4" t="str">
        <f>HYPERLINK("http://141.218.60.56/~jnz1568/getInfo.php?workbook=09_01.xlsx&amp;sheet=A0&amp;row=38&amp;col=26&amp;number==&amp;sourceID=13","=")</f>
        <v>=</v>
      </c>
      <c r="AA38" s="4" t="str">
        <f>HYPERLINK("http://141.218.60.56/~jnz1568/getInfo.php?workbook=09_01.xlsx&amp;sheet=A0&amp;row=38&amp;col=27&amp;number=&amp;sourceID=13","")</f>
        <v/>
      </c>
      <c r="AB38" s="4" t="str">
        <f>HYPERLINK("http://141.218.60.56/~jnz1568/getInfo.php?workbook=09_01.xlsx&amp;sheet=A0&amp;row=38&amp;col=28&amp;number=&amp;sourceID=13","")</f>
        <v/>
      </c>
      <c r="AC38" s="4" t="str">
        <f>HYPERLINK("http://141.218.60.56/~jnz1568/getInfo.php?workbook=09_01.xlsx&amp;sheet=A0&amp;row=38&amp;col=29&amp;number=&amp;sourceID=13","")</f>
        <v/>
      </c>
      <c r="AD38" s="4" t="str">
        <f>HYPERLINK("http://141.218.60.56/~jnz1568/getInfo.php?workbook=09_01.xlsx&amp;sheet=A0&amp;row=38&amp;col=30&amp;number=1.32&amp;sourceID=13","1.32")</f>
        <v>1.32</v>
      </c>
      <c r="AE38" s="4" t="str">
        <f>HYPERLINK("http://141.218.60.56/~jnz1568/getInfo.php?workbook=09_01.xlsx&amp;sheet=A0&amp;row=38&amp;col=31&amp;number=&amp;sourceID=13","")</f>
        <v/>
      </c>
    </row>
    <row r="39" spans="1:31">
      <c r="A39" s="3">
        <v>9</v>
      </c>
      <c r="B39" s="3">
        <v>1</v>
      </c>
      <c r="C39" s="3">
        <v>10</v>
      </c>
      <c r="D39" s="3">
        <v>3</v>
      </c>
      <c r="E39" s="3">
        <f>((1/(INDEX(E0!J$4:J$28,C39,1)-INDEX(E0!J$4:J$28,D39,1))))*100000000</f>
        <v>0</v>
      </c>
      <c r="F39" s="4" t="str">
        <f>HYPERLINK("http://141.218.60.56/~jnz1568/getInfo.php?workbook=09_01.xlsx&amp;sheet=A0&amp;row=39&amp;col=6&amp;number=&amp;sourceID=18","")</f>
        <v/>
      </c>
      <c r="G39" s="4" t="str">
        <f>HYPERLINK("http://141.218.60.56/~jnz1568/getInfo.php?workbook=09_01.xlsx&amp;sheet=A0&amp;row=39&amp;col=7&amp;number==&amp;sourceID=11","=")</f>
        <v>=</v>
      </c>
      <c r="H39" s="4" t="str">
        <f>HYPERLINK("http://141.218.60.56/~jnz1568/getInfo.php?workbook=09_01.xlsx&amp;sheet=A0&amp;row=39&amp;col=8&amp;number=63614000000&amp;sourceID=11","63614000000")</f>
        <v>63614000000</v>
      </c>
      <c r="I39" s="4" t="str">
        <f>HYPERLINK("http://141.218.60.56/~jnz1568/getInfo.php?workbook=09_01.xlsx&amp;sheet=A0&amp;row=39&amp;col=9&amp;number=&amp;sourceID=11","")</f>
        <v/>
      </c>
      <c r="J39" s="4" t="str">
        <f>HYPERLINK("http://141.218.60.56/~jnz1568/getInfo.php?workbook=09_01.xlsx&amp;sheet=A0&amp;row=39&amp;col=10&amp;number=&amp;sourceID=11","")</f>
        <v/>
      </c>
      <c r="K39" s="4" t="str">
        <f>HYPERLINK("http://141.218.60.56/~jnz1568/getInfo.php?workbook=09_01.xlsx&amp;sheet=A0&amp;row=39&amp;col=11&amp;number=&amp;sourceID=11","")</f>
        <v/>
      </c>
      <c r="L39" s="4" t="str">
        <f>HYPERLINK("http://141.218.60.56/~jnz1568/getInfo.php?workbook=09_01.xlsx&amp;sheet=A0&amp;row=39&amp;col=12&amp;number=&amp;sourceID=11","")</f>
        <v/>
      </c>
      <c r="M39" s="4" t="str">
        <f>HYPERLINK("http://141.218.60.56/~jnz1568/getInfo.php?workbook=09_01.xlsx&amp;sheet=A0&amp;row=39&amp;col=13&amp;number=&amp;sourceID=11","")</f>
        <v/>
      </c>
      <c r="N39" s="4" t="str">
        <f>HYPERLINK("http://141.218.60.56/~jnz1568/getInfo.php?workbook=09_01.xlsx&amp;sheet=A0&amp;row=39&amp;col=14&amp;number=63616000000&amp;sourceID=12","63616000000")</f>
        <v>63616000000</v>
      </c>
      <c r="O39" s="4" t="str">
        <f>HYPERLINK("http://141.218.60.56/~jnz1568/getInfo.php?workbook=09_01.xlsx&amp;sheet=A0&amp;row=39&amp;col=15&amp;number=63616000000&amp;sourceID=12","63616000000")</f>
        <v>63616000000</v>
      </c>
      <c r="P39" s="4" t="str">
        <f>HYPERLINK("http://141.218.60.56/~jnz1568/getInfo.php?workbook=09_01.xlsx&amp;sheet=A0&amp;row=39&amp;col=16&amp;number=&amp;sourceID=12","")</f>
        <v/>
      </c>
      <c r="Q39" s="4" t="str">
        <f>HYPERLINK("http://141.218.60.56/~jnz1568/getInfo.php?workbook=09_01.xlsx&amp;sheet=A0&amp;row=39&amp;col=17&amp;number=&amp;sourceID=12","")</f>
        <v/>
      </c>
      <c r="R39" s="4" t="str">
        <f>HYPERLINK("http://141.218.60.56/~jnz1568/getInfo.php?workbook=09_01.xlsx&amp;sheet=A0&amp;row=39&amp;col=18&amp;number=&amp;sourceID=12","")</f>
        <v/>
      </c>
      <c r="S39" s="4" t="str">
        <f>HYPERLINK("http://141.218.60.56/~jnz1568/getInfo.php?workbook=09_01.xlsx&amp;sheet=A0&amp;row=39&amp;col=19&amp;number=&amp;sourceID=12","")</f>
        <v/>
      </c>
      <c r="T39" s="4" t="str">
        <f>HYPERLINK("http://141.218.60.56/~jnz1568/getInfo.php?workbook=09_01.xlsx&amp;sheet=A0&amp;row=39&amp;col=20&amp;number=&amp;sourceID=12","")</f>
        <v/>
      </c>
      <c r="U39" s="4" t="str">
        <f>HYPERLINK("http://141.218.60.56/~jnz1568/getInfo.php?workbook=09_01.xlsx&amp;sheet=A0&amp;row=39&amp;col=21&amp;number=63620000000&amp;sourceID=30","63620000000")</f>
        <v>63620000000</v>
      </c>
      <c r="V39" s="4" t="str">
        <f>HYPERLINK("http://141.218.60.56/~jnz1568/getInfo.php?workbook=09_01.xlsx&amp;sheet=A0&amp;row=39&amp;col=22&amp;number=63620000000&amp;sourceID=30","63620000000")</f>
        <v>63620000000</v>
      </c>
      <c r="W39" s="4" t="str">
        <f>HYPERLINK("http://141.218.60.56/~jnz1568/getInfo.php?workbook=09_01.xlsx&amp;sheet=A0&amp;row=39&amp;col=23&amp;number=&amp;sourceID=30","")</f>
        <v/>
      </c>
      <c r="X39" s="4" t="str">
        <f>HYPERLINK("http://141.218.60.56/~jnz1568/getInfo.php?workbook=09_01.xlsx&amp;sheet=A0&amp;row=39&amp;col=24&amp;number=&amp;sourceID=30","")</f>
        <v/>
      </c>
      <c r="Y39" s="4" t="str">
        <f>HYPERLINK("http://141.218.60.56/~jnz1568/getInfo.php?workbook=09_01.xlsx&amp;sheet=A0&amp;row=39&amp;col=25&amp;number=&amp;sourceID=30","")</f>
        <v/>
      </c>
      <c r="Z39" s="4" t="str">
        <f>HYPERLINK("http://141.218.60.56/~jnz1568/getInfo.php?workbook=09_01.xlsx&amp;sheet=A0&amp;row=39&amp;col=26&amp;number==&amp;sourceID=13","=")</f>
        <v>=</v>
      </c>
      <c r="AA39" s="4" t="str">
        <f>HYPERLINK("http://141.218.60.56/~jnz1568/getInfo.php?workbook=09_01.xlsx&amp;sheet=A0&amp;row=39&amp;col=27&amp;number=62700000000&amp;sourceID=13","62700000000")</f>
        <v>62700000000</v>
      </c>
      <c r="AB39" s="4" t="str">
        <f>HYPERLINK("http://141.218.60.56/~jnz1568/getInfo.php?workbook=09_01.xlsx&amp;sheet=A0&amp;row=39&amp;col=28&amp;number=&amp;sourceID=13","")</f>
        <v/>
      </c>
      <c r="AC39" s="4" t="str">
        <f>HYPERLINK("http://141.218.60.56/~jnz1568/getInfo.php?workbook=09_01.xlsx&amp;sheet=A0&amp;row=39&amp;col=29&amp;number=&amp;sourceID=13","")</f>
        <v/>
      </c>
      <c r="AD39" s="4" t="str">
        <f>HYPERLINK("http://141.218.60.56/~jnz1568/getInfo.php?workbook=09_01.xlsx&amp;sheet=A0&amp;row=39&amp;col=30&amp;number=&amp;sourceID=13","")</f>
        <v/>
      </c>
      <c r="AE39" s="4" t="str">
        <f>HYPERLINK("http://141.218.60.56/~jnz1568/getInfo.php?workbook=09_01.xlsx&amp;sheet=A0&amp;row=39&amp;col=31&amp;number=&amp;sourceID=13","")</f>
        <v/>
      </c>
    </row>
    <row r="40" spans="1:31">
      <c r="A40" s="3">
        <v>9</v>
      </c>
      <c r="B40" s="3">
        <v>1</v>
      </c>
      <c r="C40" s="3">
        <v>10</v>
      </c>
      <c r="D40" s="3">
        <v>4</v>
      </c>
      <c r="E40" s="3">
        <f>((1/(INDEX(E0!J$4:J$28,C40,1)-INDEX(E0!J$4:J$28,D40,1))))*100000000</f>
        <v>0</v>
      </c>
      <c r="F40" s="4" t="str">
        <f>HYPERLINK("http://141.218.60.56/~jnz1568/getInfo.php?workbook=09_01.xlsx&amp;sheet=A0&amp;row=40&amp;col=6&amp;number=&amp;sourceID=18","")</f>
        <v/>
      </c>
      <c r="G40" s="4" t="str">
        <f>HYPERLINK("http://141.218.60.56/~jnz1568/getInfo.php?workbook=09_01.xlsx&amp;sheet=A0&amp;row=40&amp;col=7&amp;number==&amp;sourceID=11","=")</f>
        <v>=</v>
      </c>
      <c r="H40" s="4" t="str">
        <f>HYPERLINK("http://141.218.60.56/~jnz1568/getInfo.php?workbook=09_01.xlsx&amp;sheet=A0&amp;row=40&amp;col=8&amp;number=&amp;sourceID=11","")</f>
        <v/>
      </c>
      <c r="I40" s="4" t="str">
        <f>HYPERLINK("http://141.218.60.56/~jnz1568/getInfo.php?workbook=09_01.xlsx&amp;sheet=A0&amp;row=40&amp;col=9&amp;number=5465200&amp;sourceID=11","5465200")</f>
        <v>5465200</v>
      </c>
      <c r="J40" s="4" t="str">
        <f>HYPERLINK("http://141.218.60.56/~jnz1568/getInfo.php?workbook=09_01.xlsx&amp;sheet=A0&amp;row=40&amp;col=10&amp;number=&amp;sourceID=11","")</f>
        <v/>
      </c>
      <c r="K40" s="4" t="str">
        <f>HYPERLINK("http://141.218.60.56/~jnz1568/getInfo.php?workbook=09_01.xlsx&amp;sheet=A0&amp;row=40&amp;col=11&amp;number=26.327&amp;sourceID=11","26.327")</f>
        <v>26.327</v>
      </c>
      <c r="L40" s="4" t="str">
        <f>HYPERLINK("http://141.218.60.56/~jnz1568/getInfo.php?workbook=09_01.xlsx&amp;sheet=A0&amp;row=40&amp;col=12&amp;number=&amp;sourceID=11","")</f>
        <v/>
      </c>
      <c r="M40" s="4" t="str">
        <f>HYPERLINK("http://141.218.60.56/~jnz1568/getInfo.php?workbook=09_01.xlsx&amp;sheet=A0&amp;row=40&amp;col=13&amp;number=&amp;sourceID=11","")</f>
        <v/>
      </c>
      <c r="N40" s="4" t="str">
        <f>HYPERLINK("http://141.218.60.56/~jnz1568/getInfo.php?workbook=09_01.xlsx&amp;sheet=A0&amp;row=40&amp;col=14&amp;number=5465300&amp;sourceID=12","5465300")</f>
        <v>5465300</v>
      </c>
      <c r="O40" s="4" t="str">
        <f>HYPERLINK("http://141.218.60.56/~jnz1568/getInfo.php?workbook=09_01.xlsx&amp;sheet=A0&amp;row=40&amp;col=15&amp;number=&amp;sourceID=12","")</f>
        <v/>
      </c>
      <c r="P40" s="4" t="str">
        <f>HYPERLINK("http://141.218.60.56/~jnz1568/getInfo.php?workbook=09_01.xlsx&amp;sheet=A0&amp;row=40&amp;col=16&amp;number=5465300&amp;sourceID=12","5465300")</f>
        <v>5465300</v>
      </c>
      <c r="Q40" s="4" t="str">
        <f>HYPERLINK("http://141.218.60.56/~jnz1568/getInfo.php?workbook=09_01.xlsx&amp;sheet=A0&amp;row=40&amp;col=17&amp;number=&amp;sourceID=12","")</f>
        <v/>
      </c>
      <c r="R40" s="4" t="str">
        <f>HYPERLINK("http://141.218.60.56/~jnz1568/getInfo.php?workbook=09_01.xlsx&amp;sheet=A0&amp;row=40&amp;col=18&amp;number=26.328&amp;sourceID=12","26.328")</f>
        <v>26.328</v>
      </c>
      <c r="S40" s="4" t="str">
        <f>HYPERLINK("http://141.218.60.56/~jnz1568/getInfo.php?workbook=09_01.xlsx&amp;sheet=A0&amp;row=40&amp;col=19&amp;number=&amp;sourceID=12","")</f>
        <v/>
      </c>
      <c r="T40" s="4" t="str">
        <f>HYPERLINK("http://141.218.60.56/~jnz1568/getInfo.php?workbook=09_01.xlsx&amp;sheet=A0&amp;row=40&amp;col=20&amp;number=&amp;sourceID=12","")</f>
        <v/>
      </c>
      <c r="U40" s="4" t="str">
        <f>HYPERLINK("http://141.218.60.56/~jnz1568/getInfo.php?workbook=09_01.xlsx&amp;sheet=A0&amp;row=40&amp;col=21&amp;number=5465026.33&amp;sourceID=30","5465026.33")</f>
        <v>5465026.33</v>
      </c>
      <c r="V40" s="4" t="str">
        <f>HYPERLINK("http://141.218.60.56/~jnz1568/getInfo.php?workbook=09_01.xlsx&amp;sheet=A0&amp;row=40&amp;col=22&amp;number=&amp;sourceID=30","")</f>
        <v/>
      </c>
      <c r="W40" s="4" t="str">
        <f>HYPERLINK("http://141.218.60.56/~jnz1568/getInfo.php?workbook=09_01.xlsx&amp;sheet=A0&amp;row=40&amp;col=23&amp;number=5465000&amp;sourceID=30","5465000")</f>
        <v>5465000</v>
      </c>
      <c r="X40" s="4" t="str">
        <f>HYPERLINK("http://141.218.60.56/~jnz1568/getInfo.php?workbook=09_01.xlsx&amp;sheet=A0&amp;row=40&amp;col=24&amp;number=26.33&amp;sourceID=30","26.33")</f>
        <v>26.33</v>
      </c>
      <c r="Y40" s="4" t="str">
        <f>HYPERLINK("http://141.218.60.56/~jnz1568/getInfo.php?workbook=09_01.xlsx&amp;sheet=A0&amp;row=40&amp;col=25&amp;number=&amp;sourceID=30","")</f>
        <v/>
      </c>
      <c r="Z40" s="4" t="str">
        <f>HYPERLINK("http://141.218.60.56/~jnz1568/getInfo.php?workbook=09_01.xlsx&amp;sheet=A0&amp;row=40&amp;col=26&amp;number==&amp;sourceID=13","=")</f>
        <v>=</v>
      </c>
      <c r="AA40" s="4" t="str">
        <f>HYPERLINK("http://141.218.60.56/~jnz1568/getInfo.php?workbook=09_01.xlsx&amp;sheet=A0&amp;row=40&amp;col=27&amp;number=&amp;sourceID=13","")</f>
        <v/>
      </c>
      <c r="AB40" s="4" t="str">
        <f>HYPERLINK("http://141.218.60.56/~jnz1568/getInfo.php?workbook=09_01.xlsx&amp;sheet=A0&amp;row=40&amp;col=28&amp;number=5340000&amp;sourceID=13","5340000")</f>
        <v>5340000</v>
      </c>
      <c r="AC40" s="4" t="str">
        <f>HYPERLINK("http://141.218.60.56/~jnz1568/getInfo.php?workbook=09_01.xlsx&amp;sheet=A0&amp;row=40&amp;col=29&amp;number=&amp;sourceID=13","")</f>
        <v/>
      </c>
      <c r="AD40" s="4" t="str">
        <f>HYPERLINK("http://141.218.60.56/~jnz1568/getInfo.php?workbook=09_01.xlsx&amp;sheet=A0&amp;row=40&amp;col=30&amp;number=29.3&amp;sourceID=13","29.3")</f>
        <v>29.3</v>
      </c>
      <c r="AE40" s="4" t="str">
        <f>HYPERLINK("http://141.218.60.56/~jnz1568/getInfo.php?workbook=09_01.xlsx&amp;sheet=A0&amp;row=40&amp;col=31&amp;number=&amp;sourceID=13","")</f>
        <v/>
      </c>
    </row>
    <row r="41" spans="1:31">
      <c r="A41" s="3">
        <v>9</v>
      </c>
      <c r="B41" s="3">
        <v>1</v>
      </c>
      <c r="C41" s="3">
        <v>10</v>
      </c>
      <c r="D41" s="3">
        <v>5</v>
      </c>
      <c r="E41" s="3">
        <f>((1/(INDEX(E0!J$4:J$28,C41,1)-INDEX(E0!J$4:J$28,D41,1))))*100000000</f>
        <v>0</v>
      </c>
      <c r="F41" s="4" t="str">
        <f>HYPERLINK("http://141.218.60.56/~jnz1568/getInfo.php?workbook=09_01.xlsx&amp;sheet=A0&amp;row=41&amp;col=6&amp;number=&amp;sourceID=18","")</f>
        <v/>
      </c>
      <c r="G41" s="4" t="str">
        <f>HYPERLINK("http://141.218.60.56/~jnz1568/getInfo.php?workbook=09_01.xlsx&amp;sheet=A0&amp;row=41&amp;col=7&amp;number==&amp;sourceID=11","=")</f>
        <v>=</v>
      </c>
      <c r="H41" s="4" t="str">
        <f>HYPERLINK("http://141.218.60.56/~jnz1568/getInfo.php?workbook=09_01.xlsx&amp;sheet=A0&amp;row=41&amp;col=8&amp;number=&amp;sourceID=11","")</f>
        <v/>
      </c>
      <c r="I41" s="4" t="str">
        <f>HYPERLINK("http://141.218.60.56/~jnz1568/getInfo.php?workbook=09_01.xlsx&amp;sheet=A0&amp;row=41&amp;col=9&amp;number=&amp;sourceID=11","")</f>
        <v/>
      </c>
      <c r="J41" s="4" t="str">
        <f>HYPERLINK("http://141.218.60.56/~jnz1568/getInfo.php?workbook=09_01.xlsx&amp;sheet=A0&amp;row=41&amp;col=10&amp;number=&amp;sourceID=11","")</f>
        <v/>
      </c>
      <c r="K41" s="4" t="str">
        <f>HYPERLINK("http://141.218.60.56/~jnz1568/getInfo.php?workbook=09_01.xlsx&amp;sheet=A0&amp;row=41&amp;col=11&amp;number=0.022482&amp;sourceID=11","0.022482")</f>
        <v>0.022482</v>
      </c>
      <c r="L41" s="4" t="str">
        <f>HYPERLINK("http://141.218.60.56/~jnz1568/getInfo.php?workbook=09_01.xlsx&amp;sheet=A0&amp;row=41&amp;col=12&amp;number=&amp;sourceID=11","")</f>
        <v/>
      </c>
      <c r="M41" s="4" t="str">
        <f>HYPERLINK("http://141.218.60.56/~jnz1568/getInfo.php?workbook=09_01.xlsx&amp;sheet=A0&amp;row=41&amp;col=13&amp;number=&amp;sourceID=11","")</f>
        <v/>
      </c>
      <c r="N41" s="4" t="str">
        <f>HYPERLINK("http://141.218.60.56/~jnz1568/getInfo.php?workbook=09_01.xlsx&amp;sheet=A0&amp;row=41&amp;col=14&amp;number=0.022483&amp;sourceID=12","0.022483")</f>
        <v>0.022483</v>
      </c>
      <c r="O41" s="4" t="str">
        <f>HYPERLINK("http://141.218.60.56/~jnz1568/getInfo.php?workbook=09_01.xlsx&amp;sheet=A0&amp;row=41&amp;col=15&amp;number=&amp;sourceID=12","")</f>
        <v/>
      </c>
      <c r="P41" s="4" t="str">
        <f>HYPERLINK("http://141.218.60.56/~jnz1568/getInfo.php?workbook=09_01.xlsx&amp;sheet=A0&amp;row=41&amp;col=16&amp;number=&amp;sourceID=12","")</f>
        <v/>
      </c>
      <c r="Q41" s="4" t="str">
        <f>HYPERLINK("http://141.218.60.56/~jnz1568/getInfo.php?workbook=09_01.xlsx&amp;sheet=A0&amp;row=41&amp;col=17&amp;number=&amp;sourceID=12","")</f>
        <v/>
      </c>
      <c r="R41" s="4" t="str">
        <f>HYPERLINK("http://141.218.60.56/~jnz1568/getInfo.php?workbook=09_01.xlsx&amp;sheet=A0&amp;row=41&amp;col=18&amp;number=0.022483&amp;sourceID=12","0.022483")</f>
        <v>0.022483</v>
      </c>
      <c r="S41" s="4" t="str">
        <f>HYPERLINK("http://141.218.60.56/~jnz1568/getInfo.php?workbook=09_01.xlsx&amp;sheet=A0&amp;row=41&amp;col=19&amp;number=&amp;sourceID=12","")</f>
        <v/>
      </c>
      <c r="T41" s="4" t="str">
        <f>HYPERLINK("http://141.218.60.56/~jnz1568/getInfo.php?workbook=09_01.xlsx&amp;sheet=A0&amp;row=41&amp;col=20&amp;number=&amp;sourceID=12","")</f>
        <v/>
      </c>
      <c r="U41" s="4" t="str">
        <f>HYPERLINK("http://141.218.60.56/~jnz1568/getInfo.php?workbook=09_01.xlsx&amp;sheet=A0&amp;row=41&amp;col=21&amp;number=0.0225&amp;sourceID=30","0.0225")</f>
        <v>0.0225</v>
      </c>
      <c r="V41" s="4" t="str">
        <f>HYPERLINK("http://141.218.60.56/~jnz1568/getInfo.php?workbook=09_01.xlsx&amp;sheet=A0&amp;row=41&amp;col=22&amp;number=&amp;sourceID=30","")</f>
        <v/>
      </c>
      <c r="W41" s="4" t="str">
        <f>HYPERLINK("http://141.218.60.56/~jnz1568/getInfo.php?workbook=09_01.xlsx&amp;sheet=A0&amp;row=41&amp;col=23&amp;number=&amp;sourceID=30","")</f>
        <v/>
      </c>
      <c r="X41" s="4" t="str">
        <f>HYPERLINK("http://141.218.60.56/~jnz1568/getInfo.php?workbook=09_01.xlsx&amp;sheet=A0&amp;row=41&amp;col=24&amp;number=0.0225&amp;sourceID=30","0.0225")</f>
        <v>0.0225</v>
      </c>
      <c r="Y41" s="4" t="str">
        <f>HYPERLINK("http://141.218.60.56/~jnz1568/getInfo.php?workbook=09_01.xlsx&amp;sheet=A0&amp;row=41&amp;col=25&amp;number=&amp;sourceID=30","")</f>
        <v/>
      </c>
      <c r="Z41" s="4" t="str">
        <f>HYPERLINK("http://141.218.60.56/~jnz1568/getInfo.php?workbook=09_01.xlsx&amp;sheet=A0&amp;row=41&amp;col=26&amp;number==&amp;sourceID=13","=")</f>
        <v>=</v>
      </c>
      <c r="AA41" s="4" t="str">
        <f>HYPERLINK("http://141.218.60.56/~jnz1568/getInfo.php?workbook=09_01.xlsx&amp;sheet=A0&amp;row=41&amp;col=27&amp;number=&amp;sourceID=13","")</f>
        <v/>
      </c>
      <c r="AB41" s="4" t="str">
        <f>HYPERLINK("http://141.218.60.56/~jnz1568/getInfo.php?workbook=09_01.xlsx&amp;sheet=A0&amp;row=41&amp;col=28&amp;number=&amp;sourceID=13","")</f>
        <v/>
      </c>
      <c r="AC41" s="4" t="str">
        <f>HYPERLINK("http://141.218.60.56/~jnz1568/getInfo.php?workbook=09_01.xlsx&amp;sheet=A0&amp;row=41&amp;col=29&amp;number=&amp;sourceID=13","")</f>
        <v/>
      </c>
      <c r="AD41" s="4" t="str">
        <f>HYPERLINK("http://141.218.60.56/~jnz1568/getInfo.php?workbook=09_01.xlsx&amp;sheet=A0&amp;row=41&amp;col=30&amp;number=0.0222&amp;sourceID=13","0.0222")</f>
        <v>0.0222</v>
      </c>
      <c r="AE41" s="4" t="str">
        <f>HYPERLINK("http://141.218.60.56/~jnz1568/getInfo.php?workbook=09_01.xlsx&amp;sheet=A0&amp;row=41&amp;col=31&amp;number=&amp;sourceID=13","")</f>
        <v/>
      </c>
    </row>
    <row r="42" spans="1:31">
      <c r="A42" s="3">
        <v>9</v>
      </c>
      <c r="B42" s="3">
        <v>1</v>
      </c>
      <c r="C42" s="3">
        <v>10</v>
      </c>
      <c r="D42" s="3">
        <v>6</v>
      </c>
      <c r="E42" s="3">
        <f>((1/(INDEX(E0!J$4:J$28,C42,1)-INDEX(E0!J$4:J$28,D42,1))))*100000000</f>
        <v>0</v>
      </c>
      <c r="F42" s="4" t="str">
        <f>HYPERLINK("http://141.218.60.56/~jnz1568/getInfo.php?workbook=09_01.xlsx&amp;sheet=A0&amp;row=42&amp;col=6&amp;number=&amp;sourceID=18","")</f>
        <v/>
      </c>
      <c r="G42" s="4" t="str">
        <f>HYPERLINK("http://141.218.60.56/~jnz1568/getInfo.php?workbook=09_01.xlsx&amp;sheet=A0&amp;row=42&amp;col=7&amp;number==&amp;sourceID=11","=")</f>
        <v>=</v>
      </c>
      <c r="H42" s="4" t="str">
        <f>HYPERLINK("http://141.218.60.56/~jnz1568/getInfo.php?workbook=09_01.xlsx&amp;sheet=A0&amp;row=42&amp;col=8&amp;number=20171000000&amp;sourceID=11","20171000000")</f>
        <v>20171000000</v>
      </c>
      <c r="I42" s="4" t="str">
        <f>HYPERLINK("http://141.218.60.56/~jnz1568/getInfo.php?workbook=09_01.xlsx&amp;sheet=A0&amp;row=42&amp;col=9&amp;number=&amp;sourceID=11","")</f>
        <v/>
      </c>
      <c r="J42" s="4" t="str">
        <f>HYPERLINK("http://141.218.60.56/~jnz1568/getInfo.php?workbook=09_01.xlsx&amp;sheet=A0&amp;row=42&amp;col=10&amp;number=&amp;sourceID=11","")</f>
        <v/>
      </c>
      <c r="K42" s="4" t="str">
        <f>HYPERLINK("http://141.218.60.56/~jnz1568/getInfo.php?workbook=09_01.xlsx&amp;sheet=A0&amp;row=42&amp;col=11&amp;number=&amp;sourceID=11","")</f>
        <v/>
      </c>
      <c r="L42" s="4" t="str">
        <f>HYPERLINK("http://141.218.60.56/~jnz1568/getInfo.php?workbook=09_01.xlsx&amp;sheet=A0&amp;row=42&amp;col=12&amp;number=&amp;sourceID=11","")</f>
        <v/>
      </c>
      <c r="M42" s="4" t="str">
        <f>HYPERLINK("http://141.218.60.56/~jnz1568/getInfo.php?workbook=09_01.xlsx&amp;sheet=A0&amp;row=42&amp;col=13&amp;number=&amp;sourceID=11","")</f>
        <v/>
      </c>
      <c r="N42" s="4" t="str">
        <f>HYPERLINK("http://141.218.60.56/~jnz1568/getInfo.php?workbook=09_01.xlsx&amp;sheet=A0&amp;row=42&amp;col=14&amp;number=20172000000&amp;sourceID=12","20172000000")</f>
        <v>20172000000</v>
      </c>
      <c r="O42" s="4" t="str">
        <f>HYPERLINK("http://141.218.60.56/~jnz1568/getInfo.php?workbook=09_01.xlsx&amp;sheet=A0&amp;row=42&amp;col=15&amp;number=20172000000&amp;sourceID=12","20172000000")</f>
        <v>20172000000</v>
      </c>
      <c r="P42" s="4" t="str">
        <f>HYPERLINK("http://141.218.60.56/~jnz1568/getInfo.php?workbook=09_01.xlsx&amp;sheet=A0&amp;row=42&amp;col=16&amp;number=&amp;sourceID=12","")</f>
        <v/>
      </c>
      <c r="Q42" s="4" t="str">
        <f>HYPERLINK("http://141.218.60.56/~jnz1568/getInfo.php?workbook=09_01.xlsx&amp;sheet=A0&amp;row=42&amp;col=17&amp;number=&amp;sourceID=12","")</f>
        <v/>
      </c>
      <c r="R42" s="4" t="str">
        <f>HYPERLINK("http://141.218.60.56/~jnz1568/getInfo.php?workbook=09_01.xlsx&amp;sheet=A0&amp;row=42&amp;col=18&amp;number=&amp;sourceID=12","")</f>
        <v/>
      </c>
      <c r="S42" s="4" t="str">
        <f>HYPERLINK("http://141.218.60.56/~jnz1568/getInfo.php?workbook=09_01.xlsx&amp;sheet=A0&amp;row=42&amp;col=19&amp;number=&amp;sourceID=12","")</f>
        <v/>
      </c>
      <c r="T42" s="4" t="str">
        <f>HYPERLINK("http://141.218.60.56/~jnz1568/getInfo.php?workbook=09_01.xlsx&amp;sheet=A0&amp;row=42&amp;col=20&amp;number=&amp;sourceID=12","")</f>
        <v/>
      </c>
      <c r="U42" s="4" t="str">
        <f>HYPERLINK("http://141.218.60.56/~jnz1568/getInfo.php?workbook=09_01.xlsx&amp;sheet=A0&amp;row=42&amp;col=21&amp;number=20170000000&amp;sourceID=30","20170000000")</f>
        <v>20170000000</v>
      </c>
      <c r="V42" s="4" t="str">
        <f>HYPERLINK("http://141.218.60.56/~jnz1568/getInfo.php?workbook=09_01.xlsx&amp;sheet=A0&amp;row=42&amp;col=22&amp;number=20170000000&amp;sourceID=30","20170000000")</f>
        <v>20170000000</v>
      </c>
      <c r="W42" s="4" t="str">
        <f>HYPERLINK("http://141.218.60.56/~jnz1568/getInfo.php?workbook=09_01.xlsx&amp;sheet=A0&amp;row=42&amp;col=23&amp;number=&amp;sourceID=30","")</f>
        <v/>
      </c>
      <c r="X42" s="4" t="str">
        <f>HYPERLINK("http://141.218.60.56/~jnz1568/getInfo.php?workbook=09_01.xlsx&amp;sheet=A0&amp;row=42&amp;col=24&amp;number=&amp;sourceID=30","")</f>
        <v/>
      </c>
      <c r="Y42" s="4" t="str">
        <f>HYPERLINK("http://141.218.60.56/~jnz1568/getInfo.php?workbook=09_01.xlsx&amp;sheet=A0&amp;row=42&amp;col=25&amp;number=&amp;sourceID=30","")</f>
        <v/>
      </c>
      <c r="Z42" s="4" t="str">
        <f>HYPERLINK("http://141.218.60.56/~jnz1568/getInfo.php?workbook=09_01.xlsx&amp;sheet=A0&amp;row=42&amp;col=26&amp;number==&amp;sourceID=13","=")</f>
        <v>=</v>
      </c>
      <c r="AA42" s="4" t="str">
        <f>HYPERLINK("http://141.218.60.56/~jnz1568/getInfo.php?workbook=09_01.xlsx&amp;sheet=A0&amp;row=42&amp;col=27&amp;number=20000000000&amp;sourceID=13","20000000000")</f>
        <v>20000000000</v>
      </c>
      <c r="AB42" s="4" t="str">
        <f>HYPERLINK("http://141.218.60.56/~jnz1568/getInfo.php?workbook=09_01.xlsx&amp;sheet=A0&amp;row=42&amp;col=28&amp;number=&amp;sourceID=13","")</f>
        <v/>
      </c>
      <c r="AC42" s="4" t="str">
        <f>HYPERLINK("http://141.218.60.56/~jnz1568/getInfo.php?workbook=09_01.xlsx&amp;sheet=A0&amp;row=42&amp;col=29&amp;number=&amp;sourceID=13","")</f>
        <v/>
      </c>
      <c r="AD42" s="4" t="str">
        <f>HYPERLINK("http://141.218.60.56/~jnz1568/getInfo.php?workbook=09_01.xlsx&amp;sheet=A0&amp;row=42&amp;col=30&amp;number=&amp;sourceID=13","")</f>
        <v/>
      </c>
      <c r="AE42" s="4" t="str">
        <f>HYPERLINK("http://141.218.60.56/~jnz1568/getInfo.php?workbook=09_01.xlsx&amp;sheet=A0&amp;row=42&amp;col=31&amp;number=&amp;sourceID=13","")</f>
        <v/>
      </c>
    </row>
    <row r="43" spans="1:31">
      <c r="A43" s="3">
        <v>9</v>
      </c>
      <c r="B43" s="3">
        <v>1</v>
      </c>
      <c r="C43" s="3">
        <v>10</v>
      </c>
      <c r="D43" s="3">
        <v>7</v>
      </c>
      <c r="E43" s="3">
        <f>((1/(INDEX(E0!J$4:J$28,C43,1)-INDEX(E0!J$4:J$28,D43,1))))*100000000</f>
        <v>0</v>
      </c>
      <c r="F43" s="4" t="str">
        <f>HYPERLINK("http://141.218.60.56/~jnz1568/getInfo.php?workbook=09_01.xlsx&amp;sheet=A0&amp;row=43&amp;col=6&amp;number=&amp;sourceID=18","")</f>
        <v/>
      </c>
      <c r="G43" s="4" t="str">
        <f>HYPERLINK("http://141.218.60.56/~jnz1568/getInfo.php?workbook=09_01.xlsx&amp;sheet=A0&amp;row=43&amp;col=7&amp;number==&amp;sourceID=11","=")</f>
        <v>=</v>
      </c>
      <c r="H43" s="4" t="str">
        <f>HYPERLINK("http://141.218.60.56/~jnz1568/getInfo.php?workbook=09_01.xlsx&amp;sheet=A0&amp;row=43&amp;col=8&amp;number=2311600000&amp;sourceID=11","2311600000")</f>
        <v>2311600000</v>
      </c>
      <c r="I43" s="4" t="str">
        <f>HYPERLINK("http://141.218.60.56/~jnz1568/getInfo.php?workbook=09_01.xlsx&amp;sheet=A0&amp;row=43&amp;col=9&amp;number=&amp;sourceID=11","")</f>
        <v/>
      </c>
      <c r="J43" s="4" t="str">
        <f>HYPERLINK("http://141.218.60.56/~jnz1568/getInfo.php?workbook=09_01.xlsx&amp;sheet=A0&amp;row=43&amp;col=10&amp;number=&amp;sourceID=11","")</f>
        <v/>
      </c>
      <c r="K43" s="4" t="str">
        <f>HYPERLINK("http://141.218.60.56/~jnz1568/getInfo.php?workbook=09_01.xlsx&amp;sheet=A0&amp;row=43&amp;col=11&amp;number=&amp;sourceID=11","")</f>
        <v/>
      </c>
      <c r="L43" s="4" t="str">
        <f>HYPERLINK("http://141.218.60.56/~jnz1568/getInfo.php?workbook=09_01.xlsx&amp;sheet=A0&amp;row=43&amp;col=12&amp;number=0.19053&amp;sourceID=11","0.19053")</f>
        <v>0.19053</v>
      </c>
      <c r="M43" s="4" t="str">
        <f>HYPERLINK("http://141.218.60.56/~jnz1568/getInfo.php?workbook=09_01.xlsx&amp;sheet=A0&amp;row=43&amp;col=13&amp;number=&amp;sourceID=11","")</f>
        <v/>
      </c>
      <c r="N43" s="4" t="str">
        <f>HYPERLINK("http://141.218.60.56/~jnz1568/getInfo.php?workbook=09_01.xlsx&amp;sheet=A0&amp;row=43&amp;col=14&amp;number=2311600000&amp;sourceID=12","2311600000")</f>
        <v>2311600000</v>
      </c>
      <c r="O43" s="4" t="str">
        <f>HYPERLINK("http://141.218.60.56/~jnz1568/getInfo.php?workbook=09_01.xlsx&amp;sheet=A0&amp;row=43&amp;col=15&amp;number=2311600000&amp;sourceID=12","2311600000")</f>
        <v>2311600000</v>
      </c>
      <c r="P43" s="4" t="str">
        <f>HYPERLINK("http://141.218.60.56/~jnz1568/getInfo.php?workbook=09_01.xlsx&amp;sheet=A0&amp;row=43&amp;col=16&amp;number=&amp;sourceID=12","")</f>
        <v/>
      </c>
      <c r="Q43" s="4" t="str">
        <f>HYPERLINK("http://141.218.60.56/~jnz1568/getInfo.php?workbook=09_01.xlsx&amp;sheet=A0&amp;row=43&amp;col=17&amp;number=&amp;sourceID=12","")</f>
        <v/>
      </c>
      <c r="R43" s="4" t="str">
        <f>HYPERLINK("http://141.218.60.56/~jnz1568/getInfo.php?workbook=09_01.xlsx&amp;sheet=A0&amp;row=43&amp;col=18&amp;number=&amp;sourceID=12","")</f>
        <v/>
      </c>
      <c r="S43" s="4" t="str">
        <f>HYPERLINK("http://141.218.60.56/~jnz1568/getInfo.php?workbook=09_01.xlsx&amp;sheet=A0&amp;row=43&amp;col=19&amp;number=0.19054&amp;sourceID=12","0.19054")</f>
        <v>0.19054</v>
      </c>
      <c r="T43" s="4" t="str">
        <f>HYPERLINK("http://141.218.60.56/~jnz1568/getInfo.php?workbook=09_01.xlsx&amp;sheet=A0&amp;row=43&amp;col=20&amp;number=&amp;sourceID=12","")</f>
        <v/>
      </c>
      <c r="U43" s="4" t="str">
        <f>HYPERLINK("http://141.218.60.56/~jnz1568/getInfo.php?workbook=09_01.xlsx&amp;sheet=A0&amp;row=43&amp;col=21&amp;number=2312000000.19&amp;sourceID=30","2312000000.19")</f>
        <v>2312000000.19</v>
      </c>
      <c r="V43" s="4" t="str">
        <f>HYPERLINK("http://141.218.60.56/~jnz1568/getInfo.php?workbook=09_01.xlsx&amp;sheet=A0&amp;row=43&amp;col=22&amp;number=2312000000&amp;sourceID=30","2312000000")</f>
        <v>2312000000</v>
      </c>
      <c r="W43" s="4" t="str">
        <f>HYPERLINK("http://141.218.60.56/~jnz1568/getInfo.php?workbook=09_01.xlsx&amp;sheet=A0&amp;row=43&amp;col=23&amp;number=&amp;sourceID=30","")</f>
        <v/>
      </c>
      <c r="X43" s="4" t="str">
        <f>HYPERLINK("http://141.218.60.56/~jnz1568/getInfo.php?workbook=09_01.xlsx&amp;sheet=A0&amp;row=43&amp;col=24&amp;number=&amp;sourceID=30","")</f>
        <v/>
      </c>
      <c r="Y43" s="4" t="str">
        <f>HYPERLINK("http://141.218.60.56/~jnz1568/getInfo.php?workbook=09_01.xlsx&amp;sheet=A0&amp;row=43&amp;col=25&amp;number=0.1905&amp;sourceID=30","0.1905")</f>
        <v>0.1905</v>
      </c>
      <c r="Z43" s="4" t="str">
        <f>HYPERLINK("http://141.218.60.56/~jnz1568/getInfo.php?workbook=09_01.xlsx&amp;sheet=A0&amp;row=43&amp;col=26&amp;number==&amp;sourceID=13","=")</f>
        <v>=</v>
      </c>
      <c r="AA43" s="4" t="str">
        <f>HYPERLINK("http://141.218.60.56/~jnz1568/getInfo.php?workbook=09_01.xlsx&amp;sheet=A0&amp;row=43&amp;col=27&amp;number=2290000000&amp;sourceID=13","2290000000")</f>
        <v>2290000000</v>
      </c>
      <c r="AB43" s="4" t="str">
        <f>HYPERLINK("http://141.218.60.56/~jnz1568/getInfo.php?workbook=09_01.xlsx&amp;sheet=A0&amp;row=43&amp;col=28&amp;number=&amp;sourceID=13","")</f>
        <v/>
      </c>
      <c r="AC43" s="4" t="str">
        <f>HYPERLINK("http://141.218.60.56/~jnz1568/getInfo.php?workbook=09_01.xlsx&amp;sheet=A0&amp;row=43&amp;col=29&amp;number=&amp;sourceID=13","")</f>
        <v/>
      </c>
      <c r="AD43" s="4" t="str">
        <f>HYPERLINK("http://141.218.60.56/~jnz1568/getInfo.php?workbook=09_01.xlsx&amp;sheet=A0&amp;row=43&amp;col=30&amp;number=&amp;sourceID=13","")</f>
        <v/>
      </c>
      <c r="AE43" s="4" t="str">
        <f>HYPERLINK("http://141.218.60.56/~jnz1568/getInfo.php?workbook=09_01.xlsx&amp;sheet=A0&amp;row=43&amp;col=31&amp;number=&amp;sourceID=13","")</f>
        <v/>
      </c>
    </row>
    <row r="44" spans="1:31">
      <c r="A44" s="3">
        <v>9</v>
      </c>
      <c r="B44" s="3">
        <v>1</v>
      </c>
      <c r="C44" s="3">
        <v>10</v>
      </c>
      <c r="D44" s="3">
        <v>8</v>
      </c>
      <c r="E44" s="3">
        <f>((1/(INDEX(E0!J$4:J$28,C44,1)-INDEX(E0!J$4:J$28,D44,1))))*100000000</f>
        <v>0</v>
      </c>
      <c r="F44" s="4" t="str">
        <f>HYPERLINK("http://141.218.60.56/~jnz1568/getInfo.php?workbook=09_01.xlsx&amp;sheet=A0&amp;row=44&amp;col=6&amp;number=&amp;sourceID=18","")</f>
        <v/>
      </c>
      <c r="G44" s="4" t="str">
        <f>HYPERLINK("http://141.218.60.56/~jnz1568/getInfo.php?workbook=09_01.xlsx&amp;sheet=A0&amp;row=44&amp;col=7&amp;number==&amp;sourceID=11","=")</f>
        <v>=</v>
      </c>
      <c r="H44" s="4" t="str">
        <f>HYPERLINK("http://141.218.60.56/~jnz1568/getInfo.php?workbook=09_01.xlsx&amp;sheet=A0&amp;row=44&amp;col=8&amp;number=&amp;sourceID=11","")</f>
        <v/>
      </c>
      <c r="I44" s="4" t="str">
        <f>HYPERLINK("http://141.218.60.56/~jnz1568/getInfo.php?workbook=09_01.xlsx&amp;sheet=A0&amp;row=44&amp;col=9&amp;number=1357500&amp;sourceID=11","1357500")</f>
        <v>1357500</v>
      </c>
      <c r="J44" s="4" t="str">
        <f>HYPERLINK("http://141.218.60.56/~jnz1568/getInfo.php?workbook=09_01.xlsx&amp;sheet=A0&amp;row=44&amp;col=10&amp;number=&amp;sourceID=11","")</f>
        <v/>
      </c>
      <c r="K44" s="4" t="str">
        <f>HYPERLINK("http://141.218.60.56/~jnz1568/getInfo.php?workbook=09_01.xlsx&amp;sheet=A0&amp;row=44&amp;col=11&amp;number=1.8812&amp;sourceID=11","1.8812")</f>
        <v>1.8812</v>
      </c>
      <c r="L44" s="4" t="str">
        <f>HYPERLINK("http://141.218.60.56/~jnz1568/getInfo.php?workbook=09_01.xlsx&amp;sheet=A0&amp;row=44&amp;col=12&amp;number=&amp;sourceID=11","")</f>
        <v/>
      </c>
      <c r="M44" s="4" t="str">
        <f>HYPERLINK("http://141.218.60.56/~jnz1568/getInfo.php?workbook=09_01.xlsx&amp;sheet=A0&amp;row=44&amp;col=13&amp;number=&amp;sourceID=11","")</f>
        <v/>
      </c>
      <c r="N44" s="4" t="str">
        <f>HYPERLINK("http://141.218.60.56/~jnz1568/getInfo.php?workbook=09_01.xlsx&amp;sheet=A0&amp;row=44&amp;col=14&amp;number=1357500&amp;sourceID=12","1357500")</f>
        <v>1357500</v>
      </c>
      <c r="O44" s="4" t="str">
        <f>HYPERLINK("http://141.218.60.56/~jnz1568/getInfo.php?workbook=09_01.xlsx&amp;sheet=A0&amp;row=44&amp;col=15&amp;number=&amp;sourceID=12","")</f>
        <v/>
      </c>
      <c r="P44" s="4" t="str">
        <f>HYPERLINK("http://141.218.60.56/~jnz1568/getInfo.php?workbook=09_01.xlsx&amp;sheet=A0&amp;row=44&amp;col=16&amp;number=1357500&amp;sourceID=12","1357500")</f>
        <v>1357500</v>
      </c>
      <c r="Q44" s="4" t="str">
        <f>HYPERLINK("http://141.218.60.56/~jnz1568/getInfo.php?workbook=09_01.xlsx&amp;sheet=A0&amp;row=44&amp;col=17&amp;number=&amp;sourceID=12","")</f>
        <v/>
      </c>
      <c r="R44" s="4" t="str">
        <f>HYPERLINK("http://141.218.60.56/~jnz1568/getInfo.php?workbook=09_01.xlsx&amp;sheet=A0&amp;row=44&amp;col=18&amp;number=1.8813&amp;sourceID=12","1.8813")</f>
        <v>1.8813</v>
      </c>
      <c r="S44" s="4" t="str">
        <f>HYPERLINK("http://141.218.60.56/~jnz1568/getInfo.php?workbook=09_01.xlsx&amp;sheet=A0&amp;row=44&amp;col=19&amp;number=&amp;sourceID=12","")</f>
        <v/>
      </c>
      <c r="T44" s="4" t="str">
        <f>HYPERLINK("http://141.218.60.56/~jnz1568/getInfo.php?workbook=09_01.xlsx&amp;sheet=A0&amp;row=44&amp;col=20&amp;number=&amp;sourceID=12","")</f>
        <v/>
      </c>
      <c r="U44" s="4" t="str">
        <f>HYPERLINK("http://141.218.60.56/~jnz1568/getInfo.php?workbook=09_01.xlsx&amp;sheet=A0&amp;row=44&amp;col=21&amp;number=1358001.881&amp;sourceID=30","1358001.881")</f>
        <v>1358001.881</v>
      </c>
      <c r="V44" s="4" t="str">
        <f>HYPERLINK("http://141.218.60.56/~jnz1568/getInfo.php?workbook=09_01.xlsx&amp;sheet=A0&amp;row=44&amp;col=22&amp;number=&amp;sourceID=30","")</f>
        <v/>
      </c>
      <c r="W44" s="4" t="str">
        <f>HYPERLINK("http://141.218.60.56/~jnz1568/getInfo.php?workbook=09_01.xlsx&amp;sheet=A0&amp;row=44&amp;col=23&amp;number=1358000&amp;sourceID=30","1358000")</f>
        <v>1358000</v>
      </c>
      <c r="X44" s="4" t="str">
        <f>HYPERLINK("http://141.218.60.56/~jnz1568/getInfo.php?workbook=09_01.xlsx&amp;sheet=A0&amp;row=44&amp;col=24&amp;number=1.881&amp;sourceID=30","1.881")</f>
        <v>1.881</v>
      </c>
      <c r="Y44" s="4" t="str">
        <f>HYPERLINK("http://141.218.60.56/~jnz1568/getInfo.php?workbook=09_01.xlsx&amp;sheet=A0&amp;row=44&amp;col=25&amp;number=&amp;sourceID=30","")</f>
        <v/>
      </c>
      <c r="Z44" s="4" t="str">
        <f>HYPERLINK("http://141.218.60.56/~jnz1568/getInfo.php?workbook=09_01.xlsx&amp;sheet=A0&amp;row=44&amp;col=26&amp;number==&amp;sourceID=13","=")</f>
        <v>=</v>
      </c>
      <c r="AA44" s="4" t="str">
        <f>HYPERLINK("http://141.218.60.56/~jnz1568/getInfo.php?workbook=09_01.xlsx&amp;sheet=A0&amp;row=44&amp;col=27&amp;number=&amp;sourceID=13","")</f>
        <v/>
      </c>
      <c r="AB44" s="4" t="str">
        <f>HYPERLINK("http://141.218.60.56/~jnz1568/getInfo.php?workbook=09_01.xlsx&amp;sheet=A0&amp;row=44&amp;col=28&amp;number=1350000&amp;sourceID=13","1350000")</f>
        <v>1350000</v>
      </c>
      <c r="AC44" s="4" t="str">
        <f>HYPERLINK("http://141.218.60.56/~jnz1568/getInfo.php?workbook=09_01.xlsx&amp;sheet=A0&amp;row=44&amp;col=29&amp;number=&amp;sourceID=13","")</f>
        <v/>
      </c>
      <c r="AD44" s="4" t="str">
        <f>HYPERLINK("http://141.218.60.56/~jnz1568/getInfo.php?workbook=09_01.xlsx&amp;sheet=A0&amp;row=44&amp;col=30&amp;number=1.93&amp;sourceID=13","1.93")</f>
        <v>1.93</v>
      </c>
      <c r="AE44" s="4" t="str">
        <f>HYPERLINK("http://141.218.60.56/~jnz1568/getInfo.php?workbook=09_01.xlsx&amp;sheet=A0&amp;row=44&amp;col=31&amp;number=&amp;sourceID=13","")</f>
        <v/>
      </c>
    </row>
    <row r="45" spans="1:31">
      <c r="A45" s="3">
        <v>9</v>
      </c>
      <c r="B45" s="3">
        <v>1</v>
      </c>
      <c r="C45" s="3">
        <v>10</v>
      </c>
      <c r="D45" s="3">
        <v>9</v>
      </c>
      <c r="E45" s="3">
        <f>((1/(INDEX(E0!J$4:J$28,C45,1)-INDEX(E0!J$4:J$28,D45,1))))*100000000</f>
        <v>0</v>
      </c>
      <c r="F45" s="4" t="str">
        <f>HYPERLINK("http://141.218.60.56/~jnz1568/getInfo.php?workbook=09_01.xlsx&amp;sheet=A0&amp;row=45&amp;col=6&amp;number=&amp;sourceID=18","")</f>
        <v/>
      </c>
      <c r="G45" s="4" t="str">
        <f>HYPERLINK("http://141.218.60.56/~jnz1568/getInfo.php?workbook=09_01.xlsx&amp;sheet=A0&amp;row=45&amp;col=7&amp;number==&amp;sourceID=11","=")</f>
        <v>=</v>
      </c>
      <c r="H45" s="4" t="str">
        <f>HYPERLINK("http://141.218.60.56/~jnz1568/getInfo.php?workbook=09_01.xlsx&amp;sheet=A0&amp;row=45&amp;col=8&amp;number=&amp;sourceID=11","")</f>
        <v/>
      </c>
      <c r="I45" s="4" t="str">
        <f>HYPERLINK("http://141.218.60.56/~jnz1568/getInfo.php?workbook=09_01.xlsx&amp;sheet=A0&amp;row=45&amp;col=9&amp;number=&amp;sourceID=11","")</f>
        <v/>
      </c>
      <c r="J45" s="4" t="str">
        <f>HYPERLINK("http://141.218.60.56/~jnz1568/getInfo.php?workbook=09_01.xlsx&amp;sheet=A0&amp;row=45&amp;col=10&amp;number=20.161&amp;sourceID=11","20.161")</f>
        <v>20.161</v>
      </c>
      <c r="K45" s="4" t="str">
        <f>HYPERLINK("http://141.218.60.56/~jnz1568/getInfo.php?workbook=09_01.xlsx&amp;sheet=A0&amp;row=45&amp;col=11&amp;number=&amp;sourceID=11","")</f>
        <v/>
      </c>
      <c r="L45" s="4" t="str">
        <f>HYPERLINK("http://141.218.60.56/~jnz1568/getInfo.php?workbook=09_01.xlsx&amp;sheet=A0&amp;row=45&amp;col=12&amp;number=2.0375&amp;sourceID=11","2.0375")</f>
        <v>2.0375</v>
      </c>
      <c r="M45" s="4" t="str">
        <f>HYPERLINK("http://141.218.60.56/~jnz1568/getInfo.php?workbook=09_01.xlsx&amp;sheet=A0&amp;row=45&amp;col=13&amp;number=&amp;sourceID=11","")</f>
        <v/>
      </c>
      <c r="N45" s="4" t="str">
        <f>HYPERLINK("http://141.218.60.56/~jnz1568/getInfo.php?workbook=09_01.xlsx&amp;sheet=A0&amp;row=45&amp;col=14&amp;number=22.199&amp;sourceID=12","22.199")</f>
        <v>22.199</v>
      </c>
      <c r="O45" s="4" t="str">
        <f>HYPERLINK("http://141.218.60.56/~jnz1568/getInfo.php?workbook=09_01.xlsx&amp;sheet=A0&amp;row=45&amp;col=15&amp;number=&amp;sourceID=12","")</f>
        <v/>
      </c>
      <c r="P45" s="4" t="str">
        <f>HYPERLINK("http://141.218.60.56/~jnz1568/getInfo.php?workbook=09_01.xlsx&amp;sheet=A0&amp;row=45&amp;col=16&amp;number=&amp;sourceID=12","")</f>
        <v/>
      </c>
      <c r="Q45" s="4" t="str">
        <f>HYPERLINK("http://141.218.60.56/~jnz1568/getInfo.php?workbook=09_01.xlsx&amp;sheet=A0&amp;row=45&amp;col=17&amp;number=20.161&amp;sourceID=12","20.161")</f>
        <v>20.161</v>
      </c>
      <c r="R45" s="4" t="str">
        <f>HYPERLINK("http://141.218.60.56/~jnz1568/getInfo.php?workbook=09_01.xlsx&amp;sheet=A0&amp;row=45&amp;col=18&amp;number=&amp;sourceID=12","")</f>
        <v/>
      </c>
      <c r="S45" s="4" t="str">
        <f>HYPERLINK("http://141.218.60.56/~jnz1568/getInfo.php?workbook=09_01.xlsx&amp;sheet=A0&amp;row=45&amp;col=19&amp;number=2.0375&amp;sourceID=12","2.0375")</f>
        <v>2.0375</v>
      </c>
      <c r="T45" s="4" t="str">
        <f>HYPERLINK("http://141.218.60.56/~jnz1568/getInfo.php?workbook=09_01.xlsx&amp;sheet=A0&amp;row=45&amp;col=20&amp;number=&amp;sourceID=12","")</f>
        <v/>
      </c>
      <c r="U45" s="4" t="str">
        <f>HYPERLINK("http://141.218.60.56/~jnz1568/getInfo.php?workbook=09_01.xlsx&amp;sheet=A0&amp;row=45&amp;col=21&amp;number=2.037&amp;sourceID=30","2.037")</f>
        <v>2.037</v>
      </c>
      <c r="V45" s="4" t="str">
        <f>HYPERLINK("http://141.218.60.56/~jnz1568/getInfo.php?workbook=09_01.xlsx&amp;sheet=A0&amp;row=45&amp;col=22&amp;number=&amp;sourceID=30","")</f>
        <v/>
      </c>
      <c r="W45" s="4" t="str">
        <f>HYPERLINK("http://141.218.60.56/~jnz1568/getInfo.php?workbook=09_01.xlsx&amp;sheet=A0&amp;row=45&amp;col=23&amp;number=&amp;sourceID=30","")</f>
        <v/>
      </c>
      <c r="X45" s="4" t="str">
        <f>HYPERLINK("http://141.218.60.56/~jnz1568/getInfo.php?workbook=09_01.xlsx&amp;sheet=A0&amp;row=45&amp;col=24&amp;number=&amp;sourceID=30","")</f>
        <v/>
      </c>
      <c r="Y45" s="4" t="str">
        <f>HYPERLINK("http://141.218.60.56/~jnz1568/getInfo.php?workbook=09_01.xlsx&amp;sheet=A0&amp;row=45&amp;col=25&amp;number=2.037&amp;sourceID=30","2.037")</f>
        <v>2.037</v>
      </c>
      <c r="Z45" s="4" t="str">
        <f>HYPERLINK("http://141.218.60.56/~jnz1568/getInfo.php?workbook=09_01.xlsx&amp;sheet=A0&amp;row=45&amp;col=26&amp;number==&amp;sourceID=13","=")</f>
        <v>=</v>
      </c>
      <c r="AA45" s="4" t="str">
        <f>HYPERLINK("http://141.218.60.56/~jnz1568/getInfo.php?workbook=09_01.xlsx&amp;sheet=A0&amp;row=45&amp;col=27&amp;number=&amp;sourceID=13","")</f>
        <v/>
      </c>
      <c r="AB45" s="4" t="str">
        <f>HYPERLINK("http://141.218.60.56/~jnz1568/getInfo.php?workbook=09_01.xlsx&amp;sheet=A0&amp;row=45&amp;col=28&amp;number=&amp;sourceID=13","")</f>
        <v/>
      </c>
      <c r="AC45" s="4" t="str">
        <f>HYPERLINK("http://141.218.60.56/~jnz1568/getInfo.php?workbook=09_01.xlsx&amp;sheet=A0&amp;row=45&amp;col=29&amp;number=31.3&amp;sourceID=13","31.3")</f>
        <v>31.3</v>
      </c>
      <c r="AD45" s="4" t="str">
        <f>HYPERLINK("http://141.218.60.56/~jnz1568/getInfo.php?workbook=09_01.xlsx&amp;sheet=A0&amp;row=45&amp;col=30&amp;number=&amp;sourceID=13","")</f>
        <v/>
      </c>
      <c r="AE45" s="4" t="str">
        <f>HYPERLINK("http://141.218.60.56/~jnz1568/getInfo.php?workbook=09_01.xlsx&amp;sheet=A0&amp;row=45&amp;col=31&amp;number=8.09&amp;sourceID=13","8.09")</f>
        <v>8.09</v>
      </c>
    </row>
    <row r="46" spans="1:31">
      <c r="A46" s="3">
        <v>9</v>
      </c>
      <c r="B46" s="3">
        <v>1</v>
      </c>
      <c r="C46" s="3">
        <v>11</v>
      </c>
      <c r="D46" s="3">
        <v>1</v>
      </c>
      <c r="E46" s="3">
        <f>((1/(INDEX(E0!J$4:J$28,C46,1)-INDEX(E0!J$4:J$28,D46,1))))*100000000</f>
        <v>0</v>
      </c>
      <c r="F46" s="4" t="str">
        <f>HYPERLINK("http://141.218.60.56/~jnz1568/getInfo.php?workbook=09_01.xlsx&amp;sheet=A0&amp;row=46&amp;col=6&amp;number=&amp;sourceID=18","")</f>
        <v/>
      </c>
      <c r="G46" s="4" t="str">
        <f>HYPERLINK("http://141.218.60.56/~jnz1568/getInfo.php?workbook=09_01.xlsx&amp;sheet=A0&amp;row=46&amp;col=7&amp;number==&amp;sourceID=11","=")</f>
        <v>=</v>
      </c>
      <c r="H46" s="4" t="str">
        <f>HYPERLINK("http://141.218.60.56/~jnz1568/getInfo.php?workbook=09_01.xlsx&amp;sheet=A0&amp;row=46&amp;col=8&amp;number=&amp;sourceID=11","")</f>
        <v/>
      </c>
      <c r="I46" s="4" t="str">
        <f>HYPERLINK("http://141.218.60.56/~jnz1568/getInfo.php?workbook=09_01.xlsx&amp;sheet=A0&amp;row=46&amp;col=9&amp;number=&amp;sourceID=11","")</f>
        <v/>
      </c>
      <c r="J46" s="4" t="str">
        <f>HYPERLINK("http://141.218.60.56/~jnz1568/getInfo.php?workbook=09_01.xlsx&amp;sheet=A0&amp;row=46&amp;col=10&amp;number=&amp;sourceID=11","")</f>
        <v/>
      </c>
      <c r="K46" s="4" t="str">
        <f>HYPERLINK("http://141.218.60.56/~jnz1568/getInfo.php?workbook=09_01.xlsx&amp;sheet=A0&amp;row=46&amp;col=11&amp;number=1856.8&amp;sourceID=11","1856.8")</f>
        <v>1856.8</v>
      </c>
      <c r="L46" s="4" t="str">
        <f>HYPERLINK("http://141.218.60.56/~jnz1568/getInfo.php?workbook=09_01.xlsx&amp;sheet=A0&amp;row=46&amp;col=12&amp;number=&amp;sourceID=11","")</f>
        <v/>
      </c>
      <c r="M46" s="4" t="str">
        <f>HYPERLINK("http://141.218.60.56/~jnz1568/getInfo.php?workbook=09_01.xlsx&amp;sheet=A0&amp;row=46&amp;col=13&amp;number=&amp;sourceID=11","")</f>
        <v/>
      </c>
      <c r="N46" s="4" t="str">
        <f>HYPERLINK("http://141.218.60.56/~jnz1568/getInfo.php?workbook=09_01.xlsx&amp;sheet=A0&amp;row=46&amp;col=14&amp;number=1856.8&amp;sourceID=12","1856.8")</f>
        <v>1856.8</v>
      </c>
      <c r="O46" s="4" t="str">
        <f>HYPERLINK("http://141.218.60.56/~jnz1568/getInfo.php?workbook=09_01.xlsx&amp;sheet=A0&amp;row=46&amp;col=15&amp;number=&amp;sourceID=12","")</f>
        <v/>
      </c>
      <c r="P46" s="4" t="str">
        <f>HYPERLINK("http://141.218.60.56/~jnz1568/getInfo.php?workbook=09_01.xlsx&amp;sheet=A0&amp;row=46&amp;col=16&amp;number=&amp;sourceID=12","")</f>
        <v/>
      </c>
      <c r="Q46" s="4" t="str">
        <f>HYPERLINK("http://141.218.60.56/~jnz1568/getInfo.php?workbook=09_01.xlsx&amp;sheet=A0&amp;row=46&amp;col=17&amp;number=&amp;sourceID=12","")</f>
        <v/>
      </c>
      <c r="R46" s="4" t="str">
        <f>HYPERLINK("http://141.218.60.56/~jnz1568/getInfo.php?workbook=09_01.xlsx&amp;sheet=A0&amp;row=46&amp;col=18&amp;number=1856.8&amp;sourceID=12","1856.8")</f>
        <v>1856.8</v>
      </c>
      <c r="S46" s="4" t="str">
        <f>HYPERLINK("http://141.218.60.56/~jnz1568/getInfo.php?workbook=09_01.xlsx&amp;sheet=A0&amp;row=46&amp;col=19&amp;number=&amp;sourceID=12","")</f>
        <v/>
      </c>
      <c r="T46" s="4" t="str">
        <f>HYPERLINK("http://141.218.60.56/~jnz1568/getInfo.php?workbook=09_01.xlsx&amp;sheet=A0&amp;row=46&amp;col=20&amp;number=&amp;sourceID=12","")</f>
        <v/>
      </c>
      <c r="U46" s="4" t="str">
        <f>HYPERLINK("http://141.218.60.56/~jnz1568/getInfo.php?workbook=09_01.xlsx&amp;sheet=A0&amp;row=46&amp;col=21&amp;number=1857&amp;sourceID=30","1857")</f>
        <v>1857</v>
      </c>
      <c r="V46" s="4" t="str">
        <f>HYPERLINK("http://141.218.60.56/~jnz1568/getInfo.php?workbook=09_01.xlsx&amp;sheet=A0&amp;row=46&amp;col=22&amp;number=&amp;sourceID=30","")</f>
        <v/>
      </c>
      <c r="W46" s="4" t="str">
        <f>HYPERLINK("http://141.218.60.56/~jnz1568/getInfo.php?workbook=09_01.xlsx&amp;sheet=A0&amp;row=46&amp;col=23&amp;number=&amp;sourceID=30","")</f>
        <v/>
      </c>
      <c r="X46" s="4" t="str">
        <f>HYPERLINK("http://141.218.60.56/~jnz1568/getInfo.php?workbook=09_01.xlsx&amp;sheet=A0&amp;row=46&amp;col=24&amp;number=1857&amp;sourceID=30","1857")</f>
        <v>1857</v>
      </c>
      <c r="Y46" s="4" t="str">
        <f>HYPERLINK("http://141.218.60.56/~jnz1568/getInfo.php?workbook=09_01.xlsx&amp;sheet=A0&amp;row=46&amp;col=25&amp;number=&amp;sourceID=30","")</f>
        <v/>
      </c>
      <c r="Z46" s="4" t="str">
        <f>HYPERLINK("http://141.218.60.56/~jnz1568/getInfo.php?workbook=09_01.xlsx&amp;sheet=A0&amp;row=46&amp;col=26&amp;number==&amp;sourceID=13","=")</f>
        <v>=</v>
      </c>
      <c r="AA46" s="4" t="str">
        <f>HYPERLINK("http://141.218.60.56/~jnz1568/getInfo.php?workbook=09_01.xlsx&amp;sheet=A0&amp;row=46&amp;col=27&amp;number=&amp;sourceID=13","")</f>
        <v/>
      </c>
      <c r="AB46" s="4" t="str">
        <f>HYPERLINK("http://141.218.60.56/~jnz1568/getInfo.php?workbook=09_01.xlsx&amp;sheet=A0&amp;row=46&amp;col=28&amp;number=&amp;sourceID=13","")</f>
        <v/>
      </c>
      <c r="AC46" s="4" t="str">
        <f>HYPERLINK("http://141.218.60.56/~jnz1568/getInfo.php?workbook=09_01.xlsx&amp;sheet=A0&amp;row=46&amp;col=29&amp;number=&amp;sourceID=13","")</f>
        <v/>
      </c>
      <c r="AD46" s="4" t="str">
        <f>HYPERLINK("http://141.218.60.56/~jnz1568/getInfo.php?workbook=09_01.xlsx&amp;sheet=A0&amp;row=46&amp;col=30&amp;number=2160&amp;sourceID=13","2160")</f>
        <v>2160</v>
      </c>
      <c r="AE46" s="4" t="str">
        <f>HYPERLINK("http://141.218.60.56/~jnz1568/getInfo.php?workbook=09_01.xlsx&amp;sheet=A0&amp;row=46&amp;col=31&amp;number=&amp;sourceID=13","")</f>
        <v/>
      </c>
    </row>
    <row r="47" spans="1:31">
      <c r="A47" s="3">
        <v>9</v>
      </c>
      <c r="B47" s="3">
        <v>1</v>
      </c>
      <c r="C47" s="3">
        <v>11</v>
      </c>
      <c r="D47" s="3">
        <v>2</v>
      </c>
      <c r="E47" s="3">
        <f>((1/(INDEX(E0!J$4:J$28,C47,1)-INDEX(E0!J$4:J$28,D47,1))))*100000000</f>
        <v>0</v>
      </c>
      <c r="F47" s="4" t="str">
        <f>HYPERLINK("http://141.218.60.56/~jnz1568/getInfo.php?workbook=09_01.xlsx&amp;sheet=A0&amp;row=47&amp;col=6&amp;number=&amp;sourceID=18","")</f>
        <v/>
      </c>
      <c r="G47" s="4" t="str">
        <f>HYPERLINK("http://141.218.60.56/~jnz1568/getInfo.php?workbook=09_01.xlsx&amp;sheet=A0&amp;row=47&amp;col=7&amp;number==&amp;sourceID=11","=")</f>
        <v>=</v>
      </c>
      <c r="H47" s="4" t="str">
        <f>HYPERLINK("http://141.218.60.56/~jnz1568/getInfo.php?workbook=09_01.xlsx&amp;sheet=A0&amp;row=47&amp;col=8&amp;number=5656100000&amp;sourceID=11","5656100000")</f>
        <v>5656100000</v>
      </c>
      <c r="I47" s="4" t="str">
        <f>HYPERLINK("http://141.218.60.56/~jnz1568/getInfo.php?workbook=09_01.xlsx&amp;sheet=A0&amp;row=47&amp;col=9&amp;number=&amp;sourceID=11","")</f>
        <v/>
      </c>
      <c r="J47" s="4" t="str">
        <f>HYPERLINK("http://141.218.60.56/~jnz1568/getInfo.php?workbook=09_01.xlsx&amp;sheet=A0&amp;row=47&amp;col=10&amp;number=&amp;sourceID=11","")</f>
        <v/>
      </c>
      <c r="K47" s="4" t="str">
        <f>HYPERLINK("http://141.218.60.56/~jnz1568/getInfo.php?workbook=09_01.xlsx&amp;sheet=A0&amp;row=47&amp;col=11&amp;number=&amp;sourceID=11","")</f>
        <v/>
      </c>
      <c r="L47" s="4" t="str">
        <f>HYPERLINK("http://141.218.60.56/~jnz1568/getInfo.php?workbook=09_01.xlsx&amp;sheet=A0&amp;row=47&amp;col=12&amp;number=&amp;sourceID=11","")</f>
        <v/>
      </c>
      <c r="M47" s="4" t="str">
        <f>HYPERLINK("http://141.218.60.56/~jnz1568/getInfo.php?workbook=09_01.xlsx&amp;sheet=A0&amp;row=47&amp;col=13&amp;number=&amp;sourceID=11","")</f>
        <v/>
      </c>
      <c r="N47" s="4" t="str">
        <f>HYPERLINK("http://141.218.60.56/~jnz1568/getInfo.php?workbook=09_01.xlsx&amp;sheet=A0&amp;row=47&amp;col=14&amp;number=5656300000&amp;sourceID=12","5656300000")</f>
        <v>5656300000</v>
      </c>
      <c r="O47" s="4" t="str">
        <f>HYPERLINK("http://141.218.60.56/~jnz1568/getInfo.php?workbook=09_01.xlsx&amp;sheet=A0&amp;row=47&amp;col=15&amp;number=5656300000&amp;sourceID=12","5656300000")</f>
        <v>5656300000</v>
      </c>
      <c r="P47" s="4" t="str">
        <f>HYPERLINK("http://141.218.60.56/~jnz1568/getInfo.php?workbook=09_01.xlsx&amp;sheet=A0&amp;row=47&amp;col=16&amp;number=&amp;sourceID=12","")</f>
        <v/>
      </c>
      <c r="Q47" s="4" t="str">
        <f>HYPERLINK("http://141.218.60.56/~jnz1568/getInfo.php?workbook=09_01.xlsx&amp;sheet=A0&amp;row=47&amp;col=17&amp;number=&amp;sourceID=12","")</f>
        <v/>
      </c>
      <c r="R47" s="4" t="str">
        <f>HYPERLINK("http://141.218.60.56/~jnz1568/getInfo.php?workbook=09_01.xlsx&amp;sheet=A0&amp;row=47&amp;col=18&amp;number=&amp;sourceID=12","")</f>
        <v/>
      </c>
      <c r="S47" s="4" t="str">
        <f>HYPERLINK("http://141.218.60.56/~jnz1568/getInfo.php?workbook=09_01.xlsx&amp;sheet=A0&amp;row=47&amp;col=19&amp;number=&amp;sourceID=12","")</f>
        <v/>
      </c>
      <c r="T47" s="4" t="str">
        <f>HYPERLINK("http://141.218.60.56/~jnz1568/getInfo.php?workbook=09_01.xlsx&amp;sheet=A0&amp;row=47&amp;col=20&amp;number=&amp;sourceID=12","")</f>
        <v/>
      </c>
      <c r="U47" s="4" t="str">
        <f>HYPERLINK("http://141.218.60.56/~jnz1568/getInfo.php?workbook=09_01.xlsx&amp;sheet=A0&amp;row=47&amp;col=21&amp;number=5656000000&amp;sourceID=30","5656000000")</f>
        <v>5656000000</v>
      </c>
      <c r="V47" s="4" t="str">
        <f>HYPERLINK("http://141.218.60.56/~jnz1568/getInfo.php?workbook=09_01.xlsx&amp;sheet=A0&amp;row=47&amp;col=22&amp;number=5656000000&amp;sourceID=30","5656000000")</f>
        <v>5656000000</v>
      </c>
      <c r="W47" s="4" t="str">
        <f>HYPERLINK("http://141.218.60.56/~jnz1568/getInfo.php?workbook=09_01.xlsx&amp;sheet=A0&amp;row=47&amp;col=23&amp;number=&amp;sourceID=30","")</f>
        <v/>
      </c>
      <c r="X47" s="4" t="str">
        <f>HYPERLINK("http://141.218.60.56/~jnz1568/getInfo.php?workbook=09_01.xlsx&amp;sheet=A0&amp;row=47&amp;col=24&amp;number=&amp;sourceID=30","")</f>
        <v/>
      </c>
      <c r="Y47" s="4" t="str">
        <f>HYPERLINK("http://141.218.60.56/~jnz1568/getInfo.php?workbook=09_01.xlsx&amp;sheet=A0&amp;row=47&amp;col=25&amp;number=&amp;sourceID=30","")</f>
        <v/>
      </c>
      <c r="Z47" s="4" t="str">
        <f>HYPERLINK("http://141.218.60.56/~jnz1568/getInfo.php?workbook=09_01.xlsx&amp;sheet=A0&amp;row=47&amp;col=26&amp;number==&amp;sourceID=13","=")</f>
        <v>=</v>
      </c>
      <c r="AA47" s="4" t="str">
        <f>HYPERLINK("http://141.218.60.56/~jnz1568/getInfo.php?workbook=09_01.xlsx&amp;sheet=A0&amp;row=47&amp;col=27&amp;number=5360000000&amp;sourceID=13","5360000000")</f>
        <v>5360000000</v>
      </c>
      <c r="AB47" s="4" t="str">
        <f>HYPERLINK("http://141.218.60.56/~jnz1568/getInfo.php?workbook=09_01.xlsx&amp;sheet=A0&amp;row=47&amp;col=28&amp;number=&amp;sourceID=13","")</f>
        <v/>
      </c>
      <c r="AC47" s="4" t="str">
        <f>HYPERLINK("http://141.218.60.56/~jnz1568/getInfo.php?workbook=09_01.xlsx&amp;sheet=A0&amp;row=47&amp;col=29&amp;number=&amp;sourceID=13","")</f>
        <v/>
      </c>
      <c r="AD47" s="4" t="str">
        <f>HYPERLINK("http://141.218.60.56/~jnz1568/getInfo.php?workbook=09_01.xlsx&amp;sheet=A0&amp;row=47&amp;col=30&amp;number=&amp;sourceID=13","")</f>
        <v/>
      </c>
      <c r="AE47" s="4" t="str">
        <f>HYPERLINK("http://141.218.60.56/~jnz1568/getInfo.php?workbook=09_01.xlsx&amp;sheet=A0&amp;row=47&amp;col=31&amp;number=&amp;sourceID=13","")</f>
        <v/>
      </c>
    </row>
    <row r="48" spans="1:31">
      <c r="A48" s="3">
        <v>9</v>
      </c>
      <c r="B48" s="3">
        <v>1</v>
      </c>
      <c r="C48" s="3">
        <v>11</v>
      </c>
      <c r="D48" s="3">
        <v>3</v>
      </c>
      <c r="E48" s="3">
        <f>((1/(INDEX(E0!J$4:J$28,C48,1)-INDEX(E0!J$4:J$28,D48,1))))*100000000</f>
        <v>0</v>
      </c>
      <c r="F48" s="4" t="str">
        <f>HYPERLINK("http://141.218.60.56/~jnz1568/getInfo.php?workbook=09_01.xlsx&amp;sheet=A0&amp;row=48&amp;col=6&amp;number=&amp;sourceID=18","")</f>
        <v/>
      </c>
      <c r="G48" s="4" t="str">
        <f>HYPERLINK("http://141.218.60.56/~jnz1568/getInfo.php?workbook=09_01.xlsx&amp;sheet=A0&amp;row=48&amp;col=7&amp;number==&amp;sourceID=11","=")</f>
        <v>=</v>
      </c>
      <c r="H48" s="4" t="str">
        <f>HYPERLINK("http://141.218.60.56/~jnz1568/getInfo.php?workbook=09_01.xlsx&amp;sheet=A0&amp;row=48&amp;col=8&amp;number=&amp;sourceID=11","")</f>
        <v/>
      </c>
      <c r="I48" s="4" t="str">
        <f>HYPERLINK("http://141.218.60.56/~jnz1568/getInfo.php?workbook=09_01.xlsx&amp;sheet=A0&amp;row=48&amp;col=9&amp;number=&amp;sourceID=11","")</f>
        <v/>
      </c>
      <c r="J48" s="4" t="str">
        <f>HYPERLINK("http://141.218.60.56/~jnz1568/getInfo.php?workbook=09_01.xlsx&amp;sheet=A0&amp;row=48&amp;col=10&amp;number=&amp;sourceID=11","")</f>
        <v/>
      </c>
      <c r="K48" s="4" t="str">
        <f>HYPERLINK("http://141.218.60.56/~jnz1568/getInfo.php?workbook=09_01.xlsx&amp;sheet=A0&amp;row=48&amp;col=11&amp;number=5.6777&amp;sourceID=11","5.6777")</f>
        <v>5.6777</v>
      </c>
      <c r="L48" s="4" t="str">
        <f>HYPERLINK("http://141.218.60.56/~jnz1568/getInfo.php?workbook=09_01.xlsx&amp;sheet=A0&amp;row=48&amp;col=12&amp;number=&amp;sourceID=11","")</f>
        <v/>
      </c>
      <c r="M48" s="4" t="str">
        <f>HYPERLINK("http://141.218.60.56/~jnz1568/getInfo.php?workbook=09_01.xlsx&amp;sheet=A0&amp;row=48&amp;col=13&amp;number=&amp;sourceID=11","")</f>
        <v/>
      </c>
      <c r="N48" s="4" t="str">
        <f>HYPERLINK("http://141.218.60.56/~jnz1568/getInfo.php?workbook=09_01.xlsx&amp;sheet=A0&amp;row=48&amp;col=14&amp;number=5.6779&amp;sourceID=12","5.6779")</f>
        <v>5.6779</v>
      </c>
      <c r="O48" s="4" t="str">
        <f>HYPERLINK("http://141.218.60.56/~jnz1568/getInfo.php?workbook=09_01.xlsx&amp;sheet=A0&amp;row=48&amp;col=15&amp;number=&amp;sourceID=12","")</f>
        <v/>
      </c>
      <c r="P48" s="4" t="str">
        <f>HYPERLINK("http://141.218.60.56/~jnz1568/getInfo.php?workbook=09_01.xlsx&amp;sheet=A0&amp;row=48&amp;col=16&amp;number=&amp;sourceID=12","")</f>
        <v/>
      </c>
      <c r="Q48" s="4" t="str">
        <f>HYPERLINK("http://141.218.60.56/~jnz1568/getInfo.php?workbook=09_01.xlsx&amp;sheet=A0&amp;row=48&amp;col=17&amp;number=&amp;sourceID=12","")</f>
        <v/>
      </c>
      <c r="R48" s="4" t="str">
        <f>HYPERLINK("http://141.218.60.56/~jnz1568/getInfo.php?workbook=09_01.xlsx&amp;sheet=A0&amp;row=48&amp;col=18&amp;number=5.6779&amp;sourceID=12","5.6779")</f>
        <v>5.6779</v>
      </c>
      <c r="S48" s="4" t="str">
        <f>HYPERLINK("http://141.218.60.56/~jnz1568/getInfo.php?workbook=09_01.xlsx&amp;sheet=A0&amp;row=48&amp;col=19&amp;number=&amp;sourceID=12","")</f>
        <v/>
      </c>
      <c r="T48" s="4" t="str">
        <f>HYPERLINK("http://141.218.60.56/~jnz1568/getInfo.php?workbook=09_01.xlsx&amp;sheet=A0&amp;row=48&amp;col=20&amp;number=&amp;sourceID=12","")</f>
        <v/>
      </c>
      <c r="U48" s="4" t="str">
        <f>HYPERLINK("http://141.218.60.56/~jnz1568/getInfo.php?workbook=09_01.xlsx&amp;sheet=A0&amp;row=48&amp;col=21&amp;number=5.677&amp;sourceID=30","5.677")</f>
        <v>5.677</v>
      </c>
      <c r="V48" s="4" t="str">
        <f>HYPERLINK("http://141.218.60.56/~jnz1568/getInfo.php?workbook=09_01.xlsx&amp;sheet=A0&amp;row=48&amp;col=22&amp;number=&amp;sourceID=30","")</f>
        <v/>
      </c>
      <c r="W48" s="4" t="str">
        <f>HYPERLINK("http://141.218.60.56/~jnz1568/getInfo.php?workbook=09_01.xlsx&amp;sheet=A0&amp;row=48&amp;col=23&amp;number=&amp;sourceID=30","")</f>
        <v/>
      </c>
      <c r="X48" s="4" t="str">
        <f>HYPERLINK("http://141.218.60.56/~jnz1568/getInfo.php?workbook=09_01.xlsx&amp;sheet=A0&amp;row=48&amp;col=24&amp;number=5.677&amp;sourceID=30","5.677")</f>
        <v>5.677</v>
      </c>
      <c r="Y48" s="4" t="str">
        <f>HYPERLINK("http://141.218.60.56/~jnz1568/getInfo.php?workbook=09_01.xlsx&amp;sheet=A0&amp;row=48&amp;col=25&amp;number=&amp;sourceID=30","")</f>
        <v/>
      </c>
      <c r="Z48" s="4" t="str">
        <f>HYPERLINK("http://141.218.60.56/~jnz1568/getInfo.php?workbook=09_01.xlsx&amp;sheet=A0&amp;row=48&amp;col=26&amp;number==&amp;sourceID=13","=")</f>
        <v>=</v>
      </c>
      <c r="AA48" s="4" t="str">
        <f>HYPERLINK("http://141.218.60.56/~jnz1568/getInfo.php?workbook=09_01.xlsx&amp;sheet=A0&amp;row=48&amp;col=27&amp;number=&amp;sourceID=13","")</f>
        <v/>
      </c>
      <c r="AB48" s="4" t="str">
        <f>HYPERLINK("http://141.218.60.56/~jnz1568/getInfo.php?workbook=09_01.xlsx&amp;sheet=A0&amp;row=48&amp;col=28&amp;number=&amp;sourceID=13","")</f>
        <v/>
      </c>
      <c r="AC48" s="4" t="str">
        <f>HYPERLINK("http://141.218.60.56/~jnz1568/getInfo.php?workbook=09_01.xlsx&amp;sheet=A0&amp;row=48&amp;col=29&amp;number=&amp;sourceID=13","")</f>
        <v/>
      </c>
      <c r="AD48" s="4" t="str">
        <f>HYPERLINK("http://141.218.60.56/~jnz1568/getInfo.php?workbook=09_01.xlsx&amp;sheet=A0&amp;row=48&amp;col=30&amp;number=5.74&amp;sourceID=13","5.74")</f>
        <v>5.74</v>
      </c>
      <c r="AE48" s="4" t="str">
        <f>HYPERLINK("http://141.218.60.56/~jnz1568/getInfo.php?workbook=09_01.xlsx&amp;sheet=A0&amp;row=48&amp;col=31&amp;number=&amp;sourceID=13","")</f>
        <v/>
      </c>
    </row>
    <row r="49" spans="1:31">
      <c r="A49" s="3">
        <v>9</v>
      </c>
      <c r="B49" s="3">
        <v>1</v>
      </c>
      <c r="C49" s="3">
        <v>11</v>
      </c>
      <c r="D49" s="3">
        <v>4</v>
      </c>
      <c r="E49" s="3">
        <f>((1/(INDEX(E0!J$4:J$28,C49,1)-INDEX(E0!J$4:J$28,D49,1))))*100000000</f>
        <v>0</v>
      </c>
      <c r="F49" s="4" t="str">
        <f>HYPERLINK("http://141.218.60.56/~jnz1568/getInfo.php?workbook=09_01.xlsx&amp;sheet=A0&amp;row=49&amp;col=6&amp;number=&amp;sourceID=18","")</f>
        <v/>
      </c>
      <c r="G49" s="4" t="str">
        <f>HYPERLINK("http://141.218.60.56/~jnz1568/getInfo.php?workbook=09_01.xlsx&amp;sheet=A0&amp;row=49&amp;col=7&amp;number==&amp;sourceID=11","=")</f>
        <v>=</v>
      </c>
      <c r="H49" s="4" t="str">
        <f>HYPERLINK("http://141.218.60.56/~jnz1568/getInfo.php?workbook=09_01.xlsx&amp;sheet=A0&amp;row=49&amp;col=8&amp;number=11408000000&amp;sourceID=11","11408000000")</f>
        <v>11408000000</v>
      </c>
      <c r="I49" s="4" t="str">
        <f>HYPERLINK("http://141.218.60.56/~jnz1568/getInfo.php?workbook=09_01.xlsx&amp;sheet=A0&amp;row=49&amp;col=9&amp;number=&amp;sourceID=11","")</f>
        <v/>
      </c>
      <c r="J49" s="4" t="str">
        <f>HYPERLINK("http://141.218.60.56/~jnz1568/getInfo.php?workbook=09_01.xlsx&amp;sheet=A0&amp;row=49&amp;col=10&amp;number=&amp;sourceID=11","")</f>
        <v/>
      </c>
      <c r="K49" s="4" t="str">
        <f>HYPERLINK("http://141.218.60.56/~jnz1568/getInfo.php?workbook=09_01.xlsx&amp;sheet=A0&amp;row=49&amp;col=11&amp;number=&amp;sourceID=11","")</f>
        <v/>
      </c>
      <c r="L49" s="4" t="str">
        <f>HYPERLINK("http://141.218.60.56/~jnz1568/getInfo.php?workbook=09_01.xlsx&amp;sheet=A0&amp;row=49&amp;col=12&amp;number=350.13&amp;sourceID=11","350.13")</f>
        <v>350.13</v>
      </c>
      <c r="M49" s="4" t="str">
        <f>HYPERLINK("http://141.218.60.56/~jnz1568/getInfo.php?workbook=09_01.xlsx&amp;sheet=A0&amp;row=49&amp;col=13&amp;number=&amp;sourceID=11","")</f>
        <v/>
      </c>
      <c r="N49" s="4" t="str">
        <f>HYPERLINK("http://141.218.60.56/~jnz1568/getInfo.php?workbook=09_01.xlsx&amp;sheet=A0&amp;row=49&amp;col=14&amp;number=11408000000&amp;sourceID=12","11408000000")</f>
        <v>11408000000</v>
      </c>
      <c r="O49" s="4" t="str">
        <f>HYPERLINK("http://141.218.60.56/~jnz1568/getInfo.php?workbook=09_01.xlsx&amp;sheet=A0&amp;row=49&amp;col=15&amp;number=11408000000&amp;sourceID=12","11408000000")</f>
        <v>11408000000</v>
      </c>
      <c r="P49" s="4" t="str">
        <f>HYPERLINK("http://141.218.60.56/~jnz1568/getInfo.php?workbook=09_01.xlsx&amp;sheet=A0&amp;row=49&amp;col=16&amp;number=&amp;sourceID=12","")</f>
        <v/>
      </c>
      <c r="Q49" s="4" t="str">
        <f>HYPERLINK("http://141.218.60.56/~jnz1568/getInfo.php?workbook=09_01.xlsx&amp;sheet=A0&amp;row=49&amp;col=17&amp;number=&amp;sourceID=12","")</f>
        <v/>
      </c>
      <c r="R49" s="4" t="str">
        <f>HYPERLINK("http://141.218.60.56/~jnz1568/getInfo.php?workbook=09_01.xlsx&amp;sheet=A0&amp;row=49&amp;col=18&amp;number=&amp;sourceID=12","")</f>
        <v/>
      </c>
      <c r="S49" s="4" t="str">
        <f>HYPERLINK("http://141.218.60.56/~jnz1568/getInfo.php?workbook=09_01.xlsx&amp;sheet=A0&amp;row=49&amp;col=19&amp;number=350.14&amp;sourceID=12","350.14")</f>
        <v>350.14</v>
      </c>
      <c r="T49" s="4" t="str">
        <f>HYPERLINK("http://141.218.60.56/~jnz1568/getInfo.php?workbook=09_01.xlsx&amp;sheet=A0&amp;row=49&amp;col=20&amp;number=&amp;sourceID=12","")</f>
        <v/>
      </c>
      <c r="U49" s="4" t="str">
        <f>HYPERLINK("http://141.218.60.56/~jnz1568/getInfo.php?workbook=09_01.xlsx&amp;sheet=A0&amp;row=49&amp;col=21&amp;number=11410000350.1&amp;sourceID=30","11410000350.1")</f>
        <v>11410000350.1</v>
      </c>
      <c r="V49" s="4" t="str">
        <f>HYPERLINK("http://141.218.60.56/~jnz1568/getInfo.php?workbook=09_01.xlsx&amp;sheet=A0&amp;row=49&amp;col=22&amp;number=11410000000&amp;sourceID=30","11410000000")</f>
        <v>11410000000</v>
      </c>
      <c r="W49" s="4" t="str">
        <f>HYPERLINK("http://141.218.60.56/~jnz1568/getInfo.php?workbook=09_01.xlsx&amp;sheet=A0&amp;row=49&amp;col=23&amp;number=&amp;sourceID=30","")</f>
        <v/>
      </c>
      <c r="X49" s="4" t="str">
        <f>HYPERLINK("http://141.218.60.56/~jnz1568/getInfo.php?workbook=09_01.xlsx&amp;sheet=A0&amp;row=49&amp;col=24&amp;number=&amp;sourceID=30","")</f>
        <v/>
      </c>
      <c r="Y49" s="4" t="str">
        <f>HYPERLINK("http://141.218.60.56/~jnz1568/getInfo.php?workbook=09_01.xlsx&amp;sheet=A0&amp;row=49&amp;col=25&amp;number=350.1&amp;sourceID=30","350.1")</f>
        <v>350.1</v>
      </c>
      <c r="Z49" s="4" t="str">
        <f>HYPERLINK("http://141.218.60.56/~jnz1568/getInfo.php?workbook=09_01.xlsx&amp;sheet=A0&amp;row=49&amp;col=26&amp;number==&amp;sourceID=13","=")</f>
        <v>=</v>
      </c>
      <c r="AA49" s="4" t="str">
        <f>HYPERLINK("http://141.218.60.56/~jnz1568/getInfo.php?workbook=09_01.xlsx&amp;sheet=A0&amp;row=49&amp;col=27&amp;number=11200000000&amp;sourceID=13","11200000000")</f>
        <v>11200000000</v>
      </c>
      <c r="AB49" s="4" t="str">
        <f>HYPERLINK("http://141.218.60.56/~jnz1568/getInfo.php?workbook=09_01.xlsx&amp;sheet=A0&amp;row=49&amp;col=28&amp;number=&amp;sourceID=13","")</f>
        <v/>
      </c>
      <c r="AC49" s="4" t="str">
        <f>HYPERLINK("http://141.218.60.56/~jnz1568/getInfo.php?workbook=09_01.xlsx&amp;sheet=A0&amp;row=49&amp;col=29&amp;number=&amp;sourceID=13","")</f>
        <v/>
      </c>
      <c r="AD49" s="4" t="str">
        <f>HYPERLINK("http://141.218.60.56/~jnz1568/getInfo.php?workbook=09_01.xlsx&amp;sheet=A0&amp;row=49&amp;col=30&amp;number=&amp;sourceID=13","")</f>
        <v/>
      </c>
      <c r="AE49" s="4" t="str">
        <f>HYPERLINK("http://141.218.60.56/~jnz1568/getInfo.php?workbook=09_01.xlsx&amp;sheet=A0&amp;row=49&amp;col=31&amp;number=&amp;sourceID=13","")</f>
        <v/>
      </c>
    </row>
    <row r="50" spans="1:31">
      <c r="A50" s="3">
        <v>9</v>
      </c>
      <c r="B50" s="3">
        <v>1</v>
      </c>
      <c r="C50" s="3">
        <v>11</v>
      </c>
      <c r="D50" s="3">
        <v>5</v>
      </c>
      <c r="E50" s="3">
        <f>((1/(INDEX(E0!J$4:J$28,C50,1)-INDEX(E0!J$4:J$28,D50,1))))*100000000</f>
        <v>0</v>
      </c>
      <c r="F50" s="4" t="str">
        <f>HYPERLINK("http://141.218.60.56/~jnz1568/getInfo.php?workbook=09_01.xlsx&amp;sheet=A0&amp;row=50&amp;col=6&amp;number=&amp;sourceID=18","")</f>
        <v/>
      </c>
      <c r="G50" s="4" t="str">
        <f>HYPERLINK("http://141.218.60.56/~jnz1568/getInfo.php?workbook=09_01.xlsx&amp;sheet=A0&amp;row=50&amp;col=7&amp;number==&amp;sourceID=11","=")</f>
        <v>=</v>
      </c>
      <c r="H50" s="4" t="str">
        <f>HYPERLINK("http://141.218.60.56/~jnz1568/getInfo.php?workbook=09_01.xlsx&amp;sheet=A0&amp;row=50&amp;col=8&amp;number=4024900000&amp;sourceID=11","4024900000")</f>
        <v>4024900000</v>
      </c>
      <c r="I50" s="4" t="str">
        <f>HYPERLINK("http://141.218.60.56/~jnz1568/getInfo.php?workbook=09_01.xlsx&amp;sheet=A0&amp;row=50&amp;col=9&amp;number=&amp;sourceID=11","")</f>
        <v/>
      </c>
      <c r="J50" s="4" t="str">
        <f>HYPERLINK("http://141.218.60.56/~jnz1568/getInfo.php?workbook=09_01.xlsx&amp;sheet=A0&amp;row=50&amp;col=10&amp;number=&amp;sourceID=11","")</f>
        <v/>
      </c>
      <c r="K50" s="4" t="str">
        <f>HYPERLINK("http://141.218.60.56/~jnz1568/getInfo.php?workbook=09_01.xlsx&amp;sheet=A0&amp;row=50&amp;col=11&amp;number=&amp;sourceID=11","")</f>
        <v/>
      </c>
      <c r="L50" s="4" t="str">
        <f>HYPERLINK("http://141.218.60.56/~jnz1568/getInfo.php?workbook=09_01.xlsx&amp;sheet=A0&amp;row=50&amp;col=12&amp;number=&amp;sourceID=11","")</f>
        <v/>
      </c>
      <c r="M50" s="4" t="str">
        <f>HYPERLINK("http://141.218.60.56/~jnz1568/getInfo.php?workbook=09_01.xlsx&amp;sheet=A0&amp;row=50&amp;col=13&amp;number=&amp;sourceID=11","")</f>
        <v/>
      </c>
      <c r="N50" s="4" t="str">
        <f>HYPERLINK("http://141.218.60.56/~jnz1568/getInfo.php?workbook=09_01.xlsx&amp;sheet=A0&amp;row=50&amp;col=14&amp;number=4025100000&amp;sourceID=12","4025100000")</f>
        <v>4025100000</v>
      </c>
      <c r="O50" s="4" t="str">
        <f>HYPERLINK("http://141.218.60.56/~jnz1568/getInfo.php?workbook=09_01.xlsx&amp;sheet=A0&amp;row=50&amp;col=15&amp;number=4025100000&amp;sourceID=12","4025100000")</f>
        <v>4025100000</v>
      </c>
      <c r="P50" s="4" t="str">
        <f>HYPERLINK("http://141.218.60.56/~jnz1568/getInfo.php?workbook=09_01.xlsx&amp;sheet=A0&amp;row=50&amp;col=16&amp;number=&amp;sourceID=12","")</f>
        <v/>
      </c>
      <c r="Q50" s="4" t="str">
        <f>HYPERLINK("http://141.218.60.56/~jnz1568/getInfo.php?workbook=09_01.xlsx&amp;sheet=A0&amp;row=50&amp;col=17&amp;number=&amp;sourceID=12","")</f>
        <v/>
      </c>
      <c r="R50" s="4" t="str">
        <f>HYPERLINK("http://141.218.60.56/~jnz1568/getInfo.php?workbook=09_01.xlsx&amp;sheet=A0&amp;row=50&amp;col=18&amp;number=&amp;sourceID=12","")</f>
        <v/>
      </c>
      <c r="S50" s="4" t="str">
        <f>HYPERLINK("http://141.218.60.56/~jnz1568/getInfo.php?workbook=09_01.xlsx&amp;sheet=A0&amp;row=50&amp;col=19&amp;number=&amp;sourceID=12","")</f>
        <v/>
      </c>
      <c r="T50" s="4" t="str">
        <f>HYPERLINK("http://141.218.60.56/~jnz1568/getInfo.php?workbook=09_01.xlsx&amp;sheet=A0&amp;row=50&amp;col=20&amp;number=&amp;sourceID=12","")</f>
        <v/>
      </c>
      <c r="U50" s="4" t="str">
        <f>HYPERLINK("http://141.218.60.56/~jnz1568/getInfo.php?workbook=09_01.xlsx&amp;sheet=A0&amp;row=50&amp;col=21&amp;number=4025000000&amp;sourceID=30","4025000000")</f>
        <v>4025000000</v>
      </c>
      <c r="V50" s="4" t="str">
        <f>HYPERLINK("http://141.218.60.56/~jnz1568/getInfo.php?workbook=09_01.xlsx&amp;sheet=A0&amp;row=50&amp;col=22&amp;number=4025000000&amp;sourceID=30","4025000000")</f>
        <v>4025000000</v>
      </c>
      <c r="W50" s="4" t="str">
        <f>HYPERLINK("http://141.218.60.56/~jnz1568/getInfo.php?workbook=09_01.xlsx&amp;sheet=A0&amp;row=50&amp;col=23&amp;number=&amp;sourceID=30","")</f>
        <v/>
      </c>
      <c r="X50" s="4" t="str">
        <f>HYPERLINK("http://141.218.60.56/~jnz1568/getInfo.php?workbook=09_01.xlsx&amp;sheet=A0&amp;row=50&amp;col=24&amp;number=&amp;sourceID=30","")</f>
        <v/>
      </c>
      <c r="Y50" s="4" t="str">
        <f>HYPERLINK("http://141.218.60.56/~jnz1568/getInfo.php?workbook=09_01.xlsx&amp;sheet=A0&amp;row=50&amp;col=25&amp;number=&amp;sourceID=30","")</f>
        <v/>
      </c>
      <c r="Z50" s="4" t="str">
        <f>HYPERLINK("http://141.218.60.56/~jnz1568/getInfo.php?workbook=09_01.xlsx&amp;sheet=A0&amp;row=50&amp;col=26&amp;number==&amp;sourceID=13","=")</f>
        <v>=</v>
      </c>
      <c r="AA50" s="4" t="str">
        <f>HYPERLINK("http://141.218.60.56/~jnz1568/getInfo.php?workbook=09_01.xlsx&amp;sheet=A0&amp;row=50&amp;col=27&amp;number=3970000000&amp;sourceID=13","3970000000")</f>
        <v>3970000000</v>
      </c>
      <c r="AB50" s="4" t="str">
        <f>HYPERLINK("http://141.218.60.56/~jnz1568/getInfo.php?workbook=09_01.xlsx&amp;sheet=A0&amp;row=50&amp;col=28&amp;number=&amp;sourceID=13","")</f>
        <v/>
      </c>
      <c r="AC50" s="4" t="str">
        <f>HYPERLINK("http://141.218.60.56/~jnz1568/getInfo.php?workbook=09_01.xlsx&amp;sheet=A0&amp;row=50&amp;col=29&amp;number=&amp;sourceID=13","")</f>
        <v/>
      </c>
      <c r="AD50" s="4" t="str">
        <f>HYPERLINK("http://141.218.60.56/~jnz1568/getInfo.php?workbook=09_01.xlsx&amp;sheet=A0&amp;row=50&amp;col=30&amp;number=&amp;sourceID=13","")</f>
        <v/>
      </c>
      <c r="AE50" s="4" t="str">
        <f>HYPERLINK("http://141.218.60.56/~jnz1568/getInfo.php?workbook=09_01.xlsx&amp;sheet=A0&amp;row=50&amp;col=31&amp;number=&amp;sourceID=13","")</f>
        <v/>
      </c>
    </row>
    <row r="51" spans="1:31">
      <c r="A51" s="3">
        <v>9</v>
      </c>
      <c r="B51" s="3">
        <v>1</v>
      </c>
      <c r="C51" s="3">
        <v>11</v>
      </c>
      <c r="D51" s="3">
        <v>6</v>
      </c>
      <c r="E51" s="3">
        <f>((1/(INDEX(E0!J$4:J$28,C51,1)-INDEX(E0!J$4:J$28,D51,1))))*100000000</f>
        <v>0</v>
      </c>
      <c r="F51" s="4" t="str">
        <f>HYPERLINK("http://141.218.60.56/~jnz1568/getInfo.php?workbook=09_01.xlsx&amp;sheet=A0&amp;row=51&amp;col=6&amp;number=&amp;sourceID=18","")</f>
        <v/>
      </c>
      <c r="G51" s="4" t="str">
        <f>HYPERLINK("http://141.218.60.56/~jnz1568/getInfo.php?workbook=09_01.xlsx&amp;sheet=A0&amp;row=51&amp;col=7&amp;number==&amp;sourceID=11","=")</f>
        <v>=</v>
      </c>
      <c r="H51" s="4" t="str">
        <f>HYPERLINK("http://141.218.60.56/~jnz1568/getInfo.php?workbook=09_01.xlsx&amp;sheet=A0&amp;row=51&amp;col=8&amp;number=&amp;sourceID=11","")</f>
        <v/>
      </c>
      <c r="I51" s="4" t="str">
        <f>HYPERLINK("http://141.218.60.56/~jnz1568/getInfo.php?workbook=09_01.xlsx&amp;sheet=A0&amp;row=51&amp;col=9&amp;number=&amp;sourceID=11","")</f>
        <v/>
      </c>
      <c r="J51" s="4" t="str">
        <f>HYPERLINK("http://141.218.60.56/~jnz1568/getInfo.php?workbook=09_01.xlsx&amp;sheet=A0&amp;row=51&amp;col=10&amp;number=&amp;sourceID=11","")</f>
        <v/>
      </c>
      <c r="K51" s="4" t="str">
        <f>HYPERLINK("http://141.218.60.56/~jnz1568/getInfo.php?workbook=09_01.xlsx&amp;sheet=A0&amp;row=51&amp;col=11&amp;number=0.07178&amp;sourceID=11","0.07178")</f>
        <v>0.07178</v>
      </c>
      <c r="L51" s="4" t="str">
        <f>HYPERLINK("http://141.218.60.56/~jnz1568/getInfo.php?workbook=09_01.xlsx&amp;sheet=A0&amp;row=51&amp;col=12&amp;number=&amp;sourceID=11","")</f>
        <v/>
      </c>
      <c r="M51" s="4" t="str">
        <f>HYPERLINK("http://141.218.60.56/~jnz1568/getInfo.php?workbook=09_01.xlsx&amp;sheet=A0&amp;row=51&amp;col=13&amp;number=&amp;sourceID=11","")</f>
        <v/>
      </c>
      <c r="N51" s="4" t="str">
        <f>HYPERLINK("http://141.218.60.56/~jnz1568/getInfo.php?workbook=09_01.xlsx&amp;sheet=A0&amp;row=51&amp;col=14&amp;number=0.071782&amp;sourceID=12","0.071782")</f>
        <v>0.071782</v>
      </c>
      <c r="O51" s="4" t="str">
        <f>HYPERLINK("http://141.218.60.56/~jnz1568/getInfo.php?workbook=09_01.xlsx&amp;sheet=A0&amp;row=51&amp;col=15&amp;number=&amp;sourceID=12","")</f>
        <v/>
      </c>
      <c r="P51" s="4" t="str">
        <f>HYPERLINK("http://141.218.60.56/~jnz1568/getInfo.php?workbook=09_01.xlsx&amp;sheet=A0&amp;row=51&amp;col=16&amp;number=&amp;sourceID=12","")</f>
        <v/>
      </c>
      <c r="Q51" s="4" t="str">
        <f>HYPERLINK("http://141.218.60.56/~jnz1568/getInfo.php?workbook=09_01.xlsx&amp;sheet=A0&amp;row=51&amp;col=17&amp;number=&amp;sourceID=12","")</f>
        <v/>
      </c>
      <c r="R51" s="4" t="str">
        <f>HYPERLINK("http://141.218.60.56/~jnz1568/getInfo.php?workbook=09_01.xlsx&amp;sheet=A0&amp;row=51&amp;col=18&amp;number=0.071782&amp;sourceID=12","0.071782")</f>
        <v>0.071782</v>
      </c>
      <c r="S51" s="4" t="str">
        <f>HYPERLINK("http://141.218.60.56/~jnz1568/getInfo.php?workbook=09_01.xlsx&amp;sheet=A0&amp;row=51&amp;col=19&amp;number=&amp;sourceID=12","")</f>
        <v/>
      </c>
      <c r="T51" s="4" t="str">
        <f>HYPERLINK("http://141.218.60.56/~jnz1568/getInfo.php?workbook=09_01.xlsx&amp;sheet=A0&amp;row=51&amp;col=20&amp;number=&amp;sourceID=12","")</f>
        <v/>
      </c>
      <c r="U51" s="4" t="str">
        <f>HYPERLINK("http://141.218.60.56/~jnz1568/getInfo.php?workbook=09_01.xlsx&amp;sheet=A0&amp;row=51&amp;col=21&amp;number=0.07173&amp;sourceID=30","0.07173")</f>
        <v>0.07173</v>
      </c>
      <c r="V51" s="4" t="str">
        <f>HYPERLINK("http://141.218.60.56/~jnz1568/getInfo.php?workbook=09_01.xlsx&amp;sheet=A0&amp;row=51&amp;col=22&amp;number=&amp;sourceID=30","")</f>
        <v/>
      </c>
      <c r="W51" s="4" t="str">
        <f>HYPERLINK("http://141.218.60.56/~jnz1568/getInfo.php?workbook=09_01.xlsx&amp;sheet=A0&amp;row=51&amp;col=23&amp;number=&amp;sourceID=30","")</f>
        <v/>
      </c>
      <c r="X51" s="4" t="str">
        <f>HYPERLINK("http://141.218.60.56/~jnz1568/getInfo.php?workbook=09_01.xlsx&amp;sheet=A0&amp;row=51&amp;col=24&amp;number=0.07173&amp;sourceID=30","0.07173")</f>
        <v>0.07173</v>
      </c>
      <c r="Y51" s="4" t="str">
        <f>HYPERLINK("http://141.218.60.56/~jnz1568/getInfo.php?workbook=09_01.xlsx&amp;sheet=A0&amp;row=51&amp;col=25&amp;number=&amp;sourceID=30","")</f>
        <v/>
      </c>
      <c r="Z51" s="4" t="str">
        <f>HYPERLINK("http://141.218.60.56/~jnz1568/getInfo.php?workbook=09_01.xlsx&amp;sheet=A0&amp;row=51&amp;col=26&amp;number==&amp;sourceID=13","=")</f>
        <v>=</v>
      </c>
      <c r="AA51" s="4" t="str">
        <f>HYPERLINK("http://141.218.60.56/~jnz1568/getInfo.php?workbook=09_01.xlsx&amp;sheet=A0&amp;row=51&amp;col=27&amp;number=&amp;sourceID=13","")</f>
        <v/>
      </c>
      <c r="AB51" s="4" t="str">
        <f>HYPERLINK("http://141.218.60.56/~jnz1568/getInfo.php?workbook=09_01.xlsx&amp;sheet=A0&amp;row=51&amp;col=28&amp;number=&amp;sourceID=13","")</f>
        <v/>
      </c>
      <c r="AC51" s="4" t="str">
        <f>HYPERLINK("http://141.218.60.56/~jnz1568/getInfo.php?workbook=09_01.xlsx&amp;sheet=A0&amp;row=51&amp;col=29&amp;number=&amp;sourceID=13","")</f>
        <v/>
      </c>
      <c r="AD51" s="4" t="str">
        <f>HYPERLINK("http://141.218.60.56/~jnz1568/getInfo.php?workbook=09_01.xlsx&amp;sheet=A0&amp;row=51&amp;col=30&amp;number=0.0707&amp;sourceID=13","0.0707")</f>
        <v>0.0707</v>
      </c>
      <c r="AE51" s="4" t="str">
        <f>HYPERLINK("http://141.218.60.56/~jnz1568/getInfo.php?workbook=09_01.xlsx&amp;sheet=A0&amp;row=51&amp;col=31&amp;number=&amp;sourceID=13","")</f>
        <v/>
      </c>
    </row>
    <row r="52" spans="1:31">
      <c r="A52" s="3">
        <v>9</v>
      </c>
      <c r="B52" s="3">
        <v>1</v>
      </c>
      <c r="C52" s="3">
        <v>11</v>
      </c>
      <c r="D52" s="3">
        <v>7</v>
      </c>
      <c r="E52" s="3">
        <f>((1/(INDEX(E0!J$4:J$28,C52,1)-INDEX(E0!J$4:J$28,D52,1))))*100000000</f>
        <v>0</v>
      </c>
      <c r="F52" s="4" t="str">
        <f>HYPERLINK("http://141.218.60.56/~jnz1568/getInfo.php?workbook=09_01.xlsx&amp;sheet=A0&amp;row=52&amp;col=6&amp;number=&amp;sourceID=18","")</f>
        <v/>
      </c>
      <c r="G52" s="4" t="str">
        <f>HYPERLINK("http://141.218.60.56/~jnz1568/getInfo.php?workbook=09_01.xlsx&amp;sheet=A0&amp;row=52&amp;col=7&amp;number==&amp;sourceID=11","=")</f>
        <v>=</v>
      </c>
      <c r="H52" s="4" t="str">
        <f>HYPERLINK("http://141.218.60.56/~jnz1568/getInfo.php?workbook=09_01.xlsx&amp;sheet=A0&amp;row=52&amp;col=8&amp;number=&amp;sourceID=11","")</f>
        <v/>
      </c>
      <c r="I52" s="4" t="str">
        <f>HYPERLINK("http://141.218.60.56/~jnz1568/getInfo.php?workbook=09_01.xlsx&amp;sheet=A0&amp;row=52&amp;col=9&amp;number=219480&amp;sourceID=11","219480")</f>
        <v>219480</v>
      </c>
      <c r="J52" s="4" t="str">
        <f>HYPERLINK("http://141.218.60.56/~jnz1568/getInfo.php?workbook=09_01.xlsx&amp;sheet=A0&amp;row=52&amp;col=10&amp;number=&amp;sourceID=11","")</f>
        <v/>
      </c>
      <c r="K52" s="4" t="str">
        <f>HYPERLINK("http://141.218.60.56/~jnz1568/getInfo.php?workbook=09_01.xlsx&amp;sheet=A0&amp;row=52&amp;col=11&amp;number=2.3809e-05&amp;sourceID=11","2.3809e-05")</f>
        <v>2.3809e-05</v>
      </c>
      <c r="L52" s="4" t="str">
        <f>HYPERLINK("http://141.218.60.56/~jnz1568/getInfo.php?workbook=09_01.xlsx&amp;sheet=A0&amp;row=52&amp;col=12&amp;number=&amp;sourceID=11","")</f>
        <v/>
      </c>
      <c r="M52" s="4" t="str">
        <f>HYPERLINK("http://141.218.60.56/~jnz1568/getInfo.php?workbook=09_01.xlsx&amp;sheet=A0&amp;row=52&amp;col=13&amp;number=&amp;sourceID=11","")</f>
        <v/>
      </c>
      <c r="N52" s="4" t="str">
        <f>HYPERLINK("http://141.218.60.56/~jnz1568/getInfo.php?workbook=09_01.xlsx&amp;sheet=A0&amp;row=52&amp;col=14&amp;number=219490&amp;sourceID=12","219490")</f>
        <v>219490</v>
      </c>
      <c r="O52" s="4" t="str">
        <f>HYPERLINK("http://141.218.60.56/~jnz1568/getInfo.php?workbook=09_01.xlsx&amp;sheet=A0&amp;row=52&amp;col=15&amp;number=&amp;sourceID=12","")</f>
        <v/>
      </c>
      <c r="P52" s="4" t="str">
        <f>HYPERLINK("http://141.218.60.56/~jnz1568/getInfo.php?workbook=09_01.xlsx&amp;sheet=A0&amp;row=52&amp;col=16&amp;number=219490&amp;sourceID=12","219490")</f>
        <v>219490</v>
      </c>
      <c r="Q52" s="4" t="str">
        <f>HYPERLINK("http://141.218.60.56/~jnz1568/getInfo.php?workbook=09_01.xlsx&amp;sheet=A0&amp;row=52&amp;col=17&amp;number=&amp;sourceID=12","")</f>
        <v/>
      </c>
      <c r="R52" s="4" t="str">
        <f>HYPERLINK("http://141.218.60.56/~jnz1568/getInfo.php?workbook=09_01.xlsx&amp;sheet=A0&amp;row=52&amp;col=18&amp;number=2.381e-05&amp;sourceID=12","2.381e-05")</f>
        <v>2.381e-05</v>
      </c>
      <c r="S52" s="4" t="str">
        <f>HYPERLINK("http://141.218.60.56/~jnz1568/getInfo.php?workbook=09_01.xlsx&amp;sheet=A0&amp;row=52&amp;col=19&amp;number=&amp;sourceID=12","")</f>
        <v/>
      </c>
      <c r="T52" s="4" t="str">
        <f>HYPERLINK("http://141.218.60.56/~jnz1568/getInfo.php?workbook=09_01.xlsx&amp;sheet=A0&amp;row=52&amp;col=20&amp;number=&amp;sourceID=12","")</f>
        <v/>
      </c>
      <c r="U52" s="4" t="str">
        <f>HYPERLINK("http://141.218.60.56/~jnz1568/getInfo.php?workbook=09_01.xlsx&amp;sheet=A0&amp;row=52&amp;col=21&amp;number=219500.000024&amp;sourceID=30","219500.000024")</f>
        <v>219500.000024</v>
      </c>
      <c r="V52" s="4" t="str">
        <f>HYPERLINK("http://141.218.60.56/~jnz1568/getInfo.php?workbook=09_01.xlsx&amp;sheet=A0&amp;row=52&amp;col=22&amp;number=&amp;sourceID=30","")</f>
        <v/>
      </c>
      <c r="W52" s="4" t="str">
        <f>HYPERLINK("http://141.218.60.56/~jnz1568/getInfo.php?workbook=09_01.xlsx&amp;sheet=A0&amp;row=52&amp;col=23&amp;number=219500&amp;sourceID=30","219500")</f>
        <v>219500</v>
      </c>
      <c r="X52" s="4" t="str">
        <f>HYPERLINK("http://141.218.60.56/~jnz1568/getInfo.php?workbook=09_01.xlsx&amp;sheet=A0&amp;row=52&amp;col=24&amp;number=2.41e-05&amp;sourceID=30","2.41e-05")</f>
        <v>2.41e-05</v>
      </c>
      <c r="Y52" s="4" t="str">
        <f>HYPERLINK("http://141.218.60.56/~jnz1568/getInfo.php?workbook=09_01.xlsx&amp;sheet=A0&amp;row=52&amp;col=25&amp;number=&amp;sourceID=30","")</f>
        <v/>
      </c>
      <c r="Z52" s="4" t="str">
        <f>HYPERLINK("http://141.218.60.56/~jnz1568/getInfo.php?workbook=09_01.xlsx&amp;sheet=A0&amp;row=52&amp;col=26&amp;number==&amp;sourceID=13","=")</f>
        <v>=</v>
      </c>
      <c r="AA52" s="4" t="str">
        <f>HYPERLINK("http://141.218.60.56/~jnz1568/getInfo.php?workbook=09_01.xlsx&amp;sheet=A0&amp;row=52&amp;col=27&amp;number=&amp;sourceID=13","")</f>
        <v/>
      </c>
      <c r="AB52" s="4" t="str">
        <f>HYPERLINK("http://141.218.60.56/~jnz1568/getInfo.php?workbook=09_01.xlsx&amp;sheet=A0&amp;row=52&amp;col=28&amp;number=218000&amp;sourceID=13","218000")</f>
        <v>218000</v>
      </c>
      <c r="AC52" s="4" t="str">
        <f>HYPERLINK("http://141.218.60.56/~jnz1568/getInfo.php?workbook=09_01.xlsx&amp;sheet=A0&amp;row=52&amp;col=29&amp;number=&amp;sourceID=13","")</f>
        <v/>
      </c>
      <c r="AD52" s="4" t="str">
        <f>HYPERLINK("http://141.218.60.56/~jnz1568/getInfo.php?workbook=09_01.xlsx&amp;sheet=A0&amp;row=52&amp;col=30&amp;number=8.34e-06&amp;sourceID=13","8.34e-06")</f>
        <v>8.34e-06</v>
      </c>
      <c r="AE52" s="4" t="str">
        <f>HYPERLINK("http://141.218.60.56/~jnz1568/getInfo.php?workbook=09_01.xlsx&amp;sheet=A0&amp;row=52&amp;col=31&amp;number=&amp;sourceID=13","")</f>
        <v/>
      </c>
    </row>
    <row r="53" spans="1:31">
      <c r="A53" s="3">
        <v>9</v>
      </c>
      <c r="B53" s="3">
        <v>1</v>
      </c>
      <c r="C53" s="3">
        <v>11</v>
      </c>
      <c r="D53" s="3">
        <v>8</v>
      </c>
      <c r="E53" s="3">
        <f>((1/(INDEX(E0!J$4:J$28,C53,1)-INDEX(E0!J$4:J$28,D53,1))))*100000000</f>
        <v>0</v>
      </c>
      <c r="F53" s="4" t="str">
        <f>HYPERLINK("http://141.218.60.56/~jnz1568/getInfo.php?workbook=09_01.xlsx&amp;sheet=A0&amp;row=53&amp;col=6&amp;number=&amp;sourceID=18","")</f>
        <v/>
      </c>
      <c r="G53" s="4" t="str">
        <f>HYPERLINK("http://141.218.60.56/~jnz1568/getInfo.php?workbook=09_01.xlsx&amp;sheet=A0&amp;row=53&amp;col=7&amp;number==&amp;sourceID=11","=")</f>
        <v>=</v>
      </c>
      <c r="H53" s="4" t="str">
        <f>HYPERLINK("http://141.218.60.56/~jnz1568/getInfo.php?workbook=09_01.xlsx&amp;sheet=A0&amp;row=53&amp;col=8&amp;number=8115600000&amp;sourceID=11","8115600000")</f>
        <v>8115600000</v>
      </c>
      <c r="I53" s="4" t="str">
        <f>HYPERLINK("http://141.218.60.56/~jnz1568/getInfo.php?workbook=09_01.xlsx&amp;sheet=A0&amp;row=53&amp;col=9&amp;number=&amp;sourceID=11","")</f>
        <v/>
      </c>
      <c r="J53" s="4" t="str">
        <f>HYPERLINK("http://141.218.60.56/~jnz1568/getInfo.php?workbook=09_01.xlsx&amp;sheet=A0&amp;row=53&amp;col=10&amp;number=&amp;sourceID=11","")</f>
        <v/>
      </c>
      <c r="K53" s="4" t="str">
        <f>HYPERLINK("http://141.218.60.56/~jnz1568/getInfo.php?workbook=09_01.xlsx&amp;sheet=A0&amp;row=53&amp;col=11&amp;number=&amp;sourceID=11","")</f>
        <v/>
      </c>
      <c r="L53" s="4" t="str">
        <f>HYPERLINK("http://141.218.60.56/~jnz1568/getInfo.php?workbook=09_01.xlsx&amp;sheet=A0&amp;row=53&amp;col=12&amp;number=16.721&amp;sourceID=11","16.721")</f>
        <v>16.721</v>
      </c>
      <c r="M53" s="4" t="str">
        <f>HYPERLINK("http://141.218.60.56/~jnz1568/getInfo.php?workbook=09_01.xlsx&amp;sheet=A0&amp;row=53&amp;col=13&amp;number=&amp;sourceID=11","")</f>
        <v/>
      </c>
      <c r="N53" s="4" t="str">
        <f>HYPERLINK("http://141.218.60.56/~jnz1568/getInfo.php?workbook=09_01.xlsx&amp;sheet=A0&amp;row=53&amp;col=14&amp;number=8115800000&amp;sourceID=12","8115800000")</f>
        <v>8115800000</v>
      </c>
      <c r="O53" s="4" t="str">
        <f>HYPERLINK("http://141.218.60.56/~jnz1568/getInfo.php?workbook=09_01.xlsx&amp;sheet=A0&amp;row=53&amp;col=15&amp;number=8115800000&amp;sourceID=12","8115800000")</f>
        <v>8115800000</v>
      </c>
      <c r="P53" s="4" t="str">
        <f>HYPERLINK("http://141.218.60.56/~jnz1568/getInfo.php?workbook=09_01.xlsx&amp;sheet=A0&amp;row=53&amp;col=16&amp;number=&amp;sourceID=12","")</f>
        <v/>
      </c>
      <c r="Q53" s="4" t="str">
        <f>HYPERLINK("http://141.218.60.56/~jnz1568/getInfo.php?workbook=09_01.xlsx&amp;sheet=A0&amp;row=53&amp;col=17&amp;number=&amp;sourceID=12","")</f>
        <v/>
      </c>
      <c r="R53" s="4" t="str">
        <f>HYPERLINK("http://141.218.60.56/~jnz1568/getInfo.php?workbook=09_01.xlsx&amp;sheet=A0&amp;row=53&amp;col=18&amp;number=&amp;sourceID=12","")</f>
        <v/>
      </c>
      <c r="S53" s="4" t="str">
        <f>HYPERLINK("http://141.218.60.56/~jnz1568/getInfo.php?workbook=09_01.xlsx&amp;sheet=A0&amp;row=53&amp;col=19&amp;number=16.721&amp;sourceID=12","16.721")</f>
        <v>16.721</v>
      </c>
      <c r="T53" s="4" t="str">
        <f>HYPERLINK("http://141.218.60.56/~jnz1568/getInfo.php?workbook=09_01.xlsx&amp;sheet=A0&amp;row=53&amp;col=20&amp;number=&amp;sourceID=12","")</f>
        <v/>
      </c>
      <c r="U53" s="4" t="str">
        <f>HYPERLINK("http://141.218.60.56/~jnz1568/getInfo.php?workbook=09_01.xlsx&amp;sheet=A0&amp;row=53&amp;col=21&amp;number=8116000016.72&amp;sourceID=30","8116000016.72")</f>
        <v>8116000016.72</v>
      </c>
      <c r="V53" s="4" t="str">
        <f>HYPERLINK("http://141.218.60.56/~jnz1568/getInfo.php?workbook=09_01.xlsx&amp;sheet=A0&amp;row=53&amp;col=22&amp;number=8116000000&amp;sourceID=30","8116000000")</f>
        <v>8116000000</v>
      </c>
      <c r="W53" s="4" t="str">
        <f>HYPERLINK("http://141.218.60.56/~jnz1568/getInfo.php?workbook=09_01.xlsx&amp;sheet=A0&amp;row=53&amp;col=23&amp;number=&amp;sourceID=30","")</f>
        <v/>
      </c>
      <c r="X53" s="4" t="str">
        <f>HYPERLINK("http://141.218.60.56/~jnz1568/getInfo.php?workbook=09_01.xlsx&amp;sheet=A0&amp;row=53&amp;col=24&amp;number=&amp;sourceID=30","")</f>
        <v/>
      </c>
      <c r="Y53" s="4" t="str">
        <f>HYPERLINK("http://141.218.60.56/~jnz1568/getInfo.php?workbook=09_01.xlsx&amp;sheet=A0&amp;row=53&amp;col=25&amp;number=16.72&amp;sourceID=30","16.72")</f>
        <v>16.72</v>
      </c>
      <c r="Z53" s="4" t="str">
        <f>HYPERLINK("http://141.218.60.56/~jnz1568/getInfo.php?workbook=09_01.xlsx&amp;sheet=A0&amp;row=53&amp;col=26&amp;number==&amp;sourceID=13","=")</f>
        <v>=</v>
      </c>
      <c r="AA53" s="4" t="str">
        <f>HYPERLINK("http://141.218.60.56/~jnz1568/getInfo.php?workbook=09_01.xlsx&amp;sheet=A0&amp;row=53&amp;col=27&amp;number=8060000000&amp;sourceID=13","8060000000")</f>
        <v>8060000000</v>
      </c>
      <c r="AB53" s="4" t="str">
        <f>HYPERLINK("http://141.218.60.56/~jnz1568/getInfo.php?workbook=09_01.xlsx&amp;sheet=A0&amp;row=53&amp;col=28&amp;number=&amp;sourceID=13","")</f>
        <v/>
      </c>
      <c r="AC53" s="4" t="str">
        <f>HYPERLINK("http://141.218.60.56/~jnz1568/getInfo.php?workbook=09_01.xlsx&amp;sheet=A0&amp;row=53&amp;col=29&amp;number=&amp;sourceID=13","")</f>
        <v/>
      </c>
      <c r="AD53" s="4" t="str">
        <f>HYPERLINK("http://141.218.60.56/~jnz1568/getInfo.php?workbook=09_01.xlsx&amp;sheet=A0&amp;row=53&amp;col=30&amp;number=&amp;sourceID=13","")</f>
        <v/>
      </c>
      <c r="AE53" s="4" t="str">
        <f>HYPERLINK("http://141.218.60.56/~jnz1568/getInfo.php?workbook=09_01.xlsx&amp;sheet=A0&amp;row=53&amp;col=31&amp;number=&amp;sourceID=13","")</f>
        <v/>
      </c>
    </row>
    <row r="54" spans="1:31">
      <c r="A54" s="3">
        <v>9</v>
      </c>
      <c r="B54" s="3">
        <v>1</v>
      </c>
      <c r="C54" s="3">
        <v>11</v>
      </c>
      <c r="D54" s="3">
        <v>9</v>
      </c>
      <c r="E54" s="3">
        <f>((1/(INDEX(E0!J$4:J$28,C54,1)-INDEX(E0!J$4:J$28,D54,1))))*100000000</f>
        <v>0</v>
      </c>
      <c r="F54" s="4" t="str">
        <f>HYPERLINK("http://141.218.60.56/~jnz1568/getInfo.php?workbook=09_01.xlsx&amp;sheet=A0&amp;row=54&amp;col=6&amp;number=&amp;sourceID=18","")</f>
        <v/>
      </c>
      <c r="G54" s="4" t="str">
        <f>HYPERLINK("http://141.218.60.56/~jnz1568/getInfo.php?workbook=09_01.xlsx&amp;sheet=A0&amp;row=54&amp;col=7&amp;number==&amp;sourceID=11","=")</f>
        <v>=</v>
      </c>
      <c r="H54" s="4" t="str">
        <f>HYPERLINK("http://141.218.60.56/~jnz1568/getInfo.php?workbook=09_01.xlsx&amp;sheet=A0&amp;row=54&amp;col=8&amp;number=&amp;sourceID=11","")</f>
        <v/>
      </c>
      <c r="I54" s="4" t="str">
        <f>HYPERLINK("http://141.218.60.56/~jnz1568/getInfo.php?workbook=09_01.xlsx&amp;sheet=A0&amp;row=54&amp;col=9&amp;number=329380&amp;sourceID=11","329380")</f>
        <v>329380</v>
      </c>
      <c r="J54" s="4" t="str">
        <f>HYPERLINK("http://141.218.60.56/~jnz1568/getInfo.php?workbook=09_01.xlsx&amp;sheet=A0&amp;row=54&amp;col=10&amp;number=&amp;sourceID=11","")</f>
        <v/>
      </c>
      <c r="K54" s="4" t="str">
        <f>HYPERLINK("http://141.218.60.56/~jnz1568/getInfo.php?workbook=09_01.xlsx&amp;sheet=A0&amp;row=54&amp;col=11&amp;number=&amp;sourceID=11","")</f>
        <v/>
      </c>
      <c r="L54" s="4" t="str">
        <f>HYPERLINK("http://141.218.60.56/~jnz1568/getInfo.php?workbook=09_01.xlsx&amp;sheet=A0&amp;row=54&amp;col=12&amp;number=&amp;sourceID=11","")</f>
        <v/>
      </c>
      <c r="M54" s="4" t="str">
        <f>HYPERLINK("http://141.218.60.56/~jnz1568/getInfo.php?workbook=09_01.xlsx&amp;sheet=A0&amp;row=54&amp;col=13&amp;number=0.00080324&amp;sourceID=11","0.00080324")</f>
        <v>0.00080324</v>
      </c>
      <c r="N54" s="4" t="str">
        <f>HYPERLINK("http://141.218.60.56/~jnz1568/getInfo.php?workbook=09_01.xlsx&amp;sheet=A0&amp;row=54&amp;col=14&amp;number=329390&amp;sourceID=12","329390")</f>
        <v>329390</v>
      </c>
      <c r="O54" s="4" t="str">
        <f>HYPERLINK("http://141.218.60.56/~jnz1568/getInfo.php?workbook=09_01.xlsx&amp;sheet=A0&amp;row=54&amp;col=15&amp;number=&amp;sourceID=12","")</f>
        <v/>
      </c>
      <c r="P54" s="4" t="str">
        <f>HYPERLINK("http://141.218.60.56/~jnz1568/getInfo.php?workbook=09_01.xlsx&amp;sheet=A0&amp;row=54&amp;col=16&amp;number=329390&amp;sourceID=12","329390")</f>
        <v>329390</v>
      </c>
      <c r="Q54" s="4" t="str">
        <f>HYPERLINK("http://141.218.60.56/~jnz1568/getInfo.php?workbook=09_01.xlsx&amp;sheet=A0&amp;row=54&amp;col=17&amp;number=&amp;sourceID=12","")</f>
        <v/>
      </c>
      <c r="R54" s="4" t="str">
        <f>HYPERLINK("http://141.218.60.56/~jnz1568/getInfo.php?workbook=09_01.xlsx&amp;sheet=A0&amp;row=54&amp;col=18&amp;number=&amp;sourceID=12","")</f>
        <v/>
      </c>
      <c r="S54" s="4" t="str">
        <f>HYPERLINK("http://141.218.60.56/~jnz1568/getInfo.php?workbook=09_01.xlsx&amp;sheet=A0&amp;row=54&amp;col=19&amp;number=&amp;sourceID=12","")</f>
        <v/>
      </c>
      <c r="T54" s="4" t="str">
        <f>HYPERLINK("http://141.218.60.56/~jnz1568/getInfo.php?workbook=09_01.xlsx&amp;sheet=A0&amp;row=54&amp;col=20&amp;number=0.00080326&amp;sourceID=12","0.00080326")</f>
        <v>0.00080326</v>
      </c>
      <c r="U54" s="4" t="str">
        <f>HYPERLINK("http://141.218.60.56/~jnz1568/getInfo.php?workbook=09_01.xlsx&amp;sheet=A0&amp;row=54&amp;col=21&amp;number=329400&amp;sourceID=30","329400")</f>
        <v>329400</v>
      </c>
      <c r="V54" s="4" t="str">
        <f>HYPERLINK("http://141.218.60.56/~jnz1568/getInfo.php?workbook=09_01.xlsx&amp;sheet=A0&amp;row=54&amp;col=22&amp;number=&amp;sourceID=30","")</f>
        <v/>
      </c>
      <c r="W54" s="4" t="str">
        <f>HYPERLINK("http://141.218.60.56/~jnz1568/getInfo.php?workbook=09_01.xlsx&amp;sheet=A0&amp;row=54&amp;col=23&amp;number=329400&amp;sourceID=30","329400")</f>
        <v>329400</v>
      </c>
      <c r="X54" s="4" t="str">
        <f>HYPERLINK("http://141.218.60.56/~jnz1568/getInfo.php?workbook=09_01.xlsx&amp;sheet=A0&amp;row=54&amp;col=24&amp;number=&amp;sourceID=30","")</f>
        <v/>
      </c>
      <c r="Y54" s="4" t="str">
        <f>HYPERLINK("http://141.218.60.56/~jnz1568/getInfo.php?workbook=09_01.xlsx&amp;sheet=A0&amp;row=54&amp;col=25&amp;number=&amp;sourceID=30","")</f>
        <v/>
      </c>
      <c r="Z54" s="4" t="str">
        <f>HYPERLINK("http://141.218.60.56/~jnz1568/getInfo.php?workbook=09_01.xlsx&amp;sheet=A0&amp;row=54&amp;col=26&amp;number==&amp;sourceID=13","=")</f>
        <v>=</v>
      </c>
      <c r="AA54" s="4" t="str">
        <f>HYPERLINK("http://141.218.60.56/~jnz1568/getInfo.php?workbook=09_01.xlsx&amp;sheet=A0&amp;row=54&amp;col=27&amp;number=&amp;sourceID=13","")</f>
        <v/>
      </c>
      <c r="AB54" s="4" t="str">
        <f>HYPERLINK("http://141.218.60.56/~jnz1568/getInfo.php?workbook=09_01.xlsx&amp;sheet=A0&amp;row=54&amp;col=28&amp;number=328000&amp;sourceID=13","328000")</f>
        <v>328000</v>
      </c>
      <c r="AC54" s="4" t="str">
        <f>HYPERLINK("http://141.218.60.56/~jnz1568/getInfo.php?workbook=09_01.xlsx&amp;sheet=A0&amp;row=54&amp;col=29&amp;number=&amp;sourceID=13","")</f>
        <v/>
      </c>
      <c r="AD54" s="4" t="str">
        <f>HYPERLINK("http://141.218.60.56/~jnz1568/getInfo.php?workbook=09_01.xlsx&amp;sheet=A0&amp;row=54&amp;col=30&amp;number=&amp;sourceID=13","")</f>
        <v/>
      </c>
      <c r="AE54" s="4" t="str">
        <f>HYPERLINK("http://141.218.60.56/~jnz1568/getInfo.php?workbook=09_01.xlsx&amp;sheet=A0&amp;row=54&amp;col=31&amp;number=&amp;sourceID=13","")</f>
        <v/>
      </c>
    </row>
    <row r="55" spans="1:31">
      <c r="A55" s="3">
        <v>9</v>
      </c>
      <c r="B55" s="3">
        <v>1</v>
      </c>
      <c r="C55" s="3">
        <v>12</v>
      </c>
      <c r="D55" s="3">
        <v>1</v>
      </c>
      <c r="E55" s="3">
        <f>((1/(INDEX(E0!J$4:J$28,C55,1)-INDEX(E0!J$4:J$28,D55,1))))*100000000</f>
        <v>0</v>
      </c>
      <c r="F55" s="4" t="str">
        <f>HYPERLINK("http://141.218.60.56/~jnz1568/getInfo.php?workbook=09_01.xlsx&amp;sheet=A0&amp;row=55&amp;col=6&amp;number=&amp;sourceID=18","")</f>
        <v/>
      </c>
      <c r="G55" s="4" t="str">
        <f>HYPERLINK("http://141.218.60.56/~jnz1568/getInfo.php?workbook=09_01.xlsx&amp;sheet=A0&amp;row=55&amp;col=7&amp;number==&amp;sourceID=11","=")</f>
        <v>=</v>
      </c>
      <c r="H55" s="4" t="str">
        <f>HYPERLINK("http://141.218.60.56/~jnz1568/getInfo.php?workbook=09_01.xlsx&amp;sheet=A0&amp;row=55&amp;col=8&amp;number=&amp;sourceID=11","")</f>
        <v/>
      </c>
      <c r="I55" s="4" t="str">
        <f>HYPERLINK("http://141.218.60.56/~jnz1568/getInfo.php?workbook=09_01.xlsx&amp;sheet=A0&amp;row=55&amp;col=9&amp;number=173530000&amp;sourceID=11","173530000")</f>
        <v>173530000</v>
      </c>
      <c r="J55" s="4" t="str">
        <f>HYPERLINK("http://141.218.60.56/~jnz1568/getInfo.php?workbook=09_01.xlsx&amp;sheet=A0&amp;row=55&amp;col=10&amp;number=&amp;sourceID=11","")</f>
        <v/>
      </c>
      <c r="K55" s="4" t="str">
        <f>HYPERLINK("http://141.218.60.56/~jnz1568/getInfo.php?workbook=09_01.xlsx&amp;sheet=A0&amp;row=55&amp;col=11&amp;number=15.09&amp;sourceID=11","15.09")</f>
        <v>15.09</v>
      </c>
      <c r="L55" s="4" t="str">
        <f>HYPERLINK("http://141.218.60.56/~jnz1568/getInfo.php?workbook=09_01.xlsx&amp;sheet=A0&amp;row=55&amp;col=12&amp;number=&amp;sourceID=11","")</f>
        <v/>
      </c>
      <c r="M55" s="4" t="str">
        <f>HYPERLINK("http://141.218.60.56/~jnz1568/getInfo.php?workbook=09_01.xlsx&amp;sheet=A0&amp;row=55&amp;col=13&amp;number=&amp;sourceID=11","")</f>
        <v/>
      </c>
      <c r="N55" s="4" t="str">
        <f>HYPERLINK("http://141.218.60.56/~jnz1568/getInfo.php?workbook=09_01.xlsx&amp;sheet=A0&amp;row=55&amp;col=14&amp;number=173540000&amp;sourceID=12","173540000")</f>
        <v>173540000</v>
      </c>
      <c r="O55" s="4" t="str">
        <f>HYPERLINK("http://141.218.60.56/~jnz1568/getInfo.php?workbook=09_01.xlsx&amp;sheet=A0&amp;row=55&amp;col=15&amp;number=&amp;sourceID=12","")</f>
        <v/>
      </c>
      <c r="P55" s="4" t="str">
        <f>HYPERLINK("http://141.218.60.56/~jnz1568/getInfo.php?workbook=09_01.xlsx&amp;sheet=A0&amp;row=55&amp;col=16&amp;number=173540000&amp;sourceID=12","173540000")</f>
        <v>173540000</v>
      </c>
      <c r="Q55" s="4" t="str">
        <f>HYPERLINK("http://141.218.60.56/~jnz1568/getInfo.php?workbook=09_01.xlsx&amp;sheet=A0&amp;row=55&amp;col=17&amp;number=&amp;sourceID=12","")</f>
        <v/>
      </c>
      <c r="R55" s="4" t="str">
        <f>HYPERLINK("http://141.218.60.56/~jnz1568/getInfo.php?workbook=09_01.xlsx&amp;sheet=A0&amp;row=55&amp;col=18&amp;number=15.094&amp;sourceID=12","15.094")</f>
        <v>15.094</v>
      </c>
      <c r="S55" s="4" t="str">
        <f>HYPERLINK("http://141.218.60.56/~jnz1568/getInfo.php?workbook=09_01.xlsx&amp;sheet=A0&amp;row=55&amp;col=19&amp;number=&amp;sourceID=12","")</f>
        <v/>
      </c>
      <c r="T55" s="4" t="str">
        <f>HYPERLINK("http://141.218.60.56/~jnz1568/getInfo.php?workbook=09_01.xlsx&amp;sheet=A0&amp;row=55&amp;col=20&amp;number=&amp;sourceID=12","")</f>
        <v/>
      </c>
      <c r="U55" s="4" t="str">
        <f>HYPERLINK("http://141.218.60.56/~jnz1568/getInfo.php?workbook=09_01.xlsx&amp;sheet=A0&amp;row=55&amp;col=21&amp;number=173500015.09&amp;sourceID=30","173500015.09")</f>
        <v>173500015.09</v>
      </c>
      <c r="V55" s="4" t="str">
        <f>HYPERLINK("http://141.218.60.56/~jnz1568/getInfo.php?workbook=09_01.xlsx&amp;sheet=A0&amp;row=55&amp;col=22&amp;number=&amp;sourceID=30","")</f>
        <v/>
      </c>
      <c r="W55" s="4" t="str">
        <f>HYPERLINK("http://141.218.60.56/~jnz1568/getInfo.php?workbook=09_01.xlsx&amp;sheet=A0&amp;row=55&amp;col=23&amp;number=173500000&amp;sourceID=30","173500000")</f>
        <v>173500000</v>
      </c>
      <c r="X55" s="4" t="str">
        <f>HYPERLINK("http://141.218.60.56/~jnz1568/getInfo.php?workbook=09_01.xlsx&amp;sheet=A0&amp;row=55&amp;col=24&amp;number=15.09&amp;sourceID=30","15.09")</f>
        <v>15.09</v>
      </c>
      <c r="Y55" s="4" t="str">
        <f>HYPERLINK("http://141.218.60.56/~jnz1568/getInfo.php?workbook=09_01.xlsx&amp;sheet=A0&amp;row=55&amp;col=25&amp;number=&amp;sourceID=30","")</f>
        <v/>
      </c>
      <c r="Z55" s="4" t="str">
        <f>HYPERLINK("http://141.218.60.56/~jnz1568/getInfo.php?workbook=09_01.xlsx&amp;sheet=A0&amp;row=55&amp;col=26&amp;number==&amp;sourceID=13","=")</f>
        <v>=</v>
      </c>
      <c r="AA55" s="4" t="str">
        <f>HYPERLINK("http://141.218.60.56/~jnz1568/getInfo.php?workbook=09_01.xlsx&amp;sheet=A0&amp;row=55&amp;col=27&amp;number=&amp;sourceID=13","")</f>
        <v/>
      </c>
      <c r="AB55" s="4" t="str">
        <f>HYPERLINK("http://141.218.60.56/~jnz1568/getInfo.php?workbook=09_01.xlsx&amp;sheet=A0&amp;row=55&amp;col=28&amp;number=191000000&amp;sourceID=13","191000000")</f>
        <v>191000000</v>
      </c>
      <c r="AC55" s="4" t="str">
        <f>HYPERLINK("http://141.218.60.56/~jnz1568/getInfo.php?workbook=09_01.xlsx&amp;sheet=A0&amp;row=55&amp;col=29&amp;number=&amp;sourceID=13","")</f>
        <v/>
      </c>
      <c r="AD55" s="4" t="str">
        <f>HYPERLINK("http://141.218.60.56/~jnz1568/getInfo.php?workbook=09_01.xlsx&amp;sheet=A0&amp;row=55&amp;col=30&amp;number=38.2&amp;sourceID=13","38.2")</f>
        <v>38.2</v>
      </c>
      <c r="AE55" s="4" t="str">
        <f>HYPERLINK("http://141.218.60.56/~jnz1568/getInfo.php?workbook=09_01.xlsx&amp;sheet=A0&amp;row=55&amp;col=31&amp;number=&amp;sourceID=13","")</f>
        <v/>
      </c>
    </row>
    <row r="56" spans="1:31">
      <c r="A56" s="3">
        <v>9</v>
      </c>
      <c r="B56" s="3">
        <v>1</v>
      </c>
      <c r="C56" s="3">
        <v>12</v>
      </c>
      <c r="D56" s="3">
        <v>2</v>
      </c>
      <c r="E56" s="3">
        <f>((1/(INDEX(E0!J$4:J$28,C56,1)-INDEX(E0!J$4:J$28,D56,1))))*100000000</f>
        <v>0</v>
      </c>
      <c r="F56" s="4" t="str">
        <f>HYPERLINK("http://141.218.60.56/~jnz1568/getInfo.php?workbook=09_01.xlsx&amp;sheet=A0&amp;row=56&amp;col=6&amp;number=&amp;sourceID=18","")</f>
        <v/>
      </c>
      <c r="G56" s="4" t="str">
        <f>HYPERLINK("http://141.218.60.56/~jnz1568/getInfo.php?workbook=09_01.xlsx&amp;sheet=A0&amp;row=56&amp;col=7&amp;number==&amp;sourceID=11","=")</f>
        <v>=</v>
      </c>
      <c r="H56" s="4" t="str">
        <f>HYPERLINK("http://141.218.60.56/~jnz1568/getInfo.php?workbook=09_01.xlsx&amp;sheet=A0&amp;row=56&amp;col=8&amp;number=113150000000&amp;sourceID=11","113150000000")</f>
        <v>113150000000</v>
      </c>
      <c r="I56" s="4" t="str">
        <f>HYPERLINK("http://141.218.60.56/~jnz1568/getInfo.php?workbook=09_01.xlsx&amp;sheet=A0&amp;row=56&amp;col=9&amp;number=&amp;sourceID=11","")</f>
        <v/>
      </c>
      <c r="J56" s="4" t="str">
        <f>HYPERLINK("http://141.218.60.56/~jnz1568/getInfo.php?workbook=09_01.xlsx&amp;sheet=A0&amp;row=56&amp;col=10&amp;number=&amp;sourceID=11","")</f>
        <v/>
      </c>
      <c r="K56" s="4" t="str">
        <f>HYPERLINK("http://141.218.60.56/~jnz1568/getInfo.php?workbook=09_01.xlsx&amp;sheet=A0&amp;row=56&amp;col=11&amp;number=&amp;sourceID=11","")</f>
        <v/>
      </c>
      <c r="L56" s="4" t="str">
        <f>HYPERLINK("http://141.218.60.56/~jnz1568/getInfo.php?workbook=09_01.xlsx&amp;sheet=A0&amp;row=56&amp;col=12&amp;number=139.05&amp;sourceID=11","139.05")</f>
        <v>139.05</v>
      </c>
      <c r="M56" s="4" t="str">
        <f>HYPERLINK("http://141.218.60.56/~jnz1568/getInfo.php?workbook=09_01.xlsx&amp;sheet=A0&amp;row=56&amp;col=13&amp;number=&amp;sourceID=11","")</f>
        <v/>
      </c>
      <c r="N56" s="4" t="str">
        <f>HYPERLINK("http://141.218.60.56/~jnz1568/getInfo.php?workbook=09_01.xlsx&amp;sheet=A0&amp;row=56&amp;col=14&amp;number=113160000000&amp;sourceID=12","113160000000")</f>
        <v>113160000000</v>
      </c>
      <c r="O56" s="4" t="str">
        <f>HYPERLINK("http://141.218.60.56/~jnz1568/getInfo.php?workbook=09_01.xlsx&amp;sheet=A0&amp;row=56&amp;col=15&amp;number=113160000000&amp;sourceID=12","113160000000")</f>
        <v>113160000000</v>
      </c>
      <c r="P56" s="4" t="str">
        <f>HYPERLINK("http://141.218.60.56/~jnz1568/getInfo.php?workbook=09_01.xlsx&amp;sheet=A0&amp;row=56&amp;col=16&amp;number=&amp;sourceID=12","")</f>
        <v/>
      </c>
      <c r="Q56" s="4" t="str">
        <f>HYPERLINK("http://141.218.60.56/~jnz1568/getInfo.php?workbook=09_01.xlsx&amp;sheet=A0&amp;row=56&amp;col=17&amp;number=&amp;sourceID=12","")</f>
        <v/>
      </c>
      <c r="R56" s="4" t="str">
        <f>HYPERLINK("http://141.218.60.56/~jnz1568/getInfo.php?workbook=09_01.xlsx&amp;sheet=A0&amp;row=56&amp;col=18&amp;number=&amp;sourceID=12","")</f>
        <v/>
      </c>
      <c r="S56" s="4" t="str">
        <f>HYPERLINK("http://141.218.60.56/~jnz1568/getInfo.php?workbook=09_01.xlsx&amp;sheet=A0&amp;row=56&amp;col=19&amp;number=139.05&amp;sourceID=12","139.05")</f>
        <v>139.05</v>
      </c>
      <c r="T56" s="4" t="str">
        <f>HYPERLINK("http://141.218.60.56/~jnz1568/getInfo.php?workbook=09_01.xlsx&amp;sheet=A0&amp;row=56&amp;col=20&amp;number=&amp;sourceID=12","")</f>
        <v/>
      </c>
      <c r="U56" s="4" t="str">
        <f>HYPERLINK("http://141.218.60.56/~jnz1568/getInfo.php?workbook=09_01.xlsx&amp;sheet=A0&amp;row=56&amp;col=21&amp;number=1.13200000139e+11&amp;sourceID=30","1.13200000139e+11")</f>
        <v>1.13200000139e+11</v>
      </c>
      <c r="V56" s="4" t="str">
        <f>HYPERLINK("http://141.218.60.56/~jnz1568/getInfo.php?workbook=09_01.xlsx&amp;sheet=A0&amp;row=56&amp;col=22&amp;number=113200000000&amp;sourceID=30","113200000000")</f>
        <v>113200000000</v>
      </c>
      <c r="W56" s="4" t="str">
        <f>HYPERLINK("http://141.218.60.56/~jnz1568/getInfo.php?workbook=09_01.xlsx&amp;sheet=A0&amp;row=56&amp;col=23&amp;number=&amp;sourceID=30","")</f>
        <v/>
      </c>
      <c r="X56" s="4" t="str">
        <f>HYPERLINK("http://141.218.60.56/~jnz1568/getInfo.php?workbook=09_01.xlsx&amp;sheet=A0&amp;row=56&amp;col=24&amp;number=&amp;sourceID=30","")</f>
        <v/>
      </c>
      <c r="Y56" s="4" t="str">
        <f>HYPERLINK("http://141.218.60.56/~jnz1568/getInfo.php?workbook=09_01.xlsx&amp;sheet=A0&amp;row=56&amp;col=25&amp;number=139.1&amp;sourceID=30","139.1")</f>
        <v>139.1</v>
      </c>
      <c r="Z56" s="4" t="str">
        <f>HYPERLINK("http://141.218.60.56/~jnz1568/getInfo.php?workbook=09_01.xlsx&amp;sheet=A0&amp;row=56&amp;col=26&amp;number==&amp;sourceID=13","=")</f>
        <v>=</v>
      </c>
      <c r="AA56" s="4" t="str">
        <f>HYPERLINK("http://141.218.60.56/~jnz1568/getInfo.php?workbook=09_01.xlsx&amp;sheet=A0&amp;row=56&amp;col=27&amp;number=113000000000&amp;sourceID=13","113000000000")</f>
        <v>113000000000</v>
      </c>
      <c r="AB56" s="4" t="str">
        <f>HYPERLINK("http://141.218.60.56/~jnz1568/getInfo.php?workbook=09_01.xlsx&amp;sheet=A0&amp;row=56&amp;col=28&amp;number=&amp;sourceID=13","")</f>
        <v/>
      </c>
      <c r="AC56" s="4" t="str">
        <f>HYPERLINK("http://141.218.60.56/~jnz1568/getInfo.php?workbook=09_01.xlsx&amp;sheet=A0&amp;row=56&amp;col=29&amp;number=&amp;sourceID=13","")</f>
        <v/>
      </c>
      <c r="AD56" s="4" t="str">
        <f>HYPERLINK("http://141.218.60.56/~jnz1568/getInfo.php?workbook=09_01.xlsx&amp;sheet=A0&amp;row=56&amp;col=30&amp;number=&amp;sourceID=13","")</f>
        <v/>
      </c>
      <c r="AE56" s="4" t="str">
        <f>HYPERLINK("http://141.218.60.56/~jnz1568/getInfo.php?workbook=09_01.xlsx&amp;sheet=A0&amp;row=56&amp;col=31&amp;number=&amp;sourceID=13","")</f>
        <v/>
      </c>
    </row>
    <row r="57" spans="1:31">
      <c r="A57" s="3">
        <v>9</v>
      </c>
      <c r="B57" s="3">
        <v>1</v>
      </c>
      <c r="C57" s="3">
        <v>12</v>
      </c>
      <c r="D57" s="3">
        <v>3</v>
      </c>
      <c r="E57" s="3">
        <f>((1/(INDEX(E0!J$4:J$28,C57,1)-INDEX(E0!J$4:J$28,D57,1))))*100000000</f>
        <v>0</v>
      </c>
      <c r="F57" s="4" t="str">
        <f>HYPERLINK("http://141.218.60.56/~jnz1568/getInfo.php?workbook=09_01.xlsx&amp;sheet=A0&amp;row=57&amp;col=6&amp;number=&amp;sourceID=18","")</f>
        <v/>
      </c>
      <c r="G57" s="4" t="str">
        <f>HYPERLINK("http://141.218.60.56/~jnz1568/getInfo.php?workbook=09_01.xlsx&amp;sheet=A0&amp;row=57&amp;col=7&amp;number==&amp;sourceID=11","=")</f>
        <v>=</v>
      </c>
      <c r="H57" s="4" t="str">
        <f>HYPERLINK("http://141.218.60.56/~jnz1568/getInfo.php?workbook=09_01.xlsx&amp;sheet=A0&amp;row=57&amp;col=8&amp;number=&amp;sourceID=11","")</f>
        <v/>
      </c>
      <c r="I57" s="4" t="str">
        <f>HYPERLINK("http://141.218.60.56/~jnz1568/getInfo.php?workbook=09_01.xlsx&amp;sheet=A0&amp;row=57&amp;col=9&amp;number=2767100&amp;sourceID=11","2767100")</f>
        <v>2767100</v>
      </c>
      <c r="J57" s="4" t="str">
        <f>HYPERLINK("http://141.218.60.56/~jnz1568/getInfo.php?workbook=09_01.xlsx&amp;sheet=A0&amp;row=57&amp;col=10&amp;number=&amp;sourceID=11","")</f>
        <v/>
      </c>
      <c r="K57" s="4" t="str">
        <f>HYPERLINK("http://141.218.60.56/~jnz1568/getInfo.php?workbook=09_01.xlsx&amp;sheet=A0&amp;row=57&amp;col=11&amp;number=0.2119&amp;sourceID=11","0.2119")</f>
        <v>0.2119</v>
      </c>
      <c r="L57" s="4" t="str">
        <f>HYPERLINK("http://141.218.60.56/~jnz1568/getInfo.php?workbook=09_01.xlsx&amp;sheet=A0&amp;row=57&amp;col=12&amp;number=&amp;sourceID=11","")</f>
        <v/>
      </c>
      <c r="M57" s="4" t="str">
        <f>HYPERLINK("http://141.218.60.56/~jnz1568/getInfo.php?workbook=09_01.xlsx&amp;sheet=A0&amp;row=57&amp;col=13&amp;number=&amp;sourceID=11","")</f>
        <v/>
      </c>
      <c r="N57" s="4" t="str">
        <f>HYPERLINK("http://141.218.60.56/~jnz1568/getInfo.php?workbook=09_01.xlsx&amp;sheet=A0&amp;row=57&amp;col=14&amp;number=2767100&amp;sourceID=12","2767100")</f>
        <v>2767100</v>
      </c>
      <c r="O57" s="4" t="str">
        <f>HYPERLINK("http://141.218.60.56/~jnz1568/getInfo.php?workbook=09_01.xlsx&amp;sheet=A0&amp;row=57&amp;col=15&amp;number=&amp;sourceID=12","")</f>
        <v/>
      </c>
      <c r="P57" s="4" t="str">
        <f>HYPERLINK("http://141.218.60.56/~jnz1568/getInfo.php?workbook=09_01.xlsx&amp;sheet=A0&amp;row=57&amp;col=16&amp;number=2767100&amp;sourceID=12","2767100")</f>
        <v>2767100</v>
      </c>
      <c r="Q57" s="4" t="str">
        <f>HYPERLINK("http://141.218.60.56/~jnz1568/getInfo.php?workbook=09_01.xlsx&amp;sheet=A0&amp;row=57&amp;col=17&amp;number=&amp;sourceID=12","")</f>
        <v/>
      </c>
      <c r="R57" s="4" t="str">
        <f>HYPERLINK("http://141.218.60.56/~jnz1568/getInfo.php?workbook=09_01.xlsx&amp;sheet=A0&amp;row=57&amp;col=18&amp;number=0.21191&amp;sourceID=12","0.21191")</f>
        <v>0.21191</v>
      </c>
      <c r="S57" s="4" t="str">
        <f>HYPERLINK("http://141.218.60.56/~jnz1568/getInfo.php?workbook=09_01.xlsx&amp;sheet=A0&amp;row=57&amp;col=19&amp;number=&amp;sourceID=12","")</f>
        <v/>
      </c>
      <c r="T57" s="4" t="str">
        <f>HYPERLINK("http://141.218.60.56/~jnz1568/getInfo.php?workbook=09_01.xlsx&amp;sheet=A0&amp;row=57&amp;col=20&amp;number=&amp;sourceID=12","")</f>
        <v/>
      </c>
      <c r="U57" s="4" t="str">
        <f>HYPERLINK("http://141.218.60.56/~jnz1568/getInfo.php?workbook=09_01.xlsx&amp;sheet=A0&amp;row=57&amp;col=21&amp;number=2767000.2119&amp;sourceID=30","2767000.2119")</f>
        <v>2767000.2119</v>
      </c>
      <c r="V57" s="4" t="str">
        <f>HYPERLINK("http://141.218.60.56/~jnz1568/getInfo.php?workbook=09_01.xlsx&amp;sheet=A0&amp;row=57&amp;col=22&amp;number=&amp;sourceID=30","")</f>
        <v/>
      </c>
      <c r="W57" s="4" t="str">
        <f>HYPERLINK("http://141.218.60.56/~jnz1568/getInfo.php?workbook=09_01.xlsx&amp;sheet=A0&amp;row=57&amp;col=23&amp;number=2767000&amp;sourceID=30","2767000")</f>
        <v>2767000</v>
      </c>
      <c r="X57" s="4" t="str">
        <f>HYPERLINK("http://141.218.60.56/~jnz1568/getInfo.php?workbook=09_01.xlsx&amp;sheet=A0&amp;row=57&amp;col=24&amp;number=0.2119&amp;sourceID=30","0.2119")</f>
        <v>0.2119</v>
      </c>
      <c r="Y57" s="4" t="str">
        <f>HYPERLINK("http://141.218.60.56/~jnz1568/getInfo.php?workbook=09_01.xlsx&amp;sheet=A0&amp;row=57&amp;col=25&amp;number=&amp;sourceID=30","")</f>
        <v/>
      </c>
      <c r="Z57" s="4" t="str">
        <f>HYPERLINK("http://141.218.60.56/~jnz1568/getInfo.php?workbook=09_01.xlsx&amp;sheet=A0&amp;row=57&amp;col=26&amp;number==&amp;sourceID=13","=")</f>
        <v>=</v>
      </c>
      <c r="AA57" s="4" t="str">
        <f>HYPERLINK("http://141.218.60.56/~jnz1568/getInfo.php?workbook=09_01.xlsx&amp;sheet=A0&amp;row=57&amp;col=27&amp;number=&amp;sourceID=13","")</f>
        <v/>
      </c>
      <c r="AB57" s="4" t="str">
        <f>HYPERLINK("http://141.218.60.56/~jnz1568/getInfo.php?workbook=09_01.xlsx&amp;sheet=A0&amp;row=57&amp;col=28&amp;number=2680000&amp;sourceID=13","2680000")</f>
        <v>2680000</v>
      </c>
      <c r="AC57" s="4" t="str">
        <f>HYPERLINK("http://141.218.60.56/~jnz1568/getInfo.php?workbook=09_01.xlsx&amp;sheet=A0&amp;row=57&amp;col=29&amp;number=&amp;sourceID=13","")</f>
        <v/>
      </c>
      <c r="AD57" s="4" t="str">
        <f>HYPERLINK("http://141.218.60.56/~jnz1568/getInfo.php?workbook=09_01.xlsx&amp;sheet=A0&amp;row=57&amp;col=30&amp;number=0.464&amp;sourceID=13","0.464")</f>
        <v>0.464</v>
      </c>
      <c r="AE57" s="4" t="str">
        <f>HYPERLINK("http://141.218.60.56/~jnz1568/getInfo.php?workbook=09_01.xlsx&amp;sheet=A0&amp;row=57&amp;col=31&amp;number=&amp;sourceID=13","")</f>
        <v/>
      </c>
    </row>
    <row r="58" spans="1:31">
      <c r="A58" s="3">
        <v>9</v>
      </c>
      <c r="B58" s="3">
        <v>1</v>
      </c>
      <c r="C58" s="3">
        <v>12</v>
      </c>
      <c r="D58" s="3">
        <v>4</v>
      </c>
      <c r="E58" s="3">
        <f>((1/(INDEX(E0!J$4:J$28,C58,1)-INDEX(E0!J$4:J$28,D58,1))))*100000000</f>
        <v>0</v>
      </c>
      <c r="F58" s="4" t="str">
        <f>HYPERLINK("http://141.218.60.56/~jnz1568/getInfo.php?workbook=09_01.xlsx&amp;sheet=A0&amp;row=58&amp;col=6&amp;number=&amp;sourceID=18","")</f>
        <v/>
      </c>
      <c r="G58" s="4" t="str">
        <f>HYPERLINK("http://141.218.60.56/~jnz1568/getInfo.php?workbook=09_01.xlsx&amp;sheet=A0&amp;row=58&amp;col=7&amp;number==&amp;sourceID=11","=")</f>
        <v>=</v>
      </c>
      <c r="H58" s="4" t="str">
        <f>HYPERLINK("http://141.218.60.56/~jnz1568/getInfo.php?workbook=09_01.xlsx&amp;sheet=A0&amp;row=58&amp;col=8&amp;number=22546000000&amp;sourceID=11","22546000000")</f>
        <v>22546000000</v>
      </c>
      <c r="I58" s="4" t="str">
        <f>HYPERLINK("http://141.218.60.56/~jnz1568/getInfo.php?workbook=09_01.xlsx&amp;sheet=A0&amp;row=58&amp;col=9&amp;number=&amp;sourceID=11","")</f>
        <v/>
      </c>
      <c r="J58" s="4" t="str">
        <f>HYPERLINK("http://141.218.60.56/~jnz1568/getInfo.php?workbook=09_01.xlsx&amp;sheet=A0&amp;row=58&amp;col=10&amp;number=0.00086578&amp;sourceID=11","0.00086578")</f>
        <v>0.00086578</v>
      </c>
      <c r="K58" s="4" t="str">
        <f>HYPERLINK("http://141.218.60.56/~jnz1568/getInfo.php?workbook=09_01.xlsx&amp;sheet=A0&amp;row=58&amp;col=11&amp;number=&amp;sourceID=11","")</f>
        <v/>
      </c>
      <c r="L58" s="4" t="str">
        <f>HYPERLINK("http://141.218.60.56/~jnz1568/getInfo.php?workbook=09_01.xlsx&amp;sheet=A0&amp;row=58&amp;col=12&amp;number=&amp;sourceID=11","")</f>
        <v/>
      </c>
      <c r="M58" s="4" t="str">
        <f>HYPERLINK("http://141.218.60.56/~jnz1568/getInfo.php?workbook=09_01.xlsx&amp;sheet=A0&amp;row=58&amp;col=13&amp;number=&amp;sourceID=11","")</f>
        <v/>
      </c>
      <c r="N58" s="4" t="str">
        <f>HYPERLINK("http://141.218.60.56/~jnz1568/getInfo.php?workbook=09_01.xlsx&amp;sheet=A0&amp;row=58&amp;col=14&amp;number=22547000000&amp;sourceID=12","22547000000")</f>
        <v>22547000000</v>
      </c>
      <c r="O58" s="4" t="str">
        <f>HYPERLINK("http://141.218.60.56/~jnz1568/getInfo.php?workbook=09_01.xlsx&amp;sheet=A0&amp;row=58&amp;col=15&amp;number=22547000000&amp;sourceID=12","22547000000")</f>
        <v>22547000000</v>
      </c>
      <c r="P58" s="4" t="str">
        <f>HYPERLINK("http://141.218.60.56/~jnz1568/getInfo.php?workbook=09_01.xlsx&amp;sheet=A0&amp;row=58&amp;col=16&amp;number=&amp;sourceID=12","")</f>
        <v/>
      </c>
      <c r="Q58" s="4" t="str">
        <f>HYPERLINK("http://141.218.60.56/~jnz1568/getInfo.php?workbook=09_01.xlsx&amp;sheet=A0&amp;row=58&amp;col=17&amp;number=0.00086578&amp;sourceID=12","0.00086578")</f>
        <v>0.00086578</v>
      </c>
      <c r="R58" s="4" t="str">
        <f>HYPERLINK("http://141.218.60.56/~jnz1568/getInfo.php?workbook=09_01.xlsx&amp;sheet=A0&amp;row=58&amp;col=18&amp;number=&amp;sourceID=12","")</f>
        <v/>
      </c>
      <c r="S58" s="4" t="str">
        <f>HYPERLINK("http://141.218.60.56/~jnz1568/getInfo.php?workbook=09_01.xlsx&amp;sheet=A0&amp;row=58&amp;col=19&amp;number=&amp;sourceID=12","")</f>
        <v/>
      </c>
      <c r="T58" s="4" t="str">
        <f>HYPERLINK("http://141.218.60.56/~jnz1568/getInfo.php?workbook=09_01.xlsx&amp;sheet=A0&amp;row=58&amp;col=20&amp;number=&amp;sourceID=12","")</f>
        <v/>
      </c>
      <c r="U58" s="4" t="str">
        <f>HYPERLINK("http://141.218.60.56/~jnz1568/getInfo.php?workbook=09_01.xlsx&amp;sheet=A0&amp;row=58&amp;col=21&amp;number=22550000000&amp;sourceID=30","22550000000")</f>
        <v>22550000000</v>
      </c>
      <c r="V58" s="4" t="str">
        <f>HYPERLINK("http://141.218.60.56/~jnz1568/getInfo.php?workbook=09_01.xlsx&amp;sheet=A0&amp;row=58&amp;col=22&amp;number=22550000000&amp;sourceID=30","22550000000")</f>
        <v>22550000000</v>
      </c>
      <c r="W58" s="4" t="str">
        <f>HYPERLINK("http://141.218.60.56/~jnz1568/getInfo.php?workbook=09_01.xlsx&amp;sheet=A0&amp;row=58&amp;col=23&amp;number=&amp;sourceID=30","")</f>
        <v/>
      </c>
      <c r="X58" s="4" t="str">
        <f>HYPERLINK("http://141.218.60.56/~jnz1568/getInfo.php?workbook=09_01.xlsx&amp;sheet=A0&amp;row=58&amp;col=24&amp;number=&amp;sourceID=30","")</f>
        <v/>
      </c>
      <c r="Y58" s="4" t="str">
        <f>HYPERLINK("http://141.218.60.56/~jnz1568/getInfo.php?workbook=09_01.xlsx&amp;sheet=A0&amp;row=58&amp;col=25&amp;number=&amp;sourceID=30","")</f>
        <v/>
      </c>
      <c r="Z58" s="4" t="str">
        <f>HYPERLINK("http://141.218.60.56/~jnz1568/getInfo.php?workbook=09_01.xlsx&amp;sheet=A0&amp;row=58&amp;col=26&amp;number==&amp;sourceID=13","=")</f>
        <v>=</v>
      </c>
      <c r="AA58" s="4" t="str">
        <f>HYPERLINK("http://141.218.60.56/~jnz1568/getInfo.php?workbook=09_01.xlsx&amp;sheet=A0&amp;row=58&amp;col=27&amp;number=22500000000&amp;sourceID=13","22500000000")</f>
        <v>22500000000</v>
      </c>
      <c r="AB58" s="4" t="str">
        <f>HYPERLINK("http://141.218.60.56/~jnz1568/getInfo.php?workbook=09_01.xlsx&amp;sheet=A0&amp;row=58&amp;col=28&amp;number=&amp;sourceID=13","")</f>
        <v/>
      </c>
      <c r="AC58" s="4" t="str">
        <f>HYPERLINK("http://141.218.60.56/~jnz1568/getInfo.php?workbook=09_01.xlsx&amp;sheet=A0&amp;row=58&amp;col=29&amp;number=&amp;sourceID=13","")</f>
        <v/>
      </c>
      <c r="AD58" s="4" t="str">
        <f>HYPERLINK("http://141.218.60.56/~jnz1568/getInfo.php?workbook=09_01.xlsx&amp;sheet=A0&amp;row=58&amp;col=30&amp;number=&amp;sourceID=13","")</f>
        <v/>
      </c>
      <c r="AE58" s="4" t="str">
        <f>HYPERLINK("http://141.218.60.56/~jnz1568/getInfo.php?workbook=09_01.xlsx&amp;sheet=A0&amp;row=58&amp;col=31&amp;number=&amp;sourceID=13","")</f>
        <v/>
      </c>
    </row>
    <row r="59" spans="1:31">
      <c r="A59" s="3">
        <v>9</v>
      </c>
      <c r="B59" s="3">
        <v>1</v>
      </c>
      <c r="C59" s="3">
        <v>12</v>
      </c>
      <c r="D59" s="3">
        <v>5</v>
      </c>
      <c r="E59" s="3">
        <f>((1/(INDEX(E0!J$4:J$28,C59,1)-INDEX(E0!J$4:J$28,D59,1))))*100000000</f>
        <v>0</v>
      </c>
      <c r="F59" s="4" t="str">
        <f>HYPERLINK("http://141.218.60.56/~jnz1568/getInfo.php?workbook=09_01.xlsx&amp;sheet=A0&amp;row=59&amp;col=6&amp;number=&amp;sourceID=18","")</f>
        <v/>
      </c>
      <c r="G59" s="4" t="str">
        <f>HYPERLINK("http://141.218.60.56/~jnz1568/getInfo.php?workbook=09_01.xlsx&amp;sheet=A0&amp;row=59&amp;col=7&amp;number==&amp;sourceID=11","=")</f>
        <v>=</v>
      </c>
      <c r="H59" s="4" t="str">
        <f>HYPERLINK("http://141.218.60.56/~jnz1568/getInfo.php?workbook=09_01.xlsx&amp;sheet=A0&amp;row=59&amp;col=8&amp;number=38500000000&amp;sourceID=11","38500000000")</f>
        <v>38500000000</v>
      </c>
      <c r="I59" s="4" t="str">
        <f>HYPERLINK("http://141.218.60.56/~jnz1568/getInfo.php?workbook=09_01.xlsx&amp;sheet=A0&amp;row=59&amp;col=9&amp;number=&amp;sourceID=11","")</f>
        <v/>
      </c>
      <c r="J59" s="4" t="str">
        <f>HYPERLINK("http://141.218.60.56/~jnz1568/getInfo.php?workbook=09_01.xlsx&amp;sheet=A0&amp;row=59&amp;col=10&amp;number=&amp;sourceID=11","")</f>
        <v/>
      </c>
      <c r="K59" s="4" t="str">
        <f>HYPERLINK("http://141.218.60.56/~jnz1568/getInfo.php?workbook=09_01.xlsx&amp;sheet=A0&amp;row=59&amp;col=11&amp;number=&amp;sourceID=11","")</f>
        <v/>
      </c>
      <c r="L59" s="4" t="str">
        <f>HYPERLINK("http://141.218.60.56/~jnz1568/getInfo.php?workbook=09_01.xlsx&amp;sheet=A0&amp;row=59&amp;col=12&amp;number=3.1856&amp;sourceID=11","3.1856")</f>
        <v>3.1856</v>
      </c>
      <c r="M59" s="4" t="str">
        <f>HYPERLINK("http://141.218.60.56/~jnz1568/getInfo.php?workbook=09_01.xlsx&amp;sheet=A0&amp;row=59&amp;col=13&amp;number=&amp;sourceID=11","")</f>
        <v/>
      </c>
      <c r="N59" s="4" t="str">
        <f>HYPERLINK("http://141.218.60.56/~jnz1568/getInfo.php?workbook=09_01.xlsx&amp;sheet=A0&amp;row=59&amp;col=14&amp;number=38501000000&amp;sourceID=12","38501000000")</f>
        <v>38501000000</v>
      </c>
      <c r="O59" s="4" t="str">
        <f>HYPERLINK("http://141.218.60.56/~jnz1568/getInfo.php?workbook=09_01.xlsx&amp;sheet=A0&amp;row=59&amp;col=15&amp;number=38501000000&amp;sourceID=12","38501000000")</f>
        <v>38501000000</v>
      </c>
      <c r="P59" s="4" t="str">
        <f>HYPERLINK("http://141.218.60.56/~jnz1568/getInfo.php?workbook=09_01.xlsx&amp;sheet=A0&amp;row=59&amp;col=16&amp;number=&amp;sourceID=12","")</f>
        <v/>
      </c>
      <c r="Q59" s="4" t="str">
        <f>HYPERLINK("http://141.218.60.56/~jnz1568/getInfo.php?workbook=09_01.xlsx&amp;sheet=A0&amp;row=59&amp;col=17&amp;number=&amp;sourceID=12","")</f>
        <v/>
      </c>
      <c r="R59" s="4" t="str">
        <f>HYPERLINK("http://141.218.60.56/~jnz1568/getInfo.php?workbook=09_01.xlsx&amp;sheet=A0&amp;row=59&amp;col=18&amp;number=&amp;sourceID=12","")</f>
        <v/>
      </c>
      <c r="S59" s="4" t="str">
        <f>HYPERLINK("http://141.218.60.56/~jnz1568/getInfo.php?workbook=09_01.xlsx&amp;sheet=A0&amp;row=59&amp;col=19&amp;number=3.1857&amp;sourceID=12","3.1857")</f>
        <v>3.1857</v>
      </c>
      <c r="T59" s="4" t="str">
        <f>HYPERLINK("http://141.218.60.56/~jnz1568/getInfo.php?workbook=09_01.xlsx&amp;sheet=A0&amp;row=59&amp;col=20&amp;number=&amp;sourceID=12","")</f>
        <v/>
      </c>
      <c r="U59" s="4" t="str">
        <f>HYPERLINK("http://141.218.60.56/~jnz1568/getInfo.php?workbook=09_01.xlsx&amp;sheet=A0&amp;row=59&amp;col=21&amp;number=38500000003.2&amp;sourceID=30","38500000003.2")</f>
        <v>38500000003.2</v>
      </c>
      <c r="V59" s="4" t="str">
        <f>HYPERLINK("http://141.218.60.56/~jnz1568/getInfo.php?workbook=09_01.xlsx&amp;sheet=A0&amp;row=59&amp;col=22&amp;number=38500000000&amp;sourceID=30","38500000000")</f>
        <v>38500000000</v>
      </c>
      <c r="W59" s="4" t="str">
        <f>HYPERLINK("http://141.218.60.56/~jnz1568/getInfo.php?workbook=09_01.xlsx&amp;sheet=A0&amp;row=59&amp;col=23&amp;number=&amp;sourceID=30","")</f>
        <v/>
      </c>
      <c r="X59" s="4" t="str">
        <f>HYPERLINK("http://141.218.60.56/~jnz1568/getInfo.php?workbook=09_01.xlsx&amp;sheet=A0&amp;row=59&amp;col=24&amp;number=&amp;sourceID=30","")</f>
        <v/>
      </c>
      <c r="Y59" s="4" t="str">
        <f>HYPERLINK("http://141.218.60.56/~jnz1568/getInfo.php?workbook=09_01.xlsx&amp;sheet=A0&amp;row=59&amp;col=25&amp;number=3.186&amp;sourceID=30","3.186")</f>
        <v>3.186</v>
      </c>
      <c r="Z59" s="4" t="str">
        <f>HYPERLINK("http://141.218.60.56/~jnz1568/getInfo.php?workbook=09_01.xlsx&amp;sheet=A0&amp;row=59&amp;col=26&amp;number==&amp;sourceID=13","=")</f>
        <v>=</v>
      </c>
      <c r="AA59" s="4" t="str">
        <f>HYPERLINK("http://141.218.60.56/~jnz1568/getInfo.php?workbook=09_01.xlsx&amp;sheet=A0&amp;row=59&amp;col=27&amp;number=38400000000&amp;sourceID=13","38400000000")</f>
        <v>38400000000</v>
      </c>
      <c r="AB59" s="4" t="str">
        <f>HYPERLINK("http://141.218.60.56/~jnz1568/getInfo.php?workbook=09_01.xlsx&amp;sheet=A0&amp;row=59&amp;col=28&amp;number=&amp;sourceID=13","")</f>
        <v/>
      </c>
      <c r="AC59" s="4" t="str">
        <f>HYPERLINK("http://141.218.60.56/~jnz1568/getInfo.php?workbook=09_01.xlsx&amp;sheet=A0&amp;row=59&amp;col=29&amp;number=&amp;sourceID=13","")</f>
        <v/>
      </c>
      <c r="AD59" s="4" t="str">
        <f>HYPERLINK("http://141.218.60.56/~jnz1568/getInfo.php?workbook=09_01.xlsx&amp;sheet=A0&amp;row=59&amp;col=30&amp;number=&amp;sourceID=13","")</f>
        <v/>
      </c>
      <c r="AE59" s="4" t="str">
        <f>HYPERLINK("http://141.218.60.56/~jnz1568/getInfo.php?workbook=09_01.xlsx&amp;sheet=A0&amp;row=59&amp;col=31&amp;number=&amp;sourceID=13","")</f>
        <v/>
      </c>
    </row>
    <row r="60" spans="1:31">
      <c r="A60" s="3">
        <v>9</v>
      </c>
      <c r="B60" s="3">
        <v>1</v>
      </c>
      <c r="C60" s="3">
        <v>12</v>
      </c>
      <c r="D60" s="3">
        <v>6</v>
      </c>
      <c r="E60" s="3">
        <f>((1/(INDEX(E0!J$4:J$28,C60,1)-INDEX(E0!J$4:J$28,D60,1))))*100000000</f>
        <v>0</v>
      </c>
      <c r="F60" s="4" t="str">
        <f>HYPERLINK("http://141.218.60.56/~jnz1568/getInfo.php?workbook=09_01.xlsx&amp;sheet=A0&amp;row=60&amp;col=6&amp;number=&amp;sourceID=18","")</f>
        <v/>
      </c>
      <c r="G60" s="4" t="str">
        <f>HYPERLINK("http://141.218.60.56/~jnz1568/getInfo.php?workbook=09_01.xlsx&amp;sheet=A0&amp;row=60&amp;col=7&amp;number==&amp;sourceID=11","=")</f>
        <v>=</v>
      </c>
      <c r="H60" s="4" t="str">
        <f>HYPERLINK("http://141.218.60.56/~jnz1568/getInfo.php?workbook=09_01.xlsx&amp;sheet=A0&amp;row=60&amp;col=8&amp;number=&amp;sourceID=11","")</f>
        <v/>
      </c>
      <c r="I60" s="4" t="str">
        <f>HYPERLINK("http://141.218.60.56/~jnz1568/getInfo.php?workbook=09_01.xlsx&amp;sheet=A0&amp;row=60&amp;col=9&amp;number=2007500&amp;sourceID=11","2007500")</f>
        <v>2007500</v>
      </c>
      <c r="J60" s="4" t="str">
        <f>HYPERLINK("http://141.218.60.56/~jnz1568/getInfo.php?workbook=09_01.xlsx&amp;sheet=A0&amp;row=60&amp;col=10&amp;number=&amp;sourceID=11","")</f>
        <v/>
      </c>
      <c r="K60" s="4" t="str">
        <f>HYPERLINK("http://141.218.60.56/~jnz1568/getInfo.php?workbook=09_01.xlsx&amp;sheet=A0&amp;row=60&amp;col=11&amp;number=0.0018911&amp;sourceID=11","0.0018911")</f>
        <v>0.0018911</v>
      </c>
      <c r="L60" s="4" t="str">
        <f>HYPERLINK("http://141.218.60.56/~jnz1568/getInfo.php?workbook=09_01.xlsx&amp;sheet=A0&amp;row=60&amp;col=12&amp;number=&amp;sourceID=11","")</f>
        <v/>
      </c>
      <c r="M60" s="4" t="str">
        <f>HYPERLINK("http://141.218.60.56/~jnz1568/getInfo.php?workbook=09_01.xlsx&amp;sheet=A0&amp;row=60&amp;col=13&amp;number=&amp;sourceID=11","")</f>
        <v/>
      </c>
      <c r="N60" s="4" t="str">
        <f>HYPERLINK("http://141.218.60.56/~jnz1568/getInfo.php?workbook=09_01.xlsx&amp;sheet=A0&amp;row=60&amp;col=14&amp;number=2007600&amp;sourceID=12","2007600")</f>
        <v>2007600</v>
      </c>
      <c r="O60" s="4" t="str">
        <f>HYPERLINK("http://141.218.60.56/~jnz1568/getInfo.php?workbook=09_01.xlsx&amp;sheet=A0&amp;row=60&amp;col=15&amp;number=&amp;sourceID=12","")</f>
        <v/>
      </c>
      <c r="P60" s="4" t="str">
        <f>HYPERLINK("http://141.218.60.56/~jnz1568/getInfo.php?workbook=09_01.xlsx&amp;sheet=A0&amp;row=60&amp;col=16&amp;number=2007600&amp;sourceID=12","2007600")</f>
        <v>2007600</v>
      </c>
      <c r="Q60" s="4" t="str">
        <f>HYPERLINK("http://141.218.60.56/~jnz1568/getInfo.php?workbook=09_01.xlsx&amp;sheet=A0&amp;row=60&amp;col=17&amp;number=&amp;sourceID=12","")</f>
        <v/>
      </c>
      <c r="R60" s="4" t="str">
        <f>HYPERLINK("http://141.218.60.56/~jnz1568/getInfo.php?workbook=09_01.xlsx&amp;sheet=A0&amp;row=60&amp;col=18&amp;number=0.0018912&amp;sourceID=12","0.0018912")</f>
        <v>0.0018912</v>
      </c>
      <c r="S60" s="4" t="str">
        <f>HYPERLINK("http://141.218.60.56/~jnz1568/getInfo.php?workbook=09_01.xlsx&amp;sheet=A0&amp;row=60&amp;col=19&amp;number=&amp;sourceID=12","")</f>
        <v/>
      </c>
      <c r="T60" s="4" t="str">
        <f>HYPERLINK("http://141.218.60.56/~jnz1568/getInfo.php?workbook=09_01.xlsx&amp;sheet=A0&amp;row=60&amp;col=20&amp;number=&amp;sourceID=12","")</f>
        <v/>
      </c>
      <c r="U60" s="4" t="str">
        <f>HYPERLINK("http://141.218.60.56/~jnz1568/getInfo.php?workbook=09_01.xlsx&amp;sheet=A0&amp;row=60&amp;col=21&amp;number=2008000.00189&amp;sourceID=30","2008000.00189")</f>
        <v>2008000.00189</v>
      </c>
      <c r="V60" s="4" t="str">
        <f>HYPERLINK("http://141.218.60.56/~jnz1568/getInfo.php?workbook=09_01.xlsx&amp;sheet=A0&amp;row=60&amp;col=22&amp;number=&amp;sourceID=30","")</f>
        <v/>
      </c>
      <c r="W60" s="4" t="str">
        <f>HYPERLINK("http://141.218.60.56/~jnz1568/getInfo.php?workbook=09_01.xlsx&amp;sheet=A0&amp;row=60&amp;col=23&amp;number=2008000&amp;sourceID=30","2008000")</f>
        <v>2008000</v>
      </c>
      <c r="X60" s="4" t="str">
        <f>HYPERLINK("http://141.218.60.56/~jnz1568/getInfo.php?workbook=09_01.xlsx&amp;sheet=A0&amp;row=60&amp;col=24&amp;number=0.00189&amp;sourceID=30","0.00189")</f>
        <v>0.00189</v>
      </c>
      <c r="Y60" s="4" t="str">
        <f>HYPERLINK("http://141.218.60.56/~jnz1568/getInfo.php?workbook=09_01.xlsx&amp;sheet=A0&amp;row=60&amp;col=25&amp;number=&amp;sourceID=30","")</f>
        <v/>
      </c>
      <c r="Z60" s="4" t="str">
        <f>HYPERLINK("http://141.218.60.56/~jnz1568/getInfo.php?workbook=09_01.xlsx&amp;sheet=A0&amp;row=60&amp;col=26&amp;number==&amp;sourceID=13","=")</f>
        <v>=</v>
      </c>
      <c r="AA60" s="4" t="str">
        <f>HYPERLINK("http://141.218.60.56/~jnz1568/getInfo.php?workbook=09_01.xlsx&amp;sheet=A0&amp;row=60&amp;col=27&amp;number=&amp;sourceID=13","")</f>
        <v/>
      </c>
      <c r="AB60" s="4" t="str">
        <f>HYPERLINK("http://141.218.60.56/~jnz1568/getInfo.php?workbook=09_01.xlsx&amp;sheet=A0&amp;row=60&amp;col=28&amp;number=2000000&amp;sourceID=13","2000000")</f>
        <v>2000000</v>
      </c>
      <c r="AC60" s="4" t="str">
        <f>HYPERLINK("http://141.218.60.56/~jnz1568/getInfo.php?workbook=09_01.xlsx&amp;sheet=A0&amp;row=60&amp;col=29&amp;number=&amp;sourceID=13","")</f>
        <v/>
      </c>
      <c r="AD60" s="4" t="str">
        <f>HYPERLINK("http://141.218.60.56/~jnz1568/getInfo.php?workbook=09_01.xlsx&amp;sheet=A0&amp;row=60&amp;col=30&amp;number=0.003&amp;sourceID=13","0.003")</f>
        <v>0.003</v>
      </c>
      <c r="AE60" s="4" t="str">
        <f>HYPERLINK("http://141.218.60.56/~jnz1568/getInfo.php?workbook=09_01.xlsx&amp;sheet=A0&amp;row=60&amp;col=31&amp;number=&amp;sourceID=13","")</f>
        <v/>
      </c>
    </row>
    <row r="61" spans="1:31">
      <c r="A61" s="3">
        <v>9</v>
      </c>
      <c r="B61" s="3">
        <v>1</v>
      </c>
      <c r="C61" s="3">
        <v>12</v>
      </c>
      <c r="D61" s="3">
        <v>7</v>
      </c>
      <c r="E61" s="3">
        <f>((1/(INDEX(E0!J$4:J$28,C61,1)-INDEX(E0!J$4:J$28,D61,1))))*100000000</f>
        <v>0</v>
      </c>
      <c r="F61" s="4" t="str">
        <f>HYPERLINK("http://141.218.60.56/~jnz1568/getInfo.php?workbook=09_01.xlsx&amp;sheet=A0&amp;row=61&amp;col=6&amp;number=&amp;sourceID=18","")</f>
        <v/>
      </c>
      <c r="G61" s="4" t="str">
        <f>HYPERLINK("http://141.218.60.56/~jnz1568/getInfo.php?workbook=09_01.xlsx&amp;sheet=A0&amp;row=61&amp;col=7&amp;number==&amp;sourceID=11","=")</f>
        <v>=</v>
      </c>
      <c r="H61" s="4" t="str">
        <f>HYPERLINK("http://141.218.60.56/~jnz1568/getInfo.php?workbook=09_01.xlsx&amp;sheet=A0&amp;row=61&amp;col=8&amp;number=&amp;sourceID=11","")</f>
        <v/>
      </c>
      <c r="I61" s="4" t="str">
        <f>HYPERLINK("http://141.218.60.56/~jnz1568/getInfo.php?workbook=09_01.xlsx&amp;sheet=A0&amp;row=61&amp;col=9&amp;number=443010&amp;sourceID=11","443010")</f>
        <v>443010</v>
      </c>
      <c r="J61" s="4" t="str">
        <f>HYPERLINK("http://141.218.60.56/~jnz1568/getInfo.php?workbook=09_01.xlsx&amp;sheet=A0&amp;row=61&amp;col=10&amp;number=&amp;sourceID=11","")</f>
        <v/>
      </c>
      <c r="K61" s="4" t="str">
        <f>HYPERLINK("http://141.218.60.56/~jnz1568/getInfo.php?workbook=09_01.xlsx&amp;sheet=A0&amp;row=61&amp;col=11&amp;number=0.063704&amp;sourceID=11","0.063704")</f>
        <v>0.063704</v>
      </c>
      <c r="L61" s="4" t="str">
        <f>HYPERLINK("http://141.218.60.56/~jnz1568/getInfo.php?workbook=09_01.xlsx&amp;sheet=A0&amp;row=61&amp;col=12&amp;number=&amp;sourceID=11","")</f>
        <v/>
      </c>
      <c r="M61" s="4" t="str">
        <f>HYPERLINK("http://141.218.60.56/~jnz1568/getInfo.php?workbook=09_01.xlsx&amp;sheet=A0&amp;row=61&amp;col=13&amp;number=3.9772e-05&amp;sourceID=11","3.9772e-05")</f>
        <v>3.9772e-05</v>
      </c>
      <c r="N61" s="4" t="str">
        <f>HYPERLINK("http://141.218.60.56/~jnz1568/getInfo.php?workbook=09_01.xlsx&amp;sheet=A0&amp;row=61&amp;col=14&amp;number=443020&amp;sourceID=12","443020")</f>
        <v>443020</v>
      </c>
      <c r="O61" s="4" t="str">
        <f>HYPERLINK("http://141.218.60.56/~jnz1568/getInfo.php?workbook=09_01.xlsx&amp;sheet=A0&amp;row=61&amp;col=15&amp;number=&amp;sourceID=12","")</f>
        <v/>
      </c>
      <c r="P61" s="4" t="str">
        <f>HYPERLINK("http://141.218.60.56/~jnz1568/getInfo.php?workbook=09_01.xlsx&amp;sheet=A0&amp;row=61&amp;col=16&amp;number=443020&amp;sourceID=12","443020")</f>
        <v>443020</v>
      </c>
      <c r="Q61" s="4" t="str">
        <f>HYPERLINK("http://141.218.60.56/~jnz1568/getInfo.php?workbook=09_01.xlsx&amp;sheet=A0&amp;row=61&amp;col=17&amp;number=&amp;sourceID=12","")</f>
        <v/>
      </c>
      <c r="R61" s="4" t="str">
        <f>HYPERLINK("http://141.218.60.56/~jnz1568/getInfo.php?workbook=09_01.xlsx&amp;sheet=A0&amp;row=61&amp;col=18&amp;number=0.063706&amp;sourceID=12","0.063706")</f>
        <v>0.063706</v>
      </c>
      <c r="S61" s="4" t="str">
        <f>HYPERLINK("http://141.218.60.56/~jnz1568/getInfo.php?workbook=09_01.xlsx&amp;sheet=A0&amp;row=61&amp;col=19&amp;number=&amp;sourceID=12","")</f>
        <v/>
      </c>
      <c r="T61" s="4" t="str">
        <f>HYPERLINK("http://141.218.60.56/~jnz1568/getInfo.php?workbook=09_01.xlsx&amp;sheet=A0&amp;row=61&amp;col=20&amp;number=3.9773e-05&amp;sourceID=12","3.9773e-05")</f>
        <v>3.9773e-05</v>
      </c>
      <c r="U61" s="4" t="str">
        <f>HYPERLINK("http://141.218.60.56/~jnz1568/getInfo.php?workbook=09_01.xlsx&amp;sheet=A0&amp;row=61&amp;col=21&amp;number=443000.06372&amp;sourceID=30","443000.06372")</f>
        <v>443000.06372</v>
      </c>
      <c r="V61" s="4" t="str">
        <f>HYPERLINK("http://141.218.60.56/~jnz1568/getInfo.php?workbook=09_01.xlsx&amp;sheet=A0&amp;row=61&amp;col=22&amp;number=&amp;sourceID=30","")</f>
        <v/>
      </c>
      <c r="W61" s="4" t="str">
        <f>HYPERLINK("http://141.218.60.56/~jnz1568/getInfo.php?workbook=09_01.xlsx&amp;sheet=A0&amp;row=61&amp;col=23&amp;number=443000&amp;sourceID=30","443000")</f>
        <v>443000</v>
      </c>
      <c r="X61" s="4" t="str">
        <f>HYPERLINK("http://141.218.60.56/~jnz1568/getInfo.php?workbook=09_01.xlsx&amp;sheet=A0&amp;row=61&amp;col=24&amp;number=0.06372&amp;sourceID=30","0.06372")</f>
        <v>0.06372</v>
      </c>
      <c r="Y61" s="4" t="str">
        <f>HYPERLINK("http://141.218.60.56/~jnz1568/getInfo.php?workbook=09_01.xlsx&amp;sheet=A0&amp;row=61&amp;col=25&amp;number=&amp;sourceID=30","")</f>
        <v/>
      </c>
      <c r="Z61" s="4" t="str">
        <f>HYPERLINK("http://141.218.60.56/~jnz1568/getInfo.php?workbook=09_01.xlsx&amp;sheet=A0&amp;row=61&amp;col=26&amp;number==&amp;sourceID=13","=")</f>
        <v>=</v>
      </c>
      <c r="AA61" s="4" t="str">
        <f>HYPERLINK("http://141.218.60.56/~jnz1568/getInfo.php?workbook=09_01.xlsx&amp;sheet=A0&amp;row=61&amp;col=27&amp;number=&amp;sourceID=13","")</f>
        <v/>
      </c>
      <c r="AB61" s="4" t="str">
        <f>HYPERLINK("http://141.218.60.56/~jnz1568/getInfo.php?workbook=09_01.xlsx&amp;sheet=A0&amp;row=61&amp;col=28&amp;number=442000&amp;sourceID=13","442000")</f>
        <v>442000</v>
      </c>
      <c r="AC61" s="4" t="str">
        <f>HYPERLINK("http://141.218.60.56/~jnz1568/getInfo.php?workbook=09_01.xlsx&amp;sheet=A0&amp;row=61&amp;col=29&amp;number=&amp;sourceID=13","")</f>
        <v/>
      </c>
      <c r="AD61" s="4" t="str">
        <f>HYPERLINK("http://141.218.60.56/~jnz1568/getInfo.php?workbook=09_01.xlsx&amp;sheet=A0&amp;row=61&amp;col=30&amp;number=0.0636&amp;sourceID=13","0.0636")</f>
        <v>0.0636</v>
      </c>
      <c r="AE61" s="4" t="str">
        <f>HYPERLINK("http://141.218.60.56/~jnz1568/getInfo.php?workbook=09_01.xlsx&amp;sheet=A0&amp;row=61&amp;col=31&amp;number=&amp;sourceID=13","")</f>
        <v/>
      </c>
    </row>
    <row r="62" spans="1:31">
      <c r="A62" s="3">
        <v>9</v>
      </c>
      <c r="B62" s="3">
        <v>1</v>
      </c>
      <c r="C62" s="3">
        <v>12</v>
      </c>
      <c r="D62" s="3">
        <v>8</v>
      </c>
      <c r="E62" s="3">
        <f>((1/(INDEX(E0!J$4:J$28,C62,1)-INDEX(E0!J$4:J$28,D62,1))))*100000000</f>
        <v>0</v>
      </c>
      <c r="F62" s="4" t="str">
        <f>HYPERLINK("http://141.218.60.56/~jnz1568/getInfo.php?workbook=09_01.xlsx&amp;sheet=A0&amp;row=62&amp;col=6&amp;number=&amp;sourceID=18","")</f>
        <v/>
      </c>
      <c r="G62" s="4" t="str">
        <f>HYPERLINK("http://141.218.60.56/~jnz1568/getInfo.php?workbook=09_01.xlsx&amp;sheet=A0&amp;row=62&amp;col=7&amp;number==&amp;sourceID=11","=")</f>
        <v>=</v>
      </c>
      <c r="H62" s="4" t="str">
        <f>HYPERLINK("http://141.218.60.56/~jnz1568/getInfo.php?workbook=09_01.xlsx&amp;sheet=A0&amp;row=62&amp;col=8&amp;number=7704300000&amp;sourceID=11","7704300000")</f>
        <v>7704300000</v>
      </c>
      <c r="I62" s="4" t="str">
        <f>HYPERLINK("http://141.218.60.56/~jnz1568/getInfo.php?workbook=09_01.xlsx&amp;sheet=A0&amp;row=62&amp;col=9&amp;number=&amp;sourceID=11","")</f>
        <v/>
      </c>
      <c r="J62" s="4" t="str">
        <f>HYPERLINK("http://141.218.60.56/~jnz1568/getInfo.php?workbook=09_01.xlsx&amp;sheet=A0&amp;row=62&amp;col=10&amp;number=54.165&amp;sourceID=11","54.165")</f>
        <v>54.165</v>
      </c>
      <c r="K62" s="4" t="str">
        <f>HYPERLINK("http://141.218.60.56/~jnz1568/getInfo.php?workbook=09_01.xlsx&amp;sheet=A0&amp;row=62&amp;col=11&amp;number=&amp;sourceID=11","")</f>
        <v/>
      </c>
      <c r="L62" s="4" t="str">
        <f>HYPERLINK("http://141.218.60.56/~jnz1568/getInfo.php?workbook=09_01.xlsx&amp;sheet=A0&amp;row=62&amp;col=12&amp;number=&amp;sourceID=11","")</f>
        <v/>
      </c>
      <c r="M62" s="4" t="str">
        <f>HYPERLINK("http://141.218.60.56/~jnz1568/getInfo.php?workbook=09_01.xlsx&amp;sheet=A0&amp;row=62&amp;col=13&amp;number=&amp;sourceID=11","")</f>
        <v/>
      </c>
      <c r="N62" s="4" t="str">
        <f>HYPERLINK("http://141.218.60.56/~jnz1568/getInfo.php?workbook=09_01.xlsx&amp;sheet=A0&amp;row=62&amp;col=14&amp;number=7704500000&amp;sourceID=12","7704500000")</f>
        <v>7704500000</v>
      </c>
      <c r="O62" s="4" t="str">
        <f>HYPERLINK("http://141.218.60.56/~jnz1568/getInfo.php?workbook=09_01.xlsx&amp;sheet=A0&amp;row=62&amp;col=15&amp;number=7704500000&amp;sourceID=12","7704500000")</f>
        <v>7704500000</v>
      </c>
      <c r="P62" s="4" t="str">
        <f>HYPERLINK("http://141.218.60.56/~jnz1568/getInfo.php?workbook=09_01.xlsx&amp;sheet=A0&amp;row=62&amp;col=16&amp;number=&amp;sourceID=12","")</f>
        <v/>
      </c>
      <c r="Q62" s="4" t="str">
        <f>HYPERLINK("http://141.218.60.56/~jnz1568/getInfo.php?workbook=09_01.xlsx&amp;sheet=A0&amp;row=62&amp;col=17&amp;number=54.166&amp;sourceID=12","54.166")</f>
        <v>54.166</v>
      </c>
      <c r="R62" s="4" t="str">
        <f>HYPERLINK("http://141.218.60.56/~jnz1568/getInfo.php?workbook=09_01.xlsx&amp;sheet=A0&amp;row=62&amp;col=18&amp;number=&amp;sourceID=12","")</f>
        <v/>
      </c>
      <c r="S62" s="4" t="str">
        <f>HYPERLINK("http://141.218.60.56/~jnz1568/getInfo.php?workbook=09_01.xlsx&amp;sheet=A0&amp;row=62&amp;col=19&amp;number=&amp;sourceID=12","")</f>
        <v/>
      </c>
      <c r="T62" s="4" t="str">
        <f>HYPERLINK("http://141.218.60.56/~jnz1568/getInfo.php?workbook=09_01.xlsx&amp;sheet=A0&amp;row=62&amp;col=20&amp;number=&amp;sourceID=12","")</f>
        <v/>
      </c>
      <c r="U62" s="4" t="str">
        <f>HYPERLINK("http://141.218.60.56/~jnz1568/getInfo.php?workbook=09_01.xlsx&amp;sheet=A0&amp;row=62&amp;col=21&amp;number=7705000000&amp;sourceID=30","7705000000")</f>
        <v>7705000000</v>
      </c>
      <c r="V62" s="4" t="str">
        <f>HYPERLINK("http://141.218.60.56/~jnz1568/getInfo.php?workbook=09_01.xlsx&amp;sheet=A0&amp;row=62&amp;col=22&amp;number=7705000000&amp;sourceID=30","7705000000")</f>
        <v>7705000000</v>
      </c>
      <c r="W62" s="4" t="str">
        <f>HYPERLINK("http://141.218.60.56/~jnz1568/getInfo.php?workbook=09_01.xlsx&amp;sheet=A0&amp;row=62&amp;col=23&amp;number=&amp;sourceID=30","")</f>
        <v/>
      </c>
      <c r="X62" s="4" t="str">
        <f>HYPERLINK("http://141.218.60.56/~jnz1568/getInfo.php?workbook=09_01.xlsx&amp;sheet=A0&amp;row=62&amp;col=24&amp;number=&amp;sourceID=30","")</f>
        <v/>
      </c>
      <c r="Y62" s="4" t="str">
        <f>HYPERLINK("http://141.218.60.56/~jnz1568/getInfo.php?workbook=09_01.xlsx&amp;sheet=A0&amp;row=62&amp;col=25&amp;number=&amp;sourceID=30","")</f>
        <v/>
      </c>
      <c r="Z62" s="4" t="str">
        <f>HYPERLINK("http://141.218.60.56/~jnz1568/getInfo.php?workbook=09_01.xlsx&amp;sheet=A0&amp;row=62&amp;col=26&amp;number==&amp;sourceID=13","=")</f>
        <v>=</v>
      </c>
      <c r="AA62" s="4" t="str">
        <f>HYPERLINK("http://141.218.60.56/~jnz1568/getInfo.php?workbook=09_01.xlsx&amp;sheet=A0&amp;row=62&amp;col=27&amp;number=7690000000&amp;sourceID=13","7690000000")</f>
        <v>7690000000</v>
      </c>
      <c r="AB62" s="4" t="str">
        <f>HYPERLINK("http://141.218.60.56/~jnz1568/getInfo.php?workbook=09_01.xlsx&amp;sheet=A0&amp;row=62&amp;col=28&amp;number=&amp;sourceID=13","")</f>
        <v/>
      </c>
      <c r="AC62" s="4" t="str">
        <f>HYPERLINK("http://141.218.60.56/~jnz1568/getInfo.php?workbook=09_01.xlsx&amp;sheet=A0&amp;row=62&amp;col=29&amp;number=&amp;sourceID=13","")</f>
        <v/>
      </c>
      <c r="AD62" s="4" t="str">
        <f>HYPERLINK("http://141.218.60.56/~jnz1568/getInfo.php?workbook=09_01.xlsx&amp;sheet=A0&amp;row=62&amp;col=30&amp;number=&amp;sourceID=13","")</f>
        <v/>
      </c>
      <c r="AE62" s="4" t="str">
        <f>HYPERLINK("http://141.218.60.56/~jnz1568/getInfo.php?workbook=09_01.xlsx&amp;sheet=A0&amp;row=62&amp;col=31&amp;number=&amp;sourceID=13","")</f>
        <v/>
      </c>
    </row>
    <row r="63" spans="1:31">
      <c r="A63" s="3">
        <v>9</v>
      </c>
      <c r="B63" s="3">
        <v>1</v>
      </c>
      <c r="C63" s="3">
        <v>12</v>
      </c>
      <c r="D63" s="3">
        <v>9</v>
      </c>
      <c r="E63" s="3">
        <f>((1/(INDEX(E0!J$4:J$28,C63,1)-INDEX(E0!J$4:J$28,D63,1))))*100000000</f>
        <v>0</v>
      </c>
      <c r="F63" s="4" t="str">
        <f>HYPERLINK("http://141.218.60.56/~jnz1568/getInfo.php?workbook=09_01.xlsx&amp;sheet=A0&amp;row=63&amp;col=6&amp;number=&amp;sourceID=18","")</f>
        <v/>
      </c>
      <c r="G63" s="4" t="str">
        <f>HYPERLINK("http://141.218.60.56/~jnz1568/getInfo.php?workbook=09_01.xlsx&amp;sheet=A0&amp;row=63&amp;col=7&amp;number==&amp;sourceID=11","=")</f>
        <v>=</v>
      </c>
      <c r="H63" s="4" t="str">
        <f>HYPERLINK("http://141.218.60.56/~jnz1568/getInfo.php?workbook=09_01.xlsx&amp;sheet=A0&amp;row=63&amp;col=8&amp;number=&amp;sourceID=11","")</f>
        <v/>
      </c>
      <c r="I63" s="4" t="str">
        <f>HYPERLINK("http://141.218.60.56/~jnz1568/getInfo.php?workbook=09_01.xlsx&amp;sheet=A0&amp;row=63&amp;col=9&amp;number=189740&amp;sourceID=11","189740")</f>
        <v>189740</v>
      </c>
      <c r="J63" s="4" t="str">
        <f>HYPERLINK("http://141.218.60.56/~jnz1568/getInfo.php?workbook=09_01.xlsx&amp;sheet=A0&amp;row=63&amp;col=10&amp;number=&amp;sourceID=11","")</f>
        <v/>
      </c>
      <c r="K63" s="4" t="str">
        <f>HYPERLINK("http://141.218.60.56/~jnz1568/getInfo.php?workbook=09_01.xlsx&amp;sheet=A0&amp;row=63&amp;col=11&amp;number=0.19&amp;sourceID=11","0.19")</f>
        <v>0.19</v>
      </c>
      <c r="L63" s="4" t="str">
        <f>HYPERLINK("http://141.218.60.56/~jnz1568/getInfo.php?workbook=09_01.xlsx&amp;sheet=A0&amp;row=63&amp;col=12&amp;number=&amp;sourceID=11","")</f>
        <v/>
      </c>
      <c r="M63" s="4" t="str">
        <f>HYPERLINK("http://141.218.60.56/~jnz1568/getInfo.php?workbook=09_01.xlsx&amp;sheet=A0&amp;row=63&amp;col=13&amp;number=2.6476e-05&amp;sourceID=11","2.6476e-05")</f>
        <v>2.6476e-05</v>
      </c>
      <c r="N63" s="4" t="str">
        <f>HYPERLINK("http://141.218.60.56/~jnz1568/getInfo.php?workbook=09_01.xlsx&amp;sheet=A0&amp;row=63&amp;col=14&amp;number=189750&amp;sourceID=12","189750")</f>
        <v>189750</v>
      </c>
      <c r="O63" s="4" t="str">
        <f>HYPERLINK("http://141.218.60.56/~jnz1568/getInfo.php?workbook=09_01.xlsx&amp;sheet=A0&amp;row=63&amp;col=15&amp;number=&amp;sourceID=12","")</f>
        <v/>
      </c>
      <c r="P63" s="4" t="str">
        <f>HYPERLINK("http://141.218.60.56/~jnz1568/getInfo.php?workbook=09_01.xlsx&amp;sheet=A0&amp;row=63&amp;col=16&amp;number=189750&amp;sourceID=12","189750")</f>
        <v>189750</v>
      </c>
      <c r="Q63" s="4" t="str">
        <f>HYPERLINK("http://141.218.60.56/~jnz1568/getInfo.php?workbook=09_01.xlsx&amp;sheet=A0&amp;row=63&amp;col=17&amp;number=&amp;sourceID=12","")</f>
        <v/>
      </c>
      <c r="R63" s="4" t="str">
        <f>HYPERLINK("http://141.218.60.56/~jnz1568/getInfo.php?workbook=09_01.xlsx&amp;sheet=A0&amp;row=63&amp;col=18&amp;number=0.19&amp;sourceID=12","0.19")</f>
        <v>0.19</v>
      </c>
      <c r="S63" s="4" t="str">
        <f>HYPERLINK("http://141.218.60.56/~jnz1568/getInfo.php?workbook=09_01.xlsx&amp;sheet=A0&amp;row=63&amp;col=19&amp;number=&amp;sourceID=12","")</f>
        <v/>
      </c>
      <c r="T63" s="4" t="str">
        <f>HYPERLINK("http://141.218.60.56/~jnz1568/getInfo.php?workbook=09_01.xlsx&amp;sheet=A0&amp;row=63&amp;col=20&amp;number=2.6476e-05&amp;sourceID=12","2.6476e-05")</f>
        <v>2.6476e-05</v>
      </c>
      <c r="U63" s="4" t="str">
        <f>HYPERLINK("http://141.218.60.56/~jnz1568/getInfo.php?workbook=09_01.xlsx&amp;sheet=A0&amp;row=63&amp;col=21&amp;number=189800.19&amp;sourceID=30","189800.19")</f>
        <v>189800.19</v>
      </c>
      <c r="V63" s="4" t="str">
        <f>HYPERLINK("http://141.218.60.56/~jnz1568/getInfo.php?workbook=09_01.xlsx&amp;sheet=A0&amp;row=63&amp;col=22&amp;number=&amp;sourceID=30","")</f>
        <v/>
      </c>
      <c r="W63" s="4" t="str">
        <f>HYPERLINK("http://141.218.60.56/~jnz1568/getInfo.php?workbook=09_01.xlsx&amp;sheet=A0&amp;row=63&amp;col=23&amp;number=189800&amp;sourceID=30","189800")</f>
        <v>189800</v>
      </c>
      <c r="X63" s="4" t="str">
        <f>HYPERLINK("http://141.218.60.56/~jnz1568/getInfo.php?workbook=09_01.xlsx&amp;sheet=A0&amp;row=63&amp;col=24&amp;number=0.19&amp;sourceID=30","0.19")</f>
        <v>0.19</v>
      </c>
      <c r="Y63" s="4" t="str">
        <f>HYPERLINK("http://141.218.60.56/~jnz1568/getInfo.php?workbook=09_01.xlsx&amp;sheet=A0&amp;row=63&amp;col=25&amp;number=&amp;sourceID=30","")</f>
        <v/>
      </c>
      <c r="Z63" s="4" t="str">
        <f>HYPERLINK("http://141.218.60.56/~jnz1568/getInfo.php?workbook=09_01.xlsx&amp;sheet=A0&amp;row=63&amp;col=26&amp;number==&amp;sourceID=13","=")</f>
        <v>=</v>
      </c>
      <c r="AA63" s="4" t="str">
        <f>HYPERLINK("http://141.218.60.56/~jnz1568/getInfo.php?workbook=09_01.xlsx&amp;sheet=A0&amp;row=63&amp;col=27&amp;number=&amp;sourceID=13","")</f>
        <v/>
      </c>
      <c r="AB63" s="4" t="str">
        <f>HYPERLINK("http://141.218.60.56/~jnz1568/getInfo.php?workbook=09_01.xlsx&amp;sheet=A0&amp;row=63&amp;col=28&amp;number=189000&amp;sourceID=13","189000")</f>
        <v>189000</v>
      </c>
      <c r="AC63" s="4" t="str">
        <f>HYPERLINK("http://141.218.60.56/~jnz1568/getInfo.php?workbook=09_01.xlsx&amp;sheet=A0&amp;row=63&amp;col=29&amp;number=&amp;sourceID=13","")</f>
        <v/>
      </c>
      <c r="AD63" s="4" t="str">
        <f>HYPERLINK("http://141.218.60.56/~jnz1568/getInfo.php?workbook=09_01.xlsx&amp;sheet=A0&amp;row=63&amp;col=30&amp;number=0.207&amp;sourceID=13","0.207")</f>
        <v>0.207</v>
      </c>
      <c r="AE63" s="4" t="str">
        <f>HYPERLINK("http://141.218.60.56/~jnz1568/getInfo.php?workbook=09_01.xlsx&amp;sheet=A0&amp;row=63&amp;col=31&amp;number=&amp;sourceID=13","")</f>
        <v/>
      </c>
    </row>
    <row r="64" spans="1:31">
      <c r="A64" s="3">
        <v>9</v>
      </c>
      <c r="B64" s="3">
        <v>1</v>
      </c>
      <c r="C64" s="3">
        <v>12</v>
      </c>
      <c r="D64" s="3">
        <v>10</v>
      </c>
      <c r="E64" s="3">
        <f>((1/(INDEX(E0!J$4:J$28,C64,1)-INDEX(E0!J$4:J$28,D64,1))))*100000000</f>
        <v>0</v>
      </c>
      <c r="F64" s="4" t="str">
        <f>HYPERLINK("http://141.218.60.56/~jnz1568/getInfo.php?workbook=09_01.xlsx&amp;sheet=A0&amp;row=64&amp;col=6&amp;number=&amp;sourceID=18","")</f>
        <v/>
      </c>
      <c r="G64" s="4" t="str">
        <f>HYPERLINK("http://141.218.60.56/~jnz1568/getInfo.php?workbook=09_01.xlsx&amp;sheet=A0&amp;row=64&amp;col=7&amp;number==&amp;sourceID=11","=")</f>
        <v>=</v>
      </c>
      <c r="H64" s="4" t="str">
        <f>HYPERLINK("http://141.218.60.56/~jnz1568/getInfo.php?workbook=09_01.xlsx&amp;sheet=A0&amp;row=64&amp;col=8&amp;number=97.535&amp;sourceID=11","97.535")</f>
        <v>97.535</v>
      </c>
      <c r="I64" s="4" t="str">
        <f>HYPERLINK("http://141.218.60.56/~jnz1568/getInfo.php?workbook=09_01.xlsx&amp;sheet=A0&amp;row=64&amp;col=9&amp;number=&amp;sourceID=11","")</f>
        <v/>
      </c>
      <c r="J64" s="4" t="str">
        <f>HYPERLINK("http://141.218.60.56/~jnz1568/getInfo.php?workbook=09_01.xlsx&amp;sheet=A0&amp;row=64&amp;col=10&amp;number=&amp;sourceID=11","")</f>
        <v/>
      </c>
      <c r="K64" s="4" t="str">
        <f>HYPERLINK("http://141.218.60.56/~jnz1568/getInfo.php?workbook=09_01.xlsx&amp;sheet=A0&amp;row=64&amp;col=11&amp;number=&amp;sourceID=11","")</f>
        <v/>
      </c>
      <c r="L64" s="4" t="str">
        <f>HYPERLINK("http://141.218.60.56/~jnz1568/getInfo.php?workbook=09_01.xlsx&amp;sheet=A0&amp;row=64&amp;col=12&amp;number=4e-15&amp;sourceID=11","4e-15")</f>
        <v>4e-15</v>
      </c>
      <c r="M64" s="4" t="str">
        <f>HYPERLINK("http://141.218.60.56/~jnz1568/getInfo.php?workbook=09_01.xlsx&amp;sheet=A0&amp;row=64&amp;col=13&amp;number=&amp;sourceID=11","")</f>
        <v/>
      </c>
      <c r="N64" s="4" t="str">
        <f>HYPERLINK("http://141.218.60.56/~jnz1568/getInfo.php?workbook=09_01.xlsx&amp;sheet=A0&amp;row=64&amp;col=14&amp;number=97.539&amp;sourceID=12","97.539")</f>
        <v>97.539</v>
      </c>
      <c r="O64" s="4" t="str">
        <f>HYPERLINK("http://141.218.60.56/~jnz1568/getInfo.php?workbook=09_01.xlsx&amp;sheet=A0&amp;row=64&amp;col=15&amp;number=97.539&amp;sourceID=12","97.539")</f>
        <v>97.539</v>
      </c>
      <c r="P64" s="4" t="str">
        <f>HYPERLINK("http://141.218.60.56/~jnz1568/getInfo.php?workbook=09_01.xlsx&amp;sheet=A0&amp;row=64&amp;col=16&amp;number=&amp;sourceID=12","")</f>
        <v/>
      </c>
      <c r="Q64" s="4" t="str">
        <f>HYPERLINK("http://141.218.60.56/~jnz1568/getInfo.php?workbook=09_01.xlsx&amp;sheet=A0&amp;row=64&amp;col=17&amp;number=&amp;sourceID=12","")</f>
        <v/>
      </c>
      <c r="R64" s="4" t="str">
        <f>HYPERLINK("http://141.218.60.56/~jnz1568/getInfo.php?workbook=09_01.xlsx&amp;sheet=A0&amp;row=64&amp;col=18&amp;number=&amp;sourceID=12","")</f>
        <v/>
      </c>
      <c r="S64" s="4" t="str">
        <f>HYPERLINK("http://141.218.60.56/~jnz1568/getInfo.php?workbook=09_01.xlsx&amp;sheet=A0&amp;row=64&amp;col=19&amp;number=4e-15&amp;sourceID=12","4e-15")</f>
        <v>4e-15</v>
      </c>
      <c r="T64" s="4" t="str">
        <f>HYPERLINK("http://141.218.60.56/~jnz1568/getInfo.php?workbook=09_01.xlsx&amp;sheet=A0&amp;row=64&amp;col=20&amp;number=&amp;sourceID=12","")</f>
        <v/>
      </c>
      <c r="U64" s="4" t="str">
        <f>HYPERLINK("http://141.218.60.56/~jnz1568/getInfo.php?workbook=09_01.xlsx&amp;sheet=A0&amp;row=64&amp;col=21&amp;number=97.54&amp;sourceID=30","97.54")</f>
        <v>97.54</v>
      </c>
      <c r="V64" s="4" t="str">
        <f>HYPERLINK("http://141.218.60.56/~jnz1568/getInfo.php?workbook=09_01.xlsx&amp;sheet=A0&amp;row=64&amp;col=22&amp;number=97.54&amp;sourceID=30","97.54")</f>
        <v>97.54</v>
      </c>
      <c r="W64" s="4" t="str">
        <f>HYPERLINK("http://141.218.60.56/~jnz1568/getInfo.php?workbook=09_01.xlsx&amp;sheet=A0&amp;row=64&amp;col=23&amp;number=&amp;sourceID=30","")</f>
        <v/>
      </c>
      <c r="X64" s="4" t="str">
        <f>HYPERLINK("http://141.218.60.56/~jnz1568/getInfo.php?workbook=09_01.xlsx&amp;sheet=A0&amp;row=64&amp;col=24&amp;number=&amp;sourceID=30","")</f>
        <v/>
      </c>
      <c r="Y64" s="4" t="str">
        <f>HYPERLINK("http://141.218.60.56/~jnz1568/getInfo.php?workbook=09_01.xlsx&amp;sheet=A0&amp;row=64&amp;col=25&amp;number=4e-15&amp;sourceID=30","4e-15")</f>
        <v>4e-15</v>
      </c>
      <c r="Z64" s="4" t="str">
        <f>HYPERLINK("http://141.218.60.56/~jnz1568/getInfo.php?workbook=09_01.xlsx&amp;sheet=A0&amp;row=64&amp;col=26&amp;number==&amp;sourceID=13","=")</f>
        <v>=</v>
      </c>
      <c r="AA64" s="4" t="str">
        <f>HYPERLINK("http://141.218.60.56/~jnz1568/getInfo.php?workbook=09_01.xlsx&amp;sheet=A0&amp;row=64&amp;col=27&amp;number=96.3&amp;sourceID=13","96.3")</f>
        <v>96.3</v>
      </c>
      <c r="AB64" s="4" t="str">
        <f>HYPERLINK("http://141.218.60.56/~jnz1568/getInfo.php?workbook=09_01.xlsx&amp;sheet=A0&amp;row=64&amp;col=28&amp;number=&amp;sourceID=13","")</f>
        <v/>
      </c>
      <c r="AC64" s="4" t="str">
        <f>HYPERLINK("http://141.218.60.56/~jnz1568/getInfo.php?workbook=09_01.xlsx&amp;sheet=A0&amp;row=64&amp;col=29&amp;number=&amp;sourceID=13","")</f>
        <v/>
      </c>
      <c r="AD64" s="4" t="str">
        <f>HYPERLINK("http://141.218.60.56/~jnz1568/getInfo.php?workbook=09_01.xlsx&amp;sheet=A0&amp;row=64&amp;col=30&amp;number=&amp;sourceID=13","")</f>
        <v/>
      </c>
      <c r="AE64" s="4" t="str">
        <f>HYPERLINK("http://141.218.60.56/~jnz1568/getInfo.php?workbook=09_01.xlsx&amp;sheet=A0&amp;row=64&amp;col=31&amp;number=&amp;sourceID=13","")</f>
        <v/>
      </c>
    </row>
    <row r="65" spans="1:31">
      <c r="A65" s="3">
        <v>9</v>
      </c>
      <c r="B65" s="3">
        <v>1</v>
      </c>
      <c r="C65" s="3">
        <v>12</v>
      </c>
      <c r="D65" s="3">
        <v>11</v>
      </c>
      <c r="E65" s="3">
        <f>((1/(INDEX(E0!J$4:J$28,C65,1)-INDEX(E0!J$4:J$28,D65,1))))*100000000</f>
        <v>0</v>
      </c>
      <c r="F65" s="4" t="str">
        <f>HYPERLINK("http://141.218.60.56/~jnz1568/getInfo.php?workbook=09_01.xlsx&amp;sheet=A0&amp;row=65&amp;col=6&amp;number=&amp;sourceID=18","")</f>
        <v/>
      </c>
      <c r="G65" s="4" t="str">
        <f>HYPERLINK("http://141.218.60.56/~jnz1568/getInfo.php?workbook=09_01.xlsx&amp;sheet=A0&amp;row=65&amp;col=7&amp;number==&amp;sourceID=11","=")</f>
        <v>=</v>
      </c>
      <c r="H65" s="4" t="str">
        <f>HYPERLINK("http://141.218.60.56/~jnz1568/getInfo.php?workbook=09_01.xlsx&amp;sheet=A0&amp;row=65&amp;col=8&amp;number=&amp;sourceID=11","")</f>
        <v/>
      </c>
      <c r="I65" s="4" t="str">
        <f>HYPERLINK("http://141.218.60.56/~jnz1568/getInfo.php?workbook=09_01.xlsx&amp;sheet=A0&amp;row=65&amp;col=9&amp;number=2.3986e-09&amp;sourceID=11","2.3986e-09")</f>
        <v>2.3986e-09</v>
      </c>
      <c r="J65" s="4" t="str">
        <f>HYPERLINK("http://141.218.60.56/~jnz1568/getInfo.php?workbook=09_01.xlsx&amp;sheet=A0&amp;row=65&amp;col=10&amp;number=&amp;sourceID=11","")</f>
        <v/>
      </c>
      <c r="K65" s="4" t="str">
        <f>HYPERLINK("http://141.218.60.56/~jnz1568/getInfo.php?workbook=09_01.xlsx&amp;sheet=A0&amp;row=65&amp;col=11&amp;number=2.23e-13&amp;sourceID=11","2.23e-13")</f>
        <v>2.23e-13</v>
      </c>
      <c r="L65" s="4" t="str">
        <f>HYPERLINK("http://141.218.60.56/~jnz1568/getInfo.php?workbook=09_01.xlsx&amp;sheet=A0&amp;row=65&amp;col=12&amp;number=&amp;sourceID=11","")</f>
        <v/>
      </c>
      <c r="M65" s="4" t="str">
        <f>HYPERLINK("http://141.218.60.56/~jnz1568/getInfo.php?workbook=09_01.xlsx&amp;sheet=A0&amp;row=65&amp;col=13&amp;number=&amp;sourceID=11","")</f>
        <v/>
      </c>
      <c r="N65" s="4" t="str">
        <f>HYPERLINK("http://141.218.60.56/~jnz1568/getInfo.php?workbook=09_01.xlsx&amp;sheet=A0&amp;row=65&amp;col=14&amp;number=2.3989e-09&amp;sourceID=12","2.3989e-09")</f>
        <v>2.3989e-09</v>
      </c>
      <c r="O65" s="4" t="str">
        <f>HYPERLINK("http://141.218.60.56/~jnz1568/getInfo.php?workbook=09_01.xlsx&amp;sheet=A0&amp;row=65&amp;col=15&amp;number=&amp;sourceID=12","")</f>
        <v/>
      </c>
      <c r="P65" s="4" t="str">
        <f>HYPERLINK("http://141.218.60.56/~jnz1568/getInfo.php?workbook=09_01.xlsx&amp;sheet=A0&amp;row=65&amp;col=16&amp;number=2.3987e-09&amp;sourceID=12","2.3987e-09")</f>
        <v>2.3987e-09</v>
      </c>
      <c r="Q65" s="4" t="str">
        <f>HYPERLINK("http://141.218.60.56/~jnz1568/getInfo.php?workbook=09_01.xlsx&amp;sheet=A0&amp;row=65&amp;col=17&amp;number=&amp;sourceID=12","")</f>
        <v/>
      </c>
      <c r="R65" s="4" t="str">
        <f>HYPERLINK("http://141.218.60.56/~jnz1568/getInfo.php?workbook=09_01.xlsx&amp;sheet=A0&amp;row=65&amp;col=18&amp;number=2.23e-13&amp;sourceID=12","2.23e-13")</f>
        <v>2.23e-13</v>
      </c>
      <c r="S65" s="4" t="str">
        <f>HYPERLINK("http://141.218.60.56/~jnz1568/getInfo.php?workbook=09_01.xlsx&amp;sheet=A0&amp;row=65&amp;col=19&amp;number=&amp;sourceID=12","")</f>
        <v/>
      </c>
      <c r="T65" s="4" t="str">
        <f>HYPERLINK("http://141.218.60.56/~jnz1568/getInfo.php?workbook=09_01.xlsx&amp;sheet=A0&amp;row=65&amp;col=20&amp;number=&amp;sourceID=12","")</f>
        <v/>
      </c>
      <c r="U65" s="4" t="str">
        <f>HYPERLINK("http://141.218.60.56/~jnz1568/getInfo.php?workbook=09_01.xlsx&amp;sheet=A0&amp;row=65&amp;col=21&amp;number=2.399224e-09&amp;sourceID=30","2.399224e-09")</f>
        <v>2.399224e-09</v>
      </c>
      <c r="V65" s="4" t="str">
        <f>HYPERLINK("http://141.218.60.56/~jnz1568/getInfo.php?workbook=09_01.xlsx&amp;sheet=A0&amp;row=65&amp;col=22&amp;number=&amp;sourceID=30","")</f>
        <v/>
      </c>
      <c r="W65" s="4" t="str">
        <f>HYPERLINK("http://141.218.60.56/~jnz1568/getInfo.php?workbook=09_01.xlsx&amp;sheet=A0&amp;row=65&amp;col=23&amp;number=2.399e-09&amp;sourceID=30","2.399e-09")</f>
        <v>2.399e-09</v>
      </c>
      <c r="X65" s="4" t="str">
        <f>HYPERLINK("http://141.218.60.56/~jnz1568/getInfo.php?workbook=09_01.xlsx&amp;sheet=A0&amp;row=65&amp;col=24&amp;number=2.24e-13&amp;sourceID=30","2.24e-13")</f>
        <v>2.24e-13</v>
      </c>
      <c r="Y65" s="4" t="str">
        <f>HYPERLINK("http://141.218.60.56/~jnz1568/getInfo.php?workbook=09_01.xlsx&amp;sheet=A0&amp;row=65&amp;col=25&amp;number=&amp;sourceID=30","")</f>
        <v/>
      </c>
      <c r="Z65" s="4" t="str">
        <f>HYPERLINK("http://141.218.60.56/~jnz1568/getInfo.php?workbook=09_01.xlsx&amp;sheet=A0&amp;row=65&amp;col=26&amp;number=&amp;sourceID=13","")</f>
        <v/>
      </c>
      <c r="AA65" s="4" t="str">
        <f>HYPERLINK("http://141.218.60.56/~jnz1568/getInfo.php?workbook=09_01.xlsx&amp;sheet=A0&amp;row=65&amp;col=27&amp;number=&amp;sourceID=13","")</f>
        <v/>
      </c>
      <c r="AB65" s="4" t="str">
        <f>HYPERLINK("http://141.218.60.56/~jnz1568/getInfo.php?workbook=09_01.xlsx&amp;sheet=A0&amp;row=65&amp;col=28&amp;number=&amp;sourceID=13","")</f>
        <v/>
      </c>
      <c r="AC65" s="4" t="str">
        <f>HYPERLINK("http://141.218.60.56/~jnz1568/getInfo.php?workbook=09_01.xlsx&amp;sheet=A0&amp;row=65&amp;col=29&amp;number=&amp;sourceID=13","")</f>
        <v/>
      </c>
      <c r="AD65" s="4" t="str">
        <f>HYPERLINK("http://141.218.60.56/~jnz1568/getInfo.php?workbook=09_01.xlsx&amp;sheet=A0&amp;row=65&amp;col=30&amp;number=&amp;sourceID=13","")</f>
        <v/>
      </c>
      <c r="AE65" s="4" t="str">
        <f>HYPERLINK("http://141.218.60.56/~jnz1568/getInfo.php?workbook=09_01.xlsx&amp;sheet=A0&amp;row=65&amp;col=31&amp;number=&amp;sourceID=13","")</f>
        <v/>
      </c>
    </row>
    <row r="66" spans="1:31">
      <c r="A66" s="3">
        <v>9</v>
      </c>
      <c r="B66" s="3">
        <v>1</v>
      </c>
      <c r="C66" s="3">
        <v>13</v>
      </c>
      <c r="D66" s="3">
        <v>1</v>
      </c>
      <c r="E66" s="3">
        <f>((1/(INDEX(E0!J$4:J$28,C66,1)-INDEX(E0!J$4:J$28,D66,1))))*100000000</f>
        <v>0</v>
      </c>
      <c r="F66" s="4" t="str">
        <f>HYPERLINK("http://141.218.60.56/~jnz1568/getInfo.php?workbook=09_01.xlsx&amp;sheet=A0&amp;row=66&amp;col=6&amp;number=&amp;sourceID=18","")</f>
        <v/>
      </c>
      <c r="G66" s="4" t="str">
        <f>HYPERLINK("http://141.218.60.56/~jnz1568/getInfo.php?workbook=09_01.xlsx&amp;sheet=A0&amp;row=66&amp;col=7&amp;number==&amp;sourceID=11","=")</f>
        <v>=</v>
      </c>
      <c r="H66" s="4" t="str">
        <f>HYPERLINK("http://141.218.60.56/~jnz1568/getInfo.php?workbook=09_01.xlsx&amp;sheet=A0&amp;row=66&amp;col=8&amp;number=447430000000&amp;sourceID=11","447430000000")</f>
        <v>447430000000</v>
      </c>
      <c r="I66" s="4" t="str">
        <f>HYPERLINK("http://141.218.60.56/~jnz1568/getInfo.php?workbook=09_01.xlsx&amp;sheet=A0&amp;row=66&amp;col=9&amp;number=&amp;sourceID=11","")</f>
        <v/>
      </c>
      <c r="J66" s="4" t="str">
        <f>HYPERLINK("http://141.218.60.56/~jnz1568/getInfo.php?workbook=09_01.xlsx&amp;sheet=A0&amp;row=66&amp;col=10&amp;number=&amp;sourceID=11","")</f>
        <v/>
      </c>
      <c r="K66" s="4" t="str">
        <f>HYPERLINK("http://141.218.60.56/~jnz1568/getInfo.php?workbook=09_01.xlsx&amp;sheet=A0&amp;row=66&amp;col=11&amp;number=&amp;sourceID=11","")</f>
        <v/>
      </c>
      <c r="L66" s="4" t="str">
        <f>HYPERLINK("http://141.218.60.56/~jnz1568/getInfo.php?workbook=09_01.xlsx&amp;sheet=A0&amp;row=66&amp;col=12&amp;number=343300&amp;sourceID=11","343300")</f>
        <v>343300</v>
      </c>
      <c r="M66" s="4" t="str">
        <f>HYPERLINK("http://141.218.60.56/~jnz1568/getInfo.php?workbook=09_01.xlsx&amp;sheet=A0&amp;row=66&amp;col=13&amp;number=&amp;sourceID=11","")</f>
        <v/>
      </c>
      <c r="N66" s="4" t="str">
        <f>HYPERLINK("http://141.218.60.56/~jnz1568/getInfo.php?workbook=09_01.xlsx&amp;sheet=A0&amp;row=66&amp;col=14&amp;number=447440000000&amp;sourceID=12","447440000000")</f>
        <v>447440000000</v>
      </c>
      <c r="O66" s="4" t="str">
        <f>HYPERLINK("http://141.218.60.56/~jnz1568/getInfo.php?workbook=09_01.xlsx&amp;sheet=A0&amp;row=66&amp;col=15&amp;number=447440000000&amp;sourceID=12","447440000000")</f>
        <v>447440000000</v>
      </c>
      <c r="P66" s="4" t="str">
        <f>HYPERLINK("http://141.218.60.56/~jnz1568/getInfo.php?workbook=09_01.xlsx&amp;sheet=A0&amp;row=66&amp;col=16&amp;number=&amp;sourceID=12","")</f>
        <v/>
      </c>
      <c r="Q66" s="4" t="str">
        <f>HYPERLINK("http://141.218.60.56/~jnz1568/getInfo.php?workbook=09_01.xlsx&amp;sheet=A0&amp;row=66&amp;col=17&amp;number=&amp;sourceID=12","")</f>
        <v/>
      </c>
      <c r="R66" s="4" t="str">
        <f>HYPERLINK("http://141.218.60.56/~jnz1568/getInfo.php?workbook=09_01.xlsx&amp;sheet=A0&amp;row=66&amp;col=18&amp;number=&amp;sourceID=12","")</f>
        <v/>
      </c>
      <c r="S66" s="4" t="str">
        <f>HYPERLINK("http://141.218.60.56/~jnz1568/getInfo.php?workbook=09_01.xlsx&amp;sheet=A0&amp;row=66&amp;col=19&amp;number=343310&amp;sourceID=12","343310")</f>
        <v>343310</v>
      </c>
      <c r="T66" s="4" t="str">
        <f>HYPERLINK("http://141.218.60.56/~jnz1568/getInfo.php?workbook=09_01.xlsx&amp;sheet=A0&amp;row=66&amp;col=20&amp;number=&amp;sourceID=12","")</f>
        <v/>
      </c>
      <c r="U66" s="4" t="str">
        <f>HYPERLINK("http://141.218.60.56/~jnz1568/getInfo.php?workbook=09_01.xlsx&amp;sheet=A0&amp;row=66&amp;col=21&amp;number=447400343300&amp;sourceID=30","447400343300")</f>
        <v>447400343300</v>
      </c>
      <c r="V66" s="4" t="str">
        <f>HYPERLINK("http://141.218.60.56/~jnz1568/getInfo.php?workbook=09_01.xlsx&amp;sheet=A0&amp;row=66&amp;col=22&amp;number=447400000000&amp;sourceID=30","447400000000")</f>
        <v>447400000000</v>
      </c>
      <c r="W66" s="4" t="str">
        <f>HYPERLINK("http://141.218.60.56/~jnz1568/getInfo.php?workbook=09_01.xlsx&amp;sheet=A0&amp;row=66&amp;col=23&amp;number=&amp;sourceID=30","")</f>
        <v/>
      </c>
      <c r="X66" s="4" t="str">
        <f>HYPERLINK("http://141.218.60.56/~jnz1568/getInfo.php?workbook=09_01.xlsx&amp;sheet=A0&amp;row=66&amp;col=24&amp;number=&amp;sourceID=30","")</f>
        <v/>
      </c>
      <c r="Y66" s="4" t="str">
        <f>HYPERLINK("http://141.218.60.56/~jnz1568/getInfo.php?workbook=09_01.xlsx&amp;sheet=A0&amp;row=66&amp;col=25&amp;number=343300&amp;sourceID=30","343300")</f>
        <v>343300</v>
      </c>
      <c r="Z66" s="4" t="str">
        <f>HYPERLINK("http://141.218.60.56/~jnz1568/getInfo.php?workbook=09_01.xlsx&amp;sheet=A0&amp;row=66&amp;col=26&amp;number==SUM(AA66:AE66)&amp;sourceID=13","=SUM(AA66:AE66)")</f>
        <v>=SUM(AA66:AE66)</v>
      </c>
      <c r="AA66" s="4" t="str">
        <f>HYPERLINK("http://141.218.60.56/~jnz1568/getInfo.php?workbook=09_01.xlsx&amp;sheet=A0&amp;row=66&amp;col=27&amp;number=440000000000&amp;sourceID=13","440000000000")</f>
        <v>440000000000</v>
      </c>
      <c r="AB66" s="4" t="str">
        <f>HYPERLINK("http://141.218.60.56/~jnz1568/getInfo.php?workbook=09_01.xlsx&amp;sheet=A0&amp;row=66&amp;col=28&amp;number=&amp;sourceID=13","")</f>
        <v/>
      </c>
      <c r="AC66" s="4" t="str">
        <f>HYPERLINK("http://141.218.60.56/~jnz1568/getInfo.php?workbook=09_01.xlsx&amp;sheet=A0&amp;row=66&amp;col=29&amp;number=&amp;sourceID=13","")</f>
        <v/>
      </c>
      <c r="AD66" s="4" t="str">
        <f>HYPERLINK("http://141.218.60.56/~jnz1568/getInfo.php?workbook=09_01.xlsx&amp;sheet=A0&amp;row=66&amp;col=30&amp;number=&amp;sourceID=13","")</f>
        <v/>
      </c>
      <c r="AE66" s="4" t="str">
        <f>HYPERLINK("http://141.218.60.56/~jnz1568/getInfo.php?workbook=09_01.xlsx&amp;sheet=A0&amp;row=66&amp;col=31&amp;number=&amp;sourceID=13","")</f>
        <v/>
      </c>
    </row>
    <row r="67" spans="1:31">
      <c r="A67" s="3">
        <v>9</v>
      </c>
      <c r="B67" s="3">
        <v>1</v>
      </c>
      <c r="C67" s="3">
        <v>13</v>
      </c>
      <c r="D67" s="3">
        <v>2</v>
      </c>
      <c r="E67" s="3">
        <f>((1/(INDEX(E0!J$4:J$28,C67,1)-INDEX(E0!J$4:J$28,D67,1))))*100000000</f>
        <v>0</v>
      </c>
      <c r="F67" s="4" t="str">
        <f>HYPERLINK("http://141.218.60.56/~jnz1568/getInfo.php?workbook=09_01.xlsx&amp;sheet=A0&amp;row=67&amp;col=6&amp;number=&amp;sourceID=18","")</f>
        <v/>
      </c>
      <c r="G67" s="4" t="str">
        <f>HYPERLINK("http://141.218.60.56/~jnz1568/getInfo.php?workbook=09_01.xlsx&amp;sheet=A0&amp;row=67&amp;col=7&amp;number==&amp;sourceID=11","=")</f>
        <v>=</v>
      </c>
      <c r="H67" s="4" t="str">
        <f>HYPERLINK("http://141.218.60.56/~jnz1568/getInfo.php?workbook=09_01.xlsx&amp;sheet=A0&amp;row=67&amp;col=8&amp;number=&amp;sourceID=11","")</f>
        <v/>
      </c>
      <c r="I67" s="4" t="str">
        <f>HYPERLINK("http://141.218.60.56/~jnz1568/getInfo.php?workbook=09_01.xlsx&amp;sheet=A0&amp;row=67&amp;col=9&amp;number=2745100&amp;sourceID=11","2745100")</f>
        <v>2745100</v>
      </c>
      <c r="J67" s="4" t="str">
        <f>HYPERLINK("http://141.218.60.56/~jnz1568/getInfo.php?workbook=09_01.xlsx&amp;sheet=A0&amp;row=67&amp;col=10&amp;number=&amp;sourceID=11","")</f>
        <v/>
      </c>
      <c r="K67" s="4" t="str">
        <f>HYPERLINK("http://141.218.60.56/~jnz1568/getInfo.php?workbook=09_01.xlsx&amp;sheet=A0&amp;row=67&amp;col=11&amp;number=6.1099&amp;sourceID=11","6.1099")</f>
        <v>6.1099</v>
      </c>
      <c r="L67" s="4" t="str">
        <f>HYPERLINK("http://141.218.60.56/~jnz1568/getInfo.php?workbook=09_01.xlsx&amp;sheet=A0&amp;row=67&amp;col=12&amp;number=&amp;sourceID=11","")</f>
        <v/>
      </c>
      <c r="M67" s="4" t="str">
        <f>HYPERLINK("http://141.218.60.56/~jnz1568/getInfo.php?workbook=09_01.xlsx&amp;sheet=A0&amp;row=67&amp;col=13&amp;number=&amp;sourceID=11","")</f>
        <v/>
      </c>
      <c r="N67" s="4" t="str">
        <f>HYPERLINK("http://141.218.60.56/~jnz1568/getInfo.php?workbook=09_01.xlsx&amp;sheet=A0&amp;row=67&amp;col=14&amp;number=2745200&amp;sourceID=12","2745200")</f>
        <v>2745200</v>
      </c>
      <c r="O67" s="4" t="str">
        <f>HYPERLINK("http://141.218.60.56/~jnz1568/getInfo.php?workbook=09_01.xlsx&amp;sheet=A0&amp;row=67&amp;col=15&amp;number=&amp;sourceID=12","")</f>
        <v/>
      </c>
      <c r="P67" s="4" t="str">
        <f>HYPERLINK("http://141.218.60.56/~jnz1568/getInfo.php?workbook=09_01.xlsx&amp;sheet=A0&amp;row=67&amp;col=16&amp;number=2745200&amp;sourceID=12","2745200")</f>
        <v>2745200</v>
      </c>
      <c r="Q67" s="4" t="str">
        <f>HYPERLINK("http://141.218.60.56/~jnz1568/getInfo.php?workbook=09_01.xlsx&amp;sheet=A0&amp;row=67&amp;col=17&amp;number=&amp;sourceID=12","")</f>
        <v/>
      </c>
      <c r="R67" s="4" t="str">
        <f>HYPERLINK("http://141.218.60.56/~jnz1568/getInfo.php?workbook=09_01.xlsx&amp;sheet=A0&amp;row=67&amp;col=18&amp;number=6.1101&amp;sourceID=12","6.1101")</f>
        <v>6.1101</v>
      </c>
      <c r="S67" s="4" t="str">
        <f>HYPERLINK("http://141.218.60.56/~jnz1568/getInfo.php?workbook=09_01.xlsx&amp;sheet=A0&amp;row=67&amp;col=19&amp;number=&amp;sourceID=12","")</f>
        <v/>
      </c>
      <c r="T67" s="4" t="str">
        <f>HYPERLINK("http://141.218.60.56/~jnz1568/getInfo.php?workbook=09_01.xlsx&amp;sheet=A0&amp;row=67&amp;col=20&amp;number=&amp;sourceID=12","")</f>
        <v/>
      </c>
      <c r="U67" s="4" t="str">
        <f>HYPERLINK("http://141.218.60.56/~jnz1568/getInfo.php?workbook=09_01.xlsx&amp;sheet=A0&amp;row=67&amp;col=21&amp;number=2745006.11&amp;sourceID=30","2745006.11")</f>
        <v>2745006.11</v>
      </c>
      <c r="V67" s="4" t="str">
        <f>HYPERLINK("http://141.218.60.56/~jnz1568/getInfo.php?workbook=09_01.xlsx&amp;sheet=A0&amp;row=67&amp;col=22&amp;number=&amp;sourceID=30","")</f>
        <v/>
      </c>
      <c r="W67" s="4" t="str">
        <f>HYPERLINK("http://141.218.60.56/~jnz1568/getInfo.php?workbook=09_01.xlsx&amp;sheet=A0&amp;row=67&amp;col=23&amp;number=2745000&amp;sourceID=30","2745000")</f>
        <v>2745000</v>
      </c>
      <c r="X67" s="4" t="str">
        <f>HYPERLINK("http://141.218.60.56/~jnz1568/getInfo.php?workbook=09_01.xlsx&amp;sheet=A0&amp;row=67&amp;col=24&amp;number=6.11&amp;sourceID=30","6.11")</f>
        <v>6.11</v>
      </c>
      <c r="Y67" s="4" t="str">
        <f>HYPERLINK("http://141.218.60.56/~jnz1568/getInfo.php?workbook=09_01.xlsx&amp;sheet=A0&amp;row=67&amp;col=25&amp;number=&amp;sourceID=30","")</f>
        <v/>
      </c>
      <c r="Z67" s="4" t="str">
        <f>HYPERLINK("http://141.218.60.56/~jnz1568/getInfo.php?workbook=09_01.xlsx&amp;sheet=A0&amp;row=67&amp;col=26&amp;number==&amp;sourceID=13","=")</f>
        <v>=</v>
      </c>
      <c r="AA67" s="4" t="str">
        <f>HYPERLINK("http://141.218.60.56/~jnz1568/getInfo.php?workbook=09_01.xlsx&amp;sheet=A0&amp;row=67&amp;col=27&amp;number=&amp;sourceID=13","")</f>
        <v/>
      </c>
      <c r="AB67" s="4" t="str">
        <f>HYPERLINK("http://141.218.60.56/~jnz1568/getInfo.php?workbook=09_01.xlsx&amp;sheet=A0&amp;row=67&amp;col=28&amp;number=2590000&amp;sourceID=13","2590000")</f>
        <v>2590000</v>
      </c>
      <c r="AC67" s="4" t="str">
        <f>HYPERLINK("http://141.218.60.56/~jnz1568/getInfo.php?workbook=09_01.xlsx&amp;sheet=A0&amp;row=67&amp;col=29&amp;number=&amp;sourceID=13","")</f>
        <v/>
      </c>
      <c r="AD67" s="4" t="str">
        <f>HYPERLINK("http://141.218.60.56/~jnz1568/getInfo.php?workbook=09_01.xlsx&amp;sheet=A0&amp;row=67&amp;col=30&amp;number=4.99&amp;sourceID=13","4.99")</f>
        <v>4.99</v>
      </c>
      <c r="AE67" s="4" t="str">
        <f>HYPERLINK("http://141.218.60.56/~jnz1568/getInfo.php?workbook=09_01.xlsx&amp;sheet=A0&amp;row=67&amp;col=31&amp;number=&amp;sourceID=13","")</f>
        <v/>
      </c>
    </row>
    <row r="68" spans="1:31">
      <c r="A68" s="3">
        <v>9</v>
      </c>
      <c r="B68" s="3">
        <v>1</v>
      </c>
      <c r="C68" s="3">
        <v>13</v>
      </c>
      <c r="D68" s="3">
        <v>3</v>
      </c>
      <c r="E68" s="3">
        <f>((1/(INDEX(E0!J$4:J$28,C68,1)-INDEX(E0!J$4:J$28,D68,1))))*100000000</f>
        <v>0</v>
      </c>
      <c r="F68" s="4" t="str">
        <f>HYPERLINK("http://141.218.60.56/~jnz1568/getInfo.php?workbook=09_01.xlsx&amp;sheet=A0&amp;row=68&amp;col=6&amp;number=&amp;sourceID=18","")</f>
        <v/>
      </c>
      <c r="G68" s="4" t="str">
        <f>HYPERLINK("http://141.218.60.56/~jnz1568/getInfo.php?workbook=09_01.xlsx&amp;sheet=A0&amp;row=68&amp;col=7&amp;number==SUM(H68:M68)&amp;sourceID=11","=SUM(H68:M68)")</f>
        <v>=SUM(H68:M68)</v>
      </c>
      <c r="H68" s="4" t="str">
        <f>HYPERLINK("http://141.218.60.56/~jnz1568/getInfo.php?workbook=09_01.xlsx&amp;sheet=A0&amp;row=68&amp;col=8&amp;number=63457000000&amp;sourceID=11","63457000000")</f>
        <v>63457000000</v>
      </c>
      <c r="I68" s="4" t="str">
        <f>HYPERLINK("http://141.218.60.56/~jnz1568/getInfo.php?workbook=09_01.xlsx&amp;sheet=A0&amp;row=68&amp;col=9&amp;number=&amp;sourceID=11","")</f>
        <v/>
      </c>
      <c r="J68" s="4" t="str">
        <f>HYPERLINK("http://141.218.60.56/~jnz1568/getInfo.php?workbook=09_01.xlsx&amp;sheet=A0&amp;row=68&amp;col=10&amp;number=&amp;sourceID=11","")</f>
        <v/>
      </c>
      <c r="K68" s="4" t="str">
        <f>HYPERLINK("http://141.218.60.56/~jnz1568/getInfo.php?workbook=09_01.xlsx&amp;sheet=A0&amp;row=68&amp;col=11&amp;number=&amp;sourceID=11","")</f>
        <v/>
      </c>
      <c r="L68" s="4" t="str">
        <f>HYPERLINK("http://141.218.60.56/~jnz1568/getInfo.php?workbook=09_01.xlsx&amp;sheet=A0&amp;row=68&amp;col=12&amp;number=1951.9&amp;sourceID=11","1951.9")</f>
        <v>1951.9</v>
      </c>
      <c r="M68" s="4" t="str">
        <f>HYPERLINK("http://141.218.60.56/~jnz1568/getInfo.php?workbook=09_01.xlsx&amp;sheet=A0&amp;row=68&amp;col=13&amp;number=&amp;sourceID=11","")</f>
        <v/>
      </c>
      <c r="N68" s="4" t="str">
        <f>HYPERLINK("http://141.218.60.56/~jnz1568/getInfo.php?workbook=09_01.xlsx&amp;sheet=A0&amp;row=68&amp;col=14&amp;number=63459000000&amp;sourceID=12","63459000000")</f>
        <v>63459000000</v>
      </c>
      <c r="O68" s="4" t="str">
        <f>HYPERLINK("http://141.218.60.56/~jnz1568/getInfo.php?workbook=09_01.xlsx&amp;sheet=A0&amp;row=68&amp;col=15&amp;number=63459000000&amp;sourceID=12","63459000000")</f>
        <v>63459000000</v>
      </c>
      <c r="P68" s="4" t="str">
        <f>HYPERLINK("http://141.218.60.56/~jnz1568/getInfo.php?workbook=09_01.xlsx&amp;sheet=A0&amp;row=68&amp;col=16&amp;number=&amp;sourceID=12","")</f>
        <v/>
      </c>
      <c r="Q68" s="4" t="str">
        <f>HYPERLINK("http://141.218.60.56/~jnz1568/getInfo.php?workbook=09_01.xlsx&amp;sheet=A0&amp;row=68&amp;col=17&amp;number=&amp;sourceID=12","")</f>
        <v/>
      </c>
      <c r="R68" s="4" t="str">
        <f>HYPERLINK("http://141.218.60.56/~jnz1568/getInfo.php?workbook=09_01.xlsx&amp;sheet=A0&amp;row=68&amp;col=18&amp;number=&amp;sourceID=12","")</f>
        <v/>
      </c>
      <c r="S68" s="4" t="str">
        <f>HYPERLINK("http://141.218.60.56/~jnz1568/getInfo.php?workbook=09_01.xlsx&amp;sheet=A0&amp;row=68&amp;col=19&amp;number=1952&amp;sourceID=12","1952")</f>
        <v>1952</v>
      </c>
      <c r="T68" s="4" t="str">
        <f>HYPERLINK("http://141.218.60.56/~jnz1568/getInfo.php?workbook=09_01.xlsx&amp;sheet=A0&amp;row=68&amp;col=20&amp;number=&amp;sourceID=12","")</f>
        <v/>
      </c>
      <c r="U68" s="4" t="str">
        <f>HYPERLINK("http://141.218.60.56/~jnz1568/getInfo.php?workbook=09_01.xlsx&amp;sheet=A0&amp;row=68&amp;col=21&amp;number=63460001952&amp;sourceID=30","63460001952")</f>
        <v>63460001952</v>
      </c>
      <c r="V68" s="4" t="str">
        <f>HYPERLINK("http://141.218.60.56/~jnz1568/getInfo.php?workbook=09_01.xlsx&amp;sheet=A0&amp;row=68&amp;col=22&amp;number=63460000000&amp;sourceID=30","63460000000")</f>
        <v>63460000000</v>
      </c>
      <c r="W68" s="4" t="str">
        <f>HYPERLINK("http://141.218.60.56/~jnz1568/getInfo.php?workbook=09_01.xlsx&amp;sheet=A0&amp;row=68&amp;col=23&amp;number=&amp;sourceID=30","")</f>
        <v/>
      </c>
      <c r="X68" s="4" t="str">
        <f>HYPERLINK("http://141.218.60.56/~jnz1568/getInfo.php?workbook=09_01.xlsx&amp;sheet=A0&amp;row=68&amp;col=24&amp;number=&amp;sourceID=30","")</f>
        <v/>
      </c>
      <c r="Y68" s="4" t="str">
        <f>HYPERLINK("http://141.218.60.56/~jnz1568/getInfo.php?workbook=09_01.xlsx&amp;sheet=A0&amp;row=68&amp;col=25&amp;number=1952&amp;sourceID=30","1952")</f>
        <v>1952</v>
      </c>
      <c r="Z68" s="4" t="str">
        <f>HYPERLINK("http://141.218.60.56/~jnz1568/getInfo.php?workbook=09_01.xlsx&amp;sheet=A0&amp;row=68&amp;col=26&amp;number==&amp;sourceID=13","=")</f>
        <v>=</v>
      </c>
      <c r="AA68" s="4" t="str">
        <f>HYPERLINK("http://141.218.60.56/~jnz1568/getInfo.php?workbook=09_01.xlsx&amp;sheet=A0&amp;row=68&amp;col=27&amp;number=62800000000&amp;sourceID=13","62800000000")</f>
        <v>62800000000</v>
      </c>
      <c r="AB68" s="4" t="str">
        <f>HYPERLINK("http://141.218.60.56/~jnz1568/getInfo.php?workbook=09_01.xlsx&amp;sheet=A0&amp;row=68&amp;col=28&amp;number=&amp;sourceID=13","")</f>
        <v/>
      </c>
      <c r="AC68" s="4" t="str">
        <f>HYPERLINK("http://141.218.60.56/~jnz1568/getInfo.php?workbook=09_01.xlsx&amp;sheet=A0&amp;row=68&amp;col=29&amp;number=&amp;sourceID=13","")</f>
        <v/>
      </c>
      <c r="AD68" s="4" t="str">
        <f>HYPERLINK("http://141.218.60.56/~jnz1568/getInfo.php?workbook=09_01.xlsx&amp;sheet=A0&amp;row=68&amp;col=30&amp;number=&amp;sourceID=13","")</f>
        <v/>
      </c>
      <c r="AE68" s="4" t="str">
        <f>HYPERLINK("http://141.218.60.56/~jnz1568/getInfo.php?workbook=09_01.xlsx&amp;sheet=A0&amp;row=68&amp;col=31&amp;number=&amp;sourceID=13","")</f>
        <v/>
      </c>
    </row>
    <row r="69" spans="1:31">
      <c r="A69" s="3">
        <v>9</v>
      </c>
      <c r="B69" s="3">
        <v>1</v>
      </c>
      <c r="C69" s="3">
        <v>13</v>
      </c>
      <c r="D69" s="3">
        <v>4</v>
      </c>
      <c r="E69" s="3">
        <f>((1/(INDEX(E0!J$4:J$28,C69,1)-INDEX(E0!J$4:J$28,D69,1))))*100000000</f>
        <v>0</v>
      </c>
      <c r="F69" s="4" t="str">
        <f>HYPERLINK("http://141.218.60.56/~jnz1568/getInfo.php?workbook=09_01.xlsx&amp;sheet=A0&amp;row=69&amp;col=6&amp;number=&amp;sourceID=18","")</f>
        <v/>
      </c>
      <c r="G69" s="4" t="str">
        <f>HYPERLINK("http://141.218.60.56/~jnz1568/getInfo.php?workbook=09_01.xlsx&amp;sheet=A0&amp;row=69&amp;col=7&amp;number==&amp;sourceID=11","=")</f>
        <v>=</v>
      </c>
      <c r="H69" s="4" t="str">
        <f>HYPERLINK("http://141.218.60.56/~jnz1568/getInfo.php?workbook=09_01.xlsx&amp;sheet=A0&amp;row=69&amp;col=8&amp;number=&amp;sourceID=11","")</f>
        <v/>
      </c>
      <c r="I69" s="4" t="str">
        <f>HYPERLINK("http://141.218.60.56/~jnz1568/getInfo.php?workbook=09_01.xlsx&amp;sheet=A0&amp;row=69&amp;col=9&amp;number=2735300&amp;sourceID=11","2735300")</f>
        <v>2735300</v>
      </c>
      <c r="J69" s="4" t="str">
        <f>HYPERLINK("http://141.218.60.56/~jnz1568/getInfo.php?workbook=09_01.xlsx&amp;sheet=A0&amp;row=69&amp;col=10&amp;number=&amp;sourceID=11","")</f>
        <v/>
      </c>
      <c r="K69" s="4" t="str">
        <f>HYPERLINK("http://141.218.60.56/~jnz1568/getInfo.php?workbook=09_01.xlsx&amp;sheet=A0&amp;row=69&amp;col=11&amp;number=9.6763&amp;sourceID=11","9.6763")</f>
        <v>9.6763</v>
      </c>
      <c r="L69" s="4" t="str">
        <f>HYPERLINK("http://141.218.60.56/~jnz1568/getInfo.php?workbook=09_01.xlsx&amp;sheet=A0&amp;row=69&amp;col=12&amp;number=&amp;sourceID=11","")</f>
        <v/>
      </c>
      <c r="M69" s="4" t="str">
        <f>HYPERLINK("http://141.218.60.56/~jnz1568/getInfo.php?workbook=09_01.xlsx&amp;sheet=A0&amp;row=69&amp;col=13&amp;number=0.17898&amp;sourceID=11","0.17898")</f>
        <v>0.17898</v>
      </c>
      <c r="N69" s="4" t="str">
        <f>HYPERLINK("http://141.218.60.56/~jnz1568/getInfo.php?workbook=09_01.xlsx&amp;sheet=A0&amp;row=69&amp;col=14&amp;number=2735300&amp;sourceID=12","2735300")</f>
        <v>2735300</v>
      </c>
      <c r="O69" s="4" t="str">
        <f>HYPERLINK("http://141.218.60.56/~jnz1568/getInfo.php?workbook=09_01.xlsx&amp;sheet=A0&amp;row=69&amp;col=15&amp;number=&amp;sourceID=12","")</f>
        <v/>
      </c>
      <c r="P69" s="4" t="str">
        <f>HYPERLINK("http://141.218.60.56/~jnz1568/getInfo.php?workbook=09_01.xlsx&amp;sheet=A0&amp;row=69&amp;col=16&amp;number=2735300&amp;sourceID=12","2735300")</f>
        <v>2735300</v>
      </c>
      <c r="Q69" s="4" t="str">
        <f>HYPERLINK("http://141.218.60.56/~jnz1568/getInfo.php?workbook=09_01.xlsx&amp;sheet=A0&amp;row=69&amp;col=17&amp;number=&amp;sourceID=12","")</f>
        <v/>
      </c>
      <c r="R69" s="4" t="str">
        <f>HYPERLINK("http://141.218.60.56/~jnz1568/getInfo.php?workbook=09_01.xlsx&amp;sheet=A0&amp;row=69&amp;col=18&amp;number=9.6766&amp;sourceID=12","9.6766")</f>
        <v>9.6766</v>
      </c>
      <c r="S69" s="4" t="str">
        <f>HYPERLINK("http://141.218.60.56/~jnz1568/getInfo.php?workbook=09_01.xlsx&amp;sheet=A0&amp;row=69&amp;col=19&amp;number=&amp;sourceID=12","")</f>
        <v/>
      </c>
      <c r="T69" s="4" t="str">
        <f>HYPERLINK("http://141.218.60.56/~jnz1568/getInfo.php?workbook=09_01.xlsx&amp;sheet=A0&amp;row=69&amp;col=20&amp;number=0.17899&amp;sourceID=12","0.17899")</f>
        <v>0.17899</v>
      </c>
      <c r="U69" s="4" t="str">
        <f>HYPERLINK("http://141.218.60.56/~jnz1568/getInfo.php?workbook=09_01.xlsx&amp;sheet=A0&amp;row=69&amp;col=21&amp;number=2735009.676&amp;sourceID=30","2735009.676")</f>
        <v>2735009.676</v>
      </c>
      <c r="V69" s="4" t="str">
        <f>HYPERLINK("http://141.218.60.56/~jnz1568/getInfo.php?workbook=09_01.xlsx&amp;sheet=A0&amp;row=69&amp;col=22&amp;number=&amp;sourceID=30","")</f>
        <v/>
      </c>
      <c r="W69" s="4" t="str">
        <f>HYPERLINK("http://141.218.60.56/~jnz1568/getInfo.php?workbook=09_01.xlsx&amp;sheet=A0&amp;row=69&amp;col=23&amp;number=2735000&amp;sourceID=30","2735000")</f>
        <v>2735000</v>
      </c>
      <c r="X69" s="4" t="str">
        <f>HYPERLINK("http://141.218.60.56/~jnz1568/getInfo.php?workbook=09_01.xlsx&amp;sheet=A0&amp;row=69&amp;col=24&amp;number=9.676&amp;sourceID=30","9.676")</f>
        <v>9.676</v>
      </c>
      <c r="Y69" s="4" t="str">
        <f>HYPERLINK("http://141.218.60.56/~jnz1568/getInfo.php?workbook=09_01.xlsx&amp;sheet=A0&amp;row=69&amp;col=25&amp;number=&amp;sourceID=30","")</f>
        <v/>
      </c>
      <c r="Z69" s="4" t="str">
        <f>HYPERLINK("http://141.218.60.56/~jnz1568/getInfo.php?workbook=09_01.xlsx&amp;sheet=A0&amp;row=69&amp;col=26&amp;number==&amp;sourceID=13","=")</f>
        <v>=</v>
      </c>
      <c r="AA69" s="4" t="str">
        <f>HYPERLINK("http://141.218.60.56/~jnz1568/getInfo.php?workbook=09_01.xlsx&amp;sheet=A0&amp;row=69&amp;col=27&amp;number=&amp;sourceID=13","")</f>
        <v/>
      </c>
      <c r="AB69" s="4" t="str">
        <f>HYPERLINK("http://141.218.60.56/~jnz1568/getInfo.php?workbook=09_01.xlsx&amp;sheet=A0&amp;row=69&amp;col=28&amp;number=2680000&amp;sourceID=13","2680000")</f>
        <v>2680000</v>
      </c>
      <c r="AC69" s="4" t="str">
        <f>HYPERLINK("http://141.218.60.56/~jnz1568/getInfo.php?workbook=09_01.xlsx&amp;sheet=A0&amp;row=69&amp;col=29&amp;number=&amp;sourceID=13","")</f>
        <v/>
      </c>
      <c r="AD69" s="4" t="str">
        <f>HYPERLINK("http://141.218.60.56/~jnz1568/getInfo.php?workbook=09_01.xlsx&amp;sheet=A0&amp;row=69&amp;col=30&amp;number=9.72&amp;sourceID=13","9.72")</f>
        <v>9.72</v>
      </c>
      <c r="AE69" s="4" t="str">
        <f>HYPERLINK("http://141.218.60.56/~jnz1568/getInfo.php?workbook=09_01.xlsx&amp;sheet=A0&amp;row=69&amp;col=31&amp;number=&amp;sourceID=13","")</f>
        <v/>
      </c>
    </row>
    <row r="70" spans="1:31">
      <c r="A70" s="3">
        <v>9</v>
      </c>
      <c r="B70" s="3">
        <v>1</v>
      </c>
      <c r="C70" s="3">
        <v>13</v>
      </c>
      <c r="D70" s="3">
        <v>5</v>
      </c>
      <c r="E70" s="3">
        <f>((1/(INDEX(E0!J$4:J$28,C70,1)-INDEX(E0!J$4:J$28,D70,1))))*100000000</f>
        <v>0</v>
      </c>
      <c r="F70" s="4" t="str">
        <f>HYPERLINK("http://141.218.60.56/~jnz1568/getInfo.php?workbook=09_01.xlsx&amp;sheet=A0&amp;row=70&amp;col=6&amp;number=&amp;sourceID=18","")</f>
        <v/>
      </c>
      <c r="G70" s="4" t="str">
        <f>HYPERLINK("http://141.218.60.56/~jnz1568/getInfo.php?workbook=09_01.xlsx&amp;sheet=A0&amp;row=70&amp;col=7&amp;number==&amp;sourceID=11","=")</f>
        <v>=</v>
      </c>
      <c r="H70" s="4" t="str">
        <f>HYPERLINK("http://141.218.60.56/~jnz1568/getInfo.php?workbook=09_01.xlsx&amp;sheet=A0&amp;row=70&amp;col=8&amp;number=&amp;sourceID=11","")</f>
        <v/>
      </c>
      <c r="I70" s="4" t="str">
        <f>HYPERLINK("http://141.218.60.56/~jnz1568/getInfo.php?workbook=09_01.xlsx&amp;sheet=A0&amp;row=70&amp;col=9&amp;number=679150&amp;sourceID=11","679150")</f>
        <v>679150</v>
      </c>
      <c r="J70" s="4" t="str">
        <f>HYPERLINK("http://141.218.60.56/~jnz1568/getInfo.php?workbook=09_01.xlsx&amp;sheet=A0&amp;row=70&amp;col=10&amp;number=&amp;sourceID=11","")</f>
        <v/>
      </c>
      <c r="K70" s="4" t="str">
        <f>HYPERLINK("http://141.218.60.56/~jnz1568/getInfo.php?workbook=09_01.xlsx&amp;sheet=A0&amp;row=70&amp;col=11&amp;number=0.6746&amp;sourceID=11","0.6746")</f>
        <v>0.6746</v>
      </c>
      <c r="L70" s="4" t="str">
        <f>HYPERLINK("http://141.218.60.56/~jnz1568/getInfo.php?workbook=09_01.xlsx&amp;sheet=A0&amp;row=70&amp;col=12&amp;number=&amp;sourceID=11","")</f>
        <v/>
      </c>
      <c r="M70" s="4" t="str">
        <f>HYPERLINK("http://141.218.60.56/~jnz1568/getInfo.php?workbook=09_01.xlsx&amp;sheet=A0&amp;row=70&amp;col=13&amp;number=&amp;sourceID=11","")</f>
        <v/>
      </c>
      <c r="N70" s="4" t="str">
        <f>HYPERLINK("http://141.218.60.56/~jnz1568/getInfo.php?workbook=09_01.xlsx&amp;sheet=A0&amp;row=70&amp;col=14&amp;number=679170&amp;sourceID=12","679170")</f>
        <v>679170</v>
      </c>
      <c r="O70" s="4" t="str">
        <f>HYPERLINK("http://141.218.60.56/~jnz1568/getInfo.php?workbook=09_01.xlsx&amp;sheet=A0&amp;row=70&amp;col=15&amp;number=&amp;sourceID=12","")</f>
        <v/>
      </c>
      <c r="P70" s="4" t="str">
        <f>HYPERLINK("http://141.218.60.56/~jnz1568/getInfo.php?workbook=09_01.xlsx&amp;sheet=A0&amp;row=70&amp;col=16&amp;number=679170&amp;sourceID=12","679170")</f>
        <v>679170</v>
      </c>
      <c r="Q70" s="4" t="str">
        <f>HYPERLINK("http://141.218.60.56/~jnz1568/getInfo.php?workbook=09_01.xlsx&amp;sheet=A0&amp;row=70&amp;col=17&amp;number=&amp;sourceID=12","")</f>
        <v/>
      </c>
      <c r="R70" s="4" t="str">
        <f>HYPERLINK("http://141.218.60.56/~jnz1568/getInfo.php?workbook=09_01.xlsx&amp;sheet=A0&amp;row=70&amp;col=18&amp;number=0.67462&amp;sourceID=12","0.67462")</f>
        <v>0.67462</v>
      </c>
      <c r="S70" s="4" t="str">
        <f>HYPERLINK("http://141.218.60.56/~jnz1568/getInfo.php?workbook=09_01.xlsx&amp;sheet=A0&amp;row=70&amp;col=19&amp;number=&amp;sourceID=12","")</f>
        <v/>
      </c>
      <c r="T70" s="4" t="str">
        <f>HYPERLINK("http://141.218.60.56/~jnz1568/getInfo.php?workbook=09_01.xlsx&amp;sheet=A0&amp;row=70&amp;col=20&amp;number=&amp;sourceID=12","")</f>
        <v/>
      </c>
      <c r="U70" s="4" t="str">
        <f>HYPERLINK("http://141.218.60.56/~jnz1568/getInfo.php?workbook=09_01.xlsx&amp;sheet=A0&amp;row=70&amp;col=21&amp;number=679200.6747&amp;sourceID=30","679200.6747")</f>
        <v>679200.6747</v>
      </c>
      <c r="V70" s="4" t="str">
        <f>HYPERLINK("http://141.218.60.56/~jnz1568/getInfo.php?workbook=09_01.xlsx&amp;sheet=A0&amp;row=70&amp;col=22&amp;number=&amp;sourceID=30","")</f>
        <v/>
      </c>
      <c r="W70" s="4" t="str">
        <f>HYPERLINK("http://141.218.60.56/~jnz1568/getInfo.php?workbook=09_01.xlsx&amp;sheet=A0&amp;row=70&amp;col=23&amp;number=679200&amp;sourceID=30","679200")</f>
        <v>679200</v>
      </c>
      <c r="X70" s="4" t="str">
        <f>HYPERLINK("http://141.218.60.56/~jnz1568/getInfo.php?workbook=09_01.xlsx&amp;sheet=A0&amp;row=70&amp;col=24&amp;number=0.6747&amp;sourceID=30","0.6747")</f>
        <v>0.6747</v>
      </c>
      <c r="Y70" s="4" t="str">
        <f>HYPERLINK("http://141.218.60.56/~jnz1568/getInfo.php?workbook=09_01.xlsx&amp;sheet=A0&amp;row=70&amp;col=25&amp;number=&amp;sourceID=30","")</f>
        <v/>
      </c>
      <c r="Z70" s="4" t="str">
        <f>HYPERLINK("http://141.218.60.56/~jnz1568/getInfo.php?workbook=09_01.xlsx&amp;sheet=A0&amp;row=70&amp;col=26&amp;number==&amp;sourceID=13","=")</f>
        <v>=</v>
      </c>
      <c r="AA70" s="4" t="str">
        <f>HYPERLINK("http://141.218.60.56/~jnz1568/getInfo.php?workbook=09_01.xlsx&amp;sheet=A0&amp;row=70&amp;col=27&amp;number=&amp;sourceID=13","")</f>
        <v/>
      </c>
      <c r="AB70" s="4" t="str">
        <f>HYPERLINK("http://141.218.60.56/~jnz1568/getInfo.php?workbook=09_01.xlsx&amp;sheet=A0&amp;row=70&amp;col=28&amp;number=674000&amp;sourceID=13","674000")</f>
        <v>674000</v>
      </c>
      <c r="AC70" s="4" t="str">
        <f>HYPERLINK("http://141.218.60.56/~jnz1568/getInfo.php?workbook=09_01.xlsx&amp;sheet=A0&amp;row=70&amp;col=29&amp;number=&amp;sourceID=13","")</f>
        <v/>
      </c>
      <c r="AD70" s="4" t="str">
        <f>HYPERLINK("http://141.218.60.56/~jnz1568/getInfo.php?workbook=09_01.xlsx&amp;sheet=A0&amp;row=70&amp;col=30&amp;number=0.636&amp;sourceID=13","0.636")</f>
        <v>0.636</v>
      </c>
      <c r="AE70" s="4" t="str">
        <f>HYPERLINK("http://141.218.60.56/~jnz1568/getInfo.php?workbook=09_01.xlsx&amp;sheet=A0&amp;row=70&amp;col=31&amp;number=&amp;sourceID=13","")</f>
        <v/>
      </c>
    </row>
    <row r="71" spans="1:31">
      <c r="A71" s="3">
        <v>9</v>
      </c>
      <c r="B71" s="3">
        <v>1</v>
      </c>
      <c r="C71" s="3">
        <v>13</v>
      </c>
      <c r="D71" s="3">
        <v>6</v>
      </c>
      <c r="E71" s="3">
        <f>((1/(INDEX(E0!J$4:J$28,C71,1)-INDEX(E0!J$4:J$28,D71,1))))*100000000</f>
        <v>0</v>
      </c>
      <c r="F71" s="4" t="str">
        <f>HYPERLINK("http://141.218.60.56/~jnz1568/getInfo.php?workbook=09_01.xlsx&amp;sheet=A0&amp;row=71&amp;col=6&amp;number=&amp;sourceID=18","")</f>
        <v/>
      </c>
      <c r="G71" s="4" t="str">
        <f>HYPERLINK("http://141.218.60.56/~jnz1568/getInfo.php?workbook=09_01.xlsx&amp;sheet=A0&amp;row=71&amp;col=7&amp;number==&amp;sourceID=11","=")</f>
        <v>=</v>
      </c>
      <c r="H71" s="4" t="str">
        <f>HYPERLINK("http://141.218.60.56/~jnz1568/getInfo.php?workbook=09_01.xlsx&amp;sheet=A0&amp;row=71&amp;col=8&amp;number=20077000000&amp;sourceID=11","20077000000")</f>
        <v>20077000000</v>
      </c>
      <c r="I71" s="4" t="str">
        <f>HYPERLINK("http://141.218.60.56/~jnz1568/getInfo.php?workbook=09_01.xlsx&amp;sheet=A0&amp;row=71&amp;col=9&amp;number=&amp;sourceID=11","")</f>
        <v/>
      </c>
      <c r="J71" s="4" t="str">
        <f>HYPERLINK("http://141.218.60.56/~jnz1568/getInfo.php?workbook=09_01.xlsx&amp;sheet=A0&amp;row=71&amp;col=10&amp;number=&amp;sourceID=11","")</f>
        <v/>
      </c>
      <c r="K71" s="4" t="str">
        <f>HYPERLINK("http://141.218.60.56/~jnz1568/getInfo.php?workbook=09_01.xlsx&amp;sheet=A0&amp;row=71&amp;col=11&amp;number=&amp;sourceID=11","")</f>
        <v/>
      </c>
      <c r="L71" s="4" t="str">
        <f>HYPERLINK("http://141.218.60.56/~jnz1568/getInfo.php?workbook=09_01.xlsx&amp;sheet=A0&amp;row=71&amp;col=12&amp;number=41.547&amp;sourceID=11","41.547")</f>
        <v>41.547</v>
      </c>
      <c r="M71" s="4" t="str">
        <f>HYPERLINK("http://141.218.60.56/~jnz1568/getInfo.php?workbook=09_01.xlsx&amp;sheet=A0&amp;row=71&amp;col=13&amp;number=&amp;sourceID=11","")</f>
        <v/>
      </c>
      <c r="N71" s="4" t="str">
        <f>HYPERLINK("http://141.218.60.56/~jnz1568/getInfo.php?workbook=09_01.xlsx&amp;sheet=A0&amp;row=71&amp;col=14&amp;number=20077000000&amp;sourceID=12","20077000000")</f>
        <v>20077000000</v>
      </c>
      <c r="O71" s="4" t="str">
        <f>HYPERLINK("http://141.218.60.56/~jnz1568/getInfo.php?workbook=09_01.xlsx&amp;sheet=A0&amp;row=71&amp;col=15&amp;number=20077000000&amp;sourceID=12","20077000000")</f>
        <v>20077000000</v>
      </c>
      <c r="P71" s="4" t="str">
        <f>HYPERLINK("http://141.218.60.56/~jnz1568/getInfo.php?workbook=09_01.xlsx&amp;sheet=A0&amp;row=71&amp;col=16&amp;number=&amp;sourceID=12","")</f>
        <v/>
      </c>
      <c r="Q71" s="4" t="str">
        <f>HYPERLINK("http://141.218.60.56/~jnz1568/getInfo.php?workbook=09_01.xlsx&amp;sheet=A0&amp;row=71&amp;col=17&amp;number=&amp;sourceID=12","")</f>
        <v/>
      </c>
      <c r="R71" s="4" t="str">
        <f>HYPERLINK("http://141.218.60.56/~jnz1568/getInfo.php?workbook=09_01.xlsx&amp;sheet=A0&amp;row=71&amp;col=18&amp;number=&amp;sourceID=12","")</f>
        <v/>
      </c>
      <c r="S71" s="4" t="str">
        <f>HYPERLINK("http://141.218.60.56/~jnz1568/getInfo.php?workbook=09_01.xlsx&amp;sheet=A0&amp;row=71&amp;col=19&amp;number=41.549&amp;sourceID=12","41.549")</f>
        <v>41.549</v>
      </c>
      <c r="T71" s="4" t="str">
        <f>HYPERLINK("http://141.218.60.56/~jnz1568/getInfo.php?workbook=09_01.xlsx&amp;sheet=A0&amp;row=71&amp;col=20&amp;number=&amp;sourceID=12","")</f>
        <v/>
      </c>
      <c r="U71" s="4" t="str">
        <f>HYPERLINK("http://141.218.60.56/~jnz1568/getInfo.php?workbook=09_01.xlsx&amp;sheet=A0&amp;row=71&amp;col=21&amp;number=20080000041.5&amp;sourceID=30","20080000041.5")</f>
        <v>20080000041.5</v>
      </c>
      <c r="V71" s="4" t="str">
        <f>HYPERLINK("http://141.218.60.56/~jnz1568/getInfo.php?workbook=09_01.xlsx&amp;sheet=A0&amp;row=71&amp;col=22&amp;number=20080000000&amp;sourceID=30","20080000000")</f>
        <v>20080000000</v>
      </c>
      <c r="W71" s="4" t="str">
        <f>HYPERLINK("http://141.218.60.56/~jnz1568/getInfo.php?workbook=09_01.xlsx&amp;sheet=A0&amp;row=71&amp;col=23&amp;number=&amp;sourceID=30","")</f>
        <v/>
      </c>
      <c r="X71" s="4" t="str">
        <f>HYPERLINK("http://141.218.60.56/~jnz1568/getInfo.php?workbook=09_01.xlsx&amp;sheet=A0&amp;row=71&amp;col=24&amp;number=&amp;sourceID=30","")</f>
        <v/>
      </c>
      <c r="Y71" s="4" t="str">
        <f>HYPERLINK("http://141.218.60.56/~jnz1568/getInfo.php?workbook=09_01.xlsx&amp;sheet=A0&amp;row=71&amp;col=25&amp;number=41.55&amp;sourceID=30","41.55")</f>
        <v>41.55</v>
      </c>
      <c r="Z71" s="4" t="str">
        <f>HYPERLINK("http://141.218.60.56/~jnz1568/getInfo.php?workbook=09_01.xlsx&amp;sheet=A0&amp;row=71&amp;col=26&amp;number==&amp;sourceID=13","=")</f>
        <v>=</v>
      </c>
      <c r="AA71" s="4" t="str">
        <f>HYPERLINK("http://141.218.60.56/~jnz1568/getInfo.php?workbook=09_01.xlsx&amp;sheet=A0&amp;row=71&amp;col=27&amp;number=20000000000&amp;sourceID=13","20000000000")</f>
        <v>20000000000</v>
      </c>
      <c r="AB71" s="4" t="str">
        <f>HYPERLINK("http://141.218.60.56/~jnz1568/getInfo.php?workbook=09_01.xlsx&amp;sheet=A0&amp;row=71&amp;col=28&amp;number=&amp;sourceID=13","")</f>
        <v/>
      </c>
      <c r="AC71" s="4" t="str">
        <f>HYPERLINK("http://141.218.60.56/~jnz1568/getInfo.php?workbook=09_01.xlsx&amp;sheet=A0&amp;row=71&amp;col=29&amp;number=&amp;sourceID=13","")</f>
        <v/>
      </c>
      <c r="AD71" s="4" t="str">
        <f>HYPERLINK("http://141.218.60.56/~jnz1568/getInfo.php?workbook=09_01.xlsx&amp;sheet=A0&amp;row=71&amp;col=30&amp;number=&amp;sourceID=13","")</f>
        <v/>
      </c>
      <c r="AE71" s="4" t="str">
        <f>HYPERLINK("http://141.218.60.56/~jnz1568/getInfo.php?workbook=09_01.xlsx&amp;sheet=A0&amp;row=71&amp;col=31&amp;number=&amp;sourceID=13","")</f>
        <v/>
      </c>
    </row>
    <row r="72" spans="1:31">
      <c r="A72" s="3">
        <v>9</v>
      </c>
      <c r="B72" s="3">
        <v>1</v>
      </c>
      <c r="C72" s="3">
        <v>13</v>
      </c>
      <c r="D72" s="3">
        <v>7</v>
      </c>
      <c r="E72" s="3">
        <f>((1/(INDEX(E0!J$4:J$28,C72,1)-INDEX(E0!J$4:J$28,D72,1))))*100000000</f>
        <v>0</v>
      </c>
      <c r="F72" s="4" t="str">
        <f>HYPERLINK("http://141.218.60.56/~jnz1568/getInfo.php?workbook=09_01.xlsx&amp;sheet=A0&amp;row=72&amp;col=6&amp;number=&amp;sourceID=18","")</f>
        <v/>
      </c>
      <c r="G72" s="4" t="str">
        <f>HYPERLINK("http://141.218.60.56/~jnz1568/getInfo.php?workbook=09_01.xlsx&amp;sheet=A0&amp;row=72&amp;col=7&amp;number==&amp;sourceID=11","=")</f>
        <v>=</v>
      </c>
      <c r="H72" s="4" t="str">
        <f>HYPERLINK("http://141.218.60.56/~jnz1568/getInfo.php?workbook=09_01.xlsx&amp;sheet=A0&amp;row=72&amp;col=8&amp;number=228340000&amp;sourceID=11","228340000")</f>
        <v>228340000</v>
      </c>
      <c r="I72" s="4" t="str">
        <f>HYPERLINK("http://141.218.60.56/~jnz1568/getInfo.php?workbook=09_01.xlsx&amp;sheet=A0&amp;row=72&amp;col=9&amp;number=&amp;sourceID=11","")</f>
        <v/>
      </c>
      <c r="J72" s="4" t="str">
        <f>HYPERLINK("http://141.218.60.56/~jnz1568/getInfo.php?workbook=09_01.xlsx&amp;sheet=A0&amp;row=72&amp;col=10&amp;number=12.136&amp;sourceID=11","12.136")</f>
        <v>12.136</v>
      </c>
      <c r="K72" s="4" t="str">
        <f>HYPERLINK("http://141.218.60.56/~jnz1568/getInfo.php?workbook=09_01.xlsx&amp;sheet=A0&amp;row=72&amp;col=11&amp;number=&amp;sourceID=11","")</f>
        <v/>
      </c>
      <c r="L72" s="4" t="str">
        <f>HYPERLINK("http://141.218.60.56/~jnz1568/getInfo.php?workbook=09_01.xlsx&amp;sheet=A0&amp;row=72&amp;col=12&amp;number=&amp;sourceID=11","")</f>
        <v/>
      </c>
      <c r="M72" s="4" t="str">
        <f>HYPERLINK("http://141.218.60.56/~jnz1568/getInfo.php?workbook=09_01.xlsx&amp;sheet=A0&amp;row=72&amp;col=13&amp;number=&amp;sourceID=11","")</f>
        <v/>
      </c>
      <c r="N72" s="4" t="str">
        <f>HYPERLINK("http://141.218.60.56/~jnz1568/getInfo.php?workbook=09_01.xlsx&amp;sheet=A0&amp;row=72&amp;col=14&amp;number=228340000&amp;sourceID=12","228340000")</f>
        <v>228340000</v>
      </c>
      <c r="O72" s="4" t="str">
        <f>HYPERLINK("http://141.218.60.56/~jnz1568/getInfo.php?workbook=09_01.xlsx&amp;sheet=A0&amp;row=72&amp;col=15&amp;number=228340000&amp;sourceID=12","228340000")</f>
        <v>228340000</v>
      </c>
      <c r="P72" s="4" t="str">
        <f>HYPERLINK("http://141.218.60.56/~jnz1568/getInfo.php?workbook=09_01.xlsx&amp;sheet=A0&amp;row=72&amp;col=16&amp;number=&amp;sourceID=12","")</f>
        <v/>
      </c>
      <c r="Q72" s="4" t="str">
        <f>HYPERLINK("http://141.218.60.56/~jnz1568/getInfo.php?workbook=09_01.xlsx&amp;sheet=A0&amp;row=72&amp;col=17&amp;number=12.136&amp;sourceID=12","12.136")</f>
        <v>12.136</v>
      </c>
      <c r="R72" s="4" t="str">
        <f>HYPERLINK("http://141.218.60.56/~jnz1568/getInfo.php?workbook=09_01.xlsx&amp;sheet=A0&amp;row=72&amp;col=18&amp;number=&amp;sourceID=12","")</f>
        <v/>
      </c>
      <c r="S72" s="4" t="str">
        <f>HYPERLINK("http://141.218.60.56/~jnz1568/getInfo.php?workbook=09_01.xlsx&amp;sheet=A0&amp;row=72&amp;col=19&amp;number=&amp;sourceID=12","")</f>
        <v/>
      </c>
      <c r="T72" s="4" t="str">
        <f>HYPERLINK("http://141.218.60.56/~jnz1568/getInfo.php?workbook=09_01.xlsx&amp;sheet=A0&amp;row=72&amp;col=20&amp;number=&amp;sourceID=12","")</f>
        <v/>
      </c>
      <c r="U72" s="4" t="str">
        <f>HYPERLINK("http://141.218.60.56/~jnz1568/getInfo.php?workbook=09_01.xlsx&amp;sheet=A0&amp;row=72&amp;col=21&amp;number=228300000&amp;sourceID=30","228300000")</f>
        <v>228300000</v>
      </c>
      <c r="V72" s="4" t="str">
        <f>HYPERLINK("http://141.218.60.56/~jnz1568/getInfo.php?workbook=09_01.xlsx&amp;sheet=A0&amp;row=72&amp;col=22&amp;number=228300000&amp;sourceID=30","228300000")</f>
        <v>228300000</v>
      </c>
      <c r="W72" s="4" t="str">
        <f>HYPERLINK("http://141.218.60.56/~jnz1568/getInfo.php?workbook=09_01.xlsx&amp;sheet=A0&amp;row=72&amp;col=23&amp;number=&amp;sourceID=30","")</f>
        <v/>
      </c>
      <c r="X72" s="4" t="str">
        <f>HYPERLINK("http://141.218.60.56/~jnz1568/getInfo.php?workbook=09_01.xlsx&amp;sheet=A0&amp;row=72&amp;col=24&amp;number=&amp;sourceID=30","")</f>
        <v/>
      </c>
      <c r="Y72" s="4" t="str">
        <f>HYPERLINK("http://141.218.60.56/~jnz1568/getInfo.php?workbook=09_01.xlsx&amp;sheet=A0&amp;row=72&amp;col=25&amp;number=&amp;sourceID=30","")</f>
        <v/>
      </c>
      <c r="Z72" s="4" t="str">
        <f>HYPERLINK("http://141.218.60.56/~jnz1568/getInfo.php?workbook=09_01.xlsx&amp;sheet=A0&amp;row=72&amp;col=26&amp;number==&amp;sourceID=13","=")</f>
        <v>=</v>
      </c>
      <c r="AA72" s="4" t="str">
        <f>HYPERLINK("http://141.218.60.56/~jnz1568/getInfo.php?workbook=09_01.xlsx&amp;sheet=A0&amp;row=72&amp;col=27&amp;number=226000000&amp;sourceID=13","226000000")</f>
        <v>226000000</v>
      </c>
      <c r="AB72" s="4" t="str">
        <f>HYPERLINK("http://141.218.60.56/~jnz1568/getInfo.php?workbook=09_01.xlsx&amp;sheet=A0&amp;row=72&amp;col=28&amp;number=&amp;sourceID=13","")</f>
        <v/>
      </c>
      <c r="AC72" s="4" t="str">
        <f>HYPERLINK("http://141.218.60.56/~jnz1568/getInfo.php?workbook=09_01.xlsx&amp;sheet=A0&amp;row=72&amp;col=29&amp;number=&amp;sourceID=13","")</f>
        <v/>
      </c>
      <c r="AD72" s="4" t="str">
        <f>HYPERLINK("http://141.218.60.56/~jnz1568/getInfo.php?workbook=09_01.xlsx&amp;sheet=A0&amp;row=72&amp;col=30&amp;number=&amp;sourceID=13","")</f>
        <v/>
      </c>
      <c r="AE72" s="4" t="str">
        <f>HYPERLINK("http://141.218.60.56/~jnz1568/getInfo.php?workbook=09_01.xlsx&amp;sheet=A0&amp;row=72&amp;col=31&amp;number=&amp;sourceID=13","")</f>
        <v/>
      </c>
    </row>
    <row r="73" spans="1:31">
      <c r="A73" s="3">
        <v>9</v>
      </c>
      <c r="B73" s="3">
        <v>1</v>
      </c>
      <c r="C73" s="3">
        <v>13</v>
      </c>
      <c r="D73" s="3">
        <v>8</v>
      </c>
      <c r="E73" s="3">
        <f>((1/(INDEX(E0!J$4:J$28,C73,1)-INDEX(E0!J$4:J$28,D73,1))))*100000000</f>
        <v>0</v>
      </c>
      <c r="F73" s="4" t="str">
        <f>HYPERLINK("http://141.218.60.56/~jnz1568/getInfo.php?workbook=09_01.xlsx&amp;sheet=A0&amp;row=73&amp;col=6&amp;number=&amp;sourceID=18","")</f>
        <v/>
      </c>
      <c r="G73" s="4" t="str">
        <f>HYPERLINK("http://141.218.60.56/~jnz1568/getInfo.php?workbook=09_01.xlsx&amp;sheet=A0&amp;row=73&amp;col=7&amp;number==&amp;sourceID=11","=")</f>
        <v>=</v>
      </c>
      <c r="H73" s="4" t="str">
        <f>HYPERLINK("http://141.218.60.56/~jnz1568/getInfo.php?workbook=09_01.xlsx&amp;sheet=A0&amp;row=73&amp;col=8&amp;number=&amp;sourceID=11","")</f>
        <v/>
      </c>
      <c r="I73" s="4" t="str">
        <f>HYPERLINK("http://141.218.60.56/~jnz1568/getInfo.php?workbook=09_01.xlsx&amp;sheet=A0&amp;row=73&amp;col=9&amp;number=678220&amp;sourceID=11","678220")</f>
        <v>678220</v>
      </c>
      <c r="J73" s="4" t="str">
        <f>HYPERLINK("http://141.218.60.56/~jnz1568/getInfo.php?workbook=09_01.xlsx&amp;sheet=A0&amp;row=73&amp;col=10&amp;number=&amp;sourceID=11","")</f>
        <v/>
      </c>
      <c r="K73" s="4" t="str">
        <f>HYPERLINK("http://141.218.60.56/~jnz1568/getInfo.php?workbook=09_01.xlsx&amp;sheet=A0&amp;row=73&amp;col=11&amp;number=0.16119&amp;sourceID=11","0.16119")</f>
        <v>0.16119</v>
      </c>
      <c r="L73" s="4" t="str">
        <f>HYPERLINK("http://141.218.60.56/~jnz1568/getInfo.php?workbook=09_01.xlsx&amp;sheet=A0&amp;row=73&amp;col=12&amp;number=&amp;sourceID=11","")</f>
        <v/>
      </c>
      <c r="M73" s="4" t="str">
        <f>HYPERLINK("http://141.218.60.56/~jnz1568/getInfo.php?workbook=09_01.xlsx&amp;sheet=A0&amp;row=73&amp;col=13&amp;number=0.0029842&amp;sourceID=11","0.0029842")</f>
        <v>0.0029842</v>
      </c>
      <c r="N73" s="4" t="str">
        <f>HYPERLINK("http://141.218.60.56/~jnz1568/getInfo.php?workbook=09_01.xlsx&amp;sheet=A0&amp;row=73&amp;col=14&amp;number=678240&amp;sourceID=12","678240")</f>
        <v>678240</v>
      </c>
      <c r="O73" s="4" t="str">
        <f>HYPERLINK("http://141.218.60.56/~jnz1568/getInfo.php?workbook=09_01.xlsx&amp;sheet=A0&amp;row=73&amp;col=15&amp;number=&amp;sourceID=12","")</f>
        <v/>
      </c>
      <c r="P73" s="4" t="str">
        <f>HYPERLINK("http://141.218.60.56/~jnz1568/getInfo.php?workbook=09_01.xlsx&amp;sheet=A0&amp;row=73&amp;col=16&amp;number=678240&amp;sourceID=12","678240")</f>
        <v>678240</v>
      </c>
      <c r="Q73" s="4" t="str">
        <f>HYPERLINK("http://141.218.60.56/~jnz1568/getInfo.php?workbook=09_01.xlsx&amp;sheet=A0&amp;row=73&amp;col=17&amp;number=&amp;sourceID=12","")</f>
        <v/>
      </c>
      <c r="R73" s="4" t="str">
        <f>HYPERLINK("http://141.218.60.56/~jnz1568/getInfo.php?workbook=09_01.xlsx&amp;sheet=A0&amp;row=73&amp;col=18&amp;number=0.1612&amp;sourceID=12","0.1612")</f>
        <v>0.1612</v>
      </c>
      <c r="S73" s="4" t="str">
        <f>HYPERLINK("http://141.218.60.56/~jnz1568/getInfo.php?workbook=09_01.xlsx&amp;sheet=A0&amp;row=73&amp;col=19&amp;number=&amp;sourceID=12","")</f>
        <v/>
      </c>
      <c r="T73" s="4" t="str">
        <f>HYPERLINK("http://141.218.60.56/~jnz1568/getInfo.php?workbook=09_01.xlsx&amp;sheet=A0&amp;row=73&amp;col=20&amp;number=0.0029843&amp;sourceID=12","0.0029843")</f>
        <v>0.0029843</v>
      </c>
      <c r="U73" s="4" t="str">
        <f>HYPERLINK("http://141.218.60.56/~jnz1568/getInfo.php?workbook=09_01.xlsx&amp;sheet=A0&amp;row=73&amp;col=21&amp;number=678200.1611&amp;sourceID=30","678200.1611")</f>
        <v>678200.1611</v>
      </c>
      <c r="V73" s="4" t="str">
        <f>HYPERLINK("http://141.218.60.56/~jnz1568/getInfo.php?workbook=09_01.xlsx&amp;sheet=A0&amp;row=73&amp;col=22&amp;number=&amp;sourceID=30","")</f>
        <v/>
      </c>
      <c r="W73" s="4" t="str">
        <f>HYPERLINK("http://141.218.60.56/~jnz1568/getInfo.php?workbook=09_01.xlsx&amp;sheet=A0&amp;row=73&amp;col=23&amp;number=678200&amp;sourceID=30","678200")</f>
        <v>678200</v>
      </c>
      <c r="X73" s="4" t="str">
        <f>HYPERLINK("http://141.218.60.56/~jnz1568/getInfo.php?workbook=09_01.xlsx&amp;sheet=A0&amp;row=73&amp;col=24&amp;number=0.1611&amp;sourceID=30","0.1611")</f>
        <v>0.1611</v>
      </c>
      <c r="Y73" s="4" t="str">
        <f>HYPERLINK("http://141.218.60.56/~jnz1568/getInfo.php?workbook=09_01.xlsx&amp;sheet=A0&amp;row=73&amp;col=25&amp;number=&amp;sourceID=30","")</f>
        <v/>
      </c>
      <c r="Z73" s="4" t="str">
        <f>HYPERLINK("http://141.218.60.56/~jnz1568/getInfo.php?workbook=09_01.xlsx&amp;sheet=A0&amp;row=73&amp;col=26&amp;number==&amp;sourceID=13","=")</f>
        <v>=</v>
      </c>
      <c r="AA73" s="4" t="str">
        <f>HYPERLINK("http://141.218.60.56/~jnz1568/getInfo.php?workbook=09_01.xlsx&amp;sheet=A0&amp;row=73&amp;col=27&amp;number=&amp;sourceID=13","")</f>
        <v/>
      </c>
      <c r="AB73" s="4" t="str">
        <f>HYPERLINK("http://141.218.60.56/~jnz1568/getInfo.php?workbook=09_01.xlsx&amp;sheet=A0&amp;row=73&amp;col=28&amp;number=676000&amp;sourceID=13","676000")</f>
        <v>676000</v>
      </c>
      <c r="AC73" s="4" t="str">
        <f>HYPERLINK("http://141.218.60.56/~jnz1568/getInfo.php?workbook=09_01.xlsx&amp;sheet=A0&amp;row=73&amp;col=29&amp;number=&amp;sourceID=13","")</f>
        <v/>
      </c>
      <c r="AD73" s="4" t="str">
        <f>HYPERLINK("http://141.218.60.56/~jnz1568/getInfo.php?workbook=09_01.xlsx&amp;sheet=A0&amp;row=73&amp;col=30&amp;number=0.161&amp;sourceID=13","0.161")</f>
        <v>0.161</v>
      </c>
      <c r="AE73" s="4" t="str">
        <f>HYPERLINK("http://141.218.60.56/~jnz1568/getInfo.php?workbook=09_01.xlsx&amp;sheet=A0&amp;row=73&amp;col=31&amp;number=&amp;sourceID=13","")</f>
        <v/>
      </c>
    </row>
    <row r="74" spans="1:31">
      <c r="A74" s="3">
        <v>9</v>
      </c>
      <c r="B74" s="3">
        <v>1</v>
      </c>
      <c r="C74" s="3">
        <v>13</v>
      </c>
      <c r="D74" s="3">
        <v>9</v>
      </c>
      <c r="E74" s="3">
        <f>((1/(INDEX(E0!J$4:J$28,C74,1)-INDEX(E0!J$4:J$28,D74,1))))*100000000</f>
        <v>0</v>
      </c>
      <c r="F74" s="4" t="str">
        <f>HYPERLINK("http://141.218.60.56/~jnz1568/getInfo.php?workbook=09_01.xlsx&amp;sheet=A0&amp;row=74&amp;col=6&amp;number=&amp;sourceID=18","")</f>
        <v/>
      </c>
      <c r="G74" s="4" t="str">
        <f>HYPERLINK("http://141.218.60.56/~jnz1568/getInfo.php?workbook=09_01.xlsx&amp;sheet=A0&amp;row=74&amp;col=7&amp;number==&amp;sourceID=11","=")</f>
        <v>=</v>
      </c>
      <c r="H74" s="4" t="str">
        <f>HYPERLINK("http://141.218.60.56/~jnz1568/getInfo.php?workbook=09_01.xlsx&amp;sheet=A0&amp;row=74&amp;col=8&amp;number=2062500000&amp;sourceID=11","2062500000")</f>
        <v>2062500000</v>
      </c>
      <c r="I74" s="4" t="str">
        <f>HYPERLINK("http://141.218.60.56/~jnz1568/getInfo.php?workbook=09_01.xlsx&amp;sheet=A0&amp;row=74&amp;col=9&amp;number=&amp;sourceID=11","")</f>
        <v/>
      </c>
      <c r="J74" s="4" t="str">
        <f>HYPERLINK("http://141.218.60.56/~jnz1568/getInfo.php?workbook=09_01.xlsx&amp;sheet=A0&amp;row=74&amp;col=10&amp;number=8.0793&amp;sourceID=11","8.0793")</f>
        <v>8.0793</v>
      </c>
      <c r="K74" s="4" t="str">
        <f>HYPERLINK("http://141.218.60.56/~jnz1568/getInfo.php?workbook=09_01.xlsx&amp;sheet=A0&amp;row=74&amp;col=11&amp;number=&amp;sourceID=11","")</f>
        <v/>
      </c>
      <c r="L74" s="4" t="str">
        <f>HYPERLINK("http://141.218.60.56/~jnz1568/getInfo.php?workbook=09_01.xlsx&amp;sheet=A0&amp;row=74&amp;col=12&amp;number=5.5108&amp;sourceID=11","5.5108")</f>
        <v>5.5108</v>
      </c>
      <c r="M74" s="4" t="str">
        <f>HYPERLINK("http://141.218.60.56/~jnz1568/getInfo.php?workbook=09_01.xlsx&amp;sheet=A0&amp;row=74&amp;col=13&amp;number=&amp;sourceID=11","")</f>
        <v/>
      </c>
      <c r="N74" s="4" t="str">
        <f>HYPERLINK("http://141.218.60.56/~jnz1568/getInfo.php?workbook=09_01.xlsx&amp;sheet=A0&amp;row=74&amp;col=14&amp;number=2062600000&amp;sourceID=12","2062600000")</f>
        <v>2062600000</v>
      </c>
      <c r="O74" s="4" t="str">
        <f>HYPERLINK("http://141.218.60.56/~jnz1568/getInfo.php?workbook=09_01.xlsx&amp;sheet=A0&amp;row=74&amp;col=15&amp;number=2062600000&amp;sourceID=12","2062600000")</f>
        <v>2062600000</v>
      </c>
      <c r="P74" s="4" t="str">
        <f>HYPERLINK("http://141.218.60.56/~jnz1568/getInfo.php?workbook=09_01.xlsx&amp;sheet=A0&amp;row=74&amp;col=16&amp;number=&amp;sourceID=12","")</f>
        <v/>
      </c>
      <c r="Q74" s="4" t="str">
        <f>HYPERLINK("http://141.218.60.56/~jnz1568/getInfo.php?workbook=09_01.xlsx&amp;sheet=A0&amp;row=74&amp;col=17&amp;number=8.0795&amp;sourceID=12","8.0795")</f>
        <v>8.0795</v>
      </c>
      <c r="R74" s="4" t="str">
        <f>HYPERLINK("http://141.218.60.56/~jnz1568/getInfo.php?workbook=09_01.xlsx&amp;sheet=A0&amp;row=74&amp;col=18&amp;number=&amp;sourceID=12","")</f>
        <v/>
      </c>
      <c r="S74" s="4" t="str">
        <f>HYPERLINK("http://141.218.60.56/~jnz1568/getInfo.php?workbook=09_01.xlsx&amp;sheet=A0&amp;row=74&amp;col=19&amp;number=5.511&amp;sourceID=12","5.511")</f>
        <v>5.511</v>
      </c>
      <c r="T74" s="4" t="str">
        <f>HYPERLINK("http://141.218.60.56/~jnz1568/getInfo.php?workbook=09_01.xlsx&amp;sheet=A0&amp;row=74&amp;col=20&amp;number=&amp;sourceID=12","")</f>
        <v/>
      </c>
      <c r="U74" s="4" t="str">
        <f>HYPERLINK("http://141.218.60.56/~jnz1568/getInfo.php?workbook=09_01.xlsx&amp;sheet=A0&amp;row=74&amp;col=21&amp;number=2063000005.51&amp;sourceID=30","2063000005.51")</f>
        <v>2063000005.51</v>
      </c>
      <c r="V74" s="4" t="str">
        <f>HYPERLINK("http://141.218.60.56/~jnz1568/getInfo.php?workbook=09_01.xlsx&amp;sheet=A0&amp;row=74&amp;col=22&amp;number=2063000000&amp;sourceID=30","2063000000")</f>
        <v>2063000000</v>
      </c>
      <c r="W74" s="4" t="str">
        <f>HYPERLINK("http://141.218.60.56/~jnz1568/getInfo.php?workbook=09_01.xlsx&amp;sheet=A0&amp;row=74&amp;col=23&amp;number=&amp;sourceID=30","")</f>
        <v/>
      </c>
      <c r="X74" s="4" t="str">
        <f>HYPERLINK("http://141.218.60.56/~jnz1568/getInfo.php?workbook=09_01.xlsx&amp;sheet=A0&amp;row=74&amp;col=24&amp;number=&amp;sourceID=30","")</f>
        <v/>
      </c>
      <c r="Y74" s="4" t="str">
        <f>HYPERLINK("http://141.218.60.56/~jnz1568/getInfo.php?workbook=09_01.xlsx&amp;sheet=A0&amp;row=74&amp;col=25&amp;number=5.511&amp;sourceID=30","5.511")</f>
        <v>5.511</v>
      </c>
      <c r="Z74" s="4" t="str">
        <f>HYPERLINK("http://141.218.60.56/~jnz1568/getInfo.php?workbook=09_01.xlsx&amp;sheet=A0&amp;row=74&amp;col=26&amp;number==&amp;sourceID=13","=")</f>
        <v>=</v>
      </c>
      <c r="AA74" s="4" t="str">
        <f>HYPERLINK("http://141.218.60.56/~jnz1568/getInfo.php?workbook=09_01.xlsx&amp;sheet=A0&amp;row=74&amp;col=27&amp;number=2050000000&amp;sourceID=13","2050000000")</f>
        <v>2050000000</v>
      </c>
      <c r="AB74" s="4" t="str">
        <f>HYPERLINK("http://141.218.60.56/~jnz1568/getInfo.php?workbook=09_01.xlsx&amp;sheet=A0&amp;row=74&amp;col=28&amp;number=&amp;sourceID=13","")</f>
        <v/>
      </c>
      <c r="AC74" s="4" t="str">
        <f>HYPERLINK("http://141.218.60.56/~jnz1568/getInfo.php?workbook=09_01.xlsx&amp;sheet=A0&amp;row=74&amp;col=29&amp;number=&amp;sourceID=13","")</f>
        <v/>
      </c>
      <c r="AD74" s="4" t="str">
        <f>HYPERLINK("http://141.218.60.56/~jnz1568/getInfo.php?workbook=09_01.xlsx&amp;sheet=A0&amp;row=74&amp;col=30&amp;number=&amp;sourceID=13","")</f>
        <v/>
      </c>
      <c r="AE74" s="4" t="str">
        <f>HYPERLINK("http://141.218.60.56/~jnz1568/getInfo.php?workbook=09_01.xlsx&amp;sheet=A0&amp;row=74&amp;col=31&amp;number=&amp;sourceID=13","")</f>
        <v/>
      </c>
    </row>
    <row r="75" spans="1:31">
      <c r="A75" s="3">
        <v>9</v>
      </c>
      <c r="B75" s="3">
        <v>1</v>
      </c>
      <c r="C75" s="3">
        <v>13</v>
      </c>
      <c r="D75" s="3">
        <v>10</v>
      </c>
      <c r="E75" s="3">
        <f>((1/(INDEX(E0!J$4:J$28,C75,1)-INDEX(E0!J$4:J$28,D75,1))))*100000000</f>
        <v>0</v>
      </c>
      <c r="F75" s="4" t="str">
        <f>HYPERLINK("http://141.218.60.56/~jnz1568/getInfo.php?workbook=09_01.xlsx&amp;sheet=A0&amp;row=75&amp;col=6&amp;number=&amp;sourceID=18","")</f>
        <v/>
      </c>
      <c r="G75" s="4" t="str">
        <f>HYPERLINK("http://141.218.60.56/~jnz1568/getInfo.php?workbook=09_01.xlsx&amp;sheet=A0&amp;row=75&amp;col=7&amp;number==&amp;sourceID=11","=")</f>
        <v>=</v>
      </c>
      <c r="H75" s="4" t="str">
        <f>HYPERLINK("http://141.218.60.56/~jnz1568/getInfo.php?workbook=09_01.xlsx&amp;sheet=A0&amp;row=75&amp;col=8&amp;number=&amp;sourceID=11","")</f>
        <v/>
      </c>
      <c r="I75" s="4" t="str">
        <f>HYPERLINK("http://141.218.60.56/~jnz1568/getInfo.php?workbook=09_01.xlsx&amp;sheet=A0&amp;row=75&amp;col=9&amp;number=2.9955e-09&amp;sourceID=11","2.9955e-09")</f>
        <v>2.9955e-09</v>
      </c>
      <c r="J75" s="4" t="str">
        <f>HYPERLINK("http://141.218.60.56/~jnz1568/getInfo.php?workbook=09_01.xlsx&amp;sheet=A0&amp;row=75&amp;col=10&amp;number=&amp;sourceID=11","")</f>
        <v/>
      </c>
      <c r="K75" s="4" t="str">
        <f>HYPERLINK("http://141.218.60.56/~jnz1568/getInfo.php?workbook=09_01.xlsx&amp;sheet=A0&amp;row=75&amp;col=11&amp;number=0.00024355&amp;sourceID=11","0.00024355")</f>
        <v>0.00024355</v>
      </c>
      <c r="L75" s="4" t="str">
        <f>HYPERLINK("http://141.218.60.56/~jnz1568/getInfo.php?workbook=09_01.xlsx&amp;sheet=A0&amp;row=75&amp;col=12&amp;number=&amp;sourceID=11","")</f>
        <v/>
      </c>
      <c r="M75" s="4" t="str">
        <f>HYPERLINK("http://141.218.60.56/~jnz1568/getInfo.php?workbook=09_01.xlsx&amp;sheet=A0&amp;row=75&amp;col=13&amp;number=&amp;sourceID=11","")</f>
        <v/>
      </c>
      <c r="N75" s="4" t="str">
        <f>HYPERLINK("http://141.218.60.56/~jnz1568/getInfo.php?workbook=09_01.xlsx&amp;sheet=A0&amp;row=75&amp;col=14&amp;number=0.00024356&amp;sourceID=12","0.00024356")</f>
        <v>0.00024356</v>
      </c>
      <c r="O75" s="4" t="str">
        <f>HYPERLINK("http://141.218.60.56/~jnz1568/getInfo.php?workbook=09_01.xlsx&amp;sheet=A0&amp;row=75&amp;col=15&amp;number=&amp;sourceID=12","")</f>
        <v/>
      </c>
      <c r="P75" s="4" t="str">
        <f>HYPERLINK("http://141.218.60.56/~jnz1568/getInfo.php?workbook=09_01.xlsx&amp;sheet=A0&amp;row=75&amp;col=16&amp;number=2.9957e-09&amp;sourceID=12","2.9957e-09")</f>
        <v>2.9957e-09</v>
      </c>
      <c r="Q75" s="4" t="str">
        <f>HYPERLINK("http://141.218.60.56/~jnz1568/getInfo.php?workbook=09_01.xlsx&amp;sheet=A0&amp;row=75&amp;col=17&amp;number=&amp;sourceID=12","")</f>
        <v/>
      </c>
      <c r="R75" s="4" t="str">
        <f>HYPERLINK("http://141.218.60.56/~jnz1568/getInfo.php?workbook=09_01.xlsx&amp;sheet=A0&amp;row=75&amp;col=18&amp;number=0.00024356&amp;sourceID=12","0.00024356")</f>
        <v>0.00024356</v>
      </c>
      <c r="S75" s="4" t="str">
        <f>HYPERLINK("http://141.218.60.56/~jnz1568/getInfo.php?workbook=09_01.xlsx&amp;sheet=A0&amp;row=75&amp;col=19&amp;number=&amp;sourceID=12","")</f>
        <v/>
      </c>
      <c r="T75" s="4" t="str">
        <f>HYPERLINK("http://141.218.60.56/~jnz1568/getInfo.php?workbook=09_01.xlsx&amp;sheet=A0&amp;row=75&amp;col=20&amp;number=&amp;sourceID=12","")</f>
        <v/>
      </c>
      <c r="U75" s="4" t="str">
        <f>HYPERLINK("http://141.218.60.56/~jnz1568/getInfo.php?workbook=09_01.xlsx&amp;sheet=A0&amp;row=75&amp;col=21&amp;number=0.000243602996&amp;sourceID=30","0.000243602996")</f>
        <v>0.000243602996</v>
      </c>
      <c r="V75" s="4" t="str">
        <f>HYPERLINK("http://141.218.60.56/~jnz1568/getInfo.php?workbook=09_01.xlsx&amp;sheet=A0&amp;row=75&amp;col=22&amp;number=&amp;sourceID=30","")</f>
        <v/>
      </c>
      <c r="W75" s="4" t="str">
        <f>HYPERLINK("http://141.218.60.56/~jnz1568/getInfo.php?workbook=09_01.xlsx&amp;sheet=A0&amp;row=75&amp;col=23&amp;number=2.996e-09&amp;sourceID=30","2.996e-09")</f>
        <v>2.996e-09</v>
      </c>
      <c r="X75" s="4" t="str">
        <f>HYPERLINK("http://141.218.60.56/~jnz1568/getInfo.php?workbook=09_01.xlsx&amp;sheet=A0&amp;row=75&amp;col=24&amp;number=0.0002436&amp;sourceID=30","0.0002436")</f>
        <v>0.0002436</v>
      </c>
      <c r="Y75" s="4" t="str">
        <f>HYPERLINK("http://141.218.60.56/~jnz1568/getInfo.php?workbook=09_01.xlsx&amp;sheet=A0&amp;row=75&amp;col=25&amp;number=&amp;sourceID=30","")</f>
        <v/>
      </c>
      <c r="Z75" s="4" t="str">
        <f>HYPERLINK("http://141.218.60.56/~jnz1568/getInfo.php?workbook=09_01.xlsx&amp;sheet=A0&amp;row=75&amp;col=26&amp;number==&amp;sourceID=13","=")</f>
        <v>=</v>
      </c>
      <c r="AA75" s="4" t="str">
        <f>HYPERLINK("http://141.218.60.56/~jnz1568/getInfo.php?workbook=09_01.xlsx&amp;sheet=A0&amp;row=75&amp;col=27&amp;number=&amp;sourceID=13","")</f>
        <v/>
      </c>
      <c r="AB75" s="4" t="str">
        <f>HYPERLINK("http://141.218.60.56/~jnz1568/getInfo.php?workbook=09_01.xlsx&amp;sheet=A0&amp;row=75&amp;col=28&amp;number=2.88e-09&amp;sourceID=13","2.88e-09")</f>
        <v>2.88e-09</v>
      </c>
      <c r="AC75" s="4" t="str">
        <f>HYPERLINK("http://141.218.60.56/~jnz1568/getInfo.php?workbook=09_01.xlsx&amp;sheet=A0&amp;row=75&amp;col=29&amp;number=&amp;sourceID=13","")</f>
        <v/>
      </c>
      <c r="AD75" s="4" t="str">
        <f>HYPERLINK("http://141.218.60.56/~jnz1568/getInfo.php?workbook=09_01.xlsx&amp;sheet=A0&amp;row=75&amp;col=30&amp;number=0.000238&amp;sourceID=13","0.000238")</f>
        <v>0.000238</v>
      </c>
      <c r="AE75" s="4" t="str">
        <f>HYPERLINK("http://141.218.60.56/~jnz1568/getInfo.php?workbook=09_01.xlsx&amp;sheet=A0&amp;row=75&amp;col=31&amp;number=&amp;sourceID=13","")</f>
        <v/>
      </c>
    </row>
    <row r="76" spans="1:31">
      <c r="A76" s="3">
        <v>9</v>
      </c>
      <c r="B76" s="3">
        <v>1</v>
      </c>
      <c r="C76" s="3">
        <v>13</v>
      </c>
      <c r="D76" s="3">
        <v>11</v>
      </c>
      <c r="E76" s="3">
        <f>((1/(INDEX(E0!J$4:J$28,C76,1)-INDEX(E0!J$4:J$28,D76,1))))*100000000</f>
        <v>0</v>
      </c>
      <c r="F76" s="4" t="str">
        <f>HYPERLINK("http://141.218.60.56/~jnz1568/getInfo.php?workbook=09_01.xlsx&amp;sheet=A0&amp;row=76&amp;col=6&amp;number=&amp;sourceID=18","")</f>
        <v/>
      </c>
      <c r="G76" s="4" t="str">
        <f>HYPERLINK("http://141.218.60.56/~jnz1568/getInfo.php?workbook=09_01.xlsx&amp;sheet=A0&amp;row=76&amp;col=7&amp;number==&amp;sourceID=11","=")</f>
        <v>=</v>
      </c>
      <c r="H76" s="4" t="str">
        <f>HYPERLINK("http://141.218.60.56/~jnz1568/getInfo.php?workbook=09_01.xlsx&amp;sheet=A0&amp;row=76&amp;col=8&amp;number=121.87&amp;sourceID=11","121.87")</f>
        <v>121.87</v>
      </c>
      <c r="I76" s="4" t="str">
        <f>HYPERLINK("http://141.218.60.56/~jnz1568/getInfo.php?workbook=09_01.xlsx&amp;sheet=A0&amp;row=76&amp;col=9&amp;number=&amp;sourceID=11","")</f>
        <v/>
      </c>
      <c r="J76" s="4" t="str">
        <f>HYPERLINK("http://141.218.60.56/~jnz1568/getInfo.php?workbook=09_01.xlsx&amp;sheet=A0&amp;row=76&amp;col=10&amp;number=&amp;sourceID=11","")</f>
        <v/>
      </c>
      <c r="K76" s="4" t="str">
        <f>HYPERLINK("http://141.218.60.56/~jnz1568/getInfo.php?workbook=09_01.xlsx&amp;sheet=A0&amp;row=76&amp;col=11&amp;number=&amp;sourceID=11","")</f>
        <v/>
      </c>
      <c r="L76" s="4" t="str">
        <f>HYPERLINK("http://141.218.60.56/~jnz1568/getInfo.php?workbook=09_01.xlsx&amp;sheet=A0&amp;row=76&amp;col=12&amp;number=1.21e-13&amp;sourceID=11","1.21e-13")</f>
        <v>1.21e-13</v>
      </c>
      <c r="M76" s="4" t="str">
        <f>HYPERLINK("http://141.218.60.56/~jnz1568/getInfo.php?workbook=09_01.xlsx&amp;sheet=A0&amp;row=76&amp;col=13&amp;number=&amp;sourceID=11","")</f>
        <v/>
      </c>
      <c r="N76" s="4" t="str">
        <f>HYPERLINK("http://141.218.60.56/~jnz1568/getInfo.php?workbook=09_01.xlsx&amp;sheet=A0&amp;row=76&amp;col=14&amp;number=121.87&amp;sourceID=12","121.87")</f>
        <v>121.87</v>
      </c>
      <c r="O76" s="4" t="str">
        <f>HYPERLINK("http://141.218.60.56/~jnz1568/getInfo.php?workbook=09_01.xlsx&amp;sheet=A0&amp;row=76&amp;col=15&amp;number=121.87&amp;sourceID=12","121.87")</f>
        <v>121.87</v>
      </c>
      <c r="P76" s="4" t="str">
        <f>HYPERLINK("http://141.218.60.56/~jnz1568/getInfo.php?workbook=09_01.xlsx&amp;sheet=A0&amp;row=76&amp;col=16&amp;number=&amp;sourceID=12","")</f>
        <v/>
      </c>
      <c r="Q76" s="4" t="str">
        <f>HYPERLINK("http://141.218.60.56/~jnz1568/getInfo.php?workbook=09_01.xlsx&amp;sheet=A0&amp;row=76&amp;col=17&amp;number=&amp;sourceID=12","")</f>
        <v/>
      </c>
      <c r="R76" s="4" t="str">
        <f>HYPERLINK("http://141.218.60.56/~jnz1568/getInfo.php?workbook=09_01.xlsx&amp;sheet=A0&amp;row=76&amp;col=18&amp;number=&amp;sourceID=12","")</f>
        <v/>
      </c>
      <c r="S76" s="4" t="str">
        <f>HYPERLINK("http://141.218.60.56/~jnz1568/getInfo.php?workbook=09_01.xlsx&amp;sheet=A0&amp;row=76&amp;col=19&amp;number=1.21e-13&amp;sourceID=12","1.21e-13")</f>
        <v>1.21e-13</v>
      </c>
      <c r="T76" s="4" t="str">
        <f>HYPERLINK("http://141.218.60.56/~jnz1568/getInfo.php?workbook=09_01.xlsx&amp;sheet=A0&amp;row=76&amp;col=20&amp;number=&amp;sourceID=12","")</f>
        <v/>
      </c>
      <c r="U76" s="4" t="str">
        <f>HYPERLINK("http://141.218.60.56/~jnz1568/getInfo.php?workbook=09_01.xlsx&amp;sheet=A0&amp;row=76&amp;col=21&amp;number=121.9&amp;sourceID=30","121.9")</f>
        <v>121.9</v>
      </c>
      <c r="V76" s="4" t="str">
        <f>HYPERLINK("http://141.218.60.56/~jnz1568/getInfo.php?workbook=09_01.xlsx&amp;sheet=A0&amp;row=76&amp;col=22&amp;number=121.9&amp;sourceID=30","121.9")</f>
        <v>121.9</v>
      </c>
      <c r="W76" s="4" t="str">
        <f>HYPERLINK("http://141.218.60.56/~jnz1568/getInfo.php?workbook=09_01.xlsx&amp;sheet=A0&amp;row=76&amp;col=23&amp;number=&amp;sourceID=30","")</f>
        <v/>
      </c>
      <c r="X76" s="4" t="str">
        <f>HYPERLINK("http://141.218.60.56/~jnz1568/getInfo.php?workbook=09_01.xlsx&amp;sheet=A0&amp;row=76&amp;col=24&amp;number=&amp;sourceID=30","")</f>
        <v/>
      </c>
      <c r="Y76" s="4" t="str">
        <f>HYPERLINK("http://141.218.60.56/~jnz1568/getInfo.php?workbook=09_01.xlsx&amp;sheet=A0&amp;row=76&amp;col=25&amp;number=1.21e-13&amp;sourceID=30","1.21e-13")</f>
        <v>1.21e-13</v>
      </c>
      <c r="Z76" s="4" t="str">
        <f>HYPERLINK("http://141.218.60.56/~jnz1568/getInfo.php?workbook=09_01.xlsx&amp;sheet=A0&amp;row=76&amp;col=26&amp;number==&amp;sourceID=13","=")</f>
        <v>=</v>
      </c>
      <c r="AA76" s="4" t="str">
        <f>HYPERLINK("http://141.218.60.56/~jnz1568/getInfo.php?workbook=09_01.xlsx&amp;sheet=A0&amp;row=76&amp;col=27&amp;number=118&amp;sourceID=13","118")</f>
        <v>118</v>
      </c>
      <c r="AB76" s="4" t="str">
        <f>HYPERLINK("http://141.218.60.56/~jnz1568/getInfo.php?workbook=09_01.xlsx&amp;sheet=A0&amp;row=76&amp;col=28&amp;number=&amp;sourceID=13","")</f>
        <v/>
      </c>
      <c r="AC76" s="4" t="str">
        <f>HYPERLINK("http://141.218.60.56/~jnz1568/getInfo.php?workbook=09_01.xlsx&amp;sheet=A0&amp;row=76&amp;col=29&amp;number=&amp;sourceID=13","")</f>
        <v/>
      </c>
      <c r="AD76" s="4" t="str">
        <f>HYPERLINK("http://141.218.60.56/~jnz1568/getInfo.php?workbook=09_01.xlsx&amp;sheet=A0&amp;row=76&amp;col=30&amp;number=&amp;sourceID=13","")</f>
        <v/>
      </c>
      <c r="AE76" s="4" t="str">
        <f>HYPERLINK("http://141.218.60.56/~jnz1568/getInfo.php?workbook=09_01.xlsx&amp;sheet=A0&amp;row=76&amp;col=31&amp;number=&amp;sourceID=13","")</f>
        <v/>
      </c>
    </row>
    <row r="77" spans="1:31">
      <c r="A77" s="3">
        <v>9</v>
      </c>
      <c r="B77" s="3">
        <v>1</v>
      </c>
      <c r="C77" s="3">
        <v>14</v>
      </c>
      <c r="D77" s="3">
        <v>1</v>
      </c>
      <c r="E77" s="3">
        <f>((1/(INDEX(E0!J$4:J$28,C77,1)-INDEX(E0!J$4:J$28,D77,1))))*100000000</f>
        <v>0</v>
      </c>
      <c r="F77" s="4" t="str">
        <f>HYPERLINK("http://141.218.60.56/~jnz1568/getInfo.php?workbook=09_01.xlsx&amp;sheet=A0&amp;row=77&amp;col=6&amp;number=&amp;sourceID=18","")</f>
        <v/>
      </c>
      <c r="G77" s="4" t="str">
        <f>HYPERLINK("http://141.218.60.56/~jnz1568/getInfo.php?workbook=09_01.xlsx&amp;sheet=A0&amp;row=77&amp;col=7&amp;number==&amp;sourceID=11","=")</f>
        <v>=</v>
      </c>
      <c r="H77" s="4" t="str">
        <f>HYPERLINK("http://141.218.60.56/~jnz1568/getInfo.php?workbook=09_01.xlsx&amp;sheet=A0&amp;row=77&amp;col=8&amp;number=&amp;sourceID=11","")</f>
        <v/>
      </c>
      <c r="I77" s="4" t="str">
        <f>HYPERLINK("http://141.218.60.56/~jnz1568/getInfo.php?workbook=09_01.xlsx&amp;sheet=A0&amp;row=77&amp;col=9&amp;number=&amp;sourceID=11","")</f>
        <v/>
      </c>
      <c r="J77" s="4" t="str">
        <f>HYPERLINK("http://141.218.60.56/~jnz1568/getInfo.php?workbook=09_01.xlsx&amp;sheet=A0&amp;row=77&amp;col=10&amp;number=13343&amp;sourceID=11","13343")</f>
        <v>13343</v>
      </c>
      <c r="K77" s="4" t="str">
        <f>HYPERLINK("http://141.218.60.56/~jnz1568/getInfo.php?workbook=09_01.xlsx&amp;sheet=A0&amp;row=77&amp;col=11&amp;number=&amp;sourceID=11","")</f>
        <v/>
      </c>
      <c r="L77" s="4" t="str">
        <f>HYPERLINK("http://141.218.60.56/~jnz1568/getInfo.php?workbook=09_01.xlsx&amp;sheet=A0&amp;row=77&amp;col=12&amp;number=0.00045931&amp;sourceID=11","0.00045931")</f>
        <v>0.00045931</v>
      </c>
      <c r="M77" s="4" t="str">
        <f>HYPERLINK("http://141.218.60.56/~jnz1568/getInfo.php?workbook=09_01.xlsx&amp;sheet=A0&amp;row=77&amp;col=13&amp;number=&amp;sourceID=11","")</f>
        <v/>
      </c>
      <c r="N77" s="4" t="str">
        <f>HYPERLINK("http://141.218.60.56/~jnz1568/getInfo.php?workbook=09_01.xlsx&amp;sheet=A0&amp;row=77&amp;col=14&amp;number=13343&amp;sourceID=12","13343")</f>
        <v>13343</v>
      </c>
      <c r="O77" s="4" t="str">
        <f>HYPERLINK("http://141.218.60.56/~jnz1568/getInfo.php?workbook=09_01.xlsx&amp;sheet=A0&amp;row=77&amp;col=15&amp;number=&amp;sourceID=12","")</f>
        <v/>
      </c>
      <c r="P77" s="4" t="str">
        <f>HYPERLINK("http://141.218.60.56/~jnz1568/getInfo.php?workbook=09_01.xlsx&amp;sheet=A0&amp;row=77&amp;col=16&amp;number=&amp;sourceID=12","")</f>
        <v/>
      </c>
      <c r="Q77" s="4" t="str">
        <f>HYPERLINK("http://141.218.60.56/~jnz1568/getInfo.php?workbook=09_01.xlsx&amp;sheet=A0&amp;row=77&amp;col=17&amp;number=13343&amp;sourceID=12","13343")</f>
        <v>13343</v>
      </c>
      <c r="R77" s="4" t="str">
        <f>HYPERLINK("http://141.218.60.56/~jnz1568/getInfo.php?workbook=09_01.xlsx&amp;sheet=A0&amp;row=77&amp;col=18&amp;number=&amp;sourceID=12","")</f>
        <v/>
      </c>
      <c r="S77" s="4" t="str">
        <f>HYPERLINK("http://141.218.60.56/~jnz1568/getInfo.php?workbook=09_01.xlsx&amp;sheet=A0&amp;row=77&amp;col=19&amp;number=0.00045693&amp;sourceID=12","0.00045693")</f>
        <v>0.00045693</v>
      </c>
      <c r="T77" s="4" t="str">
        <f>HYPERLINK("http://141.218.60.56/~jnz1568/getInfo.php?workbook=09_01.xlsx&amp;sheet=A0&amp;row=77&amp;col=20&amp;number=&amp;sourceID=12","")</f>
        <v/>
      </c>
      <c r="U77" s="4" t="str">
        <f>HYPERLINK("http://141.218.60.56/~jnz1568/getInfo.php?workbook=09_01.xlsx&amp;sheet=A0&amp;row=77&amp;col=21&amp;number=0.0004593&amp;sourceID=30","0.0004593")</f>
        <v>0.0004593</v>
      </c>
      <c r="V77" s="4" t="str">
        <f>HYPERLINK("http://141.218.60.56/~jnz1568/getInfo.php?workbook=09_01.xlsx&amp;sheet=A0&amp;row=77&amp;col=22&amp;number=&amp;sourceID=30","")</f>
        <v/>
      </c>
      <c r="W77" s="4" t="str">
        <f>HYPERLINK("http://141.218.60.56/~jnz1568/getInfo.php?workbook=09_01.xlsx&amp;sheet=A0&amp;row=77&amp;col=23&amp;number=&amp;sourceID=30","")</f>
        <v/>
      </c>
      <c r="X77" s="4" t="str">
        <f>HYPERLINK("http://141.218.60.56/~jnz1568/getInfo.php?workbook=09_01.xlsx&amp;sheet=A0&amp;row=77&amp;col=24&amp;number=&amp;sourceID=30","")</f>
        <v/>
      </c>
      <c r="Y77" s="4" t="str">
        <f>HYPERLINK("http://141.218.60.56/~jnz1568/getInfo.php?workbook=09_01.xlsx&amp;sheet=A0&amp;row=77&amp;col=25&amp;number=0.0004593&amp;sourceID=30","0.0004593")</f>
        <v>0.0004593</v>
      </c>
      <c r="Z77" s="4" t="str">
        <f>HYPERLINK("http://141.218.60.56/~jnz1568/getInfo.php?workbook=09_01.xlsx&amp;sheet=A0&amp;row=77&amp;col=26&amp;number==&amp;sourceID=13","=")</f>
        <v>=</v>
      </c>
      <c r="AA77" s="4" t="str">
        <f>HYPERLINK("http://141.218.60.56/~jnz1568/getInfo.php?workbook=09_01.xlsx&amp;sheet=A0&amp;row=77&amp;col=27&amp;number=&amp;sourceID=13","")</f>
        <v/>
      </c>
      <c r="AB77" s="4" t="str">
        <f>HYPERLINK("http://141.218.60.56/~jnz1568/getInfo.php?workbook=09_01.xlsx&amp;sheet=A0&amp;row=77&amp;col=28&amp;number=&amp;sourceID=13","")</f>
        <v/>
      </c>
      <c r="AC77" s="4" t="str">
        <f>HYPERLINK("http://141.218.60.56/~jnz1568/getInfo.php?workbook=09_01.xlsx&amp;sheet=A0&amp;row=77&amp;col=29&amp;number=4140&amp;sourceID=13","4140")</f>
        <v>4140</v>
      </c>
      <c r="AD77" s="4" t="str">
        <f>HYPERLINK("http://141.218.60.56/~jnz1568/getInfo.php?workbook=09_01.xlsx&amp;sheet=A0&amp;row=77&amp;col=30&amp;number=&amp;sourceID=13","")</f>
        <v/>
      </c>
      <c r="AE77" s="4" t="str">
        <f>HYPERLINK("http://141.218.60.56/~jnz1568/getInfo.php?workbook=09_01.xlsx&amp;sheet=A0&amp;row=77&amp;col=31&amp;number=&amp;sourceID=13","")</f>
        <v/>
      </c>
    </row>
    <row r="78" spans="1:31">
      <c r="A78" s="3">
        <v>9</v>
      </c>
      <c r="B78" s="3">
        <v>1</v>
      </c>
      <c r="C78" s="3">
        <v>14</v>
      </c>
      <c r="D78" s="3">
        <v>2</v>
      </c>
      <c r="E78" s="3">
        <f>((1/(INDEX(E0!J$4:J$28,C78,1)-INDEX(E0!J$4:J$28,D78,1))))*100000000</f>
        <v>0</v>
      </c>
      <c r="F78" s="4" t="str">
        <f>HYPERLINK("http://141.218.60.56/~jnz1568/getInfo.php?workbook=09_01.xlsx&amp;sheet=A0&amp;row=78&amp;col=6&amp;number=&amp;sourceID=18","")</f>
        <v/>
      </c>
      <c r="G78" s="4" t="str">
        <f>HYPERLINK("http://141.218.60.56/~jnz1568/getInfo.php?workbook=09_01.xlsx&amp;sheet=A0&amp;row=78&amp;col=7&amp;number==&amp;sourceID=11","=")</f>
        <v>=</v>
      </c>
      <c r="H78" s="4" t="str">
        <f>HYPERLINK("http://141.218.60.56/~jnz1568/getInfo.php?workbook=09_01.xlsx&amp;sheet=A0&amp;row=78&amp;col=8&amp;number=&amp;sourceID=11","")</f>
        <v/>
      </c>
      <c r="I78" s="4" t="str">
        <f>HYPERLINK("http://141.218.60.56/~jnz1568/getInfo.php?workbook=09_01.xlsx&amp;sheet=A0&amp;row=78&amp;col=9&amp;number=25546000&amp;sourceID=11","25546000")</f>
        <v>25546000</v>
      </c>
      <c r="J78" s="4" t="str">
        <f>HYPERLINK("http://141.218.60.56/~jnz1568/getInfo.php?workbook=09_01.xlsx&amp;sheet=A0&amp;row=78&amp;col=10&amp;number=&amp;sourceID=11","")</f>
        <v/>
      </c>
      <c r="K78" s="4" t="str">
        <f>HYPERLINK("http://141.218.60.56/~jnz1568/getInfo.php?workbook=09_01.xlsx&amp;sheet=A0&amp;row=78&amp;col=11&amp;number=&amp;sourceID=11","")</f>
        <v/>
      </c>
      <c r="L78" s="4" t="str">
        <f>HYPERLINK("http://141.218.60.56/~jnz1568/getInfo.php?workbook=09_01.xlsx&amp;sheet=A0&amp;row=78&amp;col=12&amp;number=&amp;sourceID=11","")</f>
        <v/>
      </c>
      <c r="M78" s="4" t="str">
        <f>HYPERLINK("http://141.218.60.56/~jnz1568/getInfo.php?workbook=09_01.xlsx&amp;sheet=A0&amp;row=78&amp;col=13&amp;number=0.019&amp;sourceID=11","0.019")</f>
        <v>0.019</v>
      </c>
      <c r="N78" s="4" t="str">
        <f>HYPERLINK("http://141.218.60.56/~jnz1568/getInfo.php?workbook=09_01.xlsx&amp;sheet=A0&amp;row=78&amp;col=14&amp;number=25547000&amp;sourceID=12","25547000")</f>
        <v>25547000</v>
      </c>
      <c r="O78" s="4" t="str">
        <f>HYPERLINK("http://141.218.60.56/~jnz1568/getInfo.php?workbook=09_01.xlsx&amp;sheet=A0&amp;row=78&amp;col=15&amp;number=&amp;sourceID=12","")</f>
        <v/>
      </c>
      <c r="P78" s="4" t="str">
        <f>HYPERLINK("http://141.218.60.56/~jnz1568/getInfo.php?workbook=09_01.xlsx&amp;sheet=A0&amp;row=78&amp;col=16&amp;number=25547000&amp;sourceID=12","25547000")</f>
        <v>25547000</v>
      </c>
      <c r="Q78" s="4" t="str">
        <f>HYPERLINK("http://141.218.60.56/~jnz1568/getInfo.php?workbook=09_01.xlsx&amp;sheet=A0&amp;row=78&amp;col=17&amp;number=&amp;sourceID=12","")</f>
        <v/>
      </c>
      <c r="R78" s="4" t="str">
        <f>HYPERLINK("http://141.218.60.56/~jnz1568/getInfo.php?workbook=09_01.xlsx&amp;sheet=A0&amp;row=78&amp;col=18&amp;number=&amp;sourceID=12","")</f>
        <v/>
      </c>
      <c r="S78" s="4" t="str">
        <f>HYPERLINK("http://141.218.60.56/~jnz1568/getInfo.php?workbook=09_01.xlsx&amp;sheet=A0&amp;row=78&amp;col=19&amp;number=&amp;sourceID=12","")</f>
        <v/>
      </c>
      <c r="T78" s="4" t="str">
        <f>HYPERLINK("http://141.218.60.56/~jnz1568/getInfo.php?workbook=09_01.xlsx&amp;sheet=A0&amp;row=78&amp;col=20&amp;number=0.019001&amp;sourceID=12","0.019001")</f>
        <v>0.019001</v>
      </c>
      <c r="U78" s="4" t="str">
        <f>HYPERLINK("http://141.218.60.56/~jnz1568/getInfo.php?workbook=09_01.xlsx&amp;sheet=A0&amp;row=78&amp;col=21&amp;number=25550000&amp;sourceID=30","25550000")</f>
        <v>25550000</v>
      </c>
      <c r="V78" s="4" t="str">
        <f>HYPERLINK("http://141.218.60.56/~jnz1568/getInfo.php?workbook=09_01.xlsx&amp;sheet=A0&amp;row=78&amp;col=22&amp;number=&amp;sourceID=30","")</f>
        <v/>
      </c>
      <c r="W78" s="4" t="str">
        <f>HYPERLINK("http://141.218.60.56/~jnz1568/getInfo.php?workbook=09_01.xlsx&amp;sheet=A0&amp;row=78&amp;col=23&amp;number=25550000&amp;sourceID=30","25550000")</f>
        <v>25550000</v>
      </c>
      <c r="X78" s="4" t="str">
        <f>HYPERLINK("http://141.218.60.56/~jnz1568/getInfo.php?workbook=09_01.xlsx&amp;sheet=A0&amp;row=78&amp;col=24&amp;number=&amp;sourceID=30","")</f>
        <v/>
      </c>
      <c r="Y78" s="4" t="str">
        <f>HYPERLINK("http://141.218.60.56/~jnz1568/getInfo.php?workbook=09_01.xlsx&amp;sheet=A0&amp;row=78&amp;col=25&amp;number=&amp;sourceID=30","")</f>
        <v/>
      </c>
      <c r="Z78" s="4" t="str">
        <f>HYPERLINK("http://141.218.60.56/~jnz1568/getInfo.php?workbook=09_01.xlsx&amp;sheet=A0&amp;row=78&amp;col=26&amp;number==&amp;sourceID=13","=")</f>
        <v>=</v>
      </c>
      <c r="AA78" s="4" t="str">
        <f>HYPERLINK("http://141.218.60.56/~jnz1568/getInfo.php?workbook=09_01.xlsx&amp;sheet=A0&amp;row=78&amp;col=27&amp;number=&amp;sourceID=13","")</f>
        <v/>
      </c>
      <c r="AB78" s="4" t="str">
        <f>HYPERLINK("http://141.218.60.56/~jnz1568/getInfo.php?workbook=09_01.xlsx&amp;sheet=A0&amp;row=78&amp;col=28&amp;number=25700000&amp;sourceID=13","25700000")</f>
        <v>25700000</v>
      </c>
      <c r="AC78" s="4" t="str">
        <f>HYPERLINK("http://141.218.60.56/~jnz1568/getInfo.php?workbook=09_01.xlsx&amp;sheet=A0&amp;row=78&amp;col=29&amp;number=&amp;sourceID=13","")</f>
        <v/>
      </c>
      <c r="AD78" s="4" t="str">
        <f>HYPERLINK("http://141.218.60.56/~jnz1568/getInfo.php?workbook=09_01.xlsx&amp;sheet=A0&amp;row=78&amp;col=30&amp;number=&amp;sourceID=13","")</f>
        <v/>
      </c>
      <c r="AE78" s="4" t="str">
        <f>HYPERLINK("http://141.218.60.56/~jnz1568/getInfo.php?workbook=09_01.xlsx&amp;sheet=A0&amp;row=78&amp;col=31&amp;number=&amp;sourceID=13","")</f>
        <v/>
      </c>
    </row>
    <row r="79" spans="1:31">
      <c r="A79" s="3">
        <v>9</v>
      </c>
      <c r="B79" s="3">
        <v>1</v>
      </c>
      <c r="C79" s="3">
        <v>14</v>
      </c>
      <c r="D79" s="3">
        <v>3</v>
      </c>
      <c r="E79" s="3">
        <f>((1/(INDEX(E0!J$4:J$28,C79,1)-INDEX(E0!J$4:J$28,D79,1))))*100000000</f>
        <v>0</v>
      </c>
      <c r="F79" s="4" t="str">
        <f>HYPERLINK("http://141.218.60.56/~jnz1568/getInfo.php?workbook=09_01.xlsx&amp;sheet=A0&amp;row=79&amp;col=6&amp;number=&amp;sourceID=18","")</f>
        <v/>
      </c>
      <c r="G79" s="4" t="str">
        <f>HYPERLINK("http://141.218.60.56/~jnz1568/getInfo.php?workbook=09_01.xlsx&amp;sheet=A0&amp;row=79&amp;col=7&amp;number==&amp;sourceID=11","=")</f>
        <v>=</v>
      </c>
      <c r="H79" s="4" t="str">
        <f>HYPERLINK("http://141.218.60.56/~jnz1568/getInfo.php?workbook=09_01.xlsx&amp;sheet=A0&amp;row=79&amp;col=8&amp;number=&amp;sourceID=11","")</f>
        <v/>
      </c>
      <c r="I79" s="4" t="str">
        <f>HYPERLINK("http://141.218.60.56/~jnz1568/getInfo.php?workbook=09_01.xlsx&amp;sheet=A0&amp;row=79&amp;col=9&amp;number=&amp;sourceID=11","")</f>
        <v/>
      </c>
      <c r="J79" s="4" t="str">
        <f>HYPERLINK("http://141.218.60.56/~jnz1568/getInfo.php?workbook=09_01.xlsx&amp;sheet=A0&amp;row=79&amp;col=10&amp;number=5285.2&amp;sourceID=11","5285.2")</f>
        <v>5285.2</v>
      </c>
      <c r="K79" s="4" t="str">
        <f>HYPERLINK("http://141.218.60.56/~jnz1568/getInfo.php?workbook=09_01.xlsx&amp;sheet=A0&amp;row=79&amp;col=11&amp;number=&amp;sourceID=11","")</f>
        <v/>
      </c>
      <c r="L79" s="4" t="str">
        <f>HYPERLINK("http://141.218.60.56/~jnz1568/getInfo.php?workbook=09_01.xlsx&amp;sheet=A0&amp;row=79&amp;col=12&amp;number=2.3574e-05&amp;sourceID=11","2.3574e-05")</f>
        <v>2.3574e-05</v>
      </c>
      <c r="M79" s="4" t="str">
        <f>HYPERLINK("http://141.218.60.56/~jnz1568/getInfo.php?workbook=09_01.xlsx&amp;sheet=A0&amp;row=79&amp;col=13&amp;number=&amp;sourceID=11","")</f>
        <v/>
      </c>
      <c r="N79" s="4" t="str">
        <f>HYPERLINK("http://141.218.60.56/~jnz1568/getInfo.php?workbook=09_01.xlsx&amp;sheet=A0&amp;row=79&amp;col=14&amp;number=5285.3&amp;sourceID=12","5285.3")</f>
        <v>5285.3</v>
      </c>
      <c r="O79" s="4" t="str">
        <f>HYPERLINK("http://141.218.60.56/~jnz1568/getInfo.php?workbook=09_01.xlsx&amp;sheet=A0&amp;row=79&amp;col=15&amp;number=&amp;sourceID=12","")</f>
        <v/>
      </c>
      <c r="P79" s="4" t="str">
        <f>HYPERLINK("http://141.218.60.56/~jnz1568/getInfo.php?workbook=09_01.xlsx&amp;sheet=A0&amp;row=79&amp;col=16&amp;number=&amp;sourceID=12","")</f>
        <v/>
      </c>
      <c r="Q79" s="4" t="str">
        <f>HYPERLINK("http://141.218.60.56/~jnz1568/getInfo.php?workbook=09_01.xlsx&amp;sheet=A0&amp;row=79&amp;col=17&amp;number=5285.3&amp;sourceID=12","5285.3")</f>
        <v>5285.3</v>
      </c>
      <c r="R79" s="4" t="str">
        <f>HYPERLINK("http://141.218.60.56/~jnz1568/getInfo.php?workbook=09_01.xlsx&amp;sheet=A0&amp;row=79&amp;col=18&amp;number=&amp;sourceID=12","")</f>
        <v/>
      </c>
      <c r="S79" s="4" t="str">
        <f>HYPERLINK("http://141.218.60.56/~jnz1568/getInfo.php?workbook=09_01.xlsx&amp;sheet=A0&amp;row=79&amp;col=19&amp;number=2.3571e-05&amp;sourceID=12","2.3571e-05")</f>
        <v>2.3571e-05</v>
      </c>
      <c r="T79" s="4" t="str">
        <f>HYPERLINK("http://141.218.60.56/~jnz1568/getInfo.php?workbook=09_01.xlsx&amp;sheet=A0&amp;row=79&amp;col=20&amp;number=&amp;sourceID=12","")</f>
        <v/>
      </c>
      <c r="U79" s="4" t="str">
        <f>HYPERLINK("http://141.218.60.56/~jnz1568/getInfo.php?workbook=09_01.xlsx&amp;sheet=A0&amp;row=79&amp;col=21&amp;number=2.357e-05&amp;sourceID=30","2.357e-05")</f>
        <v>2.357e-05</v>
      </c>
      <c r="V79" s="4" t="str">
        <f>HYPERLINK("http://141.218.60.56/~jnz1568/getInfo.php?workbook=09_01.xlsx&amp;sheet=A0&amp;row=79&amp;col=22&amp;number=&amp;sourceID=30","")</f>
        <v/>
      </c>
      <c r="W79" s="4" t="str">
        <f>HYPERLINK("http://141.218.60.56/~jnz1568/getInfo.php?workbook=09_01.xlsx&amp;sheet=A0&amp;row=79&amp;col=23&amp;number=&amp;sourceID=30","")</f>
        <v/>
      </c>
      <c r="X79" s="4" t="str">
        <f>HYPERLINK("http://141.218.60.56/~jnz1568/getInfo.php?workbook=09_01.xlsx&amp;sheet=A0&amp;row=79&amp;col=24&amp;number=&amp;sourceID=30","")</f>
        <v/>
      </c>
      <c r="Y79" s="4" t="str">
        <f>HYPERLINK("http://141.218.60.56/~jnz1568/getInfo.php?workbook=09_01.xlsx&amp;sheet=A0&amp;row=79&amp;col=25&amp;number=2.357e-05&amp;sourceID=30","2.357e-05")</f>
        <v>2.357e-05</v>
      </c>
      <c r="Z79" s="4" t="str">
        <f>HYPERLINK("http://141.218.60.56/~jnz1568/getInfo.php?workbook=09_01.xlsx&amp;sheet=A0&amp;row=79&amp;col=26&amp;number==&amp;sourceID=13","=")</f>
        <v>=</v>
      </c>
      <c r="AA79" s="4" t="str">
        <f>HYPERLINK("http://141.218.60.56/~jnz1568/getInfo.php?workbook=09_01.xlsx&amp;sheet=A0&amp;row=79&amp;col=27&amp;number=&amp;sourceID=13","")</f>
        <v/>
      </c>
      <c r="AB79" s="4" t="str">
        <f>HYPERLINK("http://141.218.60.56/~jnz1568/getInfo.php?workbook=09_01.xlsx&amp;sheet=A0&amp;row=79&amp;col=28&amp;number=&amp;sourceID=13","")</f>
        <v/>
      </c>
      <c r="AC79" s="4" t="str">
        <f>HYPERLINK("http://141.218.60.56/~jnz1568/getInfo.php?workbook=09_01.xlsx&amp;sheet=A0&amp;row=79&amp;col=29&amp;number=5350&amp;sourceID=13","5350")</f>
        <v>5350</v>
      </c>
      <c r="AD79" s="4" t="str">
        <f>HYPERLINK("http://141.218.60.56/~jnz1568/getInfo.php?workbook=09_01.xlsx&amp;sheet=A0&amp;row=79&amp;col=30&amp;number=&amp;sourceID=13","")</f>
        <v/>
      </c>
      <c r="AE79" s="4" t="str">
        <f>HYPERLINK("http://141.218.60.56/~jnz1568/getInfo.php?workbook=09_01.xlsx&amp;sheet=A0&amp;row=79&amp;col=31&amp;number=&amp;sourceID=13","")</f>
        <v/>
      </c>
    </row>
    <row r="80" spans="1:31">
      <c r="A80" s="3">
        <v>9</v>
      </c>
      <c r="B80" s="3">
        <v>1</v>
      </c>
      <c r="C80" s="3">
        <v>14</v>
      </c>
      <c r="D80" s="3">
        <v>4</v>
      </c>
      <c r="E80" s="3">
        <f>((1/(INDEX(E0!J$4:J$28,C80,1)-INDEX(E0!J$4:J$28,D80,1))))*100000000</f>
        <v>0</v>
      </c>
      <c r="F80" s="4" t="str">
        <f>HYPERLINK("http://141.218.60.56/~jnz1568/getInfo.php?workbook=09_01.xlsx&amp;sheet=A0&amp;row=80&amp;col=6&amp;number=&amp;sourceID=18","")</f>
        <v/>
      </c>
      <c r="G80" s="4" t="str">
        <f>HYPERLINK("http://141.218.60.56/~jnz1568/getInfo.php?workbook=09_01.xlsx&amp;sheet=A0&amp;row=80&amp;col=7&amp;number==&amp;sourceID=11","=")</f>
        <v>=</v>
      </c>
      <c r="H80" s="4" t="str">
        <f>HYPERLINK("http://141.218.60.56/~jnz1568/getInfo.php?workbook=09_01.xlsx&amp;sheet=A0&amp;row=80&amp;col=8&amp;number=&amp;sourceID=11","")</f>
        <v/>
      </c>
      <c r="I80" s="4" t="str">
        <f>HYPERLINK("http://141.218.60.56/~jnz1568/getInfo.php?workbook=09_01.xlsx&amp;sheet=A0&amp;row=80&amp;col=9&amp;number=7296600&amp;sourceID=11","7296600")</f>
        <v>7296600</v>
      </c>
      <c r="J80" s="4" t="str">
        <f>HYPERLINK("http://141.218.60.56/~jnz1568/getInfo.php?workbook=09_01.xlsx&amp;sheet=A0&amp;row=80&amp;col=10&amp;number=&amp;sourceID=11","")</f>
        <v/>
      </c>
      <c r="K80" s="4" t="str">
        <f>HYPERLINK("http://141.218.60.56/~jnz1568/getInfo.php?workbook=09_01.xlsx&amp;sheet=A0&amp;row=80&amp;col=11&amp;number=0.15406&amp;sourceID=11","0.15406")</f>
        <v>0.15406</v>
      </c>
      <c r="L80" s="4" t="str">
        <f>HYPERLINK("http://141.218.60.56/~jnz1568/getInfo.php?workbook=09_01.xlsx&amp;sheet=A0&amp;row=80&amp;col=12&amp;number=&amp;sourceID=11","")</f>
        <v/>
      </c>
      <c r="M80" s="4" t="str">
        <f>HYPERLINK("http://141.218.60.56/~jnz1568/getInfo.php?workbook=09_01.xlsx&amp;sheet=A0&amp;row=80&amp;col=13&amp;number=0.0037914&amp;sourceID=11","0.0037914")</f>
        <v>0.0037914</v>
      </c>
      <c r="N80" s="4" t="str">
        <f>HYPERLINK("http://141.218.60.56/~jnz1568/getInfo.php?workbook=09_01.xlsx&amp;sheet=A0&amp;row=80&amp;col=14&amp;number=7296800&amp;sourceID=12","7296800")</f>
        <v>7296800</v>
      </c>
      <c r="O80" s="4" t="str">
        <f>HYPERLINK("http://141.218.60.56/~jnz1568/getInfo.php?workbook=09_01.xlsx&amp;sheet=A0&amp;row=80&amp;col=15&amp;number=&amp;sourceID=12","")</f>
        <v/>
      </c>
      <c r="P80" s="4" t="str">
        <f>HYPERLINK("http://141.218.60.56/~jnz1568/getInfo.php?workbook=09_01.xlsx&amp;sheet=A0&amp;row=80&amp;col=16&amp;number=7296800&amp;sourceID=12","7296800")</f>
        <v>7296800</v>
      </c>
      <c r="Q80" s="4" t="str">
        <f>HYPERLINK("http://141.218.60.56/~jnz1568/getInfo.php?workbook=09_01.xlsx&amp;sheet=A0&amp;row=80&amp;col=17&amp;number=&amp;sourceID=12","")</f>
        <v/>
      </c>
      <c r="R80" s="4" t="str">
        <f>HYPERLINK("http://141.218.60.56/~jnz1568/getInfo.php?workbook=09_01.xlsx&amp;sheet=A0&amp;row=80&amp;col=18&amp;number=0.15406&amp;sourceID=12","0.15406")</f>
        <v>0.15406</v>
      </c>
      <c r="S80" s="4" t="str">
        <f>HYPERLINK("http://141.218.60.56/~jnz1568/getInfo.php?workbook=09_01.xlsx&amp;sheet=A0&amp;row=80&amp;col=19&amp;number=&amp;sourceID=12","")</f>
        <v/>
      </c>
      <c r="T80" s="4" t="str">
        <f>HYPERLINK("http://141.218.60.56/~jnz1568/getInfo.php?workbook=09_01.xlsx&amp;sheet=A0&amp;row=80&amp;col=20&amp;number=0.0037915&amp;sourceID=12","0.0037915")</f>
        <v>0.0037915</v>
      </c>
      <c r="U80" s="4" t="str">
        <f>HYPERLINK("http://141.218.60.56/~jnz1568/getInfo.php?workbook=09_01.xlsx&amp;sheet=A0&amp;row=80&amp;col=21&amp;number=7297000.1541&amp;sourceID=30","7297000.1541")</f>
        <v>7297000.1541</v>
      </c>
      <c r="V80" s="4" t="str">
        <f>HYPERLINK("http://141.218.60.56/~jnz1568/getInfo.php?workbook=09_01.xlsx&amp;sheet=A0&amp;row=80&amp;col=22&amp;number=&amp;sourceID=30","")</f>
        <v/>
      </c>
      <c r="W80" s="4" t="str">
        <f>HYPERLINK("http://141.218.60.56/~jnz1568/getInfo.php?workbook=09_01.xlsx&amp;sheet=A0&amp;row=80&amp;col=23&amp;number=7297000&amp;sourceID=30","7297000")</f>
        <v>7297000</v>
      </c>
      <c r="X80" s="4" t="str">
        <f>HYPERLINK("http://141.218.60.56/~jnz1568/getInfo.php?workbook=09_01.xlsx&amp;sheet=A0&amp;row=80&amp;col=24&amp;number=0.1541&amp;sourceID=30","0.1541")</f>
        <v>0.1541</v>
      </c>
      <c r="Y80" s="4" t="str">
        <f>HYPERLINK("http://141.218.60.56/~jnz1568/getInfo.php?workbook=09_01.xlsx&amp;sheet=A0&amp;row=80&amp;col=25&amp;number=&amp;sourceID=30","")</f>
        <v/>
      </c>
      <c r="Z80" s="4" t="str">
        <f>HYPERLINK("http://141.218.60.56/~jnz1568/getInfo.php?workbook=09_01.xlsx&amp;sheet=A0&amp;row=80&amp;col=26&amp;number==&amp;sourceID=13","=")</f>
        <v>=</v>
      </c>
      <c r="AA80" s="4" t="str">
        <f>HYPERLINK("http://141.218.60.56/~jnz1568/getInfo.php?workbook=09_01.xlsx&amp;sheet=A0&amp;row=80&amp;col=27&amp;number=&amp;sourceID=13","")</f>
        <v/>
      </c>
      <c r="AB80" s="4" t="str">
        <f>HYPERLINK("http://141.218.60.56/~jnz1568/getInfo.php?workbook=09_01.xlsx&amp;sheet=A0&amp;row=80&amp;col=28&amp;number=7300000&amp;sourceID=13","7300000")</f>
        <v>7300000</v>
      </c>
      <c r="AC80" s="4" t="str">
        <f>HYPERLINK("http://141.218.60.56/~jnz1568/getInfo.php?workbook=09_01.xlsx&amp;sheet=A0&amp;row=80&amp;col=29&amp;number=&amp;sourceID=13","")</f>
        <v/>
      </c>
      <c r="AD80" s="4" t="str">
        <f>HYPERLINK("http://141.218.60.56/~jnz1568/getInfo.php?workbook=09_01.xlsx&amp;sheet=A0&amp;row=80&amp;col=30&amp;number=0.32&amp;sourceID=13","0.32")</f>
        <v>0.32</v>
      </c>
      <c r="AE80" s="4" t="str">
        <f>HYPERLINK("http://141.218.60.56/~jnz1568/getInfo.php?workbook=09_01.xlsx&amp;sheet=A0&amp;row=80&amp;col=31&amp;number=&amp;sourceID=13","")</f>
        <v/>
      </c>
    </row>
    <row r="81" spans="1:31">
      <c r="A81" s="3">
        <v>9</v>
      </c>
      <c r="B81" s="3">
        <v>1</v>
      </c>
      <c r="C81" s="3">
        <v>14</v>
      </c>
      <c r="D81" s="3">
        <v>5</v>
      </c>
      <c r="E81" s="3">
        <f>((1/(INDEX(E0!J$4:J$28,C81,1)-INDEX(E0!J$4:J$28,D81,1))))*100000000</f>
        <v>0</v>
      </c>
      <c r="F81" s="4" t="str">
        <f>HYPERLINK("http://141.218.60.56/~jnz1568/getInfo.php?workbook=09_01.xlsx&amp;sheet=A0&amp;row=81&amp;col=6&amp;number=&amp;sourceID=18","")</f>
        <v/>
      </c>
      <c r="G81" s="4" t="str">
        <f>HYPERLINK("http://141.218.60.56/~jnz1568/getInfo.php?workbook=09_01.xlsx&amp;sheet=A0&amp;row=81&amp;col=7&amp;number==&amp;sourceID=11","=")</f>
        <v>=</v>
      </c>
      <c r="H81" s="4" t="str">
        <f>HYPERLINK("http://141.218.60.56/~jnz1568/getInfo.php?workbook=09_01.xlsx&amp;sheet=A0&amp;row=81&amp;col=8&amp;number=&amp;sourceID=11","")</f>
        <v/>
      </c>
      <c r="I81" s="4" t="str">
        <f>HYPERLINK("http://141.218.60.56/~jnz1568/getInfo.php?workbook=09_01.xlsx&amp;sheet=A0&amp;row=81&amp;col=9&amp;number=2408300&amp;sourceID=11","2408300")</f>
        <v>2408300</v>
      </c>
      <c r="J81" s="4" t="str">
        <f>HYPERLINK("http://141.218.60.56/~jnz1568/getInfo.php?workbook=09_01.xlsx&amp;sheet=A0&amp;row=81&amp;col=10&amp;number=&amp;sourceID=11","")</f>
        <v/>
      </c>
      <c r="K81" s="4" t="str">
        <f>HYPERLINK("http://141.218.60.56/~jnz1568/getInfo.php?workbook=09_01.xlsx&amp;sheet=A0&amp;row=81&amp;col=11&amp;number=&amp;sourceID=11","")</f>
        <v/>
      </c>
      <c r="L81" s="4" t="str">
        <f>HYPERLINK("http://141.218.60.56/~jnz1568/getInfo.php?workbook=09_01.xlsx&amp;sheet=A0&amp;row=81&amp;col=12&amp;number=&amp;sourceID=11","")</f>
        <v/>
      </c>
      <c r="M81" s="4" t="str">
        <f>HYPERLINK("http://141.218.60.56/~jnz1568/getInfo.php?workbook=09_01.xlsx&amp;sheet=A0&amp;row=81&amp;col=13&amp;number=0.00012055&amp;sourceID=11","0.00012055")</f>
        <v>0.00012055</v>
      </c>
      <c r="N81" s="4" t="str">
        <f>HYPERLINK("http://141.218.60.56/~jnz1568/getInfo.php?workbook=09_01.xlsx&amp;sheet=A0&amp;row=81&amp;col=14&amp;number=2408400&amp;sourceID=12","2408400")</f>
        <v>2408400</v>
      </c>
      <c r="O81" s="4" t="str">
        <f>HYPERLINK("http://141.218.60.56/~jnz1568/getInfo.php?workbook=09_01.xlsx&amp;sheet=A0&amp;row=81&amp;col=15&amp;number=&amp;sourceID=12","")</f>
        <v/>
      </c>
      <c r="P81" s="4" t="str">
        <f>HYPERLINK("http://141.218.60.56/~jnz1568/getInfo.php?workbook=09_01.xlsx&amp;sheet=A0&amp;row=81&amp;col=16&amp;number=2408400&amp;sourceID=12","2408400")</f>
        <v>2408400</v>
      </c>
      <c r="Q81" s="4" t="str">
        <f>HYPERLINK("http://141.218.60.56/~jnz1568/getInfo.php?workbook=09_01.xlsx&amp;sheet=A0&amp;row=81&amp;col=17&amp;number=&amp;sourceID=12","")</f>
        <v/>
      </c>
      <c r="R81" s="4" t="str">
        <f>HYPERLINK("http://141.218.60.56/~jnz1568/getInfo.php?workbook=09_01.xlsx&amp;sheet=A0&amp;row=81&amp;col=18&amp;number=&amp;sourceID=12","")</f>
        <v/>
      </c>
      <c r="S81" s="4" t="str">
        <f>HYPERLINK("http://141.218.60.56/~jnz1568/getInfo.php?workbook=09_01.xlsx&amp;sheet=A0&amp;row=81&amp;col=19&amp;number=&amp;sourceID=12","")</f>
        <v/>
      </c>
      <c r="T81" s="4" t="str">
        <f>HYPERLINK("http://141.218.60.56/~jnz1568/getInfo.php?workbook=09_01.xlsx&amp;sheet=A0&amp;row=81&amp;col=20&amp;number=0.00012055&amp;sourceID=12","0.00012055")</f>
        <v>0.00012055</v>
      </c>
      <c r="U81" s="4" t="str">
        <f>HYPERLINK("http://141.218.60.56/~jnz1568/getInfo.php?workbook=09_01.xlsx&amp;sheet=A0&amp;row=81&amp;col=21&amp;number=2408000&amp;sourceID=30","2408000")</f>
        <v>2408000</v>
      </c>
      <c r="V81" s="4" t="str">
        <f>HYPERLINK("http://141.218.60.56/~jnz1568/getInfo.php?workbook=09_01.xlsx&amp;sheet=A0&amp;row=81&amp;col=22&amp;number=&amp;sourceID=30","")</f>
        <v/>
      </c>
      <c r="W81" s="4" t="str">
        <f>HYPERLINK("http://141.218.60.56/~jnz1568/getInfo.php?workbook=09_01.xlsx&amp;sheet=A0&amp;row=81&amp;col=23&amp;number=2408000&amp;sourceID=30","2408000")</f>
        <v>2408000</v>
      </c>
      <c r="X81" s="4" t="str">
        <f>HYPERLINK("http://141.218.60.56/~jnz1568/getInfo.php?workbook=09_01.xlsx&amp;sheet=A0&amp;row=81&amp;col=24&amp;number=&amp;sourceID=30","")</f>
        <v/>
      </c>
      <c r="Y81" s="4" t="str">
        <f>HYPERLINK("http://141.218.60.56/~jnz1568/getInfo.php?workbook=09_01.xlsx&amp;sheet=A0&amp;row=81&amp;col=25&amp;number=&amp;sourceID=30","")</f>
        <v/>
      </c>
      <c r="Z81" s="4" t="str">
        <f>HYPERLINK("http://141.218.60.56/~jnz1568/getInfo.php?workbook=09_01.xlsx&amp;sheet=A0&amp;row=81&amp;col=26&amp;number==&amp;sourceID=13","=")</f>
        <v>=</v>
      </c>
      <c r="AA81" s="4" t="str">
        <f>HYPERLINK("http://141.218.60.56/~jnz1568/getInfo.php?workbook=09_01.xlsx&amp;sheet=A0&amp;row=81&amp;col=27&amp;number=&amp;sourceID=13","")</f>
        <v/>
      </c>
      <c r="AB81" s="4" t="str">
        <f>HYPERLINK("http://141.218.60.56/~jnz1568/getInfo.php?workbook=09_01.xlsx&amp;sheet=A0&amp;row=81&amp;col=28&amp;number=2410000&amp;sourceID=13","2410000")</f>
        <v>2410000</v>
      </c>
      <c r="AC81" s="4" t="str">
        <f>HYPERLINK("http://141.218.60.56/~jnz1568/getInfo.php?workbook=09_01.xlsx&amp;sheet=A0&amp;row=81&amp;col=29&amp;number=&amp;sourceID=13","")</f>
        <v/>
      </c>
      <c r="AD81" s="4" t="str">
        <f>HYPERLINK("http://141.218.60.56/~jnz1568/getInfo.php?workbook=09_01.xlsx&amp;sheet=A0&amp;row=81&amp;col=30&amp;number=&amp;sourceID=13","")</f>
        <v/>
      </c>
      <c r="AE81" s="4" t="str">
        <f>HYPERLINK("http://141.218.60.56/~jnz1568/getInfo.php?workbook=09_01.xlsx&amp;sheet=A0&amp;row=81&amp;col=31&amp;number=&amp;sourceID=13","")</f>
        <v/>
      </c>
    </row>
    <row r="82" spans="1:31">
      <c r="A82" s="3">
        <v>9</v>
      </c>
      <c r="B82" s="3">
        <v>1</v>
      </c>
      <c r="C82" s="3">
        <v>14</v>
      </c>
      <c r="D82" s="3">
        <v>6</v>
      </c>
      <c r="E82" s="3">
        <f>((1/(INDEX(E0!J$4:J$28,C82,1)-INDEX(E0!J$4:J$28,D82,1))))*100000000</f>
        <v>0</v>
      </c>
      <c r="F82" s="4" t="str">
        <f>HYPERLINK("http://141.218.60.56/~jnz1568/getInfo.php?workbook=09_01.xlsx&amp;sheet=A0&amp;row=82&amp;col=6&amp;number=&amp;sourceID=18","")</f>
        <v/>
      </c>
      <c r="G82" s="4" t="str">
        <f>HYPERLINK("http://141.218.60.56/~jnz1568/getInfo.php?workbook=09_01.xlsx&amp;sheet=A0&amp;row=82&amp;col=7&amp;number==&amp;sourceID=11","=")</f>
        <v>=</v>
      </c>
      <c r="H82" s="4" t="str">
        <f>HYPERLINK("http://141.218.60.56/~jnz1568/getInfo.php?workbook=09_01.xlsx&amp;sheet=A0&amp;row=82&amp;col=8&amp;number=&amp;sourceID=11","")</f>
        <v/>
      </c>
      <c r="I82" s="4" t="str">
        <f>HYPERLINK("http://141.218.60.56/~jnz1568/getInfo.php?workbook=09_01.xlsx&amp;sheet=A0&amp;row=82&amp;col=9&amp;number=&amp;sourceID=11","")</f>
        <v/>
      </c>
      <c r="J82" s="4" t="str">
        <f>HYPERLINK("http://141.218.60.56/~jnz1568/getInfo.php?workbook=09_01.xlsx&amp;sheet=A0&amp;row=82&amp;col=10&amp;number=48.655&amp;sourceID=11","48.655")</f>
        <v>48.655</v>
      </c>
      <c r="K82" s="4" t="str">
        <f>HYPERLINK("http://141.218.60.56/~jnz1568/getInfo.php?workbook=09_01.xlsx&amp;sheet=A0&amp;row=82&amp;col=11&amp;number=&amp;sourceID=11","")</f>
        <v/>
      </c>
      <c r="L82" s="4" t="str">
        <f>HYPERLINK("http://141.218.60.56/~jnz1568/getInfo.php?workbook=09_01.xlsx&amp;sheet=A0&amp;row=82&amp;col=12&amp;number=1.1002e-07&amp;sourceID=11","1.1002e-07")</f>
        <v>1.1002e-07</v>
      </c>
      <c r="M82" s="4" t="str">
        <f>HYPERLINK("http://141.218.60.56/~jnz1568/getInfo.php?workbook=09_01.xlsx&amp;sheet=A0&amp;row=82&amp;col=13&amp;number=&amp;sourceID=11","")</f>
        <v/>
      </c>
      <c r="N82" s="4" t="str">
        <f>HYPERLINK("http://141.218.60.56/~jnz1568/getInfo.php?workbook=09_01.xlsx&amp;sheet=A0&amp;row=82&amp;col=14&amp;number=48.657&amp;sourceID=12","48.657")</f>
        <v>48.657</v>
      </c>
      <c r="O82" s="4" t="str">
        <f>HYPERLINK("http://141.218.60.56/~jnz1568/getInfo.php?workbook=09_01.xlsx&amp;sheet=A0&amp;row=82&amp;col=15&amp;number=&amp;sourceID=12","")</f>
        <v/>
      </c>
      <c r="P82" s="4" t="str">
        <f>HYPERLINK("http://141.218.60.56/~jnz1568/getInfo.php?workbook=09_01.xlsx&amp;sheet=A0&amp;row=82&amp;col=16&amp;number=&amp;sourceID=12","")</f>
        <v/>
      </c>
      <c r="Q82" s="4" t="str">
        <f>HYPERLINK("http://141.218.60.56/~jnz1568/getInfo.php?workbook=09_01.xlsx&amp;sheet=A0&amp;row=82&amp;col=17&amp;number=48.657&amp;sourceID=12","48.657")</f>
        <v>48.657</v>
      </c>
      <c r="R82" s="4" t="str">
        <f>HYPERLINK("http://141.218.60.56/~jnz1568/getInfo.php?workbook=09_01.xlsx&amp;sheet=A0&amp;row=82&amp;col=18&amp;number=&amp;sourceID=12","")</f>
        <v/>
      </c>
      <c r="S82" s="4" t="str">
        <f>HYPERLINK("http://141.218.60.56/~jnz1568/getInfo.php?workbook=09_01.xlsx&amp;sheet=A0&amp;row=82&amp;col=19&amp;number=1.1002e-07&amp;sourceID=12","1.1002e-07")</f>
        <v>1.1002e-07</v>
      </c>
      <c r="T82" s="4" t="str">
        <f>HYPERLINK("http://141.218.60.56/~jnz1568/getInfo.php?workbook=09_01.xlsx&amp;sheet=A0&amp;row=82&amp;col=20&amp;number=&amp;sourceID=12","")</f>
        <v/>
      </c>
      <c r="U82" s="4" t="str">
        <f>HYPERLINK("http://141.218.60.56/~jnz1568/getInfo.php?workbook=09_01.xlsx&amp;sheet=A0&amp;row=82&amp;col=21&amp;number=1.1e-07&amp;sourceID=30","1.1e-07")</f>
        <v>1.1e-07</v>
      </c>
      <c r="V82" s="4" t="str">
        <f>HYPERLINK("http://141.218.60.56/~jnz1568/getInfo.php?workbook=09_01.xlsx&amp;sheet=A0&amp;row=82&amp;col=22&amp;number=&amp;sourceID=30","")</f>
        <v/>
      </c>
      <c r="W82" s="4" t="str">
        <f>HYPERLINK("http://141.218.60.56/~jnz1568/getInfo.php?workbook=09_01.xlsx&amp;sheet=A0&amp;row=82&amp;col=23&amp;number=&amp;sourceID=30","")</f>
        <v/>
      </c>
      <c r="X82" s="4" t="str">
        <f>HYPERLINK("http://141.218.60.56/~jnz1568/getInfo.php?workbook=09_01.xlsx&amp;sheet=A0&amp;row=82&amp;col=24&amp;number=&amp;sourceID=30","")</f>
        <v/>
      </c>
      <c r="Y82" s="4" t="str">
        <f>HYPERLINK("http://141.218.60.56/~jnz1568/getInfo.php?workbook=09_01.xlsx&amp;sheet=A0&amp;row=82&amp;col=25&amp;number=1.1e-07&amp;sourceID=30","1.1e-07")</f>
        <v>1.1e-07</v>
      </c>
      <c r="Z82" s="4" t="str">
        <f>HYPERLINK("http://141.218.60.56/~jnz1568/getInfo.php?workbook=09_01.xlsx&amp;sheet=A0&amp;row=82&amp;col=26&amp;number==&amp;sourceID=13","=")</f>
        <v>=</v>
      </c>
      <c r="AA82" s="4" t="str">
        <f>HYPERLINK("http://141.218.60.56/~jnz1568/getInfo.php?workbook=09_01.xlsx&amp;sheet=A0&amp;row=82&amp;col=27&amp;number=&amp;sourceID=13","")</f>
        <v/>
      </c>
      <c r="AB82" s="4" t="str">
        <f>HYPERLINK("http://141.218.60.56/~jnz1568/getInfo.php?workbook=09_01.xlsx&amp;sheet=A0&amp;row=82&amp;col=28&amp;number=&amp;sourceID=13","")</f>
        <v/>
      </c>
      <c r="AC82" s="4" t="str">
        <f>HYPERLINK("http://141.218.60.56/~jnz1568/getInfo.php?workbook=09_01.xlsx&amp;sheet=A0&amp;row=82&amp;col=29&amp;number=48.6&amp;sourceID=13","48.6")</f>
        <v>48.6</v>
      </c>
      <c r="AD82" s="4" t="str">
        <f>HYPERLINK("http://141.218.60.56/~jnz1568/getInfo.php?workbook=09_01.xlsx&amp;sheet=A0&amp;row=82&amp;col=30&amp;number=&amp;sourceID=13","")</f>
        <v/>
      </c>
      <c r="AE82" s="4" t="str">
        <f>HYPERLINK("http://141.218.60.56/~jnz1568/getInfo.php?workbook=09_01.xlsx&amp;sheet=A0&amp;row=82&amp;col=31&amp;number=&amp;sourceID=13","")</f>
        <v/>
      </c>
    </row>
    <row r="83" spans="1:31">
      <c r="A83" s="3">
        <v>9</v>
      </c>
      <c r="B83" s="3">
        <v>1</v>
      </c>
      <c r="C83" s="3">
        <v>14</v>
      </c>
      <c r="D83" s="3">
        <v>7</v>
      </c>
      <c r="E83" s="3">
        <f>((1/(INDEX(E0!J$4:J$28,C83,1)-INDEX(E0!J$4:J$28,D83,1))))*100000000</f>
        <v>0</v>
      </c>
      <c r="F83" s="4" t="str">
        <f>HYPERLINK("http://141.218.60.56/~jnz1568/getInfo.php?workbook=09_01.xlsx&amp;sheet=A0&amp;row=83&amp;col=6&amp;number=&amp;sourceID=18","")</f>
        <v/>
      </c>
      <c r="G83" s="4" t="str">
        <f>HYPERLINK("http://141.218.60.56/~jnz1568/getInfo.php?workbook=09_01.xlsx&amp;sheet=A0&amp;row=83&amp;col=7&amp;number==&amp;sourceID=11","=")</f>
        <v>=</v>
      </c>
      <c r="H83" s="4" t="str">
        <f>HYPERLINK("http://141.218.60.56/~jnz1568/getInfo.php?workbook=09_01.xlsx&amp;sheet=A0&amp;row=83&amp;col=8&amp;number=84519000000&amp;sourceID=11","84519000000")</f>
        <v>84519000000</v>
      </c>
      <c r="I83" s="4" t="str">
        <f>HYPERLINK("http://141.218.60.56/~jnz1568/getInfo.php?workbook=09_01.xlsx&amp;sheet=A0&amp;row=83&amp;col=9&amp;number=&amp;sourceID=11","")</f>
        <v/>
      </c>
      <c r="J83" s="4" t="str">
        <f>HYPERLINK("http://141.218.60.56/~jnz1568/getInfo.php?workbook=09_01.xlsx&amp;sheet=A0&amp;row=83&amp;col=10&amp;number=13.945&amp;sourceID=11","13.945")</f>
        <v>13.945</v>
      </c>
      <c r="K83" s="4" t="str">
        <f>HYPERLINK("http://141.218.60.56/~jnz1568/getInfo.php?workbook=09_01.xlsx&amp;sheet=A0&amp;row=83&amp;col=11&amp;number=&amp;sourceID=11","")</f>
        <v/>
      </c>
      <c r="L83" s="4" t="str">
        <f>HYPERLINK("http://141.218.60.56/~jnz1568/getInfo.php?workbook=09_01.xlsx&amp;sheet=A0&amp;row=83&amp;col=12&amp;number=41.51&amp;sourceID=11","41.51")</f>
        <v>41.51</v>
      </c>
      <c r="M83" s="4" t="str">
        <f>HYPERLINK("http://141.218.60.56/~jnz1568/getInfo.php?workbook=09_01.xlsx&amp;sheet=A0&amp;row=83&amp;col=13&amp;number=&amp;sourceID=11","")</f>
        <v/>
      </c>
      <c r="N83" s="4" t="str">
        <f>HYPERLINK("http://141.218.60.56/~jnz1568/getInfo.php?workbook=09_01.xlsx&amp;sheet=A0&amp;row=83&amp;col=14&amp;number=84521000000&amp;sourceID=12","84521000000")</f>
        <v>84521000000</v>
      </c>
      <c r="O83" s="4" t="str">
        <f>HYPERLINK("http://141.218.60.56/~jnz1568/getInfo.php?workbook=09_01.xlsx&amp;sheet=A0&amp;row=83&amp;col=15&amp;number=84521000000&amp;sourceID=12","84521000000")</f>
        <v>84521000000</v>
      </c>
      <c r="P83" s="4" t="str">
        <f>HYPERLINK("http://141.218.60.56/~jnz1568/getInfo.php?workbook=09_01.xlsx&amp;sheet=A0&amp;row=83&amp;col=16&amp;number=&amp;sourceID=12","")</f>
        <v/>
      </c>
      <c r="Q83" s="4" t="str">
        <f>HYPERLINK("http://141.218.60.56/~jnz1568/getInfo.php?workbook=09_01.xlsx&amp;sheet=A0&amp;row=83&amp;col=17&amp;number=13.945&amp;sourceID=12","13.945")</f>
        <v>13.945</v>
      </c>
      <c r="R83" s="4" t="str">
        <f>HYPERLINK("http://141.218.60.56/~jnz1568/getInfo.php?workbook=09_01.xlsx&amp;sheet=A0&amp;row=83&amp;col=18&amp;number=&amp;sourceID=12","")</f>
        <v/>
      </c>
      <c r="S83" s="4" t="str">
        <f>HYPERLINK("http://141.218.60.56/~jnz1568/getInfo.php?workbook=09_01.xlsx&amp;sheet=A0&amp;row=83&amp;col=19&amp;number=41.512&amp;sourceID=12","41.512")</f>
        <v>41.512</v>
      </c>
      <c r="T83" s="4" t="str">
        <f>HYPERLINK("http://141.218.60.56/~jnz1568/getInfo.php?workbook=09_01.xlsx&amp;sheet=A0&amp;row=83&amp;col=20&amp;number=&amp;sourceID=12","")</f>
        <v/>
      </c>
      <c r="U83" s="4" t="str">
        <f>HYPERLINK("http://141.218.60.56/~jnz1568/getInfo.php?workbook=09_01.xlsx&amp;sheet=A0&amp;row=83&amp;col=21&amp;number=84520000041.5&amp;sourceID=30","84520000041.5")</f>
        <v>84520000041.5</v>
      </c>
      <c r="V83" s="4" t="str">
        <f>HYPERLINK("http://141.218.60.56/~jnz1568/getInfo.php?workbook=09_01.xlsx&amp;sheet=A0&amp;row=83&amp;col=22&amp;number=84520000000&amp;sourceID=30","84520000000")</f>
        <v>84520000000</v>
      </c>
      <c r="W83" s="4" t="str">
        <f>HYPERLINK("http://141.218.60.56/~jnz1568/getInfo.php?workbook=09_01.xlsx&amp;sheet=A0&amp;row=83&amp;col=23&amp;number=&amp;sourceID=30","")</f>
        <v/>
      </c>
      <c r="X83" s="4" t="str">
        <f>HYPERLINK("http://141.218.60.56/~jnz1568/getInfo.php?workbook=09_01.xlsx&amp;sheet=A0&amp;row=83&amp;col=24&amp;number=&amp;sourceID=30","")</f>
        <v/>
      </c>
      <c r="Y83" s="4" t="str">
        <f>HYPERLINK("http://141.218.60.56/~jnz1568/getInfo.php?workbook=09_01.xlsx&amp;sheet=A0&amp;row=83&amp;col=25&amp;number=41.51&amp;sourceID=30","41.51")</f>
        <v>41.51</v>
      </c>
      <c r="Z83" s="4" t="str">
        <f>HYPERLINK("http://141.218.60.56/~jnz1568/getInfo.php?workbook=09_01.xlsx&amp;sheet=A0&amp;row=83&amp;col=26&amp;number==&amp;sourceID=13","=")</f>
        <v>=</v>
      </c>
      <c r="AA83" s="4" t="str">
        <f>HYPERLINK("http://141.218.60.56/~jnz1568/getInfo.php?workbook=09_01.xlsx&amp;sheet=A0&amp;row=83&amp;col=27&amp;number=84500000000&amp;sourceID=13","84500000000")</f>
        <v>84500000000</v>
      </c>
      <c r="AB83" s="4" t="str">
        <f>HYPERLINK("http://141.218.60.56/~jnz1568/getInfo.php?workbook=09_01.xlsx&amp;sheet=A0&amp;row=83&amp;col=28&amp;number=&amp;sourceID=13","")</f>
        <v/>
      </c>
      <c r="AC83" s="4" t="str">
        <f>HYPERLINK("http://141.218.60.56/~jnz1568/getInfo.php?workbook=09_01.xlsx&amp;sheet=A0&amp;row=83&amp;col=29&amp;number=&amp;sourceID=13","")</f>
        <v/>
      </c>
      <c r="AD83" s="4" t="str">
        <f>HYPERLINK("http://141.218.60.56/~jnz1568/getInfo.php?workbook=09_01.xlsx&amp;sheet=A0&amp;row=83&amp;col=30&amp;number=&amp;sourceID=13","")</f>
        <v/>
      </c>
      <c r="AE83" s="4" t="str">
        <f>HYPERLINK("http://141.218.60.56/~jnz1568/getInfo.php?workbook=09_01.xlsx&amp;sheet=A0&amp;row=83&amp;col=31&amp;number=&amp;sourceID=13","")</f>
        <v/>
      </c>
    </row>
    <row r="84" spans="1:31">
      <c r="A84" s="3">
        <v>9</v>
      </c>
      <c r="B84" s="3">
        <v>1</v>
      </c>
      <c r="C84" s="3">
        <v>14</v>
      </c>
      <c r="D84" s="3">
        <v>8</v>
      </c>
      <c r="E84" s="3">
        <f>((1/(INDEX(E0!J$4:J$28,C84,1)-INDEX(E0!J$4:J$28,D84,1))))*100000000</f>
        <v>0</v>
      </c>
      <c r="F84" s="4" t="str">
        <f>HYPERLINK("http://141.218.60.56/~jnz1568/getInfo.php?workbook=09_01.xlsx&amp;sheet=A0&amp;row=84&amp;col=6&amp;number=&amp;sourceID=18","")</f>
        <v/>
      </c>
      <c r="G84" s="4" t="str">
        <f>HYPERLINK("http://141.218.60.56/~jnz1568/getInfo.php?workbook=09_01.xlsx&amp;sheet=A0&amp;row=84&amp;col=7&amp;number==&amp;sourceID=11","=")</f>
        <v>=</v>
      </c>
      <c r="H84" s="4" t="str">
        <f>HYPERLINK("http://141.218.60.56/~jnz1568/getInfo.php?workbook=09_01.xlsx&amp;sheet=A0&amp;row=84&amp;col=8&amp;number=&amp;sourceID=11","")</f>
        <v/>
      </c>
      <c r="I84" s="4" t="str">
        <f>HYPERLINK("http://141.218.60.56/~jnz1568/getInfo.php?workbook=09_01.xlsx&amp;sheet=A0&amp;row=84&amp;col=9&amp;number=684350&amp;sourceID=11","684350")</f>
        <v>684350</v>
      </c>
      <c r="J84" s="4" t="str">
        <f>HYPERLINK("http://141.218.60.56/~jnz1568/getInfo.php?workbook=09_01.xlsx&amp;sheet=A0&amp;row=84&amp;col=10&amp;number=&amp;sourceID=11","")</f>
        <v/>
      </c>
      <c r="K84" s="4" t="str">
        <f>HYPERLINK("http://141.218.60.56/~jnz1568/getInfo.php?workbook=09_01.xlsx&amp;sheet=A0&amp;row=84&amp;col=11&amp;number=0.0050639&amp;sourceID=11","0.0050639")</f>
        <v>0.0050639</v>
      </c>
      <c r="L84" s="4" t="str">
        <f>HYPERLINK("http://141.218.60.56/~jnz1568/getInfo.php?workbook=09_01.xlsx&amp;sheet=A0&amp;row=84&amp;col=12&amp;number=&amp;sourceID=11","")</f>
        <v/>
      </c>
      <c r="M84" s="4" t="str">
        <f>HYPERLINK("http://141.218.60.56/~jnz1568/getInfo.php?workbook=09_01.xlsx&amp;sheet=A0&amp;row=84&amp;col=13&amp;number=2.391e-05&amp;sourceID=11","2.391e-05")</f>
        <v>2.391e-05</v>
      </c>
      <c r="N84" s="4" t="str">
        <f>HYPERLINK("http://141.218.60.56/~jnz1568/getInfo.php?workbook=09_01.xlsx&amp;sheet=A0&amp;row=84&amp;col=14&amp;number=684370&amp;sourceID=12","684370")</f>
        <v>684370</v>
      </c>
      <c r="O84" s="4" t="str">
        <f>HYPERLINK("http://141.218.60.56/~jnz1568/getInfo.php?workbook=09_01.xlsx&amp;sheet=A0&amp;row=84&amp;col=15&amp;number=&amp;sourceID=12","")</f>
        <v/>
      </c>
      <c r="P84" s="4" t="str">
        <f>HYPERLINK("http://141.218.60.56/~jnz1568/getInfo.php?workbook=09_01.xlsx&amp;sheet=A0&amp;row=84&amp;col=16&amp;number=684370&amp;sourceID=12","684370")</f>
        <v>684370</v>
      </c>
      <c r="Q84" s="4" t="str">
        <f>HYPERLINK("http://141.218.60.56/~jnz1568/getInfo.php?workbook=09_01.xlsx&amp;sheet=A0&amp;row=84&amp;col=17&amp;number=&amp;sourceID=12","")</f>
        <v/>
      </c>
      <c r="R84" s="4" t="str">
        <f>HYPERLINK("http://141.218.60.56/~jnz1568/getInfo.php?workbook=09_01.xlsx&amp;sheet=A0&amp;row=84&amp;col=18&amp;number=0.005064&amp;sourceID=12","0.005064")</f>
        <v>0.005064</v>
      </c>
      <c r="S84" s="4" t="str">
        <f>HYPERLINK("http://141.218.60.56/~jnz1568/getInfo.php?workbook=09_01.xlsx&amp;sheet=A0&amp;row=84&amp;col=19&amp;number=&amp;sourceID=12","")</f>
        <v/>
      </c>
      <c r="T84" s="4" t="str">
        <f>HYPERLINK("http://141.218.60.56/~jnz1568/getInfo.php?workbook=09_01.xlsx&amp;sheet=A0&amp;row=84&amp;col=20&amp;number=2.3911e-05&amp;sourceID=12","2.3911e-05")</f>
        <v>2.3911e-05</v>
      </c>
      <c r="U84" s="4" t="str">
        <f>HYPERLINK("http://141.218.60.56/~jnz1568/getInfo.php?workbook=09_01.xlsx&amp;sheet=A0&amp;row=84&amp;col=21&amp;number=684400.005064&amp;sourceID=30","684400.005064")</f>
        <v>684400.005064</v>
      </c>
      <c r="V84" s="4" t="str">
        <f>HYPERLINK("http://141.218.60.56/~jnz1568/getInfo.php?workbook=09_01.xlsx&amp;sheet=A0&amp;row=84&amp;col=22&amp;number=&amp;sourceID=30","")</f>
        <v/>
      </c>
      <c r="W84" s="4" t="str">
        <f>HYPERLINK("http://141.218.60.56/~jnz1568/getInfo.php?workbook=09_01.xlsx&amp;sheet=A0&amp;row=84&amp;col=23&amp;number=684400&amp;sourceID=30","684400")</f>
        <v>684400</v>
      </c>
      <c r="X84" s="4" t="str">
        <f>HYPERLINK("http://141.218.60.56/~jnz1568/getInfo.php?workbook=09_01.xlsx&amp;sheet=A0&amp;row=84&amp;col=24&amp;number=0.005064&amp;sourceID=30","0.005064")</f>
        <v>0.005064</v>
      </c>
      <c r="Y84" s="4" t="str">
        <f>HYPERLINK("http://141.218.60.56/~jnz1568/getInfo.php?workbook=09_01.xlsx&amp;sheet=A0&amp;row=84&amp;col=25&amp;number=&amp;sourceID=30","")</f>
        <v/>
      </c>
      <c r="Z84" s="4" t="str">
        <f>HYPERLINK("http://141.218.60.56/~jnz1568/getInfo.php?workbook=09_01.xlsx&amp;sheet=A0&amp;row=84&amp;col=26&amp;number==&amp;sourceID=13","=")</f>
        <v>=</v>
      </c>
      <c r="AA84" s="4" t="str">
        <f>HYPERLINK("http://141.218.60.56/~jnz1568/getInfo.php?workbook=09_01.xlsx&amp;sheet=A0&amp;row=84&amp;col=27&amp;number=&amp;sourceID=13","")</f>
        <v/>
      </c>
      <c r="AB84" s="4" t="str">
        <f>HYPERLINK("http://141.218.60.56/~jnz1568/getInfo.php?workbook=09_01.xlsx&amp;sheet=A0&amp;row=84&amp;col=28&amp;number=684000&amp;sourceID=13","684000")</f>
        <v>684000</v>
      </c>
      <c r="AC84" s="4" t="str">
        <f>HYPERLINK("http://141.218.60.56/~jnz1568/getInfo.php?workbook=09_01.xlsx&amp;sheet=A0&amp;row=84&amp;col=29&amp;number=&amp;sourceID=13","")</f>
        <v/>
      </c>
      <c r="AD84" s="4" t="str">
        <f>HYPERLINK("http://141.218.60.56/~jnz1568/getInfo.php?workbook=09_01.xlsx&amp;sheet=A0&amp;row=84&amp;col=30&amp;number=0.00839&amp;sourceID=13","0.00839")</f>
        <v>0.00839</v>
      </c>
      <c r="AE84" s="4" t="str">
        <f>HYPERLINK("http://141.218.60.56/~jnz1568/getInfo.php?workbook=09_01.xlsx&amp;sheet=A0&amp;row=84&amp;col=31&amp;number=&amp;sourceID=13","")</f>
        <v/>
      </c>
    </row>
    <row r="85" spans="1:31">
      <c r="A85" s="3">
        <v>9</v>
      </c>
      <c r="B85" s="3">
        <v>1</v>
      </c>
      <c r="C85" s="3">
        <v>14</v>
      </c>
      <c r="D85" s="3">
        <v>9</v>
      </c>
      <c r="E85" s="3">
        <f>((1/(INDEX(E0!J$4:J$28,C85,1)-INDEX(E0!J$4:J$28,D85,1))))*100000000</f>
        <v>0</v>
      </c>
      <c r="F85" s="4" t="str">
        <f>HYPERLINK("http://141.218.60.56/~jnz1568/getInfo.php?workbook=09_01.xlsx&amp;sheet=A0&amp;row=85&amp;col=6&amp;number=&amp;sourceID=18","")</f>
        <v/>
      </c>
      <c r="G85" s="4" t="str">
        <f>HYPERLINK("http://141.218.60.56/~jnz1568/getInfo.php?workbook=09_01.xlsx&amp;sheet=A0&amp;row=85&amp;col=7&amp;number==&amp;sourceID=11","=")</f>
        <v>=</v>
      </c>
      <c r="H85" s="4" t="str">
        <f>HYPERLINK("http://141.218.60.56/~jnz1568/getInfo.php?workbook=09_01.xlsx&amp;sheet=A0&amp;row=85&amp;col=8&amp;number=6032500000&amp;sourceID=11","6032500000")</f>
        <v>6032500000</v>
      </c>
      <c r="I85" s="4" t="str">
        <f>HYPERLINK("http://141.218.60.56/~jnz1568/getInfo.php?workbook=09_01.xlsx&amp;sheet=A0&amp;row=85&amp;col=9&amp;number=&amp;sourceID=11","")</f>
        <v/>
      </c>
      <c r="J85" s="4" t="str">
        <f>HYPERLINK("http://141.218.60.56/~jnz1568/getInfo.php?workbook=09_01.xlsx&amp;sheet=A0&amp;row=85&amp;col=10&amp;number=9.2741&amp;sourceID=11","9.2741")</f>
        <v>9.2741</v>
      </c>
      <c r="K85" s="4" t="str">
        <f>HYPERLINK("http://141.218.60.56/~jnz1568/getInfo.php?workbook=09_01.xlsx&amp;sheet=A0&amp;row=85&amp;col=11&amp;number=&amp;sourceID=11","")</f>
        <v/>
      </c>
      <c r="L85" s="4" t="str">
        <f>HYPERLINK("http://141.218.60.56/~jnz1568/getInfo.php?workbook=09_01.xlsx&amp;sheet=A0&amp;row=85&amp;col=12&amp;number=&amp;sourceID=11","")</f>
        <v/>
      </c>
      <c r="M85" s="4" t="str">
        <f>HYPERLINK("http://141.218.60.56/~jnz1568/getInfo.php?workbook=09_01.xlsx&amp;sheet=A0&amp;row=85&amp;col=13&amp;number=&amp;sourceID=11","")</f>
        <v/>
      </c>
      <c r="N85" s="4" t="str">
        <f>HYPERLINK("http://141.218.60.56/~jnz1568/getInfo.php?workbook=09_01.xlsx&amp;sheet=A0&amp;row=85&amp;col=14&amp;number=6032700000&amp;sourceID=12","6032700000")</f>
        <v>6032700000</v>
      </c>
      <c r="O85" s="4" t="str">
        <f>HYPERLINK("http://141.218.60.56/~jnz1568/getInfo.php?workbook=09_01.xlsx&amp;sheet=A0&amp;row=85&amp;col=15&amp;number=6032700000&amp;sourceID=12","6032700000")</f>
        <v>6032700000</v>
      </c>
      <c r="P85" s="4" t="str">
        <f>HYPERLINK("http://141.218.60.56/~jnz1568/getInfo.php?workbook=09_01.xlsx&amp;sheet=A0&amp;row=85&amp;col=16&amp;number=&amp;sourceID=12","")</f>
        <v/>
      </c>
      <c r="Q85" s="4" t="str">
        <f>HYPERLINK("http://141.218.60.56/~jnz1568/getInfo.php?workbook=09_01.xlsx&amp;sheet=A0&amp;row=85&amp;col=17&amp;number=9.2743&amp;sourceID=12","9.2743")</f>
        <v>9.2743</v>
      </c>
      <c r="R85" s="4" t="str">
        <f>HYPERLINK("http://141.218.60.56/~jnz1568/getInfo.php?workbook=09_01.xlsx&amp;sheet=A0&amp;row=85&amp;col=18&amp;number=&amp;sourceID=12","")</f>
        <v/>
      </c>
      <c r="S85" s="4" t="str">
        <f>HYPERLINK("http://141.218.60.56/~jnz1568/getInfo.php?workbook=09_01.xlsx&amp;sheet=A0&amp;row=85&amp;col=19&amp;number=&amp;sourceID=12","")</f>
        <v/>
      </c>
      <c r="T85" s="4" t="str">
        <f>HYPERLINK("http://141.218.60.56/~jnz1568/getInfo.php?workbook=09_01.xlsx&amp;sheet=A0&amp;row=85&amp;col=20&amp;number=&amp;sourceID=12","")</f>
        <v/>
      </c>
      <c r="U85" s="4" t="str">
        <f>HYPERLINK("http://141.218.60.56/~jnz1568/getInfo.php?workbook=09_01.xlsx&amp;sheet=A0&amp;row=85&amp;col=21&amp;number=6033000000&amp;sourceID=30","6033000000")</f>
        <v>6033000000</v>
      </c>
      <c r="V85" s="4" t="str">
        <f>HYPERLINK("http://141.218.60.56/~jnz1568/getInfo.php?workbook=09_01.xlsx&amp;sheet=A0&amp;row=85&amp;col=22&amp;number=6033000000&amp;sourceID=30","6033000000")</f>
        <v>6033000000</v>
      </c>
      <c r="W85" s="4" t="str">
        <f>HYPERLINK("http://141.218.60.56/~jnz1568/getInfo.php?workbook=09_01.xlsx&amp;sheet=A0&amp;row=85&amp;col=23&amp;number=&amp;sourceID=30","")</f>
        <v/>
      </c>
      <c r="X85" s="4" t="str">
        <f>HYPERLINK("http://141.218.60.56/~jnz1568/getInfo.php?workbook=09_01.xlsx&amp;sheet=A0&amp;row=85&amp;col=24&amp;number=&amp;sourceID=30","")</f>
        <v/>
      </c>
      <c r="Y85" s="4" t="str">
        <f>HYPERLINK("http://141.218.60.56/~jnz1568/getInfo.php?workbook=09_01.xlsx&amp;sheet=A0&amp;row=85&amp;col=25&amp;number=&amp;sourceID=30","")</f>
        <v/>
      </c>
      <c r="Z85" s="4" t="str">
        <f>HYPERLINK("http://141.218.60.56/~jnz1568/getInfo.php?workbook=09_01.xlsx&amp;sheet=A0&amp;row=85&amp;col=26&amp;number==&amp;sourceID=13","=")</f>
        <v>=</v>
      </c>
      <c r="AA85" s="4" t="str">
        <f>HYPERLINK("http://141.218.60.56/~jnz1568/getInfo.php?workbook=09_01.xlsx&amp;sheet=A0&amp;row=85&amp;col=27&amp;number=6030000000&amp;sourceID=13","6030000000")</f>
        <v>6030000000</v>
      </c>
      <c r="AB85" s="4" t="str">
        <f>HYPERLINK("http://141.218.60.56/~jnz1568/getInfo.php?workbook=09_01.xlsx&amp;sheet=A0&amp;row=85&amp;col=28&amp;number=&amp;sourceID=13","")</f>
        <v/>
      </c>
      <c r="AC85" s="4" t="str">
        <f>HYPERLINK("http://141.218.60.56/~jnz1568/getInfo.php?workbook=09_01.xlsx&amp;sheet=A0&amp;row=85&amp;col=29&amp;number=&amp;sourceID=13","")</f>
        <v/>
      </c>
      <c r="AD85" s="4" t="str">
        <f>HYPERLINK("http://141.218.60.56/~jnz1568/getInfo.php?workbook=09_01.xlsx&amp;sheet=A0&amp;row=85&amp;col=30&amp;number=&amp;sourceID=13","")</f>
        <v/>
      </c>
      <c r="AE85" s="4" t="str">
        <f>HYPERLINK("http://141.218.60.56/~jnz1568/getInfo.php?workbook=09_01.xlsx&amp;sheet=A0&amp;row=85&amp;col=31&amp;number=&amp;sourceID=13","")</f>
        <v/>
      </c>
    </row>
    <row r="86" spans="1:31">
      <c r="A86" s="3">
        <v>9</v>
      </c>
      <c r="B86" s="3">
        <v>1</v>
      </c>
      <c r="C86" s="3">
        <v>14</v>
      </c>
      <c r="D86" s="3">
        <v>10</v>
      </c>
      <c r="E86" s="3">
        <f>((1/(INDEX(E0!J$4:J$28,C86,1)-INDEX(E0!J$4:J$28,D86,1))))*100000000</f>
        <v>0</v>
      </c>
      <c r="F86" s="4" t="str">
        <f>HYPERLINK("http://141.218.60.56/~jnz1568/getInfo.php?workbook=09_01.xlsx&amp;sheet=A0&amp;row=86&amp;col=6&amp;number=&amp;sourceID=18","")</f>
        <v/>
      </c>
      <c r="G86" s="4" t="str">
        <f>HYPERLINK("http://141.218.60.56/~jnz1568/getInfo.php?workbook=09_01.xlsx&amp;sheet=A0&amp;row=86&amp;col=7&amp;number==&amp;sourceID=11","=")</f>
        <v>=</v>
      </c>
      <c r="H86" s="4" t="str">
        <f>HYPERLINK("http://141.218.60.56/~jnz1568/getInfo.php?workbook=09_01.xlsx&amp;sheet=A0&amp;row=86&amp;col=8&amp;number=&amp;sourceID=11","")</f>
        <v/>
      </c>
      <c r="I86" s="4" t="str">
        <f>HYPERLINK("http://141.218.60.56/~jnz1568/getInfo.php?workbook=09_01.xlsx&amp;sheet=A0&amp;row=86&amp;col=9&amp;number=4.713e-09&amp;sourceID=11","4.713e-09")</f>
        <v>4.713e-09</v>
      </c>
      <c r="J86" s="4" t="str">
        <f>HYPERLINK("http://141.218.60.56/~jnz1568/getInfo.php?workbook=09_01.xlsx&amp;sheet=A0&amp;row=86&amp;col=10&amp;number=&amp;sourceID=11","")</f>
        <v/>
      </c>
      <c r="K86" s="4" t="str">
        <f>HYPERLINK("http://141.218.60.56/~jnz1568/getInfo.php?workbook=09_01.xlsx&amp;sheet=A0&amp;row=86&amp;col=11&amp;number=&amp;sourceID=11","")</f>
        <v/>
      </c>
      <c r="L86" s="4" t="str">
        <f>HYPERLINK("http://141.218.60.56/~jnz1568/getInfo.php?workbook=09_01.xlsx&amp;sheet=A0&amp;row=86&amp;col=12&amp;number=&amp;sourceID=11","")</f>
        <v/>
      </c>
      <c r="M86" s="4" t="str">
        <f>HYPERLINK("http://141.218.60.56/~jnz1568/getInfo.php?workbook=09_01.xlsx&amp;sheet=A0&amp;row=86&amp;col=13&amp;number=0&amp;sourceID=11","0")</f>
        <v>0</v>
      </c>
      <c r="N86" s="4" t="str">
        <f>HYPERLINK("http://141.218.60.56/~jnz1568/getInfo.php?workbook=09_01.xlsx&amp;sheet=A0&amp;row=86&amp;col=14&amp;number=4.7132e-09&amp;sourceID=12","4.7132e-09")</f>
        <v>4.7132e-09</v>
      </c>
      <c r="O86" s="4" t="str">
        <f>HYPERLINK("http://141.218.60.56/~jnz1568/getInfo.php?workbook=09_01.xlsx&amp;sheet=A0&amp;row=86&amp;col=15&amp;number=&amp;sourceID=12","")</f>
        <v/>
      </c>
      <c r="P86" s="4" t="str">
        <f>HYPERLINK("http://141.218.60.56/~jnz1568/getInfo.php?workbook=09_01.xlsx&amp;sheet=A0&amp;row=86&amp;col=16&amp;number=4.7132e-09&amp;sourceID=12","4.7132e-09")</f>
        <v>4.7132e-09</v>
      </c>
      <c r="Q86" s="4" t="str">
        <f>HYPERLINK("http://141.218.60.56/~jnz1568/getInfo.php?workbook=09_01.xlsx&amp;sheet=A0&amp;row=86&amp;col=17&amp;number=&amp;sourceID=12","")</f>
        <v/>
      </c>
      <c r="R86" s="4" t="str">
        <f>HYPERLINK("http://141.218.60.56/~jnz1568/getInfo.php?workbook=09_01.xlsx&amp;sheet=A0&amp;row=86&amp;col=18&amp;number=&amp;sourceID=12","")</f>
        <v/>
      </c>
      <c r="S86" s="4" t="str">
        <f>HYPERLINK("http://141.218.60.56/~jnz1568/getInfo.php?workbook=09_01.xlsx&amp;sheet=A0&amp;row=86&amp;col=19&amp;number=&amp;sourceID=12","")</f>
        <v/>
      </c>
      <c r="T86" s="4" t="str">
        <f>HYPERLINK("http://141.218.60.56/~jnz1568/getInfo.php?workbook=09_01.xlsx&amp;sheet=A0&amp;row=86&amp;col=20&amp;number=0&amp;sourceID=12","0")</f>
        <v>0</v>
      </c>
      <c r="U86" s="4" t="str">
        <f>HYPERLINK("http://141.218.60.56/~jnz1568/getInfo.php?workbook=09_01.xlsx&amp;sheet=A0&amp;row=86&amp;col=21&amp;number=4.713e-09&amp;sourceID=30","4.713e-09")</f>
        <v>4.713e-09</v>
      </c>
      <c r="V86" s="4" t="str">
        <f>HYPERLINK("http://141.218.60.56/~jnz1568/getInfo.php?workbook=09_01.xlsx&amp;sheet=A0&amp;row=86&amp;col=22&amp;number=&amp;sourceID=30","")</f>
        <v/>
      </c>
      <c r="W86" s="4" t="str">
        <f>HYPERLINK("http://141.218.60.56/~jnz1568/getInfo.php?workbook=09_01.xlsx&amp;sheet=A0&amp;row=86&amp;col=23&amp;number=4.713e-09&amp;sourceID=30","4.713e-09")</f>
        <v>4.713e-09</v>
      </c>
      <c r="X86" s="4" t="str">
        <f>HYPERLINK("http://141.218.60.56/~jnz1568/getInfo.php?workbook=09_01.xlsx&amp;sheet=A0&amp;row=86&amp;col=24&amp;number=&amp;sourceID=30","")</f>
        <v/>
      </c>
      <c r="Y86" s="4" t="str">
        <f>HYPERLINK("http://141.218.60.56/~jnz1568/getInfo.php?workbook=09_01.xlsx&amp;sheet=A0&amp;row=86&amp;col=25&amp;number=&amp;sourceID=30","")</f>
        <v/>
      </c>
      <c r="Z86" s="4" t="str">
        <f>HYPERLINK("http://141.218.60.56/~jnz1568/getInfo.php?workbook=09_01.xlsx&amp;sheet=A0&amp;row=86&amp;col=26&amp;number=&amp;sourceID=13","")</f>
        <v/>
      </c>
      <c r="AA86" s="4" t="str">
        <f>HYPERLINK("http://141.218.60.56/~jnz1568/getInfo.php?workbook=09_01.xlsx&amp;sheet=A0&amp;row=86&amp;col=27&amp;number=&amp;sourceID=13","")</f>
        <v/>
      </c>
      <c r="AB86" s="4" t="str">
        <f>HYPERLINK("http://141.218.60.56/~jnz1568/getInfo.php?workbook=09_01.xlsx&amp;sheet=A0&amp;row=86&amp;col=28&amp;number=&amp;sourceID=13","")</f>
        <v/>
      </c>
      <c r="AC86" s="4" t="str">
        <f>HYPERLINK("http://141.218.60.56/~jnz1568/getInfo.php?workbook=09_01.xlsx&amp;sheet=A0&amp;row=86&amp;col=29&amp;number=&amp;sourceID=13","")</f>
        <v/>
      </c>
      <c r="AD86" s="4" t="str">
        <f>HYPERLINK("http://141.218.60.56/~jnz1568/getInfo.php?workbook=09_01.xlsx&amp;sheet=A0&amp;row=86&amp;col=30&amp;number=&amp;sourceID=13","")</f>
        <v/>
      </c>
      <c r="AE86" s="4" t="str">
        <f>HYPERLINK("http://141.218.60.56/~jnz1568/getInfo.php?workbook=09_01.xlsx&amp;sheet=A0&amp;row=86&amp;col=31&amp;number=&amp;sourceID=13","")</f>
        <v/>
      </c>
    </row>
    <row r="87" spans="1:31">
      <c r="A87" s="3">
        <v>9</v>
      </c>
      <c r="B87" s="3">
        <v>1</v>
      </c>
      <c r="C87" s="3">
        <v>14</v>
      </c>
      <c r="D87" s="3">
        <v>11</v>
      </c>
      <c r="E87" s="3">
        <f>((1/(INDEX(E0!J$4:J$28,C87,1)-INDEX(E0!J$4:J$28,D87,1))))*100000000</f>
        <v>0</v>
      </c>
      <c r="F87" s="4" t="str">
        <f>HYPERLINK("http://141.218.60.56/~jnz1568/getInfo.php?workbook=09_01.xlsx&amp;sheet=A0&amp;row=87&amp;col=6&amp;number=&amp;sourceID=18","")</f>
        <v/>
      </c>
      <c r="G87" s="4" t="str">
        <f>HYPERLINK("http://141.218.60.56/~jnz1568/getInfo.php?workbook=09_01.xlsx&amp;sheet=A0&amp;row=87&amp;col=7&amp;number==&amp;sourceID=11","=")</f>
        <v>=</v>
      </c>
      <c r="H87" s="4" t="str">
        <f>HYPERLINK("http://141.218.60.56/~jnz1568/getInfo.php?workbook=09_01.xlsx&amp;sheet=A0&amp;row=87&amp;col=8&amp;number=&amp;sourceID=11","")</f>
        <v/>
      </c>
      <c r="I87" s="4" t="str">
        <f>HYPERLINK("http://141.218.60.56/~jnz1568/getInfo.php?workbook=09_01.xlsx&amp;sheet=A0&amp;row=87&amp;col=9&amp;number=&amp;sourceID=11","")</f>
        <v/>
      </c>
      <c r="J87" s="4" t="str">
        <f>HYPERLINK("http://141.218.60.56/~jnz1568/getInfo.php?workbook=09_01.xlsx&amp;sheet=A0&amp;row=87&amp;col=10&amp;number=0&amp;sourceID=11","0")</f>
        <v>0</v>
      </c>
      <c r="K87" s="4" t="str">
        <f>HYPERLINK("http://141.218.60.56/~jnz1568/getInfo.php?workbook=09_01.xlsx&amp;sheet=A0&amp;row=87&amp;col=11&amp;number=&amp;sourceID=11","")</f>
        <v/>
      </c>
      <c r="L87" s="4" t="str">
        <f>HYPERLINK("http://141.218.60.56/~jnz1568/getInfo.php?workbook=09_01.xlsx&amp;sheet=A0&amp;row=87&amp;col=12&amp;number=0&amp;sourceID=11","0")</f>
        <v>0</v>
      </c>
      <c r="M87" s="4" t="str">
        <f>HYPERLINK("http://141.218.60.56/~jnz1568/getInfo.php?workbook=09_01.xlsx&amp;sheet=A0&amp;row=87&amp;col=13&amp;number=&amp;sourceID=11","")</f>
        <v/>
      </c>
      <c r="N87" s="4" t="str">
        <f>HYPERLINK("http://141.218.60.56/~jnz1568/getInfo.php?workbook=09_01.xlsx&amp;sheet=A0&amp;row=87&amp;col=14&amp;number=0&amp;sourceID=12","0")</f>
        <v>0</v>
      </c>
      <c r="O87" s="4" t="str">
        <f>HYPERLINK("http://141.218.60.56/~jnz1568/getInfo.php?workbook=09_01.xlsx&amp;sheet=A0&amp;row=87&amp;col=15&amp;number=&amp;sourceID=12","")</f>
        <v/>
      </c>
      <c r="P87" s="4" t="str">
        <f>HYPERLINK("http://141.218.60.56/~jnz1568/getInfo.php?workbook=09_01.xlsx&amp;sheet=A0&amp;row=87&amp;col=16&amp;number=&amp;sourceID=12","")</f>
        <v/>
      </c>
      <c r="Q87" s="4" t="str">
        <f>HYPERLINK("http://141.218.60.56/~jnz1568/getInfo.php?workbook=09_01.xlsx&amp;sheet=A0&amp;row=87&amp;col=17&amp;number=0&amp;sourceID=12","0")</f>
        <v>0</v>
      </c>
      <c r="R87" s="4" t="str">
        <f>HYPERLINK("http://141.218.60.56/~jnz1568/getInfo.php?workbook=09_01.xlsx&amp;sheet=A0&amp;row=87&amp;col=18&amp;number=&amp;sourceID=12","")</f>
        <v/>
      </c>
      <c r="S87" s="4" t="str">
        <f>HYPERLINK("http://141.218.60.56/~jnz1568/getInfo.php?workbook=09_01.xlsx&amp;sheet=A0&amp;row=87&amp;col=19&amp;number=0&amp;sourceID=12","0")</f>
        <v>0</v>
      </c>
      <c r="T87" s="4" t="str">
        <f>HYPERLINK("http://141.218.60.56/~jnz1568/getInfo.php?workbook=09_01.xlsx&amp;sheet=A0&amp;row=87&amp;col=20&amp;number=&amp;sourceID=12","")</f>
        <v/>
      </c>
      <c r="U87" s="4" t="str">
        <f>HYPERLINK("http://141.218.60.56/~jnz1568/getInfo.php?workbook=09_01.xlsx&amp;sheet=A0&amp;row=87&amp;col=21&amp;number=0&amp;sourceID=30","0")</f>
        <v>0</v>
      </c>
      <c r="V87" s="4" t="str">
        <f>HYPERLINK("http://141.218.60.56/~jnz1568/getInfo.php?workbook=09_01.xlsx&amp;sheet=A0&amp;row=87&amp;col=22&amp;number=&amp;sourceID=30","")</f>
        <v/>
      </c>
      <c r="W87" s="4" t="str">
        <f>HYPERLINK("http://141.218.60.56/~jnz1568/getInfo.php?workbook=09_01.xlsx&amp;sheet=A0&amp;row=87&amp;col=23&amp;number=&amp;sourceID=30","")</f>
        <v/>
      </c>
      <c r="X87" s="4" t="str">
        <f>HYPERLINK("http://141.218.60.56/~jnz1568/getInfo.php?workbook=09_01.xlsx&amp;sheet=A0&amp;row=87&amp;col=24&amp;number=&amp;sourceID=30","")</f>
        <v/>
      </c>
      <c r="Y87" s="4" t="str">
        <f>HYPERLINK("http://141.218.60.56/~jnz1568/getInfo.php?workbook=09_01.xlsx&amp;sheet=A0&amp;row=87&amp;col=25&amp;number=0&amp;sourceID=30","0")</f>
        <v>0</v>
      </c>
      <c r="Z87" s="4" t="str">
        <f>HYPERLINK("http://141.218.60.56/~jnz1568/getInfo.php?workbook=09_01.xlsx&amp;sheet=A0&amp;row=87&amp;col=26&amp;number=&amp;sourceID=13","")</f>
        <v/>
      </c>
      <c r="AA87" s="4" t="str">
        <f>HYPERLINK("http://141.218.60.56/~jnz1568/getInfo.php?workbook=09_01.xlsx&amp;sheet=A0&amp;row=87&amp;col=27&amp;number=&amp;sourceID=13","")</f>
        <v/>
      </c>
      <c r="AB87" s="4" t="str">
        <f>HYPERLINK("http://141.218.60.56/~jnz1568/getInfo.php?workbook=09_01.xlsx&amp;sheet=A0&amp;row=87&amp;col=28&amp;number=&amp;sourceID=13","")</f>
        <v/>
      </c>
      <c r="AC87" s="4" t="str">
        <f>HYPERLINK("http://141.218.60.56/~jnz1568/getInfo.php?workbook=09_01.xlsx&amp;sheet=A0&amp;row=87&amp;col=29&amp;number=&amp;sourceID=13","")</f>
        <v/>
      </c>
      <c r="AD87" s="4" t="str">
        <f>HYPERLINK("http://141.218.60.56/~jnz1568/getInfo.php?workbook=09_01.xlsx&amp;sheet=A0&amp;row=87&amp;col=30&amp;number=&amp;sourceID=13","")</f>
        <v/>
      </c>
      <c r="AE87" s="4" t="str">
        <f>HYPERLINK("http://141.218.60.56/~jnz1568/getInfo.php?workbook=09_01.xlsx&amp;sheet=A0&amp;row=87&amp;col=31&amp;number=&amp;sourceID=13","")</f>
        <v/>
      </c>
    </row>
    <row r="88" spans="1:31">
      <c r="A88" s="3">
        <v>9</v>
      </c>
      <c r="B88" s="3">
        <v>1</v>
      </c>
      <c r="C88" s="3">
        <v>14</v>
      </c>
      <c r="D88" s="3">
        <v>12</v>
      </c>
      <c r="E88" s="3">
        <f>((1/(INDEX(E0!J$4:J$28,C88,1)-INDEX(E0!J$4:J$28,D88,1))))*100000000</f>
        <v>0</v>
      </c>
      <c r="F88" s="4" t="str">
        <f>HYPERLINK("http://141.218.60.56/~jnz1568/getInfo.php?workbook=09_01.xlsx&amp;sheet=A0&amp;row=88&amp;col=6&amp;number=&amp;sourceID=18","")</f>
        <v/>
      </c>
      <c r="G88" s="4" t="str">
        <f>HYPERLINK("http://141.218.60.56/~jnz1568/getInfo.php?workbook=09_01.xlsx&amp;sheet=A0&amp;row=88&amp;col=7&amp;number==&amp;sourceID=11","=")</f>
        <v>=</v>
      </c>
      <c r="H88" s="4" t="str">
        <f>HYPERLINK("http://141.218.60.56/~jnz1568/getInfo.php?workbook=09_01.xlsx&amp;sheet=A0&amp;row=88&amp;col=8&amp;number=2.5152&amp;sourceID=11","2.5152")</f>
        <v>2.5152</v>
      </c>
      <c r="I88" s="4" t="str">
        <f>HYPERLINK("http://141.218.60.56/~jnz1568/getInfo.php?workbook=09_01.xlsx&amp;sheet=A0&amp;row=88&amp;col=9&amp;number=&amp;sourceID=11","")</f>
        <v/>
      </c>
      <c r="J88" s="4" t="str">
        <f>HYPERLINK("http://141.218.60.56/~jnz1568/getInfo.php?workbook=09_01.xlsx&amp;sheet=A0&amp;row=88&amp;col=10&amp;number=0&amp;sourceID=11","0")</f>
        <v>0</v>
      </c>
      <c r="K88" s="4" t="str">
        <f>HYPERLINK("http://141.218.60.56/~jnz1568/getInfo.php?workbook=09_01.xlsx&amp;sheet=A0&amp;row=88&amp;col=11&amp;number=&amp;sourceID=11","")</f>
        <v/>
      </c>
      <c r="L88" s="4" t="str">
        <f>HYPERLINK("http://141.218.60.56/~jnz1568/getInfo.php?workbook=09_01.xlsx&amp;sheet=A0&amp;row=88&amp;col=12&amp;number=0&amp;sourceID=11","0")</f>
        <v>0</v>
      </c>
      <c r="M88" s="4" t="str">
        <f>HYPERLINK("http://141.218.60.56/~jnz1568/getInfo.php?workbook=09_01.xlsx&amp;sheet=A0&amp;row=88&amp;col=13&amp;number=&amp;sourceID=11","")</f>
        <v/>
      </c>
      <c r="N88" s="4" t="str">
        <f>HYPERLINK("http://141.218.60.56/~jnz1568/getInfo.php?workbook=09_01.xlsx&amp;sheet=A0&amp;row=88&amp;col=14&amp;number=2.5154&amp;sourceID=12","2.5154")</f>
        <v>2.5154</v>
      </c>
      <c r="O88" s="4" t="str">
        <f>HYPERLINK("http://141.218.60.56/~jnz1568/getInfo.php?workbook=09_01.xlsx&amp;sheet=A0&amp;row=88&amp;col=15&amp;number=2.5154&amp;sourceID=12","2.5154")</f>
        <v>2.5154</v>
      </c>
      <c r="P88" s="4" t="str">
        <f>HYPERLINK("http://141.218.60.56/~jnz1568/getInfo.php?workbook=09_01.xlsx&amp;sheet=A0&amp;row=88&amp;col=16&amp;number=&amp;sourceID=12","")</f>
        <v/>
      </c>
      <c r="Q88" s="4" t="str">
        <f>HYPERLINK("http://141.218.60.56/~jnz1568/getInfo.php?workbook=09_01.xlsx&amp;sheet=A0&amp;row=88&amp;col=17&amp;number=0&amp;sourceID=12","0")</f>
        <v>0</v>
      </c>
      <c r="R88" s="4" t="str">
        <f>HYPERLINK("http://141.218.60.56/~jnz1568/getInfo.php?workbook=09_01.xlsx&amp;sheet=A0&amp;row=88&amp;col=18&amp;number=&amp;sourceID=12","")</f>
        <v/>
      </c>
      <c r="S88" s="4" t="str">
        <f>HYPERLINK("http://141.218.60.56/~jnz1568/getInfo.php?workbook=09_01.xlsx&amp;sheet=A0&amp;row=88&amp;col=19&amp;number=0&amp;sourceID=12","0")</f>
        <v>0</v>
      </c>
      <c r="T88" s="4" t="str">
        <f>HYPERLINK("http://141.218.60.56/~jnz1568/getInfo.php?workbook=09_01.xlsx&amp;sheet=A0&amp;row=88&amp;col=20&amp;number=&amp;sourceID=12","")</f>
        <v/>
      </c>
      <c r="U88" s="4" t="str">
        <f>HYPERLINK("http://141.218.60.56/~jnz1568/getInfo.php?workbook=09_01.xlsx&amp;sheet=A0&amp;row=88&amp;col=21&amp;number=2.515&amp;sourceID=30","2.515")</f>
        <v>2.515</v>
      </c>
      <c r="V88" s="4" t="str">
        <f>HYPERLINK("http://141.218.60.56/~jnz1568/getInfo.php?workbook=09_01.xlsx&amp;sheet=A0&amp;row=88&amp;col=22&amp;number=2.515&amp;sourceID=30","2.515")</f>
        <v>2.515</v>
      </c>
      <c r="W88" s="4" t="str">
        <f>HYPERLINK("http://141.218.60.56/~jnz1568/getInfo.php?workbook=09_01.xlsx&amp;sheet=A0&amp;row=88&amp;col=23&amp;number=&amp;sourceID=30","")</f>
        <v/>
      </c>
      <c r="X88" s="4" t="str">
        <f>HYPERLINK("http://141.218.60.56/~jnz1568/getInfo.php?workbook=09_01.xlsx&amp;sheet=A0&amp;row=88&amp;col=24&amp;number=&amp;sourceID=30","")</f>
        <v/>
      </c>
      <c r="Y88" s="4" t="str">
        <f>HYPERLINK("http://141.218.60.56/~jnz1568/getInfo.php?workbook=09_01.xlsx&amp;sheet=A0&amp;row=88&amp;col=25&amp;number=0&amp;sourceID=30","0")</f>
        <v>0</v>
      </c>
      <c r="Z88" s="4" t="str">
        <f>HYPERLINK("http://141.218.60.56/~jnz1568/getInfo.php?workbook=09_01.xlsx&amp;sheet=A0&amp;row=88&amp;col=26&amp;number=&amp;sourceID=13","")</f>
        <v/>
      </c>
      <c r="AA88" s="4" t="str">
        <f>HYPERLINK("http://141.218.60.56/~jnz1568/getInfo.php?workbook=09_01.xlsx&amp;sheet=A0&amp;row=88&amp;col=27&amp;number=&amp;sourceID=13","")</f>
        <v/>
      </c>
      <c r="AB88" s="4" t="str">
        <f>HYPERLINK("http://141.218.60.56/~jnz1568/getInfo.php?workbook=09_01.xlsx&amp;sheet=A0&amp;row=88&amp;col=28&amp;number=&amp;sourceID=13","")</f>
        <v/>
      </c>
      <c r="AC88" s="4" t="str">
        <f>HYPERLINK("http://141.218.60.56/~jnz1568/getInfo.php?workbook=09_01.xlsx&amp;sheet=A0&amp;row=88&amp;col=29&amp;number=&amp;sourceID=13","")</f>
        <v/>
      </c>
      <c r="AD88" s="4" t="str">
        <f>HYPERLINK("http://141.218.60.56/~jnz1568/getInfo.php?workbook=09_01.xlsx&amp;sheet=A0&amp;row=88&amp;col=30&amp;number=&amp;sourceID=13","")</f>
        <v/>
      </c>
      <c r="AE88" s="4" t="str">
        <f>HYPERLINK("http://141.218.60.56/~jnz1568/getInfo.php?workbook=09_01.xlsx&amp;sheet=A0&amp;row=88&amp;col=31&amp;number=&amp;sourceID=13","")</f>
        <v/>
      </c>
    </row>
    <row r="89" spans="1:31">
      <c r="A89" s="3">
        <v>9</v>
      </c>
      <c r="B89" s="3">
        <v>1</v>
      </c>
      <c r="C89" s="3">
        <v>14</v>
      </c>
      <c r="D89" s="3">
        <v>13</v>
      </c>
      <c r="E89" s="3">
        <f>((1/(INDEX(E0!J$4:J$28,C89,1)-INDEX(E0!J$4:J$28,D89,1))))*100000000</f>
        <v>0</v>
      </c>
      <c r="F89" s="4" t="str">
        <f>HYPERLINK("http://141.218.60.56/~jnz1568/getInfo.php?workbook=09_01.xlsx&amp;sheet=A0&amp;row=89&amp;col=6&amp;number=&amp;sourceID=18","")</f>
        <v/>
      </c>
      <c r="G89" s="4" t="str">
        <f>HYPERLINK("http://141.218.60.56/~jnz1568/getInfo.php?workbook=09_01.xlsx&amp;sheet=A0&amp;row=89&amp;col=7&amp;number==&amp;sourceID=11","=")</f>
        <v>=</v>
      </c>
      <c r="H89" s="4" t="str">
        <f>HYPERLINK("http://141.218.60.56/~jnz1568/getInfo.php?workbook=09_01.xlsx&amp;sheet=A0&amp;row=89&amp;col=8&amp;number=&amp;sourceID=11","")</f>
        <v/>
      </c>
      <c r="I89" s="4" t="str">
        <f>HYPERLINK("http://141.218.60.56/~jnz1568/getInfo.php?workbook=09_01.xlsx&amp;sheet=A0&amp;row=89&amp;col=9&amp;number=1.305e-12&amp;sourceID=11","1.305e-12")</f>
        <v>1.305e-12</v>
      </c>
      <c r="J89" s="4" t="str">
        <f>HYPERLINK("http://141.218.60.56/~jnz1568/getInfo.php?workbook=09_01.xlsx&amp;sheet=A0&amp;row=89&amp;col=10&amp;number=&amp;sourceID=11","")</f>
        <v/>
      </c>
      <c r="K89" s="4" t="str">
        <f>HYPERLINK("http://141.218.60.56/~jnz1568/getInfo.php?workbook=09_01.xlsx&amp;sheet=A0&amp;row=89&amp;col=11&amp;number=2e-15&amp;sourceID=11","2e-15")</f>
        <v>2e-15</v>
      </c>
      <c r="L89" s="4" t="str">
        <f>HYPERLINK("http://141.218.60.56/~jnz1568/getInfo.php?workbook=09_01.xlsx&amp;sheet=A0&amp;row=89&amp;col=12&amp;number=&amp;sourceID=11","")</f>
        <v/>
      </c>
      <c r="M89" s="4" t="str">
        <f>HYPERLINK("http://141.218.60.56/~jnz1568/getInfo.php?workbook=09_01.xlsx&amp;sheet=A0&amp;row=89&amp;col=13&amp;number=0&amp;sourceID=11","0")</f>
        <v>0</v>
      </c>
      <c r="N89" s="4" t="str">
        <f>HYPERLINK("http://141.218.60.56/~jnz1568/getInfo.php?workbook=09_01.xlsx&amp;sheet=A0&amp;row=89&amp;col=14&amp;number=1.308e-12&amp;sourceID=12","1.308e-12")</f>
        <v>1.308e-12</v>
      </c>
      <c r="O89" s="4" t="str">
        <f>HYPERLINK("http://141.218.60.56/~jnz1568/getInfo.php?workbook=09_01.xlsx&amp;sheet=A0&amp;row=89&amp;col=15&amp;number=&amp;sourceID=12","")</f>
        <v/>
      </c>
      <c r="P89" s="4" t="str">
        <f>HYPERLINK("http://141.218.60.56/~jnz1568/getInfo.php?workbook=09_01.xlsx&amp;sheet=A0&amp;row=89&amp;col=16&amp;number=1.305e-12&amp;sourceID=12","1.305e-12")</f>
        <v>1.305e-12</v>
      </c>
      <c r="Q89" s="4" t="str">
        <f>HYPERLINK("http://141.218.60.56/~jnz1568/getInfo.php?workbook=09_01.xlsx&amp;sheet=A0&amp;row=89&amp;col=17&amp;number=&amp;sourceID=12","")</f>
        <v/>
      </c>
      <c r="R89" s="4" t="str">
        <f>HYPERLINK("http://141.218.60.56/~jnz1568/getInfo.php?workbook=09_01.xlsx&amp;sheet=A0&amp;row=89&amp;col=18&amp;number=2e-15&amp;sourceID=12","2e-15")</f>
        <v>2e-15</v>
      </c>
      <c r="S89" s="4" t="str">
        <f>HYPERLINK("http://141.218.60.56/~jnz1568/getInfo.php?workbook=09_01.xlsx&amp;sheet=A0&amp;row=89&amp;col=19&amp;number=&amp;sourceID=12","")</f>
        <v/>
      </c>
      <c r="T89" s="4" t="str">
        <f>HYPERLINK("http://141.218.60.56/~jnz1568/getInfo.php?workbook=09_01.xlsx&amp;sheet=A0&amp;row=89&amp;col=20&amp;number=0&amp;sourceID=12","0")</f>
        <v>0</v>
      </c>
      <c r="U89" s="4" t="str">
        <f>HYPERLINK("http://141.218.60.56/~jnz1568/getInfo.php?workbook=09_01.xlsx&amp;sheet=A0&amp;row=89&amp;col=21&amp;number=1.307e-12&amp;sourceID=30","1.307e-12")</f>
        <v>1.307e-12</v>
      </c>
      <c r="V89" s="4" t="str">
        <f>HYPERLINK("http://141.218.60.56/~jnz1568/getInfo.php?workbook=09_01.xlsx&amp;sheet=A0&amp;row=89&amp;col=22&amp;number=&amp;sourceID=30","")</f>
        <v/>
      </c>
      <c r="W89" s="4" t="str">
        <f>HYPERLINK("http://141.218.60.56/~jnz1568/getInfo.php?workbook=09_01.xlsx&amp;sheet=A0&amp;row=89&amp;col=23&amp;number=1.305e-12&amp;sourceID=30","1.305e-12")</f>
        <v>1.305e-12</v>
      </c>
      <c r="X89" s="4" t="str">
        <f>HYPERLINK("http://141.218.60.56/~jnz1568/getInfo.php?workbook=09_01.xlsx&amp;sheet=A0&amp;row=89&amp;col=24&amp;number=2e-15&amp;sourceID=30","2e-15")</f>
        <v>2e-15</v>
      </c>
      <c r="Y89" s="4" t="str">
        <f>HYPERLINK("http://141.218.60.56/~jnz1568/getInfo.php?workbook=09_01.xlsx&amp;sheet=A0&amp;row=89&amp;col=25&amp;number=&amp;sourceID=30","")</f>
        <v/>
      </c>
      <c r="Z89" s="4" t="str">
        <f>HYPERLINK("http://141.218.60.56/~jnz1568/getInfo.php?workbook=09_01.xlsx&amp;sheet=A0&amp;row=89&amp;col=26&amp;number=&amp;sourceID=13","")</f>
        <v/>
      </c>
      <c r="AA89" s="4" t="str">
        <f>HYPERLINK("http://141.218.60.56/~jnz1568/getInfo.php?workbook=09_01.xlsx&amp;sheet=A0&amp;row=89&amp;col=27&amp;number=&amp;sourceID=13","")</f>
        <v/>
      </c>
      <c r="AB89" s="4" t="str">
        <f>HYPERLINK("http://141.218.60.56/~jnz1568/getInfo.php?workbook=09_01.xlsx&amp;sheet=A0&amp;row=89&amp;col=28&amp;number=&amp;sourceID=13","")</f>
        <v/>
      </c>
      <c r="AC89" s="4" t="str">
        <f>HYPERLINK("http://141.218.60.56/~jnz1568/getInfo.php?workbook=09_01.xlsx&amp;sheet=A0&amp;row=89&amp;col=29&amp;number=&amp;sourceID=13","")</f>
        <v/>
      </c>
      <c r="AD89" s="4" t="str">
        <f>HYPERLINK("http://141.218.60.56/~jnz1568/getInfo.php?workbook=09_01.xlsx&amp;sheet=A0&amp;row=89&amp;col=30&amp;number=&amp;sourceID=13","")</f>
        <v/>
      </c>
      <c r="AE89" s="4" t="str">
        <f>HYPERLINK("http://141.218.60.56/~jnz1568/getInfo.php?workbook=09_01.xlsx&amp;sheet=A0&amp;row=89&amp;col=31&amp;number=&amp;sourceID=13","")</f>
        <v/>
      </c>
    </row>
    <row r="90" spans="1:31">
      <c r="A90" s="3">
        <v>9</v>
      </c>
      <c r="B90" s="3">
        <v>1</v>
      </c>
      <c r="C90" s="3">
        <v>15</v>
      </c>
      <c r="D90" s="3">
        <v>1</v>
      </c>
      <c r="E90" s="3">
        <f>((1/(INDEX(E0!J$4:J$28,C90,1)-INDEX(E0!J$4:J$28,D90,1))))*100000000</f>
        <v>0</v>
      </c>
      <c r="F90" s="4" t="str">
        <f>HYPERLINK("http://141.218.60.56/~jnz1568/getInfo.php?workbook=09_01.xlsx&amp;sheet=A0&amp;row=90&amp;col=6&amp;number=&amp;sourceID=18","")</f>
        <v/>
      </c>
      <c r="G90" s="4" t="str">
        <f>HYPERLINK("http://141.218.60.56/~jnz1568/getInfo.php?workbook=09_01.xlsx&amp;sheet=A0&amp;row=90&amp;col=7&amp;number==&amp;sourceID=11","=")</f>
        <v>=</v>
      </c>
      <c r="H90" s="4" t="str">
        <f>HYPERLINK("http://141.218.60.56/~jnz1568/getInfo.php?workbook=09_01.xlsx&amp;sheet=A0&amp;row=90&amp;col=8&amp;number=&amp;sourceID=11","")</f>
        <v/>
      </c>
      <c r="I90" s="4" t="str">
        <f>HYPERLINK("http://141.218.60.56/~jnz1568/getInfo.php?workbook=09_01.xlsx&amp;sheet=A0&amp;row=90&amp;col=9&amp;number=173190000&amp;sourceID=11","173190000")</f>
        <v>173190000</v>
      </c>
      <c r="J90" s="4" t="str">
        <f>HYPERLINK("http://141.218.60.56/~jnz1568/getInfo.php?workbook=09_01.xlsx&amp;sheet=A0&amp;row=90&amp;col=10&amp;number=&amp;sourceID=11","")</f>
        <v/>
      </c>
      <c r="K90" s="4" t="str">
        <f>HYPERLINK("http://141.218.60.56/~jnz1568/getInfo.php?workbook=09_01.xlsx&amp;sheet=A0&amp;row=90&amp;col=11&amp;number=&amp;sourceID=11","")</f>
        <v/>
      </c>
      <c r="L90" s="4" t="str">
        <f>HYPERLINK("http://141.218.60.56/~jnz1568/getInfo.php?workbook=09_01.xlsx&amp;sheet=A0&amp;row=90&amp;col=12&amp;number=&amp;sourceID=11","")</f>
        <v/>
      </c>
      <c r="M90" s="4" t="str">
        <f>HYPERLINK("http://141.218.60.56/~jnz1568/getInfo.php?workbook=09_01.xlsx&amp;sheet=A0&amp;row=90&amp;col=13&amp;number=157.75&amp;sourceID=11","157.75")</f>
        <v>157.75</v>
      </c>
      <c r="N90" s="4" t="str">
        <f>HYPERLINK("http://141.218.60.56/~jnz1568/getInfo.php?workbook=09_01.xlsx&amp;sheet=A0&amp;row=90&amp;col=14&amp;number=173200000&amp;sourceID=12","173200000")</f>
        <v>173200000</v>
      </c>
      <c r="O90" s="4" t="str">
        <f>HYPERLINK("http://141.218.60.56/~jnz1568/getInfo.php?workbook=09_01.xlsx&amp;sheet=A0&amp;row=90&amp;col=15&amp;number=&amp;sourceID=12","")</f>
        <v/>
      </c>
      <c r="P90" s="4" t="str">
        <f>HYPERLINK("http://141.218.60.56/~jnz1568/getInfo.php?workbook=09_01.xlsx&amp;sheet=A0&amp;row=90&amp;col=16&amp;number=173200000&amp;sourceID=12","173200000")</f>
        <v>173200000</v>
      </c>
      <c r="Q90" s="4" t="str">
        <f>HYPERLINK("http://141.218.60.56/~jnz1568/getInfo.php?workbook=09_01.xlsx&amp;sheet=A0&amp;row=90&amp;col=17&amp;number=&amp;sourceID=12","")</f>
        <v/>
      </c>
      <c r="R90" s="4" t="str">
        <f>HYPERLINK("http://141.218.60.56/~jnz1568/getInfo.php?workbook=09_01.xlsx&amp;sheet=A0&amp;row=90&amp;col=18&amp;number=&amp;sourceID=12","")</f>
        <v/>
      </c>
      <c r="S90" s="4" t="str">
        <f>HYPERLINK("http://141.218.60.56/~jnz1568/getInfo.php?workbook=09_01.xlsx&amp;sheet=A0&amp;row=90&amp;col=19&amp;number=&amp;sourceID=12","")</f>
        <v/>
      </c>
      <c r="T90" s="4" t="str">
        <f>HYPERLINK("http://141.218.60.56/~jnz1568/getInfo.php?workbook=09_01.xlsx&amp;sheet=A0&amp;row=90&amp;col=20&amp;number=157.76&amp;sourceID=12","157.76")</f>
        <v>157.76</v>
      </c>
      <c r="U90" s="4" t="str">
        <f>HYPERLINK("http://141.218.60.56/~jnz1568/getInfo.php?workbook=09_01.xlsx&amp;sheet=A0&amp;row=90&amp;col=21&amp;number=173200000&amp;sourceID=30","173200000")</f>
        <v>173200000</v>
      </c>
      <c r="V90" s="4" t="str">
        <f>HYPERLINK("http://141.218.60.56/~jnz1568/getInfo.php?workbook=09_01.xlsx&amp;sheet=A0&amp;row=90&amp;col=22&amp;number=&amp;sourceID=30","")</f>
        <v/>
      </c>
      <c r="W90" s="4" t="str">
        <f>HYPERLINK("http://141.218.60.56/~jnz1568/getInfo.php?workbook=09_01.xlsx&amp;sheet=A0&amp;row=90&amp;col=23&amp;number=173200000&amp;sourceID=30","173200000")</f>
        <v>173200000</v>
      </c>
      <c r="X90" s="4" t="str">
        <f>HYPERLINK("http://141.218.60.56/~jnz1568/getInfo.php?workbook=09_01.xlsx&amp;sheet=A0&amp;row=90&amp;col=24&amp;number=&amp;sourceID=30","")</f>
        <v/>
      </c>
      <c r="Y90" s="4" t="str">
        <f>HYPERLINK("http://141.218.60.56/~jnz1568/getInfo.php?workbook=09_01.xlsx&amp;sheet=A0&amp;row=90&amp;col=25&amp;number=&amp;sourceID=30","")</f>
        <v/>
      </c>
      <c r="Z90" s="4" t="str">
        <f>HYPERLINK("http://141.218.60.56/~jnz1568/getInfo.php?workbook=09_01.xlsx&amp;sheet=A0&amp;row=90&amp;col=26&amp;number==SUM(AA90:AE90)&amp;sourceID=13","=SUM(AA90:AE90)")</f>
        <v>=SUM(AA90:AE90)</v>
      </c>
      <c r="AA90" s="4" t="str">
        <f>HYPERLINK("http://141.218.60.56/~jnz1568/getInfo.php?workbook=09_01.xlsx&amp;sheet=A0&amp;row=90&amp;col=27&amp;number=&amp;sourceID=13","")</f>
        <v/>
      </c>
      <c r="AB90" s="4" t="str">
        <f>HYPERLINK("http://141.218.60.56/~jnz1568/getInfo.php?workbook=09_01.xlsx&amp;sheet=A0&amp;row=90&amp;col=28&amp;number=191000000&amp;sourceID=13","191000000")</f>
        <v>191000000</v>
      </c>
      <c r="AC90" s="4" t="str">
        <f>HYPERLINK("http://141.218.60.56/~jnz1568/getInfo.php?workbook=09_01.xlsx&amp;sheet=A0&amp;row=90&amp;col=29&amp;number=&amp;sourceID=13","")</f>
        <v/>
      </c>
      <c r="AD90" s="4" t="str">
        <f>HYPERLINK("http://141.218.60.56/~jnz1568/getInfo.php?workbook=09_01.xlsx&amp;sheet=A0&amp;row=90&amp;col=30&amp;number=&amp;sourceID=13","")</f>
        <v/>
      </c>
      <c r="AE90" s="4" t="str">
        <f>HYPERLINK("http://141.218.60.56/~jnz1568/getInfo.php?workbook=09_01.xlsx&amp;sheet=A0&amp;row=90&amp;col=31&amp;number=&amp;sourceID=13","")</f>
        <v/>
      </c>
    </row>
    <row r="91" spans="1:31">
      <c r="A91" s="3">
        <v>9</v>
      </c>
      <c r="B91" s="3">
        <v>1</v>
      </c>
      <c r="C91" s="3">
        <v>15</v>
      </c>
      <c r="D91" s="3">
        <v>2</v>
      </c>
      <c r="E91" s="3">
        <f>((1/(INDEX(E0!J$4:J$28,C91,1)-INDEX(E0!J$4:J$28,D91,1))))*100000000</f>
        <v>0</v>
      </c>
      <c r="F91" s="4" t="str">
        <f>HYPERLINK("http://141.218.60.56/~jnz1568/getInfo.php?workbook=09_01.xlsx&amp;sheet=A0&amp;row=91&amp;col=6&amp;number=&amp;sourceID=18","")</f>
        <v/>
      </c>
      <c r="G91" s="4" t="str">
        <f>HYPERLINK("http://141.218.60.56/~jnz1568/getInfo.php?workbook=09_01.xlsx&amp;sheet=A0&amp;row=91&amp;col=7&amp;number==&amp;sourceID=11","=")</f>
        <v>=</v>
      </c>
      <c r="H91" s="4" t="str">
        <f>HYPERLINK("http://141.218.60.56/~jnz1568/getInfo.php?workbook=09_01.xlsx&amp;sheet=A0&amp;row=91&amp;col=8&amp;number=&amp;sourceID=11","")</f>
        <v/>
      </c>
      <c r="I91" s="4" t="str">
        <f>HYPERLINK("http://141.218.60.56/~jnz1568/getInfo.php?workbook=09_01.xlsx&amp;sheet=A0&amp;row=91&amp;col=9&amp;number=&amp;sourceID=11","")</f>
        <v/>
      </c>
      <c r="J91" s="4" t="str">
        <f>HYPERLINK("http://141.218.60.56/~jnz1568/getInfo.php?workbook=09_01.xlsx&amp;sheet=A0&amp;row=91&amp;col=10&amp;number=0.0049892&amp;sourceID=11","0.0049892")</f>
        <v>0.0049892</v>
      </c>
      <c r="K91" s="4" t="str">
        <f>HYPERLINK("http://141.218.60.56/~jnz1568/getInfo.php?workbook=09_01.xlsx&amp;sheet=A0&amp;row=91&amp;col=11&amp;number=&amp;sourceID=11","")</f>
        <v/>
      </c>
      <c r="L91" s="4" t="str">
        <f>HYPERLINK("http://141.218.60.56/~jnz1568/getInfo.php?workbook=09_01.xlsx&amp;sheet=A0&amp;row=91&amp;col=12&amp;number=990.38&amp;sourceID=11","990.38")</f>
        <v>990.38</v>
      </c>
      <c r="M91" s="4" t="str">
        <f>HYPERLINK("http://141.218.60.56/~jnz1568/getInfo.php?workbook=09_01.xlsx&amp;sheet=A0&amp;row=91&amp;col=13&amp;number=&amp;sourceID=11","")</f>
        <v/>
      </c>
      <c r="N91" s="4" t="str">
        <f>HYPERLINK("http://141.218.60.56/~jnz1568/getInfo.php?workbook=09_01.xlsx&amp;sheet=A0&amp;row=91&amp;col=14&amp;number=990.41&amp;sourceID=12","990.41")</f>
        <v>990.41</v>
      </c>
      <c r="O91" s="4" t="str">
        <f>HYPERLINK("http://141.218.60.56/~jnz1568/getInfo.php?workbook=09_01.xlsx&amp;sheet=A0&amp;row=91&amp;col=15&amp;number=&amp;sourceID=12","")</f>
        <v/>
      </c>
      <c r="P91" s="4" t="str">
        <f>HYPERLINK("http://141.218.60.56/~jnz1568/getInfo.php?workbook=09_01.xlsx&amp;sheet=A0&amp;row=91&amp;col=16&amp;number=&amp;sourceID=12","")</f>
        <v/>
      </c>
      <c r="Q91" s="4" t="str">
        <f>HYPERLINK("http://141.218.60.56/~jnz1568/getInfo.php?workbook=09_01.xlsx&amp;sheet=A0&amp;row=91&amp;col=17&amp;number=0.0049895&amp;sourceID=12","0.0049895")</f>
        <v>0.0049895</v>
      </c>
      <c r="R91" s="4" t="str">
        <f>HYPERLINK("http://141.218.60.56/~jnz1568/getInfo.php?workbook=09_01.xlsx&amp;sheet=A0&amp;row=91&amp;col=18&amp;number=&amp;sourceID=12","")</f>
        <v/>
      </c>
      <c r="S91" s="4" t="str">
        <f>HYPERLINK("http://141.218.60.56/~jnz1568/getInfo.php?workbook=09_01.xlsx&amp;sheet=A0&amp;row=91&amp;col=19&amp;number=990.41&amp;sourceID=12","990.41")</f>
        <v>990.41</v>
      </c>
      <c r="T91" s="4" t="str">
        <f>HYPERLINK("http://141.218.60.56/~jnz1568/getInfo.php?workbook=09_01.xlsx&amp;sheet=A0&amp;row=91&amp;col=20&amp;number=&amp;sourceID=12","")</f>
        <v/>
      </c>
      <c r="U91" s="4" t="str">
        <f>HYPERLINK("http://141.218.60.56/~jnz1568/getInfo.php?workbook=09_01.xlsx&amp;sheet=A0&amp;row=91&amp;col=21&amp;number=990.4&amp;sourceID=30","990.4")</f>
        <v>990.4</v>
      </c>
      <c r="V91" s="4" t="str">
        <f>HYPERLINK("http://141.218.60.56/~jnz1568/getInfo.php?workbook=09_01.xlsx&amp;sheet=A0&amp;row=91&amp;col=22&amp;number=&amp;sourceID=30","")</f>
        <v/>
      </c>
      <c r="W91" s="4" t="str">
        <f>HYPERLINK("http://141.218.60.56/~jnz1568/getInfo.php?workbook=09_01.xlsx&amp;sheet=A0&amp;row=91&amp;col=23&amp;number=&amp;sourceID=30","")</f>
        <v/>
      </c>
      <c r="X91" s="4" t="str">
        <f>HYPERLINK("http://141.218.60.56/~jnz1568/getInfo.php?workbook=09_01.xlsx&amp;sheet=A0&amp;row=91&amp;col=24&amp;number=&amp;sourceID=30","")</f>
        <v/>
      </c>
      <c r="Y91" s="4" t="str">
        <f>HYPERLINK("http://141.218.60.56/~jnz1568/getInfo.php?workbook=09_01.xlsx&amp;sheet=A0&amp;row=91&amp;col=25&amp;number=990.4&amp;sourceID=30","990.4")</f>
        <v>990.4</v>
      </c>
      <c r="Z91" s="4" t="str">
        <f>HYPERLINK("http://141.218.60.56/~jnz1568/getInfo.php?workbook=09_01.xlsx&amp;sheet=A0&amp;row=91&amp;col=26&amp;number==&amp;sourceID=13","=")</f>
        <v>=</v>
      </c>
      <c r="AA91" s="4" t="str">
        <f>HYPERLINK("http://141.218.60.56/~jnz1568/getInfo.php?workbook=09_01.xlsx&amp;sheet=A0&amp;row=91&amp;col=27&amp;number=&amp;sourceID=13","")</f>
        <v/>
      </c>
      <c r="AB91" s="4" t="str">
        <f>HYPERLINK("http://141.218.60.56/~jnz1568/getInfo.php?workbook=09_01.xlsx&amp;sheet=A0&amp;row=91&amp;col=28&amp;number=&amp;sourceID=13","")</f>
        <v/>
      </c>
      <c r="AC91" s="4" t="str">
        <f>HYPERLINK("http://141.218.60.56/~jnz1568/getInfo.php?workbook=09_01.xlsx&amp;sheet=A0&amp;row=91&amp;col=29&amp;number=1.15&amp;sourceID=13","1.15")</f>
        <v>1.15</v>
      </c>
      <c r="AD91" s="4" t="str">
        <f>HYPERLINK("http://141.218.60.56/~jnz1568/getInfo.php?workbook=09_01.xlsx&amp;sheet=A0&amp;row=91&amp;col=30&amp;number=&amp;sourceID=13","")</f>
        <v/>
      </c>
      <c r="AE91" s="4" t="str">
        <f>HYPERLINK("http://141.218.60.56/~jnz1568/getInfo.php?workbook=09_01.xlsx&amp;sheet=A0&amp;row=91&amp;col=31&amp;number=3950&amp;sourceID=13","3950")</f>
        <v>3950</v>
      </c>
    </row>
    <row r="92" spans="1:31">
      <c r="A92" s="3">
        <v>9</v>
      </c>
      <c r="B92" s="3">
        <v>1</v>
      </c>
      <c r="C92" s="3">
        <v>15</v>
      </c>
      <c r="D92" s="3">
        <v>3</v>
      </c>
      <c r="E92" s="3">
        <f>((1/(INDEX(E0!J$4:J$28,C92,1)-INDEX(E0!J$4:J$28,D92,1))))*100000000</f>
        <v>0</v>
      </c>
      <c r="F92" s="4" t="str">
        <f>HYPERLINK("http://141.218.60.56/~jnz1568/getInfo.php?workbook=09_01.xlsx&amp;sheet=A0&amp;row=92&amp;col=6&amp;number=&amp;sourceID=18","")</f>
        <v/>
      </c>
      <c r="G92" s="4" t="str">
        <f>HYPERLINK("http://141.218.60.56/~jnz1568/getInfo.php?workbook=09_01.xlsx&amp;sheet=A0&amp;row=92&amp;col=7&amp;number==&amp;sourceID=11","=")</f>
        <v>=</v>
      </c>
      <c r="H92" s="4" t="str">
        <f>HYPERLINK("http://141.218.60.56/~jnz1568/getInfo.php?workbook=09_01.xlsx&amp;sheet=A0&amp;row=92&amp;col=8&amp;number=&amp;sourceID=11","")</f>
        <v/>
      </c>
      <c r="I92" s="4" t="str">
        <f>HYPERLINK("http://141.218.60.56/~jnz1568/getInfo.php?workbook=09_01.xlsx&amp;sheet=A0&amp;row=92&amp;col=9&amp;number=2778600&amp;sourceID=11","2778600")</f>
        <v>2778600</v>
      </c>
      <c r="J92" s="4" t="str">
        <f>HYPERLINK("http://141.218.60.56/~jnz1568/getInfo.php?workbook=09_01.xlsx&amp;sheet=A0&amp;row=92&amp;col=10&amp;number=&amp;sourceID=11","")</f>
        <v/>
      </c>
      <c r="K92" s="4" t="str">
        <f>HYPERLINK("http://141.218.60.56/~jnz1568/getInfo.php?workbook=09_01.xlsx&amp;sheet=A0&amp;row=92&amp;col=11&amp;number=&amp;sourceID=11","")</f>
        <v/>
      </c>
      <c r="L92" s="4" t="str">
        <f>HYPERLINK("http://141.218.60.56/~jnz1568/getInfo.php?workbook=09_01.xlsx&amp;sheet=A0&amp;row=92&amp;col=12&amp;number=&amp;sourceID=11","")</f>
        <v/>
      </c>
      <c r="M92" s="4" t="str">
        <f>HYPERLINK("http://141.218.60.56/~jnz1568/getInfo.php?workbook=09_01.xlsx&amp;sheet=A0&amp;row=92&amp;col=13&amp;number=0.10125&amp;sourceID=11","0.10125")</f>
        <v>0.10125</v>
      </c>
      <c r="N92" s="4" t="str">
        <f>HYPERLINK("http://141.218.60.56/~jnz1568/getInfo.php?workbook=09_01.xlsx&amp;sheet=A0&amp;row=92&amp;col=14&amp;number=2778700&amp;sourceID=12","2778700")</f>
        <v>2778700</v>
      </c>
      <c r="O92" s="4" t="str">
        <f>HYPERLINK("http://141.218.60.56/~jnz1568/getInfo.php?workbook=09_01.xlsx&amp;sheet=A0&amp;row=92&amp;col=15&amp;number=&amp;sourceID=12","")</f>
        <v/>
      </c>
      <c r="P92" s="4" t="str">
        <f>HYPERLINK("http://141.218.60.56/~jnz1568/getInfo.php?workbook=09_01.xlsx&amp;sheet=A0&amp;row=92&amp;col=16&amp;number=2778700&amp;sourceID=12","2778700")</f>
        <v>2778700</v>
      </c>
      <c r="Q92" s="4" t="str">
        <f>HYPERLINK("http://141.218.60.56/~jnz1568/getInfo.php?workbook=09_01.xlsx&amp;sheet=A0&amp;row=92&amp;col=17&amp;number=&amp;sourceID=12","")</f>
        <v/>
      </c>
      <c r="R92" s="4" t="str">
        <f>HYPERLINK("http://141.218.60.56/~jnz1568/getInfo.php?workbook=09_01.xlsx&amp;sheet=A0&amp;row=92&amp;col=18&amp;number=&amp;sourceID=12","")</f>
        <v/>
      </c>
      <c r="S92" s="4" t="str">
        <f>HYPERLINK("http://141.218.60.56/~jnz1568/getInfo.php?workbook=09_01.xlsx&amp;sheet=A0&amp;row=92&amp;col=19&amp;number=&amp;sourceID=12","")</f>
        <v/>
      </c>
      <c r="T92" s="4" t="str">
        <f>HYPERLINK("http://141.218.60.56/~jnz1568/getInfo.php?workbook=09_01.xlsx&amp;sheet=A0&amp;row=92&amp;col=20&amp;number=0.10125&amp;sourceID=12","0.10125")</f>
        <v>0.10125</v>
      </c>
      <c r="U92" s="4" t="str">
        <f>HYPERLINK("http://141.218.60.56/~jnz1568/getInfo.php?workbook=09_01.xlsx&amp;sheet=A0&amp;row=92&amp;col=21&amp;number=2779000&amp;sourceID=30","2779000")</f>
        <v>2779000</v>
      </c>
      <c r="V92" s="4" t="str">
        <f>HYPERLINK("http://141.218.60.56/~jnz1568/getInfo.php?workbook=09_01.xlsx&amp;sheet=A0&amp;row=92&amp;col=22&amp;number=&amp;sourceID=30","")</f>
        <v/>
      </c>
      <c r="W92" s="4" t="str">
        <f>HYPERLINK("http://141.218.60.56/~jnz1568/getInfo.php?workbook=09_01.xlsx&amp;sheet=A0&amp;row=92&amp;col=23&amp;number=2779000&amp;sourceID=30","2779000")</f>
        <v>2779000</v>
      </c>
      <c r="X92" s="4" t="str">
        <f>HYPERLINK("http://141.218.60.56/~jnz1568/getInfo.php?workbook=09_01.xlsx&amp;sheet=A0&amp;row=92&amp;col=24&amp;number=&amp;sourceID=30","")</f>
        <v/>
      </c>
      <c r="Y92" s="4" t="str">
        <f>HYPERLINK("http://141.218.60.56/~jnz1568/getInfo.php?workbook=09_01.xlsx&amp;sheet=A0&amp;row=92&amp;col=25&amp;number=&amp;sourceID=30","")</f>
        <v/>
      </c>
      <c r="Z92" s="4" t="str">
        <f>HYPERLINK("http://141.218.60.56/~jnz1568/getInfo.php?workbook=09_01.xlsx&amp;sheet=A0&amp;row=92&amp;col=26&amp;number==&amp;sourceID=13","=")</f>
        <v>=</v>
      </c>
      <c r="AA92" s="4" t="str">
        <f>HYPERLINK("http://141.218.60.56/~jnz1568/getInfo.php?workbook=09_01.xlsx&amp;sheet=A0&amp;row=92&amp;col=27&amp;number=&amp;sourceID=13","")</f>
        <v/>
      </c>
      <c r="AB92" s="4" t="str">
        <f>HYPERLINK("http://141.218.60.56/~jnz1568/getInfo.php?workbook=09_01.xlsx&amp;sheet=A0&amp;row=92&amp;col=28&amp;number=2690000&amp;sourceID=13","2690000")</f>
        <v>2690000</v>
      </c>
      <c r="AC92" s="4" t="str">
        <f>HYPERLINK("http://141.218.60.56/~jnz1568/getInfo.php?workbook=09_01.xlsx&amp;sheet=A0&amp;row=92&amp;col=29&amp;number=&amp;sourceID=13","")</f>
        <v/>
      </c>
      <c r="AD92" s="4" t="str">
        <f>HYPERLINK("http://141.218.60.56/~jnz1568/getInfo.php?workbook=09_01.xlsx&amp;sheet=A0&amp;row=92&amp;col=30&amp;number=&amp;sourceID=13","")</f>
        <v/>
      </c>
      <c r="AE92" s="4" t="str">
        <f>HYPERLINK("http://141.218.60.56/~jnz1568/getInfo.php?workbook=09_01.xlsx&amp;sheet=A0&amp;row=92&amp;col=31&amp;number=&amp;sourceID=13","")</f>
        <v/>
      </c>
    </row>
    <row r="93" spans="1:31">
      <c r="A93" s="3">
        <v>9</v>
      </c>
      <c r="B93" s="3">
        <v>1</v>
      </c>
      <c r="C93" s="3">
        <v>15</v>
      </c>
      <c r="D93" s="3">
        <v>4</v>
      </c>
      <c r="E93" s="3">
        <f>((1/(INDEX(E0!J$4:J$28,C93,1)-INDEX(E0!J$4:J$28,D93,1))))*100000000</f>
        <v>0</v>
      </c>
      <c r="F93" s="4" t="str">
        <f>HYPERLINK("http://141.218.60.56/~jnz1568/getInfo.php?workbook=09_01.xlsx&amp;sheet=A0&amp;row=93&amp;col=6&amp;number=&amp;sourceID=18","")</f>
        <v/>
      </c>
      <c r="G93" s="4" t="str">
        <f>HYPERLINK("http://141.218.60.56/~jnz1568/getInfo.php?workbook=09_01.xlsx&amp;sheet=A0&amp;row=93&amp;col=7&amp;number==&amp;sourceID=11","=")</f>
        <v>=</v>
      </c>
      <c r="H93" s="4" t="str">
        <f>HYPERLINK("http://141.218.60.56/~jnz1568/getInfo.php?workbook=09_01.xlsx&amp;sheet=A0&amp;row=93&amp;col=8&amp;number=135390000000&amp;sourceID=11","135390000000")</f>
        <v>135390000000</v>
      </c>
      <c r="I93" s="4" t="str">
        <f>HYPERLINK("http://141.218.60.56/~jnz1568/getInfo.php?workbook=09_01.xlsx&amp;sheet=A0&amp;row=93&amp;col=9&amp;number=&amp;sourceID=11","")</f>
        <v/>
      </c>
      <c r="J93" s="4" t="str">
        <f>HYPERLINK("http://141.218.60.56/~jnz1568/getInfo.php?workbook=09_01.xlsx&amp;sheet=A0&amp;row=93&amp;col=10&amp;number=3.5361e-05&amp;sourceID=11","3.5361e-05")</f>
        <v>3.5361e-05</v>
      </c>
      <c r="K93" s="4" t="str">
        <f>HYPERLINK("http://141.218.60.56/~jnz1568/getInfo.php?workbook=09_01.xlsx&amp;sheet=A0&amp;row=93&amp;col=11&amp;number=&amp;sourceID=11","")</f>
        <v/>
      </c>
      <c r="L93" s="4" t="str">
        <f>HYPERLINK("http://141.218.60.56/~jnz1568/getInfo.php?workbook=09_01.xlsx&amp;sheet=A0&amp;row=93&amp;col=12&amp;number=5381&amp;sourceID=11","5381")</f>
        <v>5381</v>
      </c>
      <c r="M93" s="4" t="str">
        <f>HYPERLINK("http://141.218.60.56/~jnz1568/getInfo.php?workbook=09_01.xlsx&amp;sheet=A0&amp;row=93&amp;col=13&amp;number=&amp;sourceID=11","")</f>
        <v/>
      </c>
      <c r="N93" s="4" t="str">
        <f>HYPERLINK("http://141.218.60.56/~jnz1568/getInfo.php?workbook=09_01.xlsx&amp;sheet=A0&amp;row=93&amp;col=14&amp;number=135390000000&amp;sourceID=12","135390000000")</f>
        <v>135390000000</v>
      </c>
      <c r="O93" s="4" t="str">
        <f>HYPERLINK("http://141.218.60.56/~jnz1568/getInfo.php?workbook=09_01.xlsx&amp;sheet=A0&amp;row=93&amp;col=15&amp;number=135390000000&amp;sourceID=12","135390000000")</f>
        <v>135390000000</v>
      </c>
      <c r="P93" s="4" t="str">
        <f>HYPERLINK("http://141.218.60.56/~jnz1568/getInfo.php?workbook=09_01.xlsx&amp;sheet=A0&amp;row=93&amp;col=16&amp;number=&amp;sourceID=12","")</f>
        <v/>
      </c>
      <c r="Q93" s="4" t="str">
        <f>HYPERLINK("http://141.218.60.56/~jnz1568/getInfo.php?workbook=09_01.xlsx&amp;sheet=A0&amp;row=93&amp;col=17&amp;number=3.5369e-05&amp;sourceID=12","3.5369e-05")</f>
        <v>3.5369e-05</v>
      </c>
      <c r="R93" s="4" t="str">
        <f>HYPERLINK("http://141.218.60.56/~jnz1568/getInfo.php?workbook=09_01.xlsx&amp;sheet=A0&amp;row=93&amp;col=18&amp;number=&amp;sourceID=12","")</f>
        <v/>
      </c>
      <c r="S93" s="4" t="str">
        <f>HYPERLINK("http://141.218.60.56/~jnz1568/getInfo.php?workbook=09_01.xlsx&amp;sheet=A0&amp;row=93&amp;col=19&amp;number=5381.1&amp;sourceID=12","5381.1")</f>
        <v>5381.1</v>
      </c>
      <c r="T93" s="4" t="str">
        <f>HYPERLINK("http://141.218.60.56/~jnz1568/getInfo.php?workbook=09_01.xlsx&amp;sheet=A0&amp;row=93&amp;col=20&amp;number=&amp;sourceID=12","")</f>
        <v/>
      </c>
      <c r="U93" s="4" t="str">
        <f>HYPERLINK("http://141.218.60.56/~jnz1568/getInfo.php?workbook=09_01.xlsx&amp;sheet=A0&amp;row=93&amp;col=21&amp;number=135400005381&amp;sourceID=30","135400005381")</f>
        <v>135400005381</v>
      </c>
      <c r="V93" s="4" t="str">
        <f>HYPERLINK("http://141.218.60.56/~jnz1568/getInfo.php?workbook=09_01.xlsx&amp;sheet=A0&amp;row=93&amp;col=22&amp;number=135400000000&amp;sourceID=30","135400000000")</f>
        <v>135400000000</v>
      </c>
      <c r="W93" s="4" t="str">
        <f>HYPERLINK("http://141.218.60.56/~jnz1568/getInfo.php?workbook=09_01.xlsx&amp;sheet=A0&amp;row=93&amp;col=23&amp;number=&amp;sourceID=30","")</f>
        <v/>
      </c>
      <c r="X93" s="4" t="str">
        <f>HYPERLINK("http://141.218.60.56/~jnz1568/getInfo.php?workbook=09_01.xlsx&amp;sheet=A0&amp;row=93&amp;col=24&amp;number=&amp;sourceID=30","")</f>
        <v/>
      </c>
      <c r="Y93" s="4" t="str">
        <f>HYPERLINK("http://141.218.60.56/~jnz1568/getInfo.php?workbook=09_01.xlsx&amp;sheet=A0&amp;row=93&amp;col=25&amp;number=5381&amp;sourceID=30","5381")</f>
        <v>5381</v>
      </c>
      <c r="Z93" s="4" t="str">
        <f>HYPERLINK("http://141.218.60.56/~jnz1568/getInfo.php?workbook=09_01.xlsx&amp;sheet=A0&amp;row=93&amp;col=26&amp;number==&amp;sourceID=13","=")</f>
        <v>=</v>
      </c>
      <c r="AA93" s="4" t="str">
        <f>HYPERLINK("http://141.218.60.56/~jnz1568/getInfo.php?workbook=09_01.xlsx&amp;sheet=A0&amp;row=93&amp;col=27&amp;number=135000000000&amp;sourceID=13","135000000000")</f>
        <v>135000000000</v>
      </c>
      <c r="AB93" s="4" t="str">
        <f>HYPERLINK("http://141.218.60.56/~jnz1568/getInfo.php?workbook=09_01.xlsx&amp;sheet=A0&amp;row=93&amp;col=28&amp;number=&amp;sourceID=13","")</f>
        <v/>
      </c>
      <c r="AC93" s="4" t="str">
        <f>HYPERLINK("http://141.218.60.56/~jnz1568/getInfo.php?workbook=09_01.xlsx&amp;sheet=A0&amp;row=93&amp;col=29&amp;number=&amp;sourceID=13","")</f>
        <v/>
      </c>
      <c r="AD93" s="4" t="str">
        <f>HYPERLINK("http://141.218.60.56/~jnz1568/getInfo.php?workbook=09_01.xlsx&amp;sheet=A0&amp;row=93&amp;col=30&amp;number=&amp;sourceID=13","")</f>
        <v/>
      </c>
      <c r="AE93" s="4" t="str">
        <f>HYPERLINK("http://141.218.60.56/~jnz1568/getInfo.php?workbook=09_01.xlsx&amp;sheet=A0&amp;row=93&amp;col=31&amp;number=&amp;sourceID=13","")</f>
        <v/>
      </c>
    </row>
    <row r="94" spans="1:31">
      <c r="A94" s="3">
        <v>9</v>
      </c>
      <c r="B94" s="3">
        <v>1</v>
      </c>
      <c r="C94" s="3">
        <v>15</v>
      </c>
      <c r="D94" s="3">
        <v>5</v>
      </c>
      <c r="E94" s="3">
        <f>((1/(INDEX(E0!J$4:J$28,C94,1)-INDEX(E0!J$4:J$28,D94,1))))*100000000</f>
        <v>0</v>
      </c>
      <c r="F94" s="4" t="str">
        <f>HYPERLINK("http://141.218.60.56/~jnz1568/getInfo.php?workbook=09_01.xlsx&amp;sheet=A0&amp;row=94&amp;col=6&amp;number=&amp;sourceID=18","")</f>
        <v/>
      </c>
      <c r="G94" s="4" t="str">
        <f>HYPERLINK("http://141.218.60.56/~jnz1568/getInfo.php?workbook=09_01.xlsx&amp;sheet=A0&amp;row=94&amp;col=7&amp;number==&amp;sourceID=11","=")</f>
        <v>=</v>
      </c>
      <c r="H94" s="4" t="str">
        <f>HYPERLINK("http://141.218.60.56/~jnz1568/getInfo.php?workbook=09_01.xlsx&amp;sheet=A0&amp;row=94&amp;col=8&amp;number=&amp;sourceID=11","")</f>
        <v/>
      </c>
      <c r="I94" s="4" t="str">
        <f>HYPERLINK("http://141.218.60.56/~jnz1568/getInfo.php?workbook=09_01.xlsx&amp;sheet=A0&amp;row=94&amp;col=9&amp;number=&amp;sourceID=11","")</f>
        <v/>
      </c>
      <c r="J94" s="4" t="str">
        <f>HYPERLINK("http://141.218.60.56/~jnz1568/getInfo.php?workbook=09_01.xlsx&amp;sheet=A0&amp;row=94&amp;col=10&amp;number=30.32&amp;sourceID=11","30.32")</f>
        <v>30.32</v>
      </c>
      <c r="K94" s="4" t="str">
        <f>HYPERLINK("http://141.218.60.56/~jnz1568/getInfo.php?workbook=09_01.xlsx&amp;sheet=A0&amp;row=94&amp;col=11&amp;number=&amp;sourceID=11","")</f>
        <v/>
      </c>
      <c r="L94" s="4" t="str">
        <f>HYPERLINK("http://141.218.60.56/~jnz1568/getInfo.php?workbook=09_01.xlsx&amp;sheet=A0&amp;row=94&amp;col=12&amp;number=22.653&amp;sourceID=11","22.653")</f>
        <v>22.653</v>
      </c>
      <c r="M94" s="4" t="str">
        <f>HYPERLINK("http://141.218.60.56/~jnz1568/getInfo.php?workbook=09_01.xlsx&amp;sheet=A0&amp;row=94&amp;col=13&amp;number=&amp;sourceID=11","")</f>
        <v/>
      </c>
      <c r="N94" s="4" t="str">
        <f>HYPERLINK("http://141.218.60.56/~jnz1568/getInfo.php?workbook=09_01.xlsx&amp;sheet=A0&amp;row=94&amp;col=14&amp;number=52.974&amp;sourceID=12","52.974")</f>
        <v>52.974</v>
      </c>
      <c r="O94" s="4" t="str">
        <f>HYPERLINK("http://141.218.60.56/~jnz1568/getInfo.php?workbook=09_01.xlsx&amp;sheet=A0&amp;row=94&amp;col=15&amp;number=&amp;sourceID=12","")</f>
        <v/>
      </c>
      <c r="P94" s="4" t="str">
        <f>HYPERLINK("http://141.218.60.56/~jnz1568/getInfo.php?workbook=09_01.xlsx&amp;sheet=A0&amp;row=94&amp;col=16&amp;number=&amp;sourceID=12","")</f>
        <v/>
      </c>
      <c r="Q94" s="4" t="str">
        <f>HYPERLINK("http://141.218.60.56/~jnz1568/getInfo.php?workbook=09_01.xlsx&amp;sheet=A0&amp;row=94&amp;col=17&amp;number=30.32&amp;sourceID=12","30.32")</f>
        <v>30.32</v>
      </c>
      <c r="R94" s="4" t="str">
        <f>HYPERLINK("http://141.218.60.56/~jnz1568/getInfo.php?workbook=09_01.xlsx&amp;sheet=A0&amp;row=94&amp;col=18&amp;number=&amp;sourceID=12","")</f>
        <v/>
      </c>
      <c r="S94" s="4" t="str">
        <f>HYPERLINK("http://141.218.60.56/~jnz1568/getInfo.php?workbook=09_01.xlsx&amp;sheet=A0&amp;row=94&amp;col=19&amp;number=22.654&amp;sourceID=12","22.654")</f>
        <v>22.654</v>
      </c>
      <c r="T94" s="4" t="str">
        <f>HYPERLINK("http://141.218.60.56/~jnz1568/getInfo.php?workbook=09_01.xlsx&amp;sheet=A0&amp;row=94&amp;col=20&amp;number=&amp;sourceID=12","")</f>
        <v/>
      </c>
      <c r="U94" s="4" t="str">
        <f>HYPERLINK("http://141.218.60.56/~jnz1568/getInfo.php?workbook=09_01.xlsx&amp;sheet=A0&amp;row=94&amp;col=21&amp;number=22.65&amp;sourceID=30","22.65")</f>
        <v>22.65</v>
      </c>
      <c r="V94" s="4" t="str">
        <f>HYPERLINK("http://141.218.60.56/~jnz1568/getInfo.php?workbook=09_01.xlsx&amp;sheet=A0&amp;row=94&amp;col=22&amp;number=&amp;sourceID=30","")</f>
        <v/>
      </c>
      <c r="W94" s="4" t="str">
        <f>HYPERLINK("http://141.218.60.56/~jnz1568/getInfo.php?workbook=09_01.xlsx&amp;sheet=A0&amp;row=94&amp;col=23&amp;number=&amp;sourceID=30","")</f>
        <v/>
      </c>
      <c r="X94" s="4" t="str">
        <f>HYPERLINK("http://141.218.60.56/~jnz1568/getInfo.php?workbook=09_01.xlsx&amp;sheet=A0&amp;row=94&amp;col=24&amp;number=&amp;sourceID=30","")</f>
        <v/>
      </c>
      <c r="Y94" s="4" t="str">
        <f>HYPERLINK("http://141.218.60.56/~jnz1568/getInfo.php?workbook=09_01.xlsx&amp;sheet=A0&amp;row=94&amp;col=25&amp;number=22.65&amp;sourceID=30","22.65")</f>
        <v>22.65</v>
      </c>
      <c r="Z94" s="4" t="str">
        <f>HYPERLINK("http://141.218.60.56/~jnz1568/getInfo.php?workbook=09_01.xlsx&amp;sheet=A0&amp;row=94&amp;col=26&amp;number==&amp;sourceID=13","=")</f>
        <v>=</v>
      </c>
      <c r="AA94" s="4" t="str">
        <f>HYPERLINK("http://141.218.60.56/~jnz1568/getInfo.php?workbook=09_01.xlsx&amp;sheet=A0&amp;row=94&amp;col=27&amp;number=&amp;sourceID=13","")</f>
        <v/>
      </c>
      <c r="AB94" s="4" t="str">
        <f>HYPERLINK("http://141.218.60.56/~jnz1568/getInfo.php?workbook=09_01.xlsx&amp;sheet=A0&amp;row=94&amp;col=28&amp;number=&amp;sourceID=13","")</f>
        <v/>
      </c>
      <c r="AC94" s="4" t="str">
        <f>HYPERLINK("http://141.218.60.56/~jnz1568/getInfo.php?workbook=09_01.xlsx&amp;sheet=A0&amp;row=94&amp;col=29&amp;number=46.9&amp;sourceID=13","46.9")</f>
        <v>46.9</v>
      </c>
      <c r="AD94" s="4" t="str">
        <f>HYPERLINK("http://141.218.60.56/~jnz1568/getInfo.php?workbook=09_01.xlsx&amp;sheet=A0&amp;row=94&amp;col=30&amp;number=&amp;sourceID=13","")</f>
        <v/>
      </c>
      <c r="AE94" s="4" t="str">
        <f>HYPERLINK("http://141.218.60.56/~jnz1568/getInfo.php?workbook=09_01.xlsx&amp;sheet=A0&amp;row=94&amp;col=31&amp;number=90.5&amp;sourceID=13","90.5")</f>
        <v>90.5</v>
      </c>
    </row>
    <row r="95" spans="1:31">
      <c r="A95" s="3">
        <v>9</v>
      </c>
      <c r="B95" s="3">
        <v>1</v>
      </c>
      <c r="C95" s="3">
        <v>15</v>
      </c>
      <c r="D95" s="3">
        <v>6</v>
      </c>
      <c r="E95" s="3">
        <f>((1/(INDEX(E0!J$4:J$28,C95,1)-INDEX(E0!J$4:J$28,D95,1))))*100000000</f>
        <v>0</v>
      </c>
      <c r="F95" s="4" t="str">
        <f>HYPERLINK("http://141.218.60.56/~jnz1568/getInfo.php?workbook=09_01.xlsx&amp;sheet=A0&amp;row=95&amp;col=6&amp;number=&amp;sourceID=18","")</f>
        <v/>
      </c>
      <c r="G95" s="4" t="str">
        <f>HYPERLINK("http://141.218.60.56/~jnz1568/getInfo.php?workbook=09_01.xlsx&amp;sheet=A0&amp;row=95&amp;col=7&amp;number==&amp;sourceID=11","=")</f>
        <v>=</v>
      </c>
      <c r="H95" s="4" t="str">
        <f>HYPERLINK("http://141.218.60.56/~jnz1568/getInfo.php?workbook=09_01.xlsx&amp;sheet=A0&amp;row=95&amp;col=8&amp;number=&amp;sourceID=11","")</f>
        <v/>
      </c>
      <c r="I95" s="4" t="str">
        <f>HYPERLINK("http://141.218.60.56/~jnz1568/getInfo.php?workbook=09_01.xlsx&amp;sheet=A0&amp;row=95&amp;col=9&amp;number=2008500&amp;sourceID=11","2008500")</f>
        <v>2008500</v>
      </c>
      <c r="J95" s="4" t="str">
        <f>HYPERLINK("http://141.218.60.56/~jnz1568/getInfo.php?workbook=09_01.xlsx&amp;sheet=A0&amp;row=95&amp;col=10&amp;number=&amp;sourceID=11","")</f>
        <v/>
      </c>
      <c r="K95" s="4" t="str">
        <f>HYPERLINK("http://141.218.60.56/~jnz1568/getInfo.php?workbook=09_01.xlsx&amp;sheet=A0&amp;row=95&amp;col=11&amp;number=&amp;sourceID=11","")</f>
        <v/>
      </c>
      <c r="L95" s="4" t="str">
        <f>HYPERLINK("http://141.218.60.56/~jnz1568/getInfo.php?workbook=09_01.xlsx&amp;sheet=A0&amp;row=95&amp;col=12&amp;number=&amp;sourceID=11","")</f>
        <v/>
      </c>
      <c r="M95" s="4" t="str">
        <f>HYPERLINK("http://141.218.60.56/~jnz1568/getInfo.php?workbook=09_01.xlsx&amp;sheet=A0&amp;row=95&amp;col=13&amp;number=0.0049278&amp;sourceID=11","0.0049278")</f>
        <v>0.0049278</v>
      </c>
      <c r="N95" s="4" t="str">
        <f>HYPERLINK("http://141.218.60.56/~jnz1568/getInfo.php?workbook=09_01.xlsx&amp;sheet=A0&amp;row=95&amp;col=14&amp;number=2008500&amp;sourceID=12","2008500")</f>
        <v>2008500</v>
      </c>
      <c r="O95" s="4" t="str">
        <f>HYPERLINK("http://141.218.60.56/~jnz1568/getInfo.php?workbook=09_01.xlsx&amp;sheet=A0&amp;row=95&amp;col=15&amp;number=&amp;sourceID=12","")</f>
        <v/>
      </c>
      <c r="P95" s="4" t="str">
        <f>HYPERLINK("http://141.218.60.56/~jnz1568/getInfo.php?workbook=09_01.xlsx&amp;sheet=A0&amp;row=95&amp;col=16&amp;number=2008500&amp;sourceID=12","2008500")</f>
        <v>2008500</v>
      </c>
      <c r="Q95" s="4" t="str">
        <f>HYPERLINK("http://141.218.60.56/~jnz1568/getInfo.php?workbook=09_01.xlsx&amp;sheet=A0&amp;row=95&amp;col=17&amp;number=&amp;sourceID=12","")</f>
        <v/>
      </c>
      <c r="R95" s="4" t="str">
        <f>HYPERLINK("http://141.218.60.56/~jnz1568/getInfo.php?workbook=09_01.xlsx&amp;sheet=A0&amp;row=95&amp;col=18&amp;number=&amp;sourceID=12","")</f>
        <v/>
      </c>
      <c r="S95" s="4" t="str">
        <f>HYPERLINK("http://141.218.60.56/~jnz1568/getInfo.php?workbook=09_01.xlsx&amp;sheet=A0&amp;row=95&amp;col=19&amp;number=&amp;sourceID=12","")</f>
        <v/>
      </c>
      <c r="T95" s="4" t="str">
        <f>HYPERLINK("http://141.218.60.56/~jnz1568/getInfo.php?workbook=09_01.xlsx&amp;sheet=A0&amp;row=95&amp;col=20&amp;number=0.004928&amp;sourceID=12","0.004928")</f>
        <v>0.004928</v>
      </c>
      <c r="U95" s="4" t="str">
        <f>HYPERLINK("http://141.218.60.56/~jnz1568/getInfo.php?workbook=09_01.xlsx&amp;sheet=A0&amp;row=95&amp;col=21&amp;number=2008000&amp;sourceID=30","2008000")</f>
        <v>2008000</v>
      </c>
      <c r="V95" s="4" t="str">
        <f>HYPERLINK("http://141.218.60.56/~jnz1568/getInfo.php?workbook=09_01.xlsx&amp;sheet=A0&amp;row=95&amp;col=22&amp;number=&amp;sourceID=30","")</f>
        <v/>
      </c>
      <c r="W95" s="4" t="str">
        <f>HYPERLINK("http://141.218.60.56/~jnz1568/getInfo.php?workbook=09_01.xlsx&amp;sheet=A0&amp;row=95&amp;col=23&amp;number=2008000&amp;sourceID=30","2008000")</f>
        <v>2008000</v>
      </c>
      <c r="X95" s="4" t="str">
        <f>HYPERLINK("http://141.218.60.56/~jnz1568/getInfo.php?workbook=09_01.xlsx&amp;sheet=A0&amp;row=95&amp;col=24&amp;number=&amp;sourceID=30","")</f>
        <v/>
      </c>
      <c r="Y95" s="4" t="str">
        <f>HYPERLINK("http://141.218.60.56/~jnz1568/getInfo.php?workbook=09_01.xlsx&amp;sheet=A0&amp;row=95&amp;col=25&amp;number=&amp;sourceID=30","")</f>
        <v/>
      </c>
      <c r="Z95" s="4" t="str">
        <f>HYPERLINK("http://141.218.60.56/~jnz1568/getInfo.php?workbook=09_01.xlsx&amp;sheet=A0&amp;row=95&amp;col=26&amp;number==&amp;sourceID=13","=")</f>
        <v>=</v>
      </c>
      <c r="AA95" s="4" t="str">
        <f>HYPERLINK("http://141.218.60.56/~jnz1568/getInfo.php?workbook=09_01.xlsx&amp;sheet=A0&amp;row=95&amp;col=27&amp;number=&amp;sourceID=13","")</f>
        <v/>
      </c>
      <c r="AB95" s="4" t="str">
        <f>HYPERLINK("http://141.218.60.56/~jnz1568/getInfo.php?workbook=09_01.xlsx&amp;sheet=A0&amp;row=95&amp;col=28&amp;number=2000000&amp;sourceID=13","2000000")</f>
        <v>2000000</v>
      </c>
      <c r="AC95" s="4" t="str">
        <f>HYPERLINK("http://141.218.60.56/~jnz1568/getInfo.php?workbook=09_01.xlsx&amp;sheet=A0&amp;row=95&amp;col=29&amp;number=&amp;sourceID=13","")</f>
        <v/>
      </c>
      <c r="AD95" s="4" t="str">
        <f>HYPERLINK("http://141.218.60.56/~jnz1568/getInfo.php?workbook=09_01.xlsx&amp;sheet=A0&amp;row=95&amp;col=30&amp;number=&amp;sourceID=13","")</f>
        <v/>
      </c>
      <c r="AE95" s="4" t="str">
        <f>HYPERLINK("http://141.218.60.56/~jnz1568/getInfo.php?workbook=09_01.xlsx&amp;sheet=A0&amp;row=95&amp;col=31&amp;number=&amp;sourceID=13","")</f>
        <v/>
      </c>
    </row>
    <row r="96" spans="1:31">
      <c r="A96" s="3">
        <v>9</v>
      </c>
      <c r="B96" s="3">
        <v>1</v>
      </c>
      <c r="C96" s="3">
        <v>15</v>
      </c>
      <c r="D96" s="3">
        <v>7</v>
      </c>
      <c r="E96" s="3">
        <f>((1/(INDEX(E0!J$4:J$28,C96,1)-INDEX(E0!J$4:J$28,D96,1))))*100000000</f>
        <v>0</v>
      </c>
      <c r="F96" s="4" t="str">
        <f>HYPERLINK("http://141.218.60.56/~jnz1568/getInfo.php?workbook=09_01.xlsx&amp;sheet=A0&amp;row=96&amp;col=6&amp;number=&amp;sourceID=18","")</f>
        <v/>
      </c>
      <c r="G96" s="4" t="str">
        <f>HYPERLINK("http://141.218.60.56/~jnz1568/getInfo.php?workbook=09_01.xlsx&amp;sheet=A0&amp;row=96&amp;col=7&amp;number==&amp;sourceID=11","=")</f>
        <v>=</v>
      </c>
      <c r="H96" s="4" t="str">
        <f>HYPERLINK("http://141.218.60.56/~jnz1568/getInfo.php?workbook=09_01.xlsx&amp;sheet=A0&amp;row=96&amp;col=8&amp;number=&amp;sourceID=11","")</f>
        <v/>
      </c>
      <c r="I96" s="4" t="str">
        <f>HYPERLINK("http://141.218.60.56/~jnz1568/getInfo.php?workbook=09_01.xlsx&amp;sheet=A0&amp;row=96&amp;col=9&amp;number=126570&amp;sourceID=11","126570")</f>
        <v>126570</v>
      </c>
      <c r="J96" s="4" t="str">
        <f>HYPERLINK("http://141.218.60.56/~jnz1568/getInfo.php?workbook=09_01.xlsx&amp;sheet=A0&amp;row=96&amp;col=10&amp;number=&amp;sourceID=11","")</f>
        <v/>
      </c>
      <c r="K96" s="4" t="str">
        <f>HYPERLINK("http://141.218.60.56/~jnz1568/getInfo.php?workbook=09_01.xlsx&amp;sheet=A0&amp;row=96&amp;col=11&amp;number=0.050006&amp;sourceID=11","0.050006")</f>
        <v>0.050006</v>
      </c>
      <c r="L96" s="4" t="str">
        <f>HYPERLINK("http://141.218.60.56/~jnz1568/getInfo.php?workbook=09_01.xlsx&amp;sheet=A0&amp;row=96&amp;col=12&amp;number=&amp;sourceID=11","")</f>
        <v/>
      </c>
      <c r="M96" s="4" t="str">
        <f>HYPERLINK("http://141.218.60.56/~jnz1568/getInfo.php?workbook=09_01.xlsx&amp;sheet=A0&amp;row=96&amp;col=13&amp;number=1.7688e-05&amp;sourceID=11","1.7688e-05")</f>
        <v>1.7688e-05</v>
      </c>
      <c r="N96" s="4" t="str">
        <f>HYPERLINK("http://141.218.60.56/~jnz1568/getInfo.php?workbook=09_01.xlsx&amp;sheet=A0&amp;row=96&amp;col=14&amp;number=126570&amp;sourceID=12","126570")</f>
        <v>126570</v>
      </c>
      <c r="O96" s="4" t="str">
        <f>HYPERLINK("http://141.218.60.56/~jnz1568/getInfo.php?workbook=09_01.xlsx&amp;sheet=A0&amp;row=96&amp;col=15&amp;number=&amp;sourceID=12","")</f>
        <v/>
      </c>
      <c r="P96" s="4" t="str">
        <f>HYPERLINK("http://141.218.60.56/~jnz1568/getInfo.php?workbook=09_01.xlsx&amp;sheet=A0&amp;row=96&amp;col=16&amp;number=126570&amp;sourceID=12","126570")</f>
        <v>126570</v>
      </c>
      <c r="Q96" s="4" t="str">
        <f>HYPERLINK("http://141.218.60.56/~jnz1568/getInfo.php?workbook=09_01.xlsx&amp;sheet=A0&amp;row=96&amp;col=17&amp;number=&amp;sourceID=12","")</f>
        <v/>
      </c>
      <c r="R96" s="4" t="str">
        <f>HYPERLINK("http://141.218.60.56/~jnz1568/getInfo.php?workbook=09_01.xlsx&amp;sheet=A0&amp;row=96&amp;col=18&amp;number=0.050008&amp;sourceID=12","0.050008")</f>
        <v>0.050008</v>
      </c>
      <c r="S96" s="4" t="str">
        <f>HYPERLINK("http://141.218.60.56/~jnz1568/getInfo.php?workbook=09_01.xlsx&amp;sheet=A0&amp;row=96&amp;col=19&amp;number=&amp;sourceID=12","")</f>
        <v/>
      </c>
      <c r="T96" s="4" t="str">
        <f>HYPERLINK("http://141.218.60.56/~jnz1568/getInfo.php?workbook=09_01.xlsx&amp;sheet=A0&amp;row=96&amp;col=20&amp;number=1.7688e-05&amp;sourceID=12","1.7688e-05")</f>
        <v>1.7688e-05</v>
      </c>
      <c r="U96" s="4" t="str">
        <f>HYPERLINK("http://141.218.60.56/~jnz1568/getInfo.php?workbook=09_01.xlsx&amp;sheet=A0&amp;row=96&amp;col=21&amp;number=126600.05001&amp;sourceID=30","126600.05001")</f>
        <v>126600.05001</v>
      </c>
      <c r="V96" s="4" t="str">
        <f>HYPERLINK("http://141.218.60.56/~jnz1568/getInfo.php?workbook=09_01.xlsx&amp;sheet=A0&amp;row=96&amp;col=22&amp;number=&amp;sourceID=30","")</f>
        <v/>
      </c>
      <c r="W96" s="4" t="str">
        <f>HYPERLINK("http://141.218.60.56/~jnz1568/getInfo.php?workbook=09_01.xlsx&amp;sheet=A0&amp;row=96&amp;col=23&amp;number=126600&amp;sourceID=30","126600")</f>
        <v>126600</v>
      </c>
      <c r="X96" s="4" t="str">
        <f>HYPERLINK("http://141.218.60.56/~jnz1568/getInfo.php?workbook=09_01.xlsx&amp;sheet=A0&amp;row=96&amp;col=24&amp;number=0.05001&amp;sourceID=30","0.05001")</f>
        <v>0.05001</v>
      </c>
      <c r="Y96" s="4" t="str">
        <f>HYPERLINK("http://141.218.60.56/~jnz1568/getInfo.php?workbook=09_01.xlsx&amp;sheet=A0&amp;row=96&amp;col=25&amp;number=&amp;sourceID=30","")</f>
        <v/>
      </c>
      <c r="Z96" s="4" t="str">
        <f>HYPERLINK("http://141.218.60.56/~jnz1568/getInfo.php?workbook=09_01.xlsx&amp;sheet=A0&amp;row=96&amp;col=26&amp;number==&amp;sourceID=13","=")</f>
        <v>=</v>
      </c>
      <c r="AA96" s="4" t="str">
        <f>HYPERLINK("http://141.218.60.56/~jnz1568/getInfo.php?workbook=09_01.xlsx&amp;sheet=A0&amp;row=96&amp;col=27&amp;number=&amp;sourceID=13","")</f>
        <v/>
      </c>
      <c r="AB96" s="4" t="str">
        <f>HYPERLINK("http://141.218.60.56/~jnz1568/getInfo.php?workbook=09_01.xlsx&amp;sheet=A0&amp;row=96&amp;col=28&amp;number=126000&amp;sourceID=13","126000")</f>
        <v>126000</v>
      </c>
      <c r="AC96" s="4" t="str">
        <f>HYPERLINK("http://141.218.60.56/~jnz1568/getInfo.php?workbook=09_01.xlsx&amp;sheet=A0&amp;row=96&amp;col=29&amp;number=&amp;sourceID=13","")</f>
        <v/>
      </c>
      <c r="AD96" s="4" t="str">
        <f>HYPERLINK("http://141.218.60.56/~jnz1568/getInfo.php?workbook=09_01.xlsx&amp;sheet=A0&amp;row=96&amp;col=30&amp;number=0.043&amp;sourceID=13","0.043")</f>
        <v>0.043</v>
      </c>
      <c r="AE96" s="4" t="str">
        <f>HYPERLINK("http://141.218.60.56/~jnz1568/getInfo.php?workbook=09_01.xlsx&amp;sheet=A0&amp;row=96&amp;col=31&amp;number=&amp;sourceID=13","")</f>
        <v/>
      </c>
    </row>
    <row r="97" spans="1:31">
      <c r="A97" s="3">
        <v>9</v>
      </c>
      <c r="B97" s="3">
        <v>1</v>
      </c>
      <c r="C97" s="3">
        <v>15</v>
      </c>
      <c r="D97" s="3">
        <v>8</v>
      </c>
      <c r="E97" s="3">
        <f>((1/(INDEX(E0!J$4:J$28,C97,1)-INDEX(E0!J$4:J$28,D97,1))))*100000000</f>
        <v>0</v>
      </c>
      <c r="F97" s="4" t="str">
        <f>HYPERLINK("http://141.218.60.56/~jnz1568/getInfo.php?workbook=09_01.xlsx&amp;sheet=A0&amp;row=97&amp;col=6&amp;number=&amp;sourceID=18","")</f>
        <v/>
      </c>
      <c r="G97" s="4" t="str">
        <f>HYPERLINK("http://141.218.60.56/~jnz1568/getInfo.php?workbook=09_01.xlsx&amp;sheet=A0&amp;row=97&amp;col=7&amp;number==&amp;sourceID=11","=")</f>
        <v>=</v>
      </c>
      <c r="H97" s="4" t="str">
        <f>HYPERLINK("http://141.218.60.56/~jnz1568/getInfo.php?workbook=09_01.xlsx&amp;sheet=A0&amp;row=97&amp;col=8&amp;number=46193000000&amp;sourceID=11","46193000000")</f>
        <v>46193000000</v>
      </c>
      <c r="I97" s="4" t="str">
        <f>HYPERLINK("http://141.218.60.56/~jnz1568/getInfo.php?workbook=09_01.xlsx&amp;sheet=A0&amp;row=97&amp;col=9&amp;number=&amp;sourceID=11","")</f>
        <v/>
      </c>
      <c r="J97" s="4" t="str">
        <f>HYPERLINK("http://141.218.60.56/~jnz1568/getInfo.php?workbook=09_01.xlsx&amp;sheet=A0&amp;row=97&amp;col=10&amp;number=24.103&amp;sourceID=11","24.103")</f>
        <v>24.103</v>
      </c>
      <c r="K97" s="4" t="str">
        <f>HYPERLINK("http://141.218.60.56/~jnz1568/getInfo.php?workbook=09_01.xlsx&amp;sheet=A0&amp;row=97&amp;col=11&amp;number=&amp;sourceID=11","")</f>
        <v/>
      </c>
      <c r="L97" s="4" t="str">
        <f>HYPERLINK("http://141.218.60.56/~jnz1568/getInfo.php?workbook=09_01.xlsx&amp;sheet=A0&amp;row=97&amp;col=12&amp;number=123.55&amp;sourceID=11","123.55")</f>
        <v>123.55</v>
      </c>
      <c r="M97" s="4" t="str">
        <f>HYPERLINK("http://141.218.60.56/~jnz1568/getInfo.php?workbook=09_01.xlsx&amp;sheet=A0&amp;row=97&amp;col=13&amp;number=&amp;sourceID=11","")</f>
        <v/>
      </c>
      <c r="N97" s="4" t="str">
        <f>HYPERLINK("http://141.218.60.56/~jnz1568/getInfo.php?workbook=09_01.xlsx&amp;sheet=A0&amp;row=97&amp;col=14&amp;number=46195000000&amp;sourceID=12","46195000000")</f>
        <v>46195000000</v>
      </c>
      <c r="O97" s="4" t="str">
        <f>HYPERLINK("http://141.218.60.56/~jnz1568/getInfo.php?workbook=09_01.xlsx&amp;sheet=A0&amp;row=97&amp;col=15&amp;number=46195000000&amp;sourceID=12","46195000000")</f>
        <v>46195000000</v>
      </c>
      <c r="P97" s="4" t="str">
        <f>HYPERLINK("http://141.218.60.56/~jnz1568/getInfo.php?workbook=09_01.xlsx&amp;sheet=A0&amp;row=97&amp;col=16&amp;number=&amp;sourceID=12","")</f>
        <v/>
      </c>
      <c r="Q97" s="4" t="str">
        <f>HYPERLINK("http://141.218.60.56/~jnz1568/getInfo.php?workbook=09_01.xlsx&amp;sheet=A0&amp;row=97&amp;col=17&amp;number=24.104&amp;sourceID=12","24.104")</f>
        <v>24.104</v>
      </c>
      <c r="R97" s="4" t="str">
        <f>HYPERLINK("http://141.218.60.56/~jnz1568/getInfo.php?workbook=09_01.xlsx&amp;sheet=A0&amp;row=97&amp;col=18&amp;number=&amp;sourceID=12","")</f>
        <v/>
      </c>
      <c r="S97" s="4" t="str">
        <f>HYPERLINK("http://141.218.60.56/~jnz1568/getInfo.php?workbook=09_01.xlsx&amp;sheet=A0&amp;row=97&amp;col=19&amp;number=123.55&amp;sourceID=12","123.55")</f>
        <v>123.55</v>
      </c>
      <c r="T97" s="4" t="str">
        <f>HYPERLINK("http://141.218.60.56/~jnz1568/getInfo.php?workbook=09_01.xlsx&amp;sheet=A0&amp;row=97&amp;col=20&amp;number=&amp;sourceID=12","")</f>
        <v/>
      </c>
      <c r="U97" s="4" t="str">
        <f>HYPERLINK("http://141.218.60.56/~jnz1568/getInfo.php?workbook=09_01.xlsx&amp;sheet=A0&amp;row=97&amp;col=21&amp;number=46190000123.6&amp;sourceID=30","46190000123.6")</f>
        <v>46190000123.6</v>
      </c>
      <c r="V97" s="4" t="str">
        <f>HYPERLINK("http://141.218.60.56/~jnz1568/getInfo.php?workbook=09_01.xlsx&amp;sheet=A0&amp;row=97&amp;col=22&amp;number=46190000000&amp;sourceID=30","46190000000")</f>
        <v>46190000000</v>
      </c>
      <c r="W97" s="4" t="str">
        <f>HYPERLINK("http://141.218.60.56/~jnz1568/getInfo.php?workbook=09_01.xlsx&amp;sheet=A0&amp;row=97&amp;col=23&amp;number=&amp;sourceID=30","")</f>
        <v/>
      </c>
      <c r="X97" s="4" t="str">
        <f>HYPERLINK("http://141.218.60.56/~jnz1568/getInfo.php?workbook=09_01.xlsx&amp;sheet=A0&amp;row=97&amp;col=24&amp;number=&amp;sourceID=30","")</f>
        <v/>
      </c>
      <c r="Y97" s="4" t="str">
        <f>HYPERLINK("http://141.218.60.56/~jnz1568/getInfo.php?workbook=09_01.xlsx&amp;sheet=A0&amp;row=97&amp;col=25&amp;number=123.6&amp;sourceID=30","123.6")</f>
        <v>123.6</v>
      </c>
      <c r="Z97" s="4" t="str">
        <f>HYPERLINK("http://141.218.60.56/~jnz1568/getInfo.php?workbook=09_01.xlsx&amp;sheet=A0&amp;row=97&amp;col=26&amp;number==&amp;sourceID=13","=")</f>
        <v>=</v>
      </c>
      <c r="AA97" s="4" t="str">
        <f>HYPERLINK("http://141.218.60.56/~jnz1568/getInfo.php?workbook=09_01.xlsx&amp;sheet=A0&amp;row=97&amp;col=27&amp;number=46200000000&amp;sourceID=13","46200000000")</f>
        <v>46200000000</v>
      </c>
      <c r="AB97" s="4" t="str">
        <f>HYPERLINK("http://141.218.60.56/~jnz1568/getInfo.php?workbook=09_01.xlsx&amp;sheet=A0&amp;row=97&amp;col=28&amp;number=&amp;sourceID=13","")</f>
        <v/>
      </c>
      <c r="AC97" s="4" t="str">
        <f>HYPERLINK("http://141.218.60.56/~jnz1568/getInfo.php?workbook=09_01.xlsx&amp;sheet=A0&amp;row=97&amp;col=29&amp;number=&amp;sourceID=13","")</f>
        <v/>
      </c>
      <c r="AD97" s="4" t="str">
        <f>HYPERLINK("http://141.218.60.56/~jnz1568/getInfo.php?workbook=09_01.xlsx&amp;sheet=A0&amp;row=97&amp;col=30&amp;number=&amp;sourceID=13","")</f>
        <v/>
      </c>
      <c r="AE97" s="4" t="str">
        <f>HYPERLINK("http://141.218.60.56/~jnz1568/getInfo.php?workbook=09_01.xlsx&amp;sheet=A0&amp;row=97&amp;col=31&amp;number=&amp;sourceID=13","")</f>
        <v/>
      </c>
    </row>
    <row r="98" spans="1:31">
      <c r="A98" s="3">
        <v>9</v>
      </c>
      <c r="B98" s="3">
        <v>1</v>
      </c>
      <c r="C98" s="3">
        <v>15</v>
      </c>
      <c r="D98" s="3">
        <v>9</v>
      </c>
      <c r="E98" s="3">
        <f>((1/(INDEX(E0!J$4:J$28,C98,1)-INDEX(E0!J$4:J$28,D98,1))))*100000000</f>
        <v>0</v>
      </c>
      <c r="F98" s="4" t="str">
        <f>HYPERLINK("http://141.218.60.56/~jnz1568/getInfo.php?workbook=09_01.xlsx&amp;sheet=A0&amp;row=98&amp;col=6&amp;number=&amp;sourceID=18","")</f>
        <v/>
      </c>
      <c r="G98" s="4" t="str">
        <f>HYPERLINK("http://141.218.60.56/~jnz1568/getInfo.php?workbook=09_01.xlsx&amp;sheet=A0&amp;row=98&amp;col=7&amp;number==&amp;sourceID=11","=")</f>
        <v>=</v>
      </c>
      <c r="H98" s="4" t="str">
        <f>HYPERLINK("http://141.218.60.56/~jnz1568/getInfo.php?workbook=09_01.xlsx&amp;sheet=A0&amp;row=98&amp;col=8&amp;number=&amp;sourceID=11","")</f>
        <v/>
      </c>
      <c r="I98" s="4" t="str">
        <f>HYPERLINK("http://141.218.60.56/~jnz1568/getInfo.php?workbook=09_01.xlsx&amp;sheet=A0&amp;row=98&amp;col=9&amp;number=505950&amp;sourceID=11","505950")</f>
        <v>505950</v>
      </c>
      <c r="J98" s="4" t="str">
        <f>HYPERLINK("http://141.218.60.56/~jnz1568/getInfo.php?workbook=09_01.xlsx&amp;sheet=A0&amp;row=98&amp;col=10&amp;number=&amp;sourceID=11","")</f>
        <v/>
      </c>
      <c r="K98" s="4" t="str">
        <f>HYPERLINK("http://141.218.60.56/~jnz1568/getInfo.php?workbook=09_01.xlsx&amp;sheet=A0&amp;row=98&amp;col=11&amp;number=0.21157&amp;sourceID=11","0.21157")</f>
        <v>0.21157</v>
      </c>
      <c r="L98" s="4" t="str">
        <f>HYPERLINK("http://141.218.60.56/~jnz1568/getInfo.php?workbook=09_01.xlsx&amp;sheet=A0&amp;row=98&amp;col=12&amp;number=&amp;sourceID=11","")</f>
        <v/>
      </c>
      <c r="M98" s="4" t="str">
        <f>HYPERLINK("http://141.218.60.56/~jnz1568/getInfo.php?workbook=09_01.xlsx&amp;sheet=A0&amp;row=98&amp;col=13&amp;number=0.0021453&amp;sourceID=11","0.0021453")</f>
        <v>0.0021453</v>
      </c>
      <c r="N98" s="4" t="str">
        <f>HYPERLINK("http://141.218.60.56/~jnz1568/getInfo.php?workbook=09_01.xlsx&amp;sheet=A0&amp;row=98&amp;col=14&amp;number=505970&amp;sourceID=12","505970")</f>
        <v>505970</v>
      </c>
      <c r="O98" s="4" t="str">
        <f>HYPERLINK("http://141.218.60.56/~jnz1568/getInfo.php?workbook=09_01.xlsx&amp;sheet=A0&amp;row=98&amp;col=15&amp;number=&amp;sourceID=12","")</f>
        <v/>
      </c>
      <c r="P98" s="4" t="str">
        <f>HYPERLINK("http://141.218.60.56/~jnz1568/getInfo.php?workbook=09_01.xlsx&amp;sheet=A0&amp;row=98&amp;col=16&amp;number=505970&amp;sourceID=12","505970")</f>
        <v>505970</v>
      </c>
      <c r="Q98" s="4" t="str">
        <f>HYPERLINK("http://141.218.60.56/~jnz1568/getInfo.php?workbook=09_01.xlsx&amp;sheet=A0&amp;row=98&amp;col=17&amp;number=&amp;sourceID=12","")</f>
        <v/>
      </c>
      <c r="R98" s="4" t="str">
        <f>HYPERLINK("http://141.218.60.56/~jnz1568/getInfo.php?workbook=09_01.xlsx&amp;sheet=A0&amp;row=98&amp;col=18&amp;number=0.21158&amp;sourceID=12","0.21158")</f>
        <v>0.21158</v>
      </c>
      <c r="S98" s="4" t="str">
        <f>HYPERLINK("http://141.218.60.56/~jnz1568/getInfo.php?workbook=09_01.xlsx&amp;sheet=A0&amp;row=98&amp;col=19&amp;number=&amp;sourceID=12","")</f>
        <v/>
      </c>
      <c r="T98" s="4" t="str">
        <f>HYPERLINK("http://141.218.60.56/~jnz1568/getInfo.php?workbook=09_01.xlsx&amp;sheet=A0&amp;row=98&amp;col=20&amp;number=0.0021454&amp;sourceID=12","0.0021454")</f>
        <v>0.0021454</v>
      </c>
      <c r="U98" s="4" t="str">
        <f>HYPERLINK("http://141.218.60.56/~jnz1568/getInfo.php?workbook=09_01.xlsx&amp;sheet=A0&amp;row=98&amp;col=21&amp;number=506000.2116&amp;sourceID=30","506000.2116")</f>
        <v>506000.2116</v>
      </c>
      <c r="V98" s="4" t="str">
        <f>HYPERLINK("http://141.218.60.56/~jnz1568/getInfo.php?workbook=09_01.xlsx&amp;sheet=A0&amp;row=98&amp;col=22&amp;number=&amp;sourceID=30","")</f>
        <v/>
      </c>
      <c r="W98" s="4" t="str">
        <f>HYPERLINK("http://141.218.60.56/~jnz1568/getInfo.php?workbook=09_01.xlsx&amp;sheet=A0&amp;row=98&amp;col=23&amp;number=506000&amp;sourceID=30","506000")</f>
        <v>506000</v>
      </c>
      <c r="X98" s="4" t="str">
        <f>HYPERLINK("http://141.218.60.56/~jnz1568/getInfo.php?workbook=09_01.xlsx&amp;sheet=A0&amp;row=98&amp;col=24&amp;number=0.2116&amp;sourceID=30","0.2116")</f>
        <v>0.2116</v>
      </c>
      <c r="Y98" s="4" t="str">
        <f>HYPERLINK("http://141.218.60.56/~jnz1568/getInfo.php?workbook=09_01.xlsx&amp;sheet=A0&amp;row=98&amp;col=25&amp;number=&amp;sourceID=30","")</f>
        <v/>
      </c>
      <c r="Z98" s="4" t="str">
        <f>HYPERLINK("http://141.218.60.56/~jnz1568/getInfo.php?workbook=09_01.xlsx&amp;sheet=A0&amp;row=98&amp;col=26&amp;number==&amp;sourceID=13","=")</f>
        <v>=</v>
      </c>
      <c r="AA98" s="4" t="str">
        <f>HYPERLINK("http://141.218.60.56/~jnz1568/getInfo.php?workbook=09_01.xlsx&amp;sheet=A0&amp;row=98&amp;col=27&amp;number=&amp;sourceID=13","")</f>
        <v/>
      </c>
      <c r="AB98" s="4" t="str">
        <f>HYPERLINK("http://141.218.60.56/~jnz1568/getInfo.php?workbook=09_01.xlsx&amp;sheet=A0&amp;row=98&amp;col=28&amp;number=505000&amp;sourceID=13","505000")</f>
        <v>505000</v>
      </c>
      <c r="AC98" s="4" t="str">
        <f>HYPERLINK("http://141.218.60.56/~jnz1568/getInfo.php?workbook=09_01.xlsx&amp;sheet=A0&amp;row=98&amp;col=29&amp;number=&amp;sourceID=13","")</f>
        <v/>
      </c>
      <c r="AD98" s="4" t="str">
        <f>HYPERLINK("http://141.218.60.56/~jnz1568/getInfo.php?workbook=09_01.xlsx&amp;sheet=A0&amp;row=98&amp;col=30&amp;number=0.212&amp;sourceID=13","0.212")</f>
        <v>0.212</v>
      </c>
      <c r="AE98" s="4" t="str">
        <f>HYPERLINK("http://141.218.60.56/~jnz1568/getInfo.php?workbook=09_01.xlsx&amp;sheet=A0&amp;row=98&amp;col=31&amp;number=&amp;sourceID=13","")</f>
        <v/>
      </c>
    </row>
    <row r="99" spans="1:31">
      <c r="A99" s="3">
        <v>9</v>
      </c>
      <c r="B99" s="3">
        <v>1</v>
      </c>
      <c r="C99" s="3">
        <v>15</v>
      </c>
      <c r="D99" s="3">
        <v>10</v>
      </c>
      <c r="E99" s="3">
        <f>((1/(INDEX(E0!J$4:J$28,C99,1)-INDEX(E0!J$4:J$28,D99,1))))*100000000</f>
        <v>0</v>
      </c>
      <c r="F99" s="4" t="str">
        <f>HYPERLINK("http://141.218.60.56/~jnz1568/getInfo.php?workbook=09_01.xlsx&amp;sheet=A0&amp;row=99&amp;col=6&amp;number=&amp;sourceID=18","")</f>
        <v/>
      </c>
      <c r="G99" s="4" t="str">
        <f>HYPERLINK("http://141.218.60.56/~jnz1568/getInfo.php?workbook=09_01.xlsx&amp;sheet=A0&amp;row=99&amp;col=7&amp;number==&amp;sourceID=11","=")</f>
        <v>=</v>
      </c>
      <c r="H99" s="4" t="str">
        <f>HYPERLINK("http://141.218.60.56/~jnz1568/getInfo.php?workbook=09_01.xlsx&amp;sheet=A0&amp;row=99&amp;col=8&amp;number=&amp;sourceID=11","")</f>
        <v/>
      </c>
      <c r="I99" s="4" t="str">
        <f>HYPERLINK("http://141.218.60.56/~jnz1568/getInfo.php?workbook=09_01.xlsx&amp;sheet=A0&amp;row=99&amp;col=9&amp;number=&amp;sourceID=11","")</f>
        <v/>
      </c>
      <c r="J99" s="4" t="str">
        <f>HYPERLINK("http://141.218.60.56/~jnz1568/getInfo.php?workbook=09_01.xlsx&amp;sheet=A0&amp;row=99&amp;col=10&amp;number=0&amp;sourceID=11","0")</f>
        <v>0</v>
      </c>
      <c r="K99" s="4" t="str">
        <f>HYPERLINK("http://141.218.60.56/~jnz1568/getInfo.php?workbook=09_01.xlsx&amp;sheet=A0&amp;row=99&amp;col=11&amp;number=&amp;sourceID=11","")</f>
        <v/>
      </c>
      <c r="L99" s="4" t="str">
        <f>HYPERLINK("http://141.218.60.56/~jnz1568/getInfo.php?workbook=09_01.xlsx&amp;sheet=A0&amp;row=99&amp;col=12&amp;number=1.16e-13&amp;sourceID=11","1.16e-13")</f>
        <v>1.16e-13</v>
      </c>
      <c r="M99" s="4" t="str">
        <f>HYPERLINK("http://141.218.60.56/~jnz1568/getInfo.php?workbook=09_01.xlsx&amp;sheet=A0&amp;row=99&amp;col=13&amp;number=&amp;sourceID=11","")</f>
        <v/>
      </c>
      <c r="N99" s="4" t="str">
        <f>HYPERLINK("http://141.218.60.56/~jnz1568/getInfo.php?workbook=09_01.xlsx&amp;sheet=A0&amp;row=99&amp;col=14&amp;number=1.16e-13&amp;sourceID=12","1.16e-13")</f>
        <v>1.16e-13</v>
      </c>
      <c r="O99" s="4" t="str">
        <f>HYPERLINK("http://141.218.60.56/~jnz1568/getInfo.php?workbook=09_01.xlsx&amp;sheet=A0&amp;row=99&amp;col=15&amp;number=&amp;sourceID=12","")</f>
        <v/>
      </c>
      <c r="P99" s="4" t="str">
        <f>HYPERLINK("http://141.218.60.56/~jnz1568/getInfo.php?workbook=09_01.xlsx&amp;sheet=A0&amp;row=99&amp;col=16&amp;number=&amp;sourceID=12","")</f>
        <v/>
      </c>
      <c r="Q99" s="4" t="str">
        <f>HYPERLINK("http://141.218.60.56/~jnz1568/getInfo.php?workbook=09_01.xlsx&amp;sheet=A0&amp;row=99&amp;col=17&amp;number=0&amp;sourceID=12","0")</f>
        <v>0</v>
      </c>
      <c r="R99" s="4" t="str">
        <f>HYPERLINK("http://141.218.60.56/~jnz1568/getInfo.php?workbook=09_01.xlsx&amp;sheet=A0&amp;row=99&amp;col=18&amp;number=&amp;sourceID=12","")</f>
        <v/>
      </c>
      <c r="S99" s="4" t="str">
        <f>HYPERLINK("http://141.218.60.56/~jnz1568/getInfo.php?workbook=09_01.xlsx&amp;sheet=A0&amp;row=99&amp;col=19&amp;number=1.16e-13&amp;sourceID=12","1.16e-13")</f>
        <v>1.16e-13</v>
      </c>
      <c r="T99" s="4" t="str">
        <f>HYPERLINK("http://141.218.60.56/~jnz1568/getInfo.php?workbook=09_01.xlsx&amp;sheet=A0&amp;row=99&amp;col=20&amp;number=&amp;sourceID=12","")</f>
        <v/>
      </c>
      <c r="U99" s="4" t="str">
        <f>HYPERLINK("http://141.218.60.56/~jnz1568/getInfo.php?workbook=09_01.xlsx&amp;sheet=A0&amp;row=99&amp;col=21&amp;number=1.16e-13&amp;sourceID=30","1.16e-13")</f>
        <v>1.16e-13</v>
      </c>
      <c r="V99" s="4" t="str">
        <f>HYPERLINK("http://141.218.60.56/~jnz1568/getInfo.php?workbook=09_01.xlsx&amp;sheet=A0&amp;row=99&amp;col=22&amp;number=&amp;sourceID=30","")</f>
        <v/>
      </c>
      <c r="W99" s="4" t="str">
        <f>HYPERLINK("http://141.218.60.56/~jnz1568/getInfo.php?workbook=09_01.xlsx&amp;sheet=A0&amp;row=99&amp;col=23&amp;number=&amp;sourceID=30","")</f>
        <v/>
      </c>
      <c r="X99" s="4" t="str">
        <f>HYPERLINK("http://141.218.60.56/~jnz1568/getInfo.php?workbook=09_01.xlsx&amp;sheet=A0&amp;row=99&amp;col=24&amp;number=&amp;sourceID=30","")</f>
        <v/>
      </c>
      <c r="Y99" s="4" t="str">
        <f>HYPERLINK("http://141.218.60.56/~jnz1568/getInfo.php?workbook=09_01.xlsx&amp;sheet=A0&amp;row=99&amp;col=25&amp;number=1.16e-13&amp;sourceID=30","1.16e-13")</f>
        <v>1.16e-13</v>
      </c>
      <c r="Z99" s="4" t="str">
        <f>HYPERLINK("http://141.218.60.56/~jnz1568/getInfo.php?workbook=09_01.xlsx&amp;sheet=A0&amp;row=99&amp;col=26&amp;number=&amp;sourceID=13","")</f>
        <v/>
      </c>
      <c r="AA99" s="4" t="str">
        <f>HYPERLINK("http://141.218.60.56/~jnz1568/getInfo.php?workbook=09_01.xlsx&amp;sheet=A0&amp;row=99&amp;col=27&amp;number=&amp;sourceID=13","")</f>
        <v/>
      </c>
      <c r="AB99" s="4" t="str">
        <f>HYPERLINK("http://141.218.60.56/~jnz1568/getInfo.php?workbook=09_01.xlsx&amp;sheet=A0&amp;row=99&amp;col=28&amp;number=&amp;sourceID=13","")</f>
        <v/>
      </c>
      <c r="AC99" s="4" t="str">
        <f>HYPERLINK("http://141.218.60.56/~jnz1568/getInfo.php?workbook=09_01.xlsx&amp;sheet=A0&amp;row=99&amp;col=29&amp;number=&amp;sourceID=13","")</f>
        <v/>
      </c>
      <c r="AD99" s="4" t="str">
        <f>HYPERLINK("http://141.218.60.56/~jnz1568/getInfo.php?workbook=09_01.xlsx&amp;sheet=A0&amp;row=99&amp;col=30&amp;number=&amp;sourceID=13","")</f>
        <v/>
      </c>
      <c r="AE99" s="4" t="str">
        <f>HYPERLINK("http://141.218.60.56/~jnz1568/getInfo.php?workbook=09_01.xlsx&amp;sheet=A0&amp;row=99&amp;col=31&amp;number=&amp;sourceID=13","")</f>
        <v/>
      </c>
    </row>
    <row r="100" spans="1:31">
      <c r="A100" s="3">
        <v>9</v>
      </c>
      <c r="B100" s="3">
        <v>1</v>
      </c>
      <c r="C100" s="3">
        <v>15</v>
      </c>
      <c r="D100" s="3">
        <v>11</v>
      </c>
      <c r="E100" s="3">
        <f>((1/(INDEX(E0!J$4:J$28,C100,1)-INDEX(E0!J$4:J$28,D100,1))))*100000000</f>
        <v>0</v>
      </c>
      <c r="F100" s="4" t="str">
        <f>HYPERLINK("http://141.218.60.56/~jnz1568/getInfo.php?workbook=09_01.xlsx&amp;sheet=A0&amp;row=100&amp;col=6&amp;number=&amp;sourceID=18","")</f>
        <v/>
      </c>
      <c r="G100" s="4" t="str">
        <f>HYPERLINK("http://141.218.60.56/~jnz1568/getInfo.php?workbook=09_01.xlsx&amp;sheet=A0&amp;row=100&amp;col=7&amp;number==&amp;sourceID=11","=")</f>
        <v>=</v>
      </c>
      <c r="H100" s="4" t="str">
        <f>HYPERLINK("http://141.218.60.56/~jnz1568/getInfo.php?workbook=09_01.xlsx&amp;sheet=A0&amp;row=100&amp;col=8&amp;number=&amp;sourceID=11","")</f>
        <v/>
      </c>
      <c r="I100" s="4" t="str">
        <f>HYPERLINK("http://141.218.60.56/~jnz1568/getInfo.php?workbook=09_01.xlsx&amp;sheet=A0&amp;row=100&amp;col=9&amp;number=1.0091e-08&amp;sourceID=11","1.0091e-08")</f>
        <v>1.0091e-08</v>
      </c>
      <c r="J100" s="4" t="str">
        <f>HYPERLINK("http://141.218.60.56/~jnz1568/getInfo.php?workbook=09_01.xlsx&amp;sheet=A0&amp;row=100&amp;col=10&amp;number=&amp;sourceID=11","")</f>
        <v/>
      </c>
      <c r="K100" s="4" t="str">
        <f>HYPERLINK("http://141.218.60.56/~jnz1568/getInfo.php?workbook=09_01.xlsx&amp;sheet=A0&amp;row=100&amp;col=11&amp;number=&amp;sourceID=11","")</f>
        <v/>
      </c>
      <c r="L100" s="4" t="str">
        <f>HYPERLINK("http://141.218.60.56/~jnz1568/getInfo.php?workbook=09_01.xlsx&amp;sheet=A0&amp;row=100&amp;col=12&amp;number=&amp;sourceID=11","")</f>
        <v/>
      </c>
      <c r="M100" s="4" t="str">
        <f>HYPERLINK("http://141.218.60.56/~jnz1568/getInfo.php?workbook=09_01.xlsx&amp;sheet=A0&amp;row=100&amp;col=13&amp;number=0&amp;sourceID=11","0")</f>
        <v>0</v>
      </c>
      <c r="N100" s="4" t="str">
        <f>HYPERLINK("http://141.218.60.56/~jnz1568/getInfo.php?workbook=09_01.xlsx&amp;sheet=A0&amp;row=100&amp;col=14&amp;number=1.0092e-08&amp;sourceID=12","1.0092e-08")</f>
        <v>1.0092e-08</v>
      </c>
      <c r="O100" s="4" t="str">
        <f>HYPERLINK("http://141.218.60.56/~jnz1568/getInfo.php?workbook=09_01.xlsx&amp;sheet=A0&amp;row=100&amp;col=15&amp;number=&amp;sourceID=12","")</f>
        <v/>
      </c>
      <c r="P100" s="4" t="str">
        <f>HYPERLINK("http://141.218.60.56/~jnz1568/getInfo.php?workbook=09_01.xlsx&amp;sheet=A0&amp;row=100&amp;col=16&amp;number=1.0092e-08&amp;sourceID=12","1.0092e-08")</f>
        <v>1.0092e-08</v>
      </c>
      <c r="Q100" s="4" t="str">
        <f>HYPERLINK("http://141.218.60.56/~jnz1568/getInfo.php?workbook=09_01.xlsx&amp;sheet=A0&amp;row=100&amp;col=17&amp;number=&amp;sourceID=12","")</f>
        <v/>
      </c>
      <c r="R100" s="4" t="str">
        <f>HYPERLINK("http://141.218.60.56/~jnz1568/getInfo.php?workbook=09_01.xlsx&amp;sheet=A0&amp;row=100&amp;col=18&amp;number=&amp;sourceID=12","")</f>
        <v/>
      </c>
      <c r="S100" s="4" t="str">
        <f>HYPERLINK("http://141.218.60.56/~jnz1568/getInfo.php?workbook=09_01.xlsx&amp;sheet=A0&amp;row=100&amp;col=19&amp;number=&amp;sourceID=12","")</f>
        <v/>
      </c>
      <c r="T100" s="4" t="str">
        <f>HYPERLINK("http://141.218.60.56/~jnz1568/getInfo.php?workbook=09_01.xlsx&amp;sheet=A0&amp;row=100&amp;col=20&amp;number=0&amp;sourceID=12","0")</f>
        <v>0</v>
      </c>
      <c r="U100" s="4" t="str">
        <f>HYPERLINK("http://141.218.60.56/~jnz1568/getInfo.php?workbook=09_01.xlsx&amp;sheet=A0&amp;row=100&amp;col=21&amp;number=1.009e-08&amp;sourceID=30","1.009e-08")</f>
        <v>1.009e-08</v>
      </c>
      <c r="V100" s="4" t="str">
        <f>HYPERLINK("http://141.218.60.56/~jnz1568/getInfo.php?workbook=09_01.xlsx&amp;sheet=A0&amp;row=100&amp;col=22&amp;number=&amp;sourceID=30","")</f>
        <v/>
      </c>
      <c r="W100" s="4" t="str">
        <f>HYPERLINK("http://141.218.60.56/~jnz1568/getInfo.php?workbook=09_01.xlsx&amp;sheet=A0&amp;row=100&amp;col=23&amp;number=1.009e-08&amp;sourceID=30","1.009e-08")</f>
        <v>1.009e-08</v>
      </c>
      <c r="X100" s="4" t="str">
        <f>HYPERLINK("http://141.218.60.56/~jnz1568/getInfo.php?workbook=09_01.xlsx&amp;sheet=A0&amp;row=100&amp;col=24&amp;number=&amp;sourceID=30","")</f>
        <v/>
      </c>
      <c r="Y100" s="4" t="str">
        <f>HYPERLINK("http://141.218.60.56/~jnz1568/getInfo.php?workbook=09_01.xlsx&amp;sheet=A0&amp;row=100&amp;col=25&amp;number=&amp;sourceID=30","")</f>
        <v/>
      </c>
      <c r="Z100" s="4" t="str">
        <f>HYPERLINK("http://141.218.60.56/~jnz1568/getInfo.php?workbook=09_01.xlsx&amp;sheet=A0&amp;row=100&amp;col=26&amp;number=&amp;sourceID=13","")</f>
        <v/>
      </c>
      <c r="AA100" s="4" t="str">
        <f>HYPERLINK("http://141.218.60.56/~jnz1568/getInfo.php?workbook=09_01.xlsx&amp;sheet=A0&amp;row=100&amp;col=27&amp;number=&amp;sourceID=13","")</f>
        <v/>
      </c>
      <c r="AB100" s="4" t="str">
        <f>HYPERLINK("http://141.218.60.56/~jnz1568/getInfo.php?workbook=09_01.xlsx&amp;sheet=A0&amp;row=100&amp;col=28&amp;number=&amp;sourceID=13","")</f>
        <v/>
      </c>
      <c r="AC100" s="4" t="str">
        <f>HYPERLINK("http://141.218.60.56/~jnz1568/getInfo.php?workbook=09_01.xlsx&amp;sheet=A0&amp;row=100&amp;col=29&amp;number=&amp;sourceID=13","")</f>
        <v/>
      </c>
      <c r="AD100" s="4" t="str">
        <f>HYPERLINK("http://141.218.60.56/~jnz1568/getInfo.php?workbook=09_01.xlsx&amp;sheet=A0&amp;row=100&amp;col=30&amp;number=&amp;sourceID=13","")</f>
        <v/>
      </c>
      <c r="AE100" s="4" t="str">
        <f>HYPERLINK("http://141.218.60.56/~jnz1568/getInfo.php?workbook=09_01.xlsx&amp;sheet=A0&amp;row=100&amp;col=31&amp;number=&amp;sourceID=13","")</f>
        <v/>
      </c>
    </row>
    <row r="101" spans="1:31">
      <c r="A101" s="3">
        <v>9</v>
      </c>
      <c r="B101" s="3">
        <v>1</v>
      </c>
      <c r="C101" s="3">
        <v>15</v>
      </c>
      <c r="D101" s="3">
        <v>12</v>
      </c>
      <c r="E101" s="3">
        <f>((1/(INDEX(E0!J$4:J$28,C101,1)-INDEX(E0!J$4:J$28,D101,1))))*100000000</f>
        <v>0</v>
      </c>
      <c r="F101" s="4" t="str">
        <f>HYPERLINK("http://141.218.60.56/~jnz1568/getInfo.php?workbook=09_01.xlsx&amp;sheet=A0&amp;row=101&amp;col=6&amp;number=&amp;sourceID=18","")</f>
        <v/>
      </c>
      <c r="G101" s="4" t="str">
        <f>HYPERLINK("http://141.218.60.56/~jnz1568/getInfo.php?workbook=09_01.xlsx&amp;sheet=A0&amp;row=101&amp;col=7&amp;number==&amp;sourceID=11","=")</f>
        <v>=</v>
      </c>
      <c r="H101" s="4" t="str">
        <f>HYPERLINK("http://141.218.60.56/~jnz1568/getInfo.php?workbook=09_01.xlsx&amp;sheet=A0&amp;row=101&amp;col=8&amp;number=&amp;sourceID=11","")</f>
        <v/>
      </c>
      <c r="I101" s="4" t="str">
        <f>HYPERLINK("http://141.218.60.56/~jnz1568/getInfo.php?workbook=09_01.xlsx&amp;sheet=A0&amp;row=101&amp;col=9&amp;number=2.466e-12&amp;sourceID=11","2.466e-12")</f>
        <v>2.466e-12</v>
      </c>
      <c r="J101" s="4" t="str">
        <f>HYPERLINK("http://141.218.60.56/~jnz1568/getInfo.php?workbook=09_01.xlsx&amp;sheet=A0&amp;row=101&amp;col=10&amp;number=&amp;sourceID=11","")</f>
        <v/>
      </c>
      <c r="K101" s="4" t="str">
        <f>HYPERLINK("http://141.218.60.56/~jnz1568/getInfo.php?workbook=09_01.xlsx&amp;sheet=A0&amp;row=101&amp;col=11&amp;number=1.0764e-05&amp;sourceID=11","1.0764e-05")</f>
        <v>1.0764e-05</v>
      </c>
      <c r="L101" s="4" t="str">
        <f>HYPERLINK("http://141.218.60.56/~jnz1568/getInfo.php?workbook=09_01.xlsx&amp;sheet=A0&amp;row=101&amp;col=12&amp;number=&amp;sourceID=11","")</f>
        <v/>
      </c>
      <c r="M101" s="4" t="str">
        <f>HYPERLINK("http://141.218.60.56/~jnz1568/getInfo.php?workbook=09_01.xlsx&amp;sheet=A0&amp;row=101&amp;col=13&amp;number=0&amp;sourceID=11","0")</f>
        <v>0</v>
      </c>
      <c r="N101" s="4" t="str">
        <f>HYPERLINK("http://141.218.60.56/~jnz1568/getInfo.php?workbook=09_01.xlsx&amp;sheet=A0&amp;row=101&amp;col=14&amp;number=1.0765e-05&amp;sourceID=12","1.0765e-05")</f>
        <v>1.0765e-05</v>
      </c>
      <c r="O101" s="4" t="str">
        <f>HYPERLINK("http://141.218.60.56/~jnz1568/getInfo.php?workbook=09_01.xlsx&amp;sheet=A0&amp;row=101&amp;col=15&amp;number=&amp;sourceID=12","")</f>
        <v/>
      </c>
      <c r="P101" s="4" t="str">
        <f>HYPERLINK("http://141.218.60.56/~jnz1568/getInfo.php?workbook=09_01.xlsx&amp;sheet=A0&amp;row=101&amp;col=16&amp;number=2.466e-12&amp;sourceID=12","2.466e-12")</f>
        <v>2.466e-12</v>
      </c>
      <c r="Q101" s="4" t="str">
        <f>HYPERLINK("http://141.218.60.56/~jnz1568/getInfo.php?workbook=09_01.xlsx&amp;sheet=A0&amp;row=101&amp;col=17&amp;number=&amp;sourceID=12","")</f>
        <v/>
      </c>
      <c r="R101" s="4" t="str">
        <f>HYPERLINK("http://141.218.60.56/~jnz1568/getInfo.php?workbook=09_01.xlsx&amp;sheet=A0&amp;row=101&amp;col=18&amp;number=1.0765e-05&amp;sourceID=12","1.0765e-05")</f>
        <v>1.0765e-05</v>
      </c>
      <c r="S101" s="4" t="str">
        <f>HYPERLINK("http://141.218.60.56/~jnz1568/getInfo.php?workbook=09_01.xlsx&amp;sheet=A0&amp;row=101&amp;col=19&amp;number=&amp;sourceID=12","")</f>
        <v/>
      </c>
      <c r="T101" s="4" t="str">
        <f>HYPERLINK("http://141.218.60.56/~jnz1568/getInfo.php?workbook=09_01.xlsx&amp;sheet=A0&amp;row=101&amp;col=20&amp;number=0&amp;sourceID=12","0")</f>
        <v>0</v>
      </c>
      <c r="U101" s="4" t="str">
        <f>HYPERLINK("http://141.218.60.56/~jnz1568/getInfo.php?workbook=09_01.xlsx&amp;sheet=A0&amp;row=101&amp;col=21&amp;number=1.0770002466e-05&amp;sourceID=30","1.0770002466e-05")</f>
        <v>1.0770002466e-05</v>
      </c>
      <c r="V101" s="4" t="str">
        <f>HYPERLINK("http://141.218.60.56/~jnz1568/getInfo.php?workbook=09_01.xlsx&amp;sheet=A0&amp;row=101&amp;col=22&amp;number=&amp;sourceID=30","")</f>
        <v/>
      </c>
      <c r="W101" s="4" t="str">
        <f>HYPERLINK("http://141.218.60.56/~jnz1568/getInfo.php?workbook=09_01.xlsx&amp;sheet=A0&amp;row=101&amp;col=23&amp;number=2.466e-12&amp;sourceID=30","2.466e-12")</f>
        <v>2.466e-12</v>
      </c>
      <c r="X101" s="4" t="str">
        <f>HYPERLINK("http://141.218.60.56/~jnz1568/getInfo.php?workbook=09_01.xlsx&amp;sheet=A0&amp;row=101&amp;col=24&amp;number=1.077e-05&amp;sourceID=30","1.077e-05")</f>
        <v>1.077e-05</v>
      </c>
      <c r="Y101" s="4" t="str">
        <f>HYPERLINK("http://141.218.60.56/~jnz1568/getInfo.php?workbook=09_01.xlsx&amp;sheet=A0&amp;row=101&amp;col=25&amp;number=&amp;sourceID=30","")</f>
        <v/>
      </c>
      <c r="Z101" s="4" t="str">
        <f>HYPERLINK("http://141.218.60.56/~jnz1568/getInfo.php?workbook=09_01.xlsx&amp;sheet=A0&amp;row=101&amp;col=26&amp;number=&amp;sourceID=13","")</f>
        <v/>
      </c>
      <c r="AA101" s="4" t="str">
        <f>HYPERLINK("http://141.218.60.56/~jnz1568/getInfo.php?workbook=09_01.xlsx&amp;sheet=A0&amp;row=101&amp;col=27&amp;number=&amp;sourceID=13","")</f>
        <v/>
      </c>
      <c r="AB101" s="4" t="str">
        <f>HYPERLINK("http://141.218.60.56/~jnz1568/getInfo.php?workbook=09_01.xlsx&amp;sheet=A0&amp;row=101&amp;col=28&amp;number=&amp;sourceID=13","")</f>
        <v/>
      </c>
      <c r="AC101" s="4" t="str">
        <f>HYPERLINK("http://141.218.60.56/~jnz1568/getInfo.php?workbook=09_01.xlsx&amp;sheet=A0&amp;row=101&amp;col=29&amp;number=&amp;sourceID=13","")</f>
        <v/>
      </c>
      <c r="AD101" s="4" t="str">
        <f>HYPERLINK("http://141.218.60.56/~jnz1568/getInfo.php?workbook=09_01.xlsx&amp;sheet=A0&amp;row=101&amp;col=30&amp;number=&amp;sourceID=13","")</f>
        <v/>
      </c>
      <c r="AE101" s="4" t="str">
        <f>HYPERLINK("http://141.218.60.56/~jnz1568/getInfo.php?workbook=09_01.xlsx&amp;sheet=A0&amp;row=101&amp;col=31&amp;number=&amp;sourceID=13","")</f>
        <v/>
      </c>
    </row>
    <row r="102" spans="1:31">
      <c r="A102" s="3">
        <v>9</v>
      </c>
      <c r="B102" s="3">
        <v>1</v>
      </c>
      <c r="C102" s="3">
        <v>15</v>
      </c>
      <c r="D102" s="3">
        <v>13</v>
      </c>
      <c r="E102" s="3">
        <f>((1/(INDEX(E0!J$4:J$28,C102,1)-INDEX(E0!J$4:J$28,D102,1))))*100000000</f>
        <v>0</v>
      </c>
      <c r="F102" s="4" t="str">
        <f>HYPERLINK("http://141.218.60.56/~jnz1568/getInfo.php?workbook=09_01.xlsx&amp;sheet=A0&amp;row=102&amp;col=6&amp;number=&amp;sourceID=18","")</f>
        <v/>
      </c>
      <c r="G102" s="4" t="str">
        <f>HYPERLINK("http://141.218.60.56/~jnz1568/getInfo.php?workbook=09_01.xlsx&amp;sheet=A0&amp;row=102&amp;col=7&amp;number==&amp;sourceID=11","=")</f>
        <v>=</v>
      </c>
      <c r="H102" s="4" t="str">
        <f>HYPERLINK("http://141.218.60.56/~jnz1568/getInfo.php?workbook=09_01.xlsx&amp;sheet=A0&amp;row=102&amp;col=8&amp;number=4.3113&amp;sourceID=11","4.3113")</f>
        <v>4.3113</v>
      </c>
      <c r="I102" s="4" t="str">
        <f>HYPERLINK("http://141.218.60.56/~jnz1568/getInfo.php?workbook=09_01.xlsx&amp;sheet=A0&amp;row=102&amp;col=9&amp;number=&amp;sourceID=11","")</f>
        <v/>
      </c>
      <c r="J102" s="4" t="str">
        <f>HYPERLINK("http://141.218.60.56/~jnz1568/getInfo.php?workbook=09_01.xlsx&amp;sheet=A0&amp;row=102&amp;col=10&amp;number=0&amp;sourceID=11","0")</f>
        <v>0</v>
      </c>
      <c r="K102" s="4" t="str">
        <f>HYPERLINK("http://141.218.60.56/~jnz1568/getInfo.php?workbook=09_01.xlsx&amp;sheet=A0&amp;row=102&amp;col=11&amp;number=&amp;sourceID=11","")</f>
        <v/>
      </c>
      <c r="L102" s="4" t="str">
        <f>HYPERLINK("http://141.218.60.56/~jnz1568/getInfo.php?workbook=09_01.xlsx&amp;sheet=A0&amp;row=102&amp;col=12&amp;number=1e-15&amp;sourceID=11","1e-15")</f>
        <v>1e-15</v>
      </c>
      <c r="M102" s="4" t="str">
        <f>HYPERLINK("http://141.218.60.56/~jnz1568/getInfo.php?workbook=09_01.xlsx&amp;sheet=A0&amp;row=102&amp;col=13&amp;number=&amp;sourceID=11","")</f>
        <v/>
      </c>
      <c r="N102" s="4" t="str">
        <f>HYPERLINK("http://141.218.60.56/~jnz1568/getInfo.php?workbook=09_01.xlsx&amp;sheet=A0&amp;row=102&amp;col=14&amp;number=4.3116&amp;sourceID=12","4.3116")</f>
        <v>4.3116</v>
      </c>
      <c r="O102" s="4" t="str">
        <f>HYPERLINK("http://141.218.60.56/~jnz1568/getInfo.php?workbook=09_01.xlsx&amp;sheet=A0&amp;row=102&amp;col=15&amp;number=4.3116&amp;sourceID=12","4.3116")</f>
        <v>4.3116</v>
      </c>
      <c r="P102" s="4" t="str">
        <f>HYPERLINK("http://141.218.60.56/~jnz1568/getInfo.php?workbook=09_01.xlsx&amp;sheet=A0&amp;row=102&amp;col=16&amp;number=&amp;sourceID=12","")</f>
        <v/>
      </c>
      <c r="Q102" s="4" t="str">
        <f>HYPERLINK("http://141.218.60.56/~jnz1568/getInfo.php?workbook=09_01.xlsx&amp;sheet=A0&amp;row=102&amp;col=17&amp;number=0&amp;sourceID=12","0")</f>
        <v>0</v>
      </c>
      <c r="R102" s="4" t="str">
        <f>HYPERLINK("http://141.218.60.56/~jnz1568/getInfo.php?workbook=09_01.xlsx&amp;sheet=A0&amp;row=102&amp;col=18&amp;number=&amp;sourceID=12","")</f>
        <v/>
      </c>
      <c r="S102" s="4" t="str">
        <f>HYPERLINK("http://141.218.60.56/~jnz1568/getInfo.php?workbook=09_01.xlsx&amp;sheet=A0&amp;row=102&amp;col=19&amp;number=1e-15&amp;sourceID=12","1e-15")</f>
        <v>1e-15</v>
      </c>
      <c r="T102" s="4" t="str">
        <f>HYPERLINK("http://141.218.60.56/~jnz1568/getInfo.php?workbook=09_01.xlsx&amp;sheet=A0&amp;row=102&amp;col=20&amp;number=&amp;sourceID=12","")</f>
        <v/>
      </c>
      <c r="U102" s="4" t="str">
        <f>HYPERLINK("http://141.218.60.56/~jnz1568/getInfo.php?workbook=09_01.xlsx&amp;sheet=A0&amp;row=102&amp;col=21&amp;number=4.312&amp;sourceID=30","4.312")</f>
        <v>4.312</v>
      </c>
      <c r="V102" s="4" t="str">
        <f>HYPERLINK("http://141.218.60.56/~jnz1568/getInfo.php?workbook=09_01.xlsx&amp;sheet=A0&amp;row=102&amp;col=22&amp;number=4.312&amp;sourceID=30","4.312")</f>
        <v>4.312</v>
      </c>
      <c r="W102" s="4" t="str">
        <f>HYPERLINK("http://141.218.60.56/~jnz1568/getInfo.php?workbook=09_01.xlsx&amp;sheet=A0&amp;row=102&amp;col=23&amp;number=&amp;sourceID=30","")</f>
        <v/>
      </c>
      <c r="X102" s="4" t="str">
        <f>HYPERLINK("http://141.218.60.56/~jnz1568/getInfo.php?workbook=09_01.xlsx&amp;sheet=A0&amp;row=102&amp;col=24&amp;number=&amp;sourceID=30","")</f>
        <v/>
      </c>
      <c r="Y102" s="4" t="str">
        <f>HYPERLINK("http://141.218.60.56/~jnz1568/getInfo.php?workbook=09_01.xlsx&amp;sheet=A0&amp;row=102&amp;col=25&amp;number=1e-15&amp;sourceID=30","1e-15")</f>
        <v>1e-15</v>
      </c>
      <c r="Z102" s="4" t="str">
        <f>HYPERLINK("http://141.218.60.56/~jnz1568/getInfo.php?workbook=09_01.xlsx&amp;sheet=A0&amp;row=102&amp;col=26&amp;number=&amp;sourceID=13","")</f>
        <v/>
      </c>
      <c r="AA102" s="4" t="str">
        <f>HYPERLINK("http://141.218.60.56/~jnz1568/getInfo.php?workbook=09_01.xlsx&amp;sheet=A0&amp;row=102&amp;col=27&amp;number=&amp;sourceID=13","")</f>
        <v/>
      </c>
      <c r="AB102" s="4" t="str">
        <f>HYPERLINK("http://141.218.60.56/~jnz1568/getInfo.php?workbook=09_01.xlsx&amp;sheet=A0&amp;row=102&amp;col=28&amp;number=&amp;sourceID=13","")</f>
        <v/>
      </c>
      <c r="AC102" s="4" t="str">
        <f>HYPERLINK("http://141.218.60.56/~jnz1568/getInfo.php?workbook=09_01.xlsx&amp;sheet=A0&amp;row=102&amp;col=29&amp;number=&amp;sourceID=13","")</f>
        <v/>
      </c>
      <c r="AD102" s="4" t="str">
        <f>HYPERLINK("http://141.218.60.56/~jnz1568/getInfo.php?workbook=09_01.xlsx&amp;sheet=A0&amp;row=102&amp;col=30&amp;number=&amp;sourceID=13","")</f>
        <v/>
      </c>
      <c r="AE102" s="4" t="str">
        <f>HYPERLINK("http://141.218.60.56/~jnz1568/getInfo.php?workbook=09_01.xlsx&amp;sheet=A0&amp;row=102&amp;col=31&amp;number=&amp;sourceID=13","")</f>
        <v/>
      </c>
    </row>
    <row r="103" spans="1:31">
      <c r="A103" s="3">
        <v>9</v>
      </c>
      <c r="B103" s="3">
        <v>1</v>
      </c>
      <c r="C103" s="3">
        <v>16</v>
      </c>
      <c r="D103" s="3">
        <v>1</v>
      </c>
      <c r="E103" s="3">
        <f>((1/(INDEX(E0!J$4:J$28,C103,1)-INDEX(E0!J$4:J$28,D103,1))))*100000000</f>
        <v>0</v>
      </c>
      <c r="F103" s="4" t="str">
        <f>HYPERLINK("http://141.218.60.56/~jnz1568/getInfo.php?workbook=09_01.xlsx&amp;sheet=A0&amp;row=103&amp;col=6&amp;number=&amp;sourceID=18","")</f>
        <v/>
      </c>
      <c r="G103" s="4" t="str">
        <f>HYPERLINK("http://141.218.60.56/~jnz1568/getInfo.php?workbook=09_01.xlsx&amp;sheet=A0&amp;row=103&amp;col=7&amp;number==&amp;sourceID=11","=")</f>
        <v>=</v>
      </c>
      <c r="H103" s="4" t="str">
        <f>HYPERLINK("http://141.218.60.56/~jnz1568/getInfo.php?workbook=09_01.xlsx&amp;sheet=A0&amp;row=103&amp;col=8&amp;number=&amp;sourceID=11","")</f>
        <v/>
      </c>
      <c r="I103" s="4" t="str">
        <f>HYPERLINK("http://141.218.60.56/~jnz1568/getInfo.php?workbook=09_01.xlsx&amp;sheet=A0&amp;row=103&amp;col=9&amp;number=&amp;sourceID=11","")</f>
        <v/>
      </c>
      <c r="J103" s="4" t="str">
        <f>HYPERLINK("http://141.218.60.56/~jnz1568/getInfo.php?workbook=09_01.xlsx&amp;sheet=A0&amp;row=103&amp;col=10&amp;number=13314&amp;sourceID=11","13314")</f>
        <v>13314</v>
      </c>
      <c r="K103" s="4" t="str">
        <f>HYPERLINK("http://141.218.60.56/~jnz1568/getInfo.php?workbook=09_01.xlsx&amp;sheet=A0&amp;row=103&amp;col=11&amp;number=&amp;sourceID=11","")</f>
        <v/>
      </c>
      <c r="L103" s="4" t="str">
        <f>HYPERLINK("http://141.218.60.56/~jnz1568/getInfo.php?workbook=09_01.xlsx&amp;sheet=A0&amp;row=103&amp;col=12&amp;number=&amp;sourceID=11","")</f>
        <v/>
      </c>
      <c r="M103" s="4" t="str">
        <f>HYPERLINK("http://141.218.60.56/~jnz1568/getInfo.php?workbook=09_01.xlsx&amp;sheet=A0&amp;row=103&amp;col=13&amp;number=&amp;sourceID=11","")</f>
        <v/>
      </c>
      <c r="N103" s="4" t="str">
        <f>HYPERLINK("http://141.218.60.56/~jnz1568/getInfo.php?workbook=09_01.xlsx&amp;sheet=A0&amp;row=103&amp;col=14&amp;number=13314&amp;sourceID=12","13314")</f>
        <v>13314</v>
      </c>
      <c r="O103" s="4" t="str">
        <f>HYPERLINK("http://141.218.60.56/~jnz1568/getInfo.php?workbook=09_01.xlsx&amp;sheet=A0&amp;row=103&amp;col=15&amp;number=&amp;sourceID=12","")</f>
        <v/>
      </c>
      <c r="P103" s="4" t="str">
        <f>HYPERLINK("http://141.218.60.56/~jnz1568/getInfo.php?workbook=09_01.xlsx&amp;sheet=A0&amp;row=103&amp;col=16&amp;number=&amp;sourceID=12","")</f>
        <v/>
      </c>
      <c r="Q103" s="4" t="str">
        <f>HYPERLINK("http://141.218.60.56/~jnz1568/getInfo.php?workbook=09_01.xlsx&amp;sheet=A0&amp;row=103&amp;col=17&amp;number=13314&amp;sourceID=12","13314")</f>
        <v>13314</v>
      </c>
      <c r="R103" s="4" t="str">
        <f>HYPERLINK("http://141.218.60.56/~jnz1568/getInfo.php?workbook=09_01.xlsx&amp;sheet=A0&amp;row=103&amp;col=18&amp;number=&amp;sourceID=12","")</f>
        <v/>
      </c>
      <c r="S103" s="4" t="str">
        <f>HYPERLINK("http://141.218.60.56/~jnz1568/getInfo.php?workbook=09_01.xlsx&amp;sheet=A0&amp;row=103&amp;col=19&amp;number=&amp;sourceID=12","")</f>
        <v/>
      </c>
      <c r="T103" s="4" t="str">
        <f>HYPERLINK("http://141.218.60.56/~jnz1568/getInfo.php?workbook=09_01.xlsx&amp;sheet=A0&amp;row=103&amp;col=20&amp;number=&amp;sourceID=12","")</f>
        <v/>
      </c>
      <c r="U103" s="4" t="str">
        <f>HYPERLINK("http://141.218.60.56/~jnz1568/getInfo.php?workbook=09_01.xlsx&amp;sheet=A0&amp;row=103&amp;col=21&amp;number=&amp;sourceID=30","")</f>
        <v/>
      </c>
      <c r="V103" s="4" t="str">
        <f>HYPERLINK("http://141.218.60.56/~jnz1568/getInfo.php?workbook=09_01.xlsx&amp;sheet=A0&amp;row=103&amp;col=22&amp;number=&amp;sourceID=30","")</f>
        <v/>
      </c>
      <c r="W103" s="4" t="str">
        <f>HYPERLINK("http://141.218.60.56/~jnz1568/getInfo.php?workbook=09_01.xlsx&amp;sheet=A0&amp;row=103&amp;col=23&amp;number=&amp;sourceID=30","")</f>
        <v/>
      </c>
      <c r="X103" s="4" t="str">
        <f>HYPERLINK("http://141.218.60.56/~jnz1568/getInfo.php?workbook=09_01.xlsx&amp;sheet=A0&amp;row=103&amp;col=24&amp;number=&amp;sourceID=30","")</f>
        <v/>
      </c>
      <c r="Y103" s="4" t="str">
        <f>HYPERLINK("http://141.218.60.56/~jnz1568/getInfo.php?workbook=09_01.xlsx&amp;sheet=A0&amp;row=103&amp;col=25&amp;number=&amp;sourceID=30","")</f>
        <v/>
      </c>
      <c r="Z103" s="4" t="str">
        <f>HYPERLINK("http://141.218.60.56/~jnz1568/getInfo.php?workbook=09_01.xlsx&amp;sheet=A0&amp;row=103&amp;col=26&amp;number==SUM(AA103:AE103)&amp;sourceID=13","=SUM(AA103:AE103)")</f>
        <v>=SUM(AA103:AE103)</v>
      </c>
      <c r="AA103" s="4" t="str">
        <f>HYPERLINK("http://141.218.60.56/~jnz1568/getInfo.php?workbook=09_01.xlsx&amp;sheet=A0&amp;row=103&amp;col=27&amp;number=&amp;sourceID=13","")</f>
        <v/>
      </c>
      <c r="AB103" s="4" t="str">
        <f>HYPERLINK("http://141.218.60.56/~jnz1568/getInfo.php?workbook=09_01.xlsx&amp;sheet=A0&amp;row=103&amp;col=28&amp;number=&amp;sourceID=13","")</f>
        <v/>
      </c>
      <c r="AC103" s="4" t="str">
        <f>HYPERLINK("http://141.218.60.56/~jnz1568/getInfo.php?workbook=09_01.xlsx&amp;sheet=A0&amp;row=103&amp;col=29&amp;number=4140&amp;sourceID=13","4140")</f>
        <v>4140</v>
      </c>
      <c r="AD103" s="4" t="str">
        <f>HYPERLINK("http://141.218.60.56/~jnz1568/getInfo.php?workbook=09_01.xlsx&amp;sheet=A0&amp;row=103&amp;col=30&amp;number=&amp;sourceID=13","")</f>
        <v/>
      </c>
      <c r="AE103" s="4" t="str">
        <f>HYPERLINK("http://141.218.60.56/~jnz1568/getInfo.php?workbook=09_01.xlsx&amp;sheet=A0&amp;row=103&amp;col=31&amp;number=&amp;sourceID=13","")</f>
        <v/>
      </c>
    </row>
    <row r="104" spans="1:31">
      <c r="A104" s="3">
        <v>9</v>
      </c>
      <c r="B104" s="3">
        <v>1</v>
      </c>
      <c r="C104" s="3">
        <v>16</v>
      </c>
      <c r="D104" s="3">
        <v>2</v>
      </c>
      <c r="E104" s="3">
        <f>((1/(INDEX(E0!J$4:J$28,C104,1)-INDEX(E0!J$4:J$28,D104,1))))*100000000</f>
        <v>0</v>
      </c>
      <c r="F104" s="4" t="str">
        <f>HYPERLINK("http://141.218.60.56/~jnz1568/getInfo.php?workbook=09_01.xlsx&amp;sheet=A0&amp;row=104&amp;col=6&amp;number=&amp;sourceID=18","")</f>
        <v/>
      </c>
      <c r="G104" s="4" t="str">
        <f>HYPERLINK("http://141.218.60.56/~jnz1568/getInfo.php?workbook=09_01.xlsx&amp;sheet=A0&amp;row=104&amp;col=7&amp;number==&amp;sourceID=11","=")</f>
        <v>=</v>
      </c>
      <c r="H104" s="4" t="str">
        <f>HYPERLINK("http://141.218.60.56/~jnz1568/getInfo.php?workbook=09_01.xlsx&amp;sheet=A0&amp;row=104&amp;col=8&amp;number=&amp;sourceID=11","")</f>
        <v/>
      </c>
      <c r="I104" s="4" t="str">
        <f>HYPERLINK("http://141.218.60.56/~jnz1568/getInfo.php?workbook=09_01.xlsx&amp;sheet=A0&amp;row=104&amp;col=9&amp;number=&amp;sourceID=11","")</f>
        <v/>
      </c>
      <c r="J104" s="4" t="str">
        <f>HYPERLINK("http://141.218.60.56/~jnz1568/getInfo.php?workbook=09_01.xlsx&amp;sheet=A0&amp;row=104&amp;col=10&amp;number=&amp;sourceID=11","")</f>
        <v/>
      </c>
      <c r="K104" s="4" t="str">
        <f>HYPERLINK("http://141.218.60.56/~jnz1568/getInfo.php?workbook=09_01.xlsx&amp;sheet=A0&amp;row=104&amp;col=11&amp;number=&amp;sourceID=11","")</f>
        <v/>
      </c>
      <c r="L104" s="4" t="str">
        <f>HYPERLINK("http://141.218.60.56/~jnz1568/getInfo.php?workbook=09_01.xlsx&amp;sheet=A0&amp;row=104&amp;col=12&amp;number=&amp;sourceID=11","")</f>
        <v/>
      </c>
      <c r="M104" s="4" t="str">
        <f>HYPERLINK("http://141.218.60.56/~jnz1568/getInfo.php?workbook=09_01.xlsx&amp;sheet=A0&amp;row=104&amp;col=13&amp;number=0.38479&amp;sourceID=11","0.38479")</f>
        <v>0.38479</v>
      </c>
      <c r="N104" s="4" t="str">
        <f>HYPERLINK("http://141.218.60.56/~jnz1568/getInfo.php?workbook=09_01.xlsx&amp;sheet=A0&amp;row=104&amp;col=14&amp;number=0.3848&amp;sourceID=12","0.3848")</f>
        <v>0.3848</v>
      </c>
      <c r="O104" s="4" t="str">
        <f>HYPERLINK("http://141.218.60.56/~jnz1568/getInfo.php?workbook=09_01.xlsx&amp;sheet=A0&amp;row=104&amp;col=15&amp;number=&amp;sourceID=12","")</f>
        <v/>
      </c>
      <c r="P104" s="4" t="str">
        <f>HYPERLINK("http://141.218.60.56/~jnz1568/getInfo.php?workbook=09_01.xlsx&amp;sheet=A0&amp;row=104&amp;col=16&amp;number=&amp;sourceID=12","")</f>
        <v/>
      </c>
      <c r="Q104" s="4" t="str">
        <f>HYPERLINK("http://141.218.60.56/~jnz1568/getInfo.php?workbook=09_01.xlsx&amp;sheet=A0&amp;row=104&amp;col=17&amp;number=&amp;sourceID=12","")</f>
        <v/>
      </c>
      <c r="R104" s="4" t="str">
        <f>HYPERLINK("http://141.218.60.56/~jnz1568/getInfo.php?workbook=09_01.xlsx&amp;sheet=A0&amp;row=104&amp;col=18&amp;number=&amp;sourceID=12","")</f>
        <v/>
      </c>
      <c r="S104" s="4" t="str">
        <f>HYPERLINK("http://141.218.60.56/~jnz1568/getInfo.php?workbook=09_01.xlsx&amp;sheet=A0&amp;row=104&amp;col=19&amp;number=&amp;sourceID=12","")</f>
        <v/>
      </c>
      <c r="T104" s="4" t="str">
        <f>HYPERLINK("http://141.218.60.56/~jnz1568/getInfo.php?workbook=09_01.xlsx&amp;sheet=A0&amp;row=104&amp;col=20&amp;number=0.3848&amp;sourceID=12","0.3848")</f>
        <v>0.3848</v>
      </c>
      <c r="U104" s="4" t="str">
        <f>HYPERLINK("http://141.218.60.56/~jnz1568/getInfo.php?workbook=09_01.xlsx&amp;sheet=A0&amp;row=104&amp;col=21&amp;number=&amp;sourceID=30","")</f>
        <v/>
      </c>
      <c r="V104" s="4" t="str">
        <f>HYPERLINK("http://141.218.60.56/~jnz1568/getInfo.php?workbook=09_01.xlsx&amp;sheet=A0&amp;row=104&amp;col=22&amp;number=&amp;sourceID=30","")</f>
        <v/>
      </c>
      <c r="W104" s="4" t="str">
        <f>HYPERLINK("http://141.218.60.56/~jnz1568/getInfo.php?workbook=09_01.xlsx&amp;sheet=A0&amp;row=104&amp;col=23&amp;number=&amp;sourceID=30","")</f>
        <v/>
      </c>
      <c r="X104" s="4" t="str">
        <f>HYPERLINK("http://141.218.60.56/~jnz1568/getInfo.php?workbook=09_01.xlsx&amp;sheet=A0&amp;row=104&amp;col=24&amp;number=&amp;sourceID=30","")</f>
        <v/>
      </c>
      <c r="Y104" s="4" t="str">
        <f>HYPERLINK("http://141.218.60.56/~jnz1568/getInfo.php?workbook=09_01.xlsx&amp;sheet=A0&amp;row=104&amp;col=25&amp;number=&amp;sourceID=30","")</f>
        <v/>
      </c>
      <c r="Z104" s="4" t="str">
        <f>HYPERLINK("http://141.218.60.56/~jnz1568/getInfo.php?workbook=09_01.xlsx&amp;sheet=A0&amp;row=104&amp;col=26&amp;number=&amp;sourceID=13","")</f>
        <v/>
      </c>
      <c r="AA104" s="4" t="str">
        <f>HYPERLINK("http://141.218.60.56/~jnz1568/getInfo.php?workbook=09_01.xlsx&amp;sheet=A0&amp;row=104&amp;col=27&amp;number=&amp;sourceID=13","")</f>
        <v/>
      </c>
      <c r="AB104" s="4" t="str">
        <f>HYPERLINK("http://141.218.60.56/~jnz1568/getInfo.php?workbook=09_01.xlsx&amp;sheet=A0&amp;row=104&amp;col=28&amp;number=&amp;sourceID=13","")</f>
        <v/>
      </c>
      <c r="AC104" s="4" t="str">
        <f>HYPERLINK("http://141.218.60.56/~jnz1568/getInfo.php?workbook=09_01.xlsx&amp;sheet=A0&amp;row=104&amp;col=29&amp;number=&amp;sourceID=13","")</f>
        <v/>
      </c>
      <c r="AD104" s="4" t="str">
        <f>HYPERLINK("http://141.218.60.56/~jnz1568/getInfo.php?workbook=09_01.xlsx&amp;sheet=A0&amp;row=104&amp;col=30&amp;number=&amp;sourceID=13","")</f>
        <v/>
      </c>
      <c r="AE104" s="4" t="str">
        <f>HYPERLINK("http://141.218.60.56/~jnz1568/getInfo.php?workbook=09_01.xlsx&amp;sheet=A0&amp;row=104&amp;col=31&amp;number=&amp;sourceID=13","")</f>
        <v/>
      </c>
    </row>
    <row r="105" spans="1:31">
      <c r="A105" s="3">
        <v>9</v>
      </c>
      <c r="B105" s="3">
        <v>1</v>
      </c>
      <c r="C105" s="3">
        <v>16</v>
      </c>
      <c r="D105" s="3">
        <v>3</v>
      </c>
      <c r="E105" s="3">
        <f>((1/(INDEX(E0!J$4:J$28,C105,1)-INDEX(E0!J$4:J$28,D105,1))))*100000000</f>
        <v>0</v>
      </c>
      <c r="F105" s="4" t="str">
        <f>HYPERLINK("http://141.218.60.56/~jnz1568/getInfo.php?workbook=09_01.xlsx&amp;sheet=A0&amp;row=105&amp;col=6&amp;number=&amp;sourceID=18","")</f>
        <v/>
      </c>
      <c r="G105" s="4" t="str">
        <f>HYPERLINK("http://141.218.60.56/~jnz1568/getInfo.php?workbook=09_01.xlsx&amp;sheet=A0&amp;row=105&amp;col=7&amp;number==&amp;sourceID=11","=")</f>
        <v>=</v>
      </c>
      <c r="H105" s="4" t="str">
        <f>HYPERLINK("http://141.218.60.56/~jnz1568/getInfo.php?workbook=09_01.xlsx&amp;sheet=A0&amp;row=105&amp;col=8&amp;number=&amp;sourceID=11","")</f>
        <v/>
      </c>
      <c r="I105" s="4" t="str">
        <f>HYPERLINK("http://141.218.60.56/~jnz1568/getInfo.php?workbook=09_01.xlsx&amp;sheet=A0&amp;row=105&amp;col=9&amp;number=&amp;sourceID=11","")</f>
        <v/>
      </c>
      <c r="J105" s="4" t="str">
        <f>HYPERLINK("http://141.218.60.56/~jnz1568/getInfo.php?workbook=09_01.xlsx&amp;sheet=A0&amp;row=105&amp;col=10&amp;number=5283.5&amp;sourceID=11","5283.5")</f>
        <v>5283.5</v>
      </c>
      <c r="K105" s="4" t="str">
        <f>HYPERLINK("http://141.218.60.56/~jnz1568/getInfo.php?workbook=09_01.xlsx&amp;sheet=A0&amp;row=105&amp;col=11&amp;number=&amp;sourceID=11","")</f>
        <v/>
      </c>
      <c r="L105" s="4" t="str">
        <f>HYPERLINK("http://141.218.60.56/~jnz1568/getInfo.php?workbook=09_01.xlsx&amp;sheet=A0&amp;row=105&amp;col=12&amp;number=&amp;sourceID=11","")</f>
        <v/>
      </c>
      <c r="M105" s="4" t="str">
        <f>HYPERLINK("http://141.218.60.56/~jnz1568/getInfo.php?workbook=09_01.xlsx&amp;sheet=A0&amp;row=105&amp;col=13&amp;number=&amp;sourceID=11","")</f>
        <v/>
      </c>
      <c r="N105" s="4" t="str">
        <f>HYPERLINK("http://141.218.60.56/~jnz1568/getInfo.php?workbook=09_01.xlsx&amp;sheet=A0&amp;row=105&amp;col=14&amp;number=5283.6&amp;sourceID=12","5283.6")</f>
        <v>5283.6</v>
      </c>
      <c r="O105" s="4" t="str">
        <f>HYPERLINK("http://141.218.60.56/~jnz1568/getInfo.php?workbook=09_01.xlsx&amp;sheet=A0&amp;row=105&amp;col=15&amp;number=&amp;sourceID=12","")</f>
        <v/>
      </c>
      <c r="P105" s="4" t="str">
        <f>HYPERLINK("http://141.218.60.56/~jnz1568/getInfo.php?workbook=09_01.xlsx&amp;sheet=A0&amp;row=105&amp;col=16&amp;number=&amp;sourceID=12","")</f>
        <v/>
      </c>
      <c r="Q105" s="4" t="str">
        <f>HYPERLINK("http://141.218.60.56/~jnz1568/getInfo.php?workbook=09_01.xlsx&amp;sheet=A0&amp;row=105&amp;col=17&amp;number=5283.6&amp;sourceID=12","5283.6")</f>
        <v>5283.6</v>
      </c>
      <c r="R105" s="4" t="str">
        <f>HYPERLINK("http://141.218.60.56/~jnz1568/getInfo.php?workbook=09_01.xlsx&amp;sheet=A0&amp;row=105&amp;col=18&amp;number=&amp;sourceID=12","")</f>
        <v/>
      </c>
      <c r="S105" s="4" t="str">
        <f>HYPERLINK("http://141.218.60.56/~jnz1568/getInfo.php?workbook=09_01.xlsx&amp;sheet=A0&amp;row=105&amp;col=19&amp;number=&amp;sourceID=12","")</f>
        <v/>
      </c>
      <c r="T105" s="4" t="str">
        <f>HYPERLINK("http://141.218.60.56/~jnz1568/getInfo.php?workbook=09_01.xlsx&amp;sheet=A0&amp;row=105&amp;col=20&amp;number=&amp;sourceID=12","")</f>
        <v/>
      </c>
      <c r="U105" s="4" t="str">
        <f>HYPERLINK("http://141.218.60.56/~jnz1568/getInfo.php?workbook=09_01.xlsx&amp;sheet=A0&amp;row=105&amp;col=21&amp;number=&amp;sourceID=30","")</f>
        <v/>
      </c>
      <c r="V105" s="4" t="str">
        <f>HYPERLINK("http://141.218.60.56/~jnz1568/getInfo.php?workbook=09_01.xlsx&amp;sheet=A0&amp;row=105&amp;col=22&amp;number=&amp;sourceID=30","")</f>
        <v/>
      </c>
      <c r="W105" s="4" t="str">
        <f>HYPERLINK("http://141.218.60.56/~jnz1568/getInfo.php?workbook=09_01.xlsx&amp;sheet=A0&amp;row=105&amp;col=23&amp;number=&amp;sourceID=30","")</f>
        <v/>
      </c>
      <c r="X105" s="4" t="str">
        <f>HYPERLINK("http://141.218.60.56/~jnz1568/getInfo.php?workbook=09_01.xlsx&amp;sheet=A0&amp;row=105&amp;col=24&amp;number=&amp;sourceID=30","")</f>
        <v/>
      </c>
      <c r="Y105" s="4" t="str">
        <f>HYPERLINK("http://141.218.60.56/~jnz1568/getInfo.php?workbook=09_01.xlsx&amp;sheet=A0&amp;row=105&amp;col=25&amp;number=&amp;sourceID=30","")</f>
        <v/>
      </c>
      <c r="Z105" s="4" t="str">
        <f>HYPERLINK("http://141.218.60.56/~jnz1568/getInfo.php?workbook=09_01.xlsx&amp;sheet=A0&amp;row=105&amp;col=26&amp;number==SUM(AA105:AE105)&amp;sourceID=13","=SUM(AA105:AE105)")</f>
        <v>=SUM(AA105:AE105)</v>
      </c>
      <c r="AA105" s="4" t="str">
        <f>HYPERLINK("http://141.218.60.56/~jnz1568/getInfo.php?workbook=09_01.xlsx&amp;sheet=A0&amp;row=105&amp;col=27&amp;number=&amp;sourceID=13","")</f>
        <v/>
      </c>
      <c r="AB105" s="4" t="str">
        <f>HYPERLINK("http://141.218.60.56/~jnz1568/getInfo.php?workbook=09_01.xlsx&amp;sheet=A0&amp;row=105&amp;col=28&amp;number=&amp;sourceID=13","")</f>
        <v/>
      </c>
      <c r="AC105" s="4" t="str">
        <f>HYPERLINK("http://141.218.60.56/~jnz1568/getInfo.php?workbook=09_01.xlsx&amp;sheet=A0&amp;row=105&amp;col=29&amp;number=5350&amp;sourceID=13","5350")</f>
        <v>5350</v>
      </c>
      <c r="AD105" s="4" t="str">
        <f>HYPERLINK("http://141.218.60.56/~jnz1568/getInfo.php?workbook=09_01.xlsx&amp;sheet=A0&amp;row=105&amp;col=30&amp;number=&amp;sourceID=13","")</f>
        <v/>
      </c>
      <c r="AE105" s="4" t="str">
        <f>HYPERLINK("http://141.218.60.56/~jnz1568/getInfo.php?workbook=09_01.xlsx&amp;sheet=A0&amp;row=105&amp;col=31&amp;number=&amp;sourceID=13","")</f>
        <v/>
      </c>
    </row>
    <row r="106" spans="1:31">
      <c r="A106" s="3">
        <v>9</v>
      </c>
      <c r="B106" s="3">
        <v>1</v>
      </c>
      <c r="C106" s="3">
        <v>16</v>
      </c>
      <c r="D106" s="3">
        <v>4</v>
      </c>
      <c r="E106" s="3">
        <f>((1/(INDEX(E0!J$4:J$28,C106,1)-INDEX(E0!J$4:J$28,D106,1))))*100000000</f>
        <v>0</v>
      </c>
      <c r="F106" s="4" t="str">
        <f>HYPERLINK("http://141.218.60.56/~jnz1568/getInfo.php?workbook=09_01.xlsx&amp;sheet=A0&amp;row=106&amp;col=6&amp;number=&amp;sourceID=18","")</f>
        <v/>
      </c>
      <c r="G106" s="4" t="str">
        <f>HYPERLINK("http://141.218.60.56/~jnz1568/getInfo.php?workbook=09_01.xlsx&amp;sheet=A0&amp;row=106&amp;col=7&amp;number==&amp;sourceID=11","=")</f>
        <v>=</v>
      </c>
      <c r="H106" s="4" t="str">
        <f>HYPERLINK("http://141.218.60.56/~jnz1568/getInfo.php?workbook=09_01.xlsx&amp;sheet=A0&amp;row=106&amp;col=8&amp;number=&amp;sourceID=11","")</f>
        <v/>
      </c>
      <c r="I106" s="4" t="str">
        <f>HYPERLINK("http://141.218.60.56/~jnz1568/getInfo.php?workbook=09_01.xlsx&amp;sheet=A0&amp;row=106&amp;col=9&amp;number=32818000&amp;sourceID=11","32818000")</f>
        <v>32818000</v>
      </c>
      <c r="J106" s="4" t="str">
        <f>HYPERLINK("http://141.218.60.56/~jnz1568/getInfo.php?workbook=09_01.xlsx&amp;sheet=A0&amp;row=106&amp;col=10&amp;number=&amp;sourceID=11","")</f>
        <v/>
      </c>
      <c r="K106" s="4" t="str">
        <f>HYPERLINK("http://141.218.60.56/~jnz1568/getInfo.php?workbook=09_01.xlsx&amp;sheet=A0&amp;row=106&amp;col=11&amp;number=&amp;sourceID=11","")</f>
        <v/>
      </c>
      <c r="L106" s="4" t="str">
        <f>HYPERLINK("http://141.218.60.56/~jnz1568/getInfo.php?workbook=09_01.xlsx&amp;sheet=A0&amp;row=106&amp;col=12&amp;number=&amp;sourceID=11","")</f>
        <v/>
      </c>
      <c r="M106" s="4" t="str">
        <f>HYPERLINK("http://141.218.60.56/~jnz1568/getInfo.php?workbook=09_01.xlsx&amp;sheet=A0&amp;row=106&amp;col=13&amp;number=1.1507&amp;sourceID=11","1.1507")</f>
        <v>1.1507</v>
      </c>
      <c r="N106" s="4" t="str">
        <f>HYPERLINK("http://141.218.60.56/~jnz1568/getInfo.php?workbook=09_01.xlsx&amp;sheet=A0&amp;row=106&amp;col=14&amp;number=32819000&amp;sourceID=12","32819000")</f>
        <v>32819000</v>
      </c>
      <c r="O106" s="4" t="str">
        <f>HYPERLINK("http://141.218.60.56/~jnz1568/getInfo.php?workbook=09_01.xlsx&amp;sheet=A0&amp;row=106&amp;col=15&amp;number=&amp;sourceID=12","")</f>
        <v/>
      </c>
      <c r="P106" s="4" t="str">
        <f>HYPERLINK("http://141.218.60.56/~jnz1568/getInfo.php?workbook=09_01.xlsx&amp;sheet=A0&amp;row=106&amp;col=16&amp;number=32819000&amp;sourceID=12","32819000")</f>
        <v>32819000</v>
      </c>
      <c r="Q106" s="4" t="str">
        <f>HYPERLINK("http://141.218.60.56/~jnz1568/getInfo.php?workbook=09_01.xlsx&amp;sheet=A0&amp;row=106&amp;col=17&amp;number=&amp;sourceID=12","")</f>
        <v/>
      </c>
      <c r="R106" s="4" t="str">
        <f>HYPERLINK("http://141.218.60.56/~jnz1568/getInfo.php?workbook=09_01.xlsx&amp;sheet=A0&amp;row=106&amp;col=18&amp;number=&amp;sourceID=12","")</f>
        <v/>
      </c>
      <c r="S106" s="4" t="str">
        <f>HYPERLINK("http://141.218.60.56/~jnz1568/getInfo.php?workbook=09_01.xlsx&amp;sheet=A0&amp;row=106&amp;col=19&amp;number=&amp;sourceID=12","")</f>
        <v/>
      </c>
      <c r="T106" s="4" t="str">
        <f>HYPERLINK("http://141.218.60.56/~jnz1568/getInfo.php?workbook=09_01.xlsx&amp;sheet=A0&amp;row=106&amp;col=20&amp;number=1.1507&amp;sourceID=12","1.1507")</f>
        <v>1.1507</v>
      </c>
      <c r="U106" s="4" t="str">
        <f>HYPERLINK("http://141.218.60.56/~jnz1568/getInfo.php?workbook=09_01.xlsx&amp;sheet=A0&amp;row=106&amp;col=21&amp;number=32820000&amp;sourceID=30","32820000")</f>
        <v>32820000</v>
      </c>
      <c r="V106" s="4" t="str">
        <f>HYPERLINK("http://141.218.60.56/~jnz1568/getInfo.php?workbook=09_01.xlsx&amp;sheet=A0&amp;row=106&amp;col=22&amp;number=&amp;sourceID=30","")</f>
        <v/>
      </c>
      <c r="W106" s="4" t="str">
        <f>HYPERLINK("http://141.218.60.56/~jnz1568/getInfo.php?workbook=09_01.xlsx&amp;sheet=A0&amp;row=106&amp;col=23&amp;number=32820000&amp;sourceID=30","32820000")</f>
        <v>32820000</v>
      </c>
      <c r="X106" s="4" t="str">
        <f>HYPERLINK("http://141.218.60.56/~jnz1568/getInfo.php?workbook=09_01.xlsx&amp;sheet=A0&amp;row=106&amp;col=24&amp;number=&amp;sourceID=30","")</f>
        <v/>
      </c>
      <c r="Y106" s="4" t="str">
        <f>HYPERLINK("http://141.218.60.56/~jnz1568/getInfo.php?workbook=09_01.xlsx&amp;sheet=A0&amp;row=106&amp;col=25&amp;number=&amp;sourceID=30","")</f>
        <v/>
      </c>
      <c r="Z106" s="4" t="str">
        <f>HYPERLINK("http://141.218.60.56/~jnz1568/getInfo.php?workbook=09_01.xlsx&amp;sheet=A0&amp;row=106&amp;col=26&amp;number==SUM(AA106:AE106)&amp;sourceID=13","=SUM(AA106:AE106)")</f>
        <v>=SUM(AA106:AE106)</v>
      </c>
      <c r="AA106" s="4" t="str">
        <f>HYPERLINK("http://141.218.60.56/~jnz1568/getInfo.php?workbook=09_01.xlsx&amp;sheet=A0&amp;row=106&amp;col=27&amp;number=&amp;sourceID=13","")</f>
        <v/>
      </c>
      <c r="AB106" s="4" t="str">
        <f>HYPERLINK("http://141.218.60.56/~jnz1568/getInfo.php?workbook=09_01.xlsx&amp;sheet=A0&amp;row=106&amp;col=28&amp;number=32900000&amp;sourceID=13","32900000")</f>
        <v>32900000</v>
      </c>
      <c r="AC106" s="4" t="str">
        <f>HYPERLINK("http://141.218.60.56/~jnz1568/getInfo.php?workbook=09_01.xlsx&amp;sheet=A0&amp;row=106&amp;col=29&amp;number=&amp;sourceID=13","")</f>
        <v/>
      </c>
      <c r="AD106" s="4" t="str">
        <f>HYPERLINK("http://141.218.60.56/~jnz1568/getInfo.php?workbook=09_01.xlsx&amp;sheet=A0&amp;row=106&amp;col=30&amp;number=&amp;sourceID=13","")</f>
        <v/>
      </c>
      <c r="AE106" s="4" t="str">
        <f>HYPERLINK("http://141.218.60.56/~jnz1568/getInfo.php?workbook=09_01.xlsx&amp;sheet=A0&amp;row=106&amp;col=31&amp;number=&amp;sourceID=13","")</f>
        <v/>
      </c>
    </row>
    <row r="107" spans="1:31">
      <c r="A107" s="3">
        <v>9</v>
      </c>
      <c r="B107" s="3">
        <v>1</v>
      </c>
      <c r="C107" s="3">
        <v>16</v>
      </c>
      <c r="D107" s="3">
        <v>5</v>
      </c>
      <c r="E107" s="3">
        <f>((1/(INDEX(E0!J$4:J$28,C107,1)-INDEX(E0!J$4:J$28,D107,1))))*100000000</f>
        <v>0</v>
      </c>
      <c r="F107" s="4" t="str">
        <f>HYPERLINK("http://141.218.60.56/~jnz1568/getInfo.php?workbook=09_01.xlsx&amp;sheet=A0&amp;row=107&amp;col=6&amp;number=&amp;sourceID=18","")</f>
        <v/>
      </c>
      <c r="G107" s="4" t="str">
        <f>HYPERLINK("http://141.218.60.56/~jnz1568/getInfo.php?workbook=09_01.xlsx&amp;sheet=A0&amp;row=107&amp;col=7&amp;number==&amp;sourceID=11","=")</f>
        <v>=</v>
      </c>
      <c r="H107" s="4" t="str">
        <f>HYPERLINK("http://141.218.60.56/~jnz1568/getInfo.php?workbook=09_01.xlsx&amp;sheet=A0&amp;row=107&amp;col=8&amp;number=&amp;sourceID=11","")</f>
        <v/>
      </c>
      <c r="I107" s="4" t="str">
        <f>HYPERLINK("http://141.218.60.56/~jnz1568/getInfo.php?workbook=09_01.xlsx&amp;sheet=A0&amp;row=107&amp;col=9&amp;number=&amp;sourceID=11","")</f>
        <v/>
      </c>
      <c r="J107" s="4" t="str">
        <f>HYPERLINK("http://141.218.60.56/~jnz1568/getInfo.php?workbook=09_01.xlsx&amp;sheet=A0&amp;row=107&amp;col=10&amp;number=&amp;sourceID=11","")</f>
        <v/>
      </c>
      <c r="K107" s="4" t="str">
        <f>HYPERLINK("http://141.218.60.56/~jnz1568/getInfo.php?workbook=09_01.xlsx&amp;sheet=A0&amp;row=107&amp;col=11&amp;number=&amp;sourceID=11","")</f>
        <v/>
      </c>
      <c r="L107" s="4" t="str">
        <f>HYPERLINK("http://141.218.60.56/~jnz1568/getInfo.php?workbook=09_01.xlsx&amp;sheet=A0&amp;row=107&amp;col=12&amp;number=&amp;sourceID=11","")</f>
        <v/>
      </c>
      <c r="M107" s="4" t="str">
        <f>HYPERLINK("http://141.218.60.56/~jnz1568/getInfo.php?workbook=09_01.xlsx&amp;sheet=A0&amp;row=107&amp;col=13&amp;number=0.0024437&amp;sourceID=11","0.0024437")</f>
        <v>0.0024437</v>
      </c>
      <c r="N107" s="4" t="str">
        <f>HYPERLINK("http://141.218.60.56/~jnz1568/getInfo.php?workbook=09_01.xlsx&amp;sheet=A0&amp;row=107&amp;col=14&amp;number=0.0024438&amp;sourceID=12","0.0024438")</f>
        <v>0.0024438</v>
      </c>
      <c r="O107" s="4" t="str">
        <f>HYPERLINK("http://141.218.60.56/~jnz1568/getInfo.php?workbook=09_01.xlsx&amp;sheet=A0&amp;row=107&amp;col=15&amp;number=&amp;sourceID=12","")</f>
        <v/>
      </c>
      <c r="P107" s="4" t="str">
        <f>HYPERLINK("http://141.218.60.56/~jnz1568/getInfo.php?workbook=09_01.xlsx&amp;sheet=A0&amp;row=107&amp;col=16&amp;number=&amp;sourceID=12","")</f>
        <v/>
      </c>
      <c r="Q107" s="4" t="str">
        <f>HYPERLINK("http://141.218.60.56/~jnz1568/getInfo.php?workbook=09_01.xlsx&amp;sheet=A0&amp;row=107&amp;col=17&amp;number=&amp;sourceID=12","")</f>
        <v/>
      </c>
      <c r="R107" s="4" t="str">
        <f>HYPERLINK("http://141.218.60.56/~jnz1568/getInfo.php?workbook=09_01.xlsx&amp;sheet=A0&amp;row=107&amp;col=18&amp;number=&amp;sourceID=12","")</f>
        <v/>
      </c>
      <c r="S107" s="4" t="str">
        <f>HYPERLINK("http://141.218.60.56/~jnz1568/getInfo.php?workbook=09_01.xlsx&amp;sheet=A0&amp;row=107&amp;col=19&amp;number=&amp;sourceID=12","")</f>
        <v/>
      </c>
      <c r="T107" s="4" t="str">
        <f>HYPERLINK("http://141.218.60.56/~jnz1568/getInfo.php?workbook=09_01.xlsx&amp;sheet=A0&amp;row=107&amp;col=20&amp;number=0.0024438&amp;sourceID=12","0.0024438")</f>
        <v>0.0024438</v>
      </c>
      <c r="U107" s="4" t="str">
        <f>HYPERLINK("http://141.218.60.56/~jnz1568/getInfo.php?workbook=09_01.xlsx&amp;sheet=A0&amp;row=107&amp;col=21&amp;number=&amp;sourceID=30","")</f>
        <v/>
      </c>
      <c r="V107" s="4" t="str">
        <f>HYPERLINK("http://141.218.60.56/~jnz1568/getInfo.php?workbook=09_01.xlsx&amp;sheet=A0&amp;row=107&amp;col=22&amp;number=&amp;sourceID=30","")</f>
        <v/>
      </c>
      <c r="W107" s="4" t="str">
        <f>HYPERLINK("http://141.218.60.56/~jnz1568/getInfo.php?workbook=09_01.xlsx&amp;sheet=A0&amp;row=107&amp;col=23&amp;number=&amp;sourceID=30","")</f>
        <v/>
      </c>
      <c r="X107" s="4" t="str">
        <f>HYPERLINK("http://141.218.60.56/~jnz1568/getInfo.php?workbook=09_01.xlsx&amp;sheet=A0&amp;row=107&amp;col=24&amp;number=&amp;sourceID=30","")</f>
        <v/>
      </c>
      <c r="Y107" s="4" t="str">
        <f>HYPERLINK("http://141.218.60.56/~jnz1568/getInfo.php?workbook=09_01.xlsx&amp;sheet=A0&amp;row=107&amp;col=25&amp;number=&amp;sourceID=30","")</f>
        <v/>
      </c>
      <c r="Z107" s="4" t="str">
        <f>HYPERLINK("http://141.218.60.56/~jnz1568/getInfo.php?workbook=09_01.xlsx&amp;sheet=A0&amp;row=107&amp;col=26&amp;number=&amp;sourceID=13","")</f>
        <v/>
      </c>
      <c r="AA107" s="4" t="str">
        <f>HYPERLINK("http://141.218.60.56/~jnz1568/getInfo.php?workbook=09_01.xlsx&amp;sheet=A0&amp;row=107&amp;col=27&amp;number=&amp;sourceID=13","")</f>
        <v/>
      </c>
      <c r="AB107" s="4" t="str">
        <f>HYPERLINK("http://141.218.60.56/~jnz1568/getInfo.php?workbook=09_01.xlsx&amp;sheet=A0&amp;row=107&amp;col=28&amp;number=&amp;sourceID=13","")</f>
        <v/>
      </c>
      <c r="AC107" s="4" t="str">
        <f>HYPERLINK("http://141.218.60.56/~jnz1568/getInfo.php?workbook=09_01.xlsx&amp;sheet=A0&amp;row=107&amp;col=29&amp;number=&amp;sourceID=13","")</f>
        <v/>
      </c>
      <c r="AD107" s="4" t="str">
        <f>HYPERLINK("http://141.218.60.56/~jnz1568/getInfo.php?workbook=09_01.xlsx&amp;sheet=A0&amp;row=107&amp;col=30&amp;number=&amp;sourceID=13","")</f>
        <v/>
      </c>
      <c r="AE107" s="4" t="str">
        <f>HYPERLINK("http://141.218.60.56/~jnz1568/getInfo.php?workbook=09_01.xlsx&amp;sheet=A0&amp;row=107&amp;col=31&amp;number=&amp;sourceID=13","")</f>
        <v/>
      </c>
    </row>
    <row r="108" spans="1:31">
      <c r="A108" s="3">
        <v>9</v>
      </c>
      <c r="B108" s="3">
        <v>1</v>
      </c>
      <c r="C108" s="3">
        <v>16</v>
      </c>
      <c r="D108" s="3">
        <v>6</v>
      </c>
      <c r="E108" s="3">
        <f>((1/(INDEX(E0!J$4:J$28,C108,1)-INDEX(E0!J$4:J$28,D108,1))))*100000000</f>
        <v>0</v>
      </c>
      <c r="F108" s="4" t="str">
        <f>HYPERLINK("http://141.218.60.56/~jnz1568/getInfo.php?workbook=09_01.xlsx&amp;sheet=A0&amp;row=108&amp;col=6&amp;number=&amp;sourceID=18","")</f>
        <v/>
      </c>
      <c r="G108" s="4" t="str">
        <f>HYPERLINK("http://141.218.60.56/~jnz1568/getInfo.php?workbook=09_01.xlsx&amp;sheet=A0&amp;row=108&amp;col=7&amp;number==&amp;sourceID=11","=")</f>
        <v>=</v>
      </c>
      <c r="H108" s="4" t="str">
        <f>HYPERLINK("http://141.218.60.56/~jnz1568/getInfo.php?workbook=09_01.xlsx&amp;sheet=A0&amp;row=108&amp;col=8&amp;number=&amp;sourceID=11","")</f>
        <v/>
      </c>
      <c r="I108" s="4" t="str">
        <f>HYPERLINK("http://141.218.60.56/~jnz1568/getInfo.php?workbook=09_01.xlsx&amp;sheet=A0&amp;row=108&amp;col=9&amp;number=&amp;sourceID=11","")</f>
        <v/>
      </c>
      <c r="J108" s="4" t="str">
        <f>HYPERLINK("http://141.218.60.56/~jnz1568/getInfo.php?workbook=09_01.xlsx&amp;sheet=A0&amp;row=108&amp;col=10&amp;number=48.699&amp;sourceID=11","48.699")</f>
        <v>48.699</v>
      </c>
      <c r="K108" s="4" t="str">
        <f>HYPERLINK("http://141.218.60.56/~jnz1568/getInfo.php?workbook=09_01.xlsx&amp;sheet=A0&amp;row=108&amp;col=11&amp;number=&amp;sourceID=11","")</f>
        <v/>
      </c>
      <c r="L108" s="4" t="str">
        <f>HYPERLINK("http://141.218.60.56/~jnz1568/getInfo.php?workbook=09_01.xlsx&amp;sheet=A0&amp;row=108&amp;col=12&amp;number=&amp;sourceID=11","")</f>
        <v/>
      </c>
      <c r="M108" s="4" t="str">
        <f>HYPERLINK("http://141.218.60.56/~jnz1568/getInfo.php?workbook=09_01.xlsx&amp;sheet=A0&amp;row=108&amp;col=13&amp;number=&amp;sourceID=11","")</f>
        <v/>
      </c>
      <c r="N108" s="4" t="str">
        <f>HYPERLINK("http://141.218.60.56/~jnz1568/getInfo.php?workbook=09_01.xlsx&amp;sheet=A0&amp;row=108&amp;col=14&amp;number=48.7&amp;sourceID=12","48.7")</f>
        <v>48.7</v>
      </c>
      <c r="O108" s="4" t="str">
        <f>HYPERLINK("http://141.218.60.56/~jnz1568/getInfo.php?workbook=09_01.xlsx&amp;sheet=A0&amp;row=108&amp;col=15&amp;number=&amp;sourceID=12","")</f>
        <v/>
      </c>
      <c r="P108" s="4" t="str">
        <f>HYPERLINK("http://141.218.60.56/~jnz1568/getInfo.php?workbook=09_01.xlsx&amp;sheet=A0&amp;row=108&amp;col=16&amp;number=&amp;sourceID=12","")</f>
        <v/>
      </c>
      <c r="Q108" s="4" t="str">
        <f>HYPERLINK("http://141.218.60.56/~jnz1568/getInfo.php?workbook=09_01.xlsx&amp;sheet=A0&amp;row=108&amp;col=17&amp;number=48.7&amp;sourceID=12","48.7")</f>
        <v>48.7</v>
      </c>
      <c r="R108" s="4" t="str">
        <f>HYPERLINK("http://141.218.60.56/~jnz1568/getInfo.php?workbook=09_01.xlsx&amp;sheet=A0&amp;row=108&amp;col=18&amp;number=&amp;sourceID=12","")</f>
        <v/>
      </c>
      <c r="S108" s="4" t="str">
        <f>HYPERLINK("http://141.218.60.56/~jnz1568/getInfo.php?workbook=09_01.xlsx&amp;sheet=A0&amp;row=108&amp;col=19&amp;number=&amp;sourceID=12","")</f>
        <v/>
      </c>
      <c r="T108" s="4" t="str">
        <f>HYPERLINK("http://141.218.60.56/~jnz1568/getInfo.php?workbook=09_01.xlsx&amp;sheet=A0&amp;row=108&amp;col=20&amp;number=&amp;sourceID=12","")</f>
        <v/>
      </c>
      <c r="U108" s="4" t="str">
        <f>HYPERLINK("http://141.218.60.56/~jnz1568/getInfo.php?workbook=09_01.xlsx&amp;sheet=A0&amp;row=108&amp;col=21&amp;number=&amp;sourceID=30","")</f>
        <v/>
      </c>
      <c r="V108" s="4" t="str">
        <f>HYPERLINK("http://141.218.60.56/~jnz1568/getInfo.php?workbook=09_01.xlsx&amp;sheet=A0&amp;row=108&amp;col=22&amp;number=&amp;sourceID=30","")</f>
        <v/>
      </c>
      <c r="W108" s="4" t="str">
        <f>HYPERLINK("http://141.218.60.56/~jnz1568/getInfo.php?workbook=09_01.xlsx&amp;sheet=A0&amp;row=108&amp;col=23&amp;number=&amp;sourceID=30","")</f>
        <v/>
      </c>
      <c r="X108" s="4" t="str">
        <f>HYPERLINK("http://141.218.60.56/~jnz1568/getInfo.php?workbook=09_01.xlsx&amp;sheet=A0&amp;row=108&amp;col=24&amp;number=&amp;sourceID=30","")</f>
        <v/>
      </c>
      <c r="Y108" s="4" t="str">
        <f>HYPERLINK("http://141.218.60.56/~jnz1568/getInfo.php?workbook=09_01.xlsx&amp;sheet=A0&amp;row=108&amp;col=25&amp;number=&amp;sourceID=30","")</f>
        <v/>
      </c>
      <c r="Z108" s="4" t="str">
        <f>HYPERLINK("http://141.218.60.56/~jnz1568/getInfo.php?workbook=09_01.xlsx&amp;sheet=A0&amp;row=108&amp;col=26&amp;number==SUM(AA108:AE108)&amp;sourceID=13","=SUM(AA108:AE108)")</f>
        <v>=SUM(AA108:AE108)</v>
      </c>
      <c r="AA108" s="4" t="str">
        <f>HYPERLINK("http://141.218.60.56/~jnz1568/getInfo.php?workbook=09_01.xlsx&amp;sheet=A0&amp;row=108&amp;col=27&amp;number=&amp;sourceID=13","")</f>
        <v/>
      </c>
      <c r="AB108" s="4" t="str">
        <f>HYPERLINK("http://141.218.60.56/~jnz1568/getInfo.php?workbook=09_01.xlsx&amp;sheet=A0&amp;row=108&amp;col=28&amp;number=&amp;sourceID=13","")</f>
        <v/>
      </c>
      <c r="AC108" s="4" t="str">
        <f>HYPERLINK("http://141.218.60.56/~jnz1568/getInfo.php?workbook=09_01.xlsx&amp;sheet=A0&amp;row=108&amp;col=29&amp;number=48.6&amp;sourceID=13","48.6")</f>
        <v>48.6</v>
      </c>
      <c r="AD108" s="4" t="str">
        <f>HYPERLINK("http://141.218.60.56/~jnz1568/getInfo.php?workbook=09_01.xlsx&amp;sheet=A0&amp;row=108&amp;col=30&amp;number=&amp;sourceID=13","")</f>
        <v/>
      </c>
      <c r="AE108" s="4" t="str">
        <f>HYPERLINK("http://141.218.60.56/~jnz1568/getInfo.php?workbook=09_01.xlsx&amp;sheet=A0&amp;row=108&amp;col=31&amp;number=&amp;sourceID=13","")</f>
        <v/>
      </c>
    </row>
    <row r="109" spans="1:31">
      <c r="A109" s="3">
        <v>9</v>
      </c>
      <c r="B109" s="3">
        <v>1</v>
      </c>
      <c r="C109" s="3">
        <v>16</v>
      </c>
      <c r="D109" s="3">
        <v>7</v>
      </c>
      <c r="E109" s="3">
        <f>((1/(INDEX(E0!J$4:J$28,C109,1)-INDEX(E0!J$4:J$28,D109,1))))*100000000</f>
        <v>0</v>
      </c>
      <c r="F109" s="4" t="str">
        <f>HYPERLINK("http://141.218.60.56/~jnz1568/getInfo.php?workbook=09_01.xlsx&amp;sheet=A0&amp;row=109&amp;col=6&amp;number=&amp;sourceID=18","")</f>
        <v/>
      </c>
      <c r="G109" s="4" t="str">
        <f>HYPERLINK("http://141.218.60.56/~jnz1568/getInfo.php?workbook=09_01.xlsx&amp;sheet=A0&amp;row=109&amp;col=7&amp;number==&amp;sourceID=11","=")</f>
        <v>=</v>
      </c>
      <c r="H109" s="4" t="str">
        <f>HYPERLINK("http://141.218.60.56/~jnz1568/getInfo.php?workbook=09_01.xlsx&amp;sheet=A0&amp;row=109&amp;col=8&amp;number=&amp;sourceID=11","")</f>
        <v/>
      </c>
      <c r="I109" s="4" t="str">
        <f>HYPERLINK("http://141.218.60.56/~jnz1568/getInfo.php?workbook=09_01.xlsx&amp;sheet=A0&amp;row=109&amp;col=9&amp;number=&amp;sourceID=11","")</f>
        <v/>
      </c>
      <c r="J109" s="4" t="str">
        <f>HYPERLINK("http://141.218.60.56/~jnz1568/getInfo.php?workbook=09_01.xlsx&amp;sheet=A0&amp;row=109&amp;col=10&amp;number=5.8145&amp;sourceID=11","5.8145")</f>
        <v>5.8145</v>
      </c>
      <c r="K109" s="4" t="str">
        <f>HYPERLINK("http://141.218.60.56/~jnz1568/getInfo.php?workbook=09_01.xlsx&amp;sheet=A0&amp;row=109&amp;col=11&amp;number=&amp;sourceID=11","")</f>
        <v/>
      </c>
      <c r="L109" s="4" t="str">
        <f>HYPERLINK("http://141.218.60.56/~jnz1568/getInfo.php?workbook=09_01.xlsx&amp;sheet=A0&amp;row=109&amp;col=12&amp;number=53.159&amp;sourceID=11","53.159")</f>
        <v>53.159</v>
      </c>
      <c r="M109" s="4" t="str">
        <f>HYPERLINK("http://141.218.60.56/~jnz1568/getInfo.php?workbook=09_01.xlsx&amp;sheet=A0&amp;row=109&amp;col=13&amp;number=&amp;sourceID=11","")</f>
        <v/>
      </c>
      <c r="N109" s="4" t="str">
        <f>HYPERLINK("http://141.218.60.56/~jnz1568/getInfo.php?workbook=09_01.xlsx&amp;sheet=A0&amp;row=109&amp;col=14&amp;number=58.976&amp;sourceID=12","58.976")</f>
        <v>58.976</v>
      </c>
      <c r="O109" s="4" t="str">
        <f>HYPERLINK("http://141.218.60.56/~jnz1568/getInfo.php?workbook=09_01.xlsx&amp;sheet=A0&amp;row=109&amp;col=15&amp;number=&amp;sourceID=12","")</f>
        <v/>
      </c>
      <c r="P109" s="4" t="str">
        <f>HYPERLINK("http://141.218.60.56/~jnz1568/getInfo.php?workbook=09_01.xlsx&amp;sheet=A0&amp;row=109&amp;col=16&amp;number=&amp;sourceID=12","")</f>
        <v/>
      </c>
      <c r="Q109" s="4" t="str">
        <f>HYPERLINK("http://141.218.60.56/~jnz1568/getInfo.php?workbook=09_01.xlsx&amp;sheet=A0&amp;row=109&amp;col=17&amp;number=5.8146&amp;sourceID=12","5.8146")</f>
        <v>5.8146</v>
      </c>
      <c r="R109" s="4" t="str">
        <f>HYPERLINK("http://141.218.60.56/~jnz1568/getInfo.php?workbook=09_01.xlsx&amp;sheet=A0&amp;row=109&amp;col=18&amp;number=&amp;sourceID=12","")</f>
        <v/>
      </c>
      <c r="S109" s="4" t="str">
        <f>HYPERLINK("http://141.218.60.56/~jnz1568/getInfo.php?workbook=09_01.xlsx&amp;sheet=A0&amp;row=109&amp;col=19&amp;number=53.161&amp;sourceID=12","53.161")</f>
        <v>53.161</v>
      </c>
      <c r="T109" s="4" t="str">
        <f>HYPERLINK("http://141.218.60.56/~jnz1568/getInfo.php?workbook=09_01.xlsx&amp;sheet=A0&amp;row=109&amp;col=20&amp;number=&amp;sourceID=12","")</f>
        <v/>
      </c>
      <c r="U109" s="4" t="str">
        <f>HYPERLINK("http://141.218.60.56/~jnz1568/getInfo.php?workbook=09_01.xlsx&amp;sheet=A0&amp;row=109&amp;col=21&amp;number=53.16&amp;sourceID=30","53.16")</f>
        <v>53.16</v>
      </c>
      <c r="V109" s="4" t="str">
        <f>HYPERLINK("http://141.218.60.56/~jnz1568/getInfo.php?workbook=09_01.xlsx&amp;sheet=A0&amp;row=109&amp;col=22&amp;number=&amp;sourceID=30","")</f>
        <v/>
      </c>
      <c r="W109" s="4" t="str">
        <f>HYPERLINK("http://141.218.60.56/~jnz1568/getInfo.php?workbook=09_01.xlsx&amp;sheet=A0&amp;row=109&amp;col=23&amp;number=&amp;sourceID=30","")</f>
        <v/>
      </c>
      <c r="X109" s="4" t="str">
        <f>HYPERLINK("http://141.218.60.56/~jnz1568/getInfo.php?workbook=09_01.xlsx&amp;sheet=A0&amp;row=109&amp;col=24&amp;number=&amp;sourceID=30","")</f>
        <v/>
      </c>
      <c r="Y109" s="4" t="str">
        <f>HYPERLINK("http://141.218.60.56/~jnz1568/getInfo.php?workbook=09_01.xlsx&amp;sheet=A0&amp;row=109&amp;col=25&amp;number=53.16&amp;sourceID=30","53.16")</f>
        <v>53.16</v>
      </c>
      <c r="Z109" s="4" t="str">
        <f>HYPERLINK("http://141.218.60.56/~jnz1568/getInfo.php?workbook=09_01.xlsx&amp;sheet=A0&amp;row=109&amp;col=26&amp;number==SUM(AA109:AE109)&amp;sourceID=13","=SUM(AA109:AE109)")</f>
        <v>=SUM(AA109:AE109)</v>
      </c>
      <c r="AA109" s="4" t="str">
        <f>HYPERLINK("http://141.218.60.56/~jnz1568/getInfo.php?workbook=09_01.xlsx&amp;sheet=A0&amp;row=109&amp;col=27&amp;number=&amp;sourceID=13","")</f>
        <v/>
      </c>
      <c r="AB109" s="4" t="str">
        <f>HYPERLINK("http://141.218.60.56/~jnz1568/getInfo.php?workbook=09_01.xlsx&amp;sheet=A0&amp;row=109&amp;col=28&amp;number=&amp;sourceID=13","")</f>
        <v/>
      </c>
      <c r="AC109" s="4" t="str">
        <f>HYPERLINK("http://141.218.60.56/~jnz1568/getInfo.php?workbook=09_01.xlsx&amp;sheet=A0&amp;row=109&amp;col=29&amp;number=13.1&amp;sourceID=13","13.1")</f>
        <v>13.1</v>
      </c>
      <c r="AD109" s="4" t="str">
        <f>HYPERLINK("http://141.218.60.56/~jnz1568/getInfo.php?workbook=09_01.xlsx&amp;sheet=A0&amp;row=109&amp;col=30&amp;number=&amp;sourceID=13","")</f>
        <v/>
      </c>
      <c r="AE109" s="4" t="str">
        <f>HYPERLINK("http://141.218.60.56/~jnz1568/getInfo.php?workbook=09_01.xlsx&amp;sheet=A0&amp;row=109&amp;col=31&amp;number=213&amp;sourceID=13","213")</f>
        <v>213</v>
      </c>
    </row>
    <row r="110" spans="1:31">
      <c r="A110" s="3">
        <v>9</v>
      </c>
      <c r="B110" s="3">
        <v>1</v>
      </c>
      <c r="C110" s="3">
        <v>16</v>
      </c>
      <c r="D110" s="3">
        <v>8</v>
      </c>
      <c r="E110" s="3">
        <f>((1/(INDEX(E0!J$4:J$28,C110,1)-INDEX(E0!J$4:J$28,D110,1))))*100000000</f>
        <v>0</v>
      </c>
      <c r="F110" s="4" t="str">
        <f>HYPERLINK("http://141.218.60.56/~jnz1568/getInfo.php?workbook=09_01.xlsx&amp;sheet=A0&amp;row=110&amp;col=6&amp;number=&amp;sourceID=18","")</f>
        <v/>
      </c>
      <c r="G110" s="4" t="str">
        <f>HYPERLINK("http://141.218.60.56/~jnz1568/getInfo.php?workbook=09_01.xlsx&amp;sheet=A0&amp;row=110&amp;col=7&amp;number==&amp;sourceID=11","=")</f>
        <v>=</v>
      </c>
      <c r="H110" s="4" t="str">
        <f>HYPERLINK("http://141.218.60.56/~jnz1568/getInfo.php?workbook=09_01.xlsx&amp;sheet=A0&amp;row=110&amp;col=8&amp;number=&amp;sourceID=11","")</f>
        <v/>
      </c>
      <c r="I110" s="4" t="str">
        <f>HYPERLINK("http://141.218.60.56/~jnz1568/getInfo.php?workbook=09_01.xlsx&amp;sheet=A0&amp;row=110&amp;col=9&amp;number=3081200&amp;sourceID=11","3081200")</f>
        <v>3081200</v>
      </c>
      <c r="J110" s="4" t="str">
        <f>HYPERLINK("http://141.218.60.56/~jnz1568/getInfo.php?workbook=09_01.xlsx&amp;sheet=A0&amp;row=110&amp;col=10&amp;number=&amp;sourceID=11","")</f>
        <v/>
      </c>
      <c r="K110" s="4" t="str">
        <f>HYPERLINK("http://141.218.60.56/~jnz1568/getInfo.php?workbook=09_01.xlsx&amp;sheet=A0&amp;row=110&amp;col=11&amp;number=&amp;sourceID=11","")</f>
        <v/>
      </c>
      <c r="L110" s="4" t="str">
        <f>HYPERLINK("http://141.218.60.56/~jnz1568/getInfo.php?workbook=09_01.xlsx&amp;sheet=A0&amp;row=110&amp;col=12&amp;number=&amp;sourceID=11","")</f>
        <v/>
      </c>
      <c r="M110" s="4" t="str">
        <f>HYPERLINK("http://141.218.60.56/~jnz1568/getInfo.php?workbook=09_01.xlsx&amp;sheet=A0&amp;row=110&amp;col=13&amp;number=0.0072673&amp;sourceID=11","0.0072673")</f>
        <v>0.0072673</v>
      </c>
      <c r="N110" s="4" t="str">
        <f>HYPERLINK("http://141.218.60.56/~jnz1568/getInfo.php?workbook=09_01.xlsx&amp;sheet=A0&amp;row=110&amp;col=14&amp;number=3081300&amp;sourceID=12","3081300")</f>
        <v>3081300</v>
      </c>
      <c r="O110" s="4" t="str">
        <f>HYPERLINK("http://141.218.60.56/~jnz1568/getInfo.php?workbook=09_01.xlsx&amp;sheet=A0&amp;row=110&amp;col=15&amp;number=&amp;sourceID=12","")</f>
        <v/>
      </c>
      <c r="P110" s="4" t="str">
        <f>HYPERLINK("http://141.218.60.56/~jnz1568/getInfo.php?workbook=09_01.xlsx&amp;sheet=A0&amp;row=110&amp;col=16&amp;number=3081300&amp;sourceID=12","3081300")</f>
        <v>3081300</v>
      </c>
      <c r="Q110" s="4" t="str">
        <f>HYPERLINK("http://141.218.60.56/~jnz1568/getInfo.php?workbook=09_01.xlsx&amp;sheet=A0&amp;row=110&amp;col=17&amp;number=&amp;sourceID=12","")</f>
        <v/>
      </c>
      <c r="R110" s="4" t="str">
        <f>HYPERLINK("http://141.218.60.56/~jnz1568/getInfo.php?workbook=09_01.xlsx&amp;sheet=A0&amp;row=110&amp;col=18&amp;number=&amp;sourceID=12","")</f>
        <v/>
      </c>
      <c r="S110" s="4" t="str">
        <f>HYPERLINK("http://141.218.60.56/~jnz1568/getInfo.php?workbook=09_01.xlsx&amp;sheet=A0&amp;row=110&amp;col=19&amp;number=&amp;sourceID=12","")</f>
        <v/>
      </c>
      <c r="T110" s="4" t="str">
        <f>HYPERLINK("http://141.218.60.56/~jnz1568/getInfo.php?workbook=09_01.xlsx&amp;sheet=A0&amp;row=110&amp;col=20&amp;number=0.0072675&amp;sourceID=12","0.0072675")</f>
        <v>0.0072675</v>
      </c>
      <c r="U110" s="4" t="str">
        <f>HYPERLINK("http://141.218.60.56/~jnz1568/getInfo.php?workbook=09_01.xlsx&amp;sheet=A0&amp;row=110&amp;col=21&amp;number=3081000&amp;sourceID=30","3081000")</f>
        <v>3081000</v>
      </c>
      <c r="V110" s="4" t="str">
        <f>HYPERLINK("http://141.218.60.56/~jnz1568/getInfo.php?workbook=09_01.xlsx&amp;sheet=A0&amp;row=110&amp;col=22&amp;number=&amp;sourceID=30","")</f>
        <v/>
      </c>
      <c r="W110" s="4" t="str">
        <f>HYPERLINK("http://141.218.60.56/~jnz1568/getInfo.php?workbook=09_01.xlsx&amp;sheet=A0&amp;row=110&amp;col=23&amp;number=3081000&amp;sourceID=30","3081000")</f>
        <v>3081000</v>
      </c>
      <c r="X110" s="4" t="str">
        <f>HYPERLINK("http://141.218.60.56/~jnz1568/getInfo.php?workbook=09_01.xlsx&amp;sheet=A0&amp;row=110&amp;col=24&amp;number=&amp;sourceID=30","")</f>
        <v/>
      </c>
      <c r="Y110" s="4" t="str">
        <f>HYPERLINK("http://141.218.60.56/~jnz1568/getInfo.php?workbook=09_01.xlsx&amp;sheet=A0&amp;row=110&amp;col=25&amp;number=&amp;sourceID=30","")</f>
        <v/>
      </c>
      <c r="Z110" s="4" t="str">
        <f>HYPERLINK("http://141.218.60.56/~jnz1568/getInfo.php?workbook=09_01.xlsx&amp;sheet=A0&amp;row=110&amp;col=26&amp;number==SUM(AA110:AE110)&amp;sourceID=13","=SUM(AA110:AE110)")</f>
        <v>=SUM(AA110:AE110)</v>
      </c>
      <c r="AA110" s="4" t="str">
        <f>HYPERLINK("http://141.218.60.56/~jnz1568/getInfo.php?workbook=09_01.xlsx&amp;sheet=A0&amp;row=110&amp;col=27&amp;number=&amp;sourceID=13","")</f>
        <v/>
      </c>
      <c r="AB110" s="4" t="str">
        <f>HYPERLINK("http://141.218.60.56/~jnz1568/getInfo.php?workbook=09_01.xlsx&amp;sheet=A0&amp;row=110&amp;col=28&amp;number=3080000&amp;sourceID=13","3080000")</f>
        <v>3080000</v>
      </c>
      <c r="AC110" s="4" t="str">
        <f>HYPERLINK("http://141.218.60.56/~jnz1568/getInfo.php?workbook=09_01.xlsx&amp;sheet=A0&amp;row=110&amp;col=29&amp;number=&amp;sourceID=13","")</f>
        <v/>
      </c>
      <c r="AD110" s="4" t="str">
        <f>HYPERLINK("http://141.218.60.56/~jnz1568/getInfo.php?workbook=09_01.xlsx&amp;sheet=A0&amp;row=110&amp;col=30&amp;number=&amp;sourceID=13","")</f>
        <v/>
      </c>
      <c r="AE110" s="4" t="str">
        <f>HYPERLINK("http://141.218.60.56/~jnz1568/getInfo.php?workbook=09_01.xlsx&amp;sheet=A0&amp;row=110&amp;col=31&amp;number=&amp;sourceID=13","")</f>
        <v/>
      </c>
    </row>
    <row r="111" spans="1:31">
      <c r="A111" s="3">
        <v>9</v>
      </c>
      <c r="B111" s="3">
        <v>1</v>
      </c>
      <c r="C111" s="3">
        <v>16</v>
      </c>
      <c r="D111" s="3">
        <v>9</v>
      </c>
      <c r="E111" s="3">
        <f>((1/(INDEX(E0!J$4:J$28,C111,1)-INDEX(E0!J$4:J$28,D111,1))))*100000000</f>
        <v>0</v>
      </c>
      <c r="F111" s="4" t="str">
        <f>HYPERLINK("http://141.218.60.56/~jnz1568/getInfo.php?workbook=09_01.xlsx&amp;sheet=A0&amp;row=111&amp;col=6&amp;number=&amp;sourceID=18","")</f>
        <v/>
      </c>
      <c r="G111" s="4" t="str">
        <f>HYPERLINK("http://141.218.60.56/~jnz1568/getInfo.php?workbook=09_01.xlsx&amp;sheet=A0&amp;row=111&amp;col=7&amp;number==&amp;sourceID=11","=")</f>
        <v>=</v>
      </c>
      <c r="H111" s="4" t="str">
        <f>HYPERLINK("http://141.218.60.56/~jnz1568/getInfo.php?workbook=09_01.xlsx&amp;sheet=A0&amp;row=111&amp;col=8&amp;number=90504000000&amp;sourceID=11","90504000000")</f>
        <v>90504000000</v>
      </c>
      <c r="I111" s="4" t="str">
        <f>HYPERLINK("http://141.218.60.56/~jnz1568/getInfo.php?workbook=09_01.xlsx&amp;sheet=A0&amp;row=111&amp;col=9&amp;number=&amp;sourceID=11","")</f>
        <v/>
      </c>
      <c r="J111" s="4" t="str">
        <f>HYPERLINK("http://141.218.60.56/~jnz1568/getInfo.php?workbook=09_01.xlsx&amp;sheet=A0&amp;row=111&amp;col=10&amp;number=17.406&amp;sourceID=11","17.406")</f>
        <v>17.406</v>
      </c>
      <c r="K111" s="4" t="str">
        <f>HYPERLINK("http://141.218.60.56/~jnz1568/getInfo.php?workbook=09_01.xlsx&amp;sheet=A0&amp;row=111&amp;col=11&amp;number=&amp;sourceID=11","")</f>
        <v/>
      </c>
      <c r="L111" s="4" t="str">
        <f>HYPERLINK("http://141.218.60.56/~jnz1568/getInfo.php?workbook=09_01.xlsx&amp;sheet=A0&amp;row=111&amp;col=12&amp;number=365.64&amp;sourceID=11","365.64")</f>
        <v>365.64</v>
      </c>
      <c r="M111" s="4" t="str">
        <f>HYPERLINK("http://141.218.60.56/~jnz1568/getInfo.php?workbook=09_01.xlsx&amp;sheet=A0&amp;row=111&amp;col=13&amp;number=&amp;sourceID=11","")</f>
        <v/>
      </c>
      <c r="N111" s="4" t="str">
        <f>HYPERLINK("http://141.218.60.56/~jnz1568/getInfo.php?workbook=09_01.xlsx&amp;sheet=A0&amp;row=111&amp;col=14&amp;number=90507000000&amp;sourceID=12","90507000000")</f>
        <v>90507000000</v>
      </c>
      <c r="O111" s="4" t="str">
        <f>HYPERLINK("http://141.218.60.56/~jnz1568/getInfo.php?workbook=09_01.xlsx&amp;sheet=A0&amp;row=111&amp;col=15&amp;number=90507000000&amp;sourceID=12","90507000000")</f>
        <v>90507000000</v>
      </c>
      <c r="P111" s="4" t="str">
        <f>HYPERLINK("http://141.218.60.56/~jnz1568/getInfo.php?workbook=09_01.xlsx&amp;sheet=A0&amp;row=111&amp;col=16&amp;number=&amp;sourceID=12","")</f>
        <v/>
      </c>
      <c r="Q111" s="4" t="str">
        <f>HYPERLINK("http://141.218.60.56/~jnz1568/getInfo.php?workbook=09_01.xlsx&amp;sheet=A0&amp;row=111&amp;col=17&amp;number=17.406&amp;sourceID=12","17.406")</f>
        <v>17.406</v>
      </c>
      <c r="R111" s="4" t="str">
        <f>HYPERLINK("http://141.218.60.56/~jnz1568/getInfo.php?workbook=09_01.xlsx&amp;sheet=A0&amp;row=111&amp;col=18&amp;number=&amp;sourceID=12","")</f>
        <v/>
      </c>
      <c r="S111" s="4" t="str">
        <f>HYPERLINK("http://141.218.60.56/~jnz1568/getInfo.php?workbook=09_01.xlsx&amp;sheet=A0&amp;row=111&amp;col=19&amp;number=365.65&amp;sourceID=12","365.65")</f>
        <v>365.65</v>
      </c>
      <c r="T111" s="4" t="str">
        <f>HYPERLINK("http://141.218.60.56/~jnz1568/getInfo.php?workbook=09_01.xlsx&amp;sheet=A0&amp;row=111&amp;col=20&amp;number=&amp;sourceID=12","")</f>
        <v/>
      </c>
      <c r="U111" s="4" t="str">
        <f>HYPERLINK("http://141.218.60.56/~jnz1568/getInfo.php?workbook=09_01.xlsx&amp;sheet=A0&amp;row=111&amp;col=21&amp;number=90510000365.6&amp;sourceID=30","90510000365.6")</f>
        <v>90510000365.6</v>
      </c>
      <c r="V111" s="4" t="str">
        <f>HYPERLINK("http://141.218.60.56/~jnz1568/getInfo.php?workbook=09_01.xlsx&amp;sheet=A0&amp;row=111&amp;col=22&amp;number=90510000000&amp;sourceID=30","90510000000")</f>
        <v>90510000000</v>
      </c>
      <c r="W111" s="4" t="str">
        <f>HYPERLINK("http://141.218.60.56/~jnz1568/getInfo.php?workbook=09_01.xlsx&amp;sheet=A0&amp;row=111&amp;col=23&amp;number=&amp;sourceID=30","")</f>
        <v/>
      </c>
      <c r="X111" s="4" t="str">
        <f>HYPERLINK("http://141.218.60.56/~jnz1568/getInfo.php?workbook=09_01.xlsx&amp;sheet=A0&amp;row=111&amp;col=24&amp;number=&amp;sourceID=30","")</f>
        <v/>
      </c>
      <c r="Y111" s="4" t="str">
        <f>HYPERLINK("http://141.218.60.56/~jnz1568/getInfo.php?workbook=09_01.xlsx&amp;sheet=A0&amp;row=111&amp;col=25&amp;number=365.6&amp;sourceID=30","365.6")</f>
        <v>365.6</v>
      </c>
      <c r="Z111" s="4" t="str">
        <f>HYPERLINK("http://141.218.60.56/~jnz1568/getInfo.php?workbook=09_01.xlsx&amp;sheet=A0&amp;row=111&amp;col=26&amp;number==SUM(AA111:AE111)&amp;sourceID=13","=SUM(AA111:AE111)")</f>
        <v>=SUM(AA111:AE111)</v>
      </c>
      <c r="AA111" s="4" t="str">
        <f>HYPERLINK("http://141.218.60.56/~jnz1568/getInfo.php?workbook=09_01.xlsx&amp;sheet=A0&amp;row=111&amp;col=27&amp;number=90500000000&amp;sourceID=13","90500000000")</f>
        <v>90500000000</v>
      </c>
      <c r="AB111" s="4" t="str">
        <f>HYPERLINK("http://141.218.60.56/~jnz1568/getInfo.php?workbook=09_01.xlsx&amp;sheet=A0&amp;row=111&amp;col=28&amp;number=&amp;sourceID=13","")</f>
        <v/>
      </c>
      <c r="AC111" s="4" t="str">
        <f>HYPERLINK("http://141.218.60.56/~jnz1568/getInfo.php?workbook=09_01.xlsx&amp;sheet=A0&amp;row=111&amp;col=29&amp;number=&amp;sourceID=13","")</f>
        <v/>
      </c>
      <c r="AD111" s="4" t="str">
        <f>HYPERLINK("http://141.218.60.56/~jnz1568/getInfo.php?workbook=09_01.xlsx&amp;sheet=A0&amp;row=111&amp;col=30&amp;number=&amp;sourceID=13","")</f>
        <v/>
      </c>
      <c r="AE111" s="4" t="str">
        <f>HYPERLINK("http://141.218.60.56/~jnz1568/getInfo.php?workbook=09_01.xlsx&amp;sheet=A0&amp;row=111&amp;col=31&amp;number=&amp;sourceID=13","")</f>
        <v/>
      </c>
    </row>
    <row r="112" spans="1:31">
      <c r="A112" s="3">
        <v>9</v>
      </c>
      <c r="B112" s="3">
        <v>1</v>
      </c>
      <c r="C112" s="3">
        <v>16</v>
      </c>
      <c r="D112" s="3">
        <v>10</v>
      </c>
      <c r="E112" s="3">
        <f>((1/(INDEX(E0!J$4:J$28,C112,1)-INDEX(E0!J$4:J$28,D112,1))))*100000000</f>
        <v>0</v>
      </c>
      <c r="F112" s="4" t="str">
        <f>HYPERLINK("http://141.218.60.56/~jnz1568/getInfo.php?workbook=09_01.xlsx&amp;sheet=A0&amp;row=112&amp;col=6&amp;number=&amp;sourceID=18","")</f>
        <v/>
      </c>
      <c r="G112" s="4" t="str">
        <f>HYPERLINK("http://141.218.60.56/~jnz1568/getInfo.php?workbook=09_01.xlsx&amp;sheet=A0&amp;row=112&amp;col=7&amp;number==&amp;sourceID=11","=")</f>
        <v>=</v>
      </c>
      <c r="H112" s="4" t="str">
        <f>HYPERLINK("http://141.218.60.56/~jnz1568/getInfo.php?workbook=09_01.xlsx&amp;sheet=A0&amp;row=112&amp;col=8&amp;number=&amp;sourceID=11","")</f>
        <v/>
      </c>
      <c r="I112" s="4" t="str">
        <f>HYPERLINK("http://141.218.60.56/~jnz1568/getInfo.php?workbook=09_01.xlsx&amp;sheet=A0&amp;row=112&amp;col=9&amp;number=&amp;sourceID=11","")</f>
        <v/>
      </c>
      <c r="J112" s="4" t="str">
        <f>HYPERLINK("http://141.218.60.56/~jnz1568/getInfo.php?workbook=09_01.xlsx&amp;sheet=A0&amp;row=112&amp;col=10&amp;number=&amp;sourceID=11","")</f>
        <v/>
      </c>
      <c r="K112" s="4" t="str">
        <f>HYPERLINK("http://141.218.60.56/~jnz1568/getInfo.php?workbook=09_01.xlsx&amp;sheet=A0&amp;row=112&amp;col=11&amp;number=&amp;sourceID=11","")</f>
        <v/>
      </c>
      <c r="L112" s="4" t="str">
        <f>HYPERLINK("http://141.218.60.56/~jnz1568/getInfo.php?workbook=09_01.xlsx&amp;sheet=A0&amp;row=112&amp;col=12&amp;number=&amp;sourceID=11","")</f>
        <v/>
      </c>
      <c r="M112" s="4" t="str">
        <f>HYPERLINK("http://141.218.60.56/~jnz1568/getInfo.php?workbook=09_01.xlsx&amp;sheet=A0&amp;row=112&amp;col=13&amp;number=0&amp;sourceID=11","0")</f>
        <v>0</v>
      </c>
      <c r="N112" s="4" t="str">
        <f>HYPERLINK("http://141.218.60.56/~jnz1568/getInfo.php?workbook=09_01.xlsx&amp;sheet=A0&amp;row=112&amp;col=14&amp;number=0&amp;sourceID=12","0")</f>
        <v>0</v>
      </c>
      <c r="O112" s="4" t="str">
        <f>HYPERLINK("http://141.218.60.56/~jnz1568/getInfo.php?workbook=09_01.xlsx&amp;sheet=A0&amp;row=112&amp;col=15&amp;number=&amp;sourceID=12","")</f>
        <v/>
      </c>
      <c r="P112" s="4" t="str">
        <f>HYPERLINK("http://141.218.60.56/~jnz1568/getInfo.php?workbook=09_01.xlsx&amp;sheet=A0&amp;row=112&amp;col=16&amp;number=&amp;sourceID=12","")</f>
        <v/>
      </c>
      <c r="Q112" s="4" t="str">
        <f>HYPERLINK("http://141.218.60.56/~jnz1568/getInfo.php?workbook=09_01.xlsx&amp;sheet=A0&amp;row=112&amp;col=17&amp;number=&amp;sourceID=12","")</f>
        <v/>
      </c>
      <c r="R112" s="4" t="str">
        <f>HYPERLINK("http://141.218.60.56/~jnz1568/getInfo.php?workbook=09_01.xlsx&amp;sheet=A0&amp;row=112&amp;col=18&amp;number=&amp;sourceID=12","")</f>
        <v/>
      </c>
      <c r="S112" s="4" t="str">
        <f>HYPERLINK("http://141.218.60.56/~jnz1568/getInfo.php?workbook=09_01.xlsx&amp;sheet=A0&amp;row=112&amp;col=19&amp;number=&amp;sourceID=12","")</f>
        <v/>
      </c>
      <c r="T112" s="4" t="str">
        <f>HYPERLINK("http://141.218.60.56/~jnz1568/getInfo.php?workbook=09_01.xlsx&amp;sheet=A0&amp;row=112&amp;col=20&amp;number=0&amp;sourceID=12","0")</f>
        <v>0</v>
      </c>
      <c r="U112" s="4" t="str">
        <f>HYPERLINK("http://141.218.60.56/~jnz1568/getInfo.php?workbook=09_01.xlsx&amp;sheet=A0&amp;row=112&amp;col=21&amp;number=&amp;sourceID=30","")</f>
        <v/>
      </c>
      <c r="V112" s="4" t="str">
        <f>HYPERLINK("http://141.218.60.56/~jnz1568/getInfo.php?workbook=09_01.xlsx&amp;sheet=A0&amp;row=112&amp;col=22&amp;number=&amp;sourceID=30","")</f>
        <v/>
      </c>
      <c r="W112" s="4" t="str">
        <f>HYPERLINK("http://141.218.60.56/~jnz1568/getInfo.php?workbook=09_01.xlsx&amp;sheet=A0&amp;row=112&amp;col=23&amp;number=&amp;sourceID=30","")</f>
        <v/>
      </c>
      <c r="X112" s="4" t="str">
        <f>HYPERLINK("http://141.218.60.56/~jnz1568/getInfo.php?workbook=09_01.xlsx&amp;sheet=A0&amp;row=112&amp;col=24&amp;number=&amp;sourceID=30","")</f>
        <v/>
      </c>
      <c r="Y112" s="4" t="str">
        <f>HYPERLINK("http://141.218.60.56/~jnz1568/getInfo.php?workbook=09_01.xlsx&amp;sheet=A0&amp;row=112&amp;col=25&amp;number=&amp;sourceID=30","")</f>
        <v/>
      </c>
      <c r="Z112" s="4" t="str">
        <f>HYPERLINK("http://141.218.60.56/~jnz1568/getInfo.php?workbook=09_01.xlsx&amp;sheet=A0&amp;row=112&amp;col=26&amp;number=&amp;sourceID=13","")</f>
        <v/>
      </c>
      <c r="AA112" s="4" t="str">
        <f>HYPERLINK("http://141.218.60.56/~jnz1568/getInfo.php?workbook=09_01.xlsx&amp;sheet=A0&amp;row=112&amp;col=27&amp;number=&amp;sourceID=13","")</f>
        <v/>
      </c>
      <c r="AB112" s="4" t="str">
        <f>HYPERLINK("http://141.218.60.56/~jnz1568/getInfo.php?workbook=09_01.xlsx&amp;sheet=A0&amp;row=112&amp;col=28&amp;number=&amp;sourceID=13","")</f>
        <v/>
      </c>
      <c r="AC112" s="4" t="str">
        <f>HYPERLINK("http://141.218.60.56/~jnz1568/getInfo.php?workbook=09_01.xlsx&amp;sheet=A0&amp;row=112&amp;col=29&amp;number=&amp;sourceID=13","")</f>
        <v/>
      </c>
      <c r="AD112" s="4" t="str">
        <f>HYPERLINK("http://141.218.60.56/~jnz1568/getInfo.php?workbook=09_01.xlsx&amp;sheet=A0&amp;row=112&amp;col=30&amp;number=&amp;sourceID=13","")</f>
        <v/>
      </c>
      <c r="AE112" s="4" t="str">
        <f>HYPERLINK("http://141.218.60.56/~jnz1568/getInfo.php?workbook=09_01.xlsx&amp;sheet=A0&amp;row=112&amp;col=31&amp;number=&amp;sourceID=13","")</f>
        <v/>
      </c>
    </row>
    <row r="113" spans="1:31">
      <c r="A113" s="3">
        <v>9</v>
      </c>
      <c r="B113" s="3">
        <v>1</v>
      </c>
      <c r="C113" s="3">
        <v>16</v>
      </c>
      <c r="D113" s="3">
        <v>11</v>
      </c>
      <c r="E113" s="3">
        <f>((1/(INDEX(E0!J$4:J$28,C113,1)-INDEX(E0!J$4:J$28,D113,1))))*100000000</f>
        <v>0</v>
      </c>
      <c r="F113" s="4" t="str">
        <f>HYPERLINK("http://141.218.60.56/~jnz1568/getInfo.php?workbook=09_01.xlsx&amp;sheet=A0&amp;row=113&amp;col=6&amp;number=&amp;sourceID=18","")</f>
        <v/>
      </c>
      <c r="G113" s="4" t="str">
        <f>HYPERLINK("http://141.218.60.56/~jnz1568/getInfo.php?workbook=09_01.xlsx&amp;sheet=A0&amp;row=113&amp;col=7&amp;number==&amp;sourceID=11","=")</f>
        <v>=</v>
      </c>
      <c r="H113" s="4" t="str">
        <f>HYPERLINK("http://141.218.60.56/~jnz1568/getInfo.php?workbook=09_01.xlsx&amp;sheet=A0&amp;row=113&amp;col=8&amp;number=&amp;sourceID=11","")</f>
        <v/>
      </c>
      <c r="I113" s="4" t="str">
        <f>HYPERLINK("http://141.218.60.56/~jnz1568/getInfo.php?workbook=09_01.xlsx&amp;sheet=A0&amp;row=113&amp;col=9&amp;number=&amp;sourceID=11","")</f>
        <v/>
      </c>
      <c r="J113" s="4" t="str">
        <f>HYPERLINK("http://141.218.60.56/~jnz1568/getInfo.php?workbook=09_01.xlsx&amp;sheet=A0&amp;row=113&amp;col=10&amp;number=0&amp;sourceID=11","0")</f>
        <v>0</v>
      </c>
      <c r="K113" s="4" t="str">
        <f>HYPERLINK("http://141.218.60.56/~jnz1568/getInfo.php?workbook=09_01.xlsx&amp;sheet=A0&amp;row=113&amp;col=11&amp;number=&amp;sourceID=11","")</f>
        <v/>
      </c>
      <c r="L113" s="4" t="str">
        <f>HYPERLINK("http://141.218.60.56/~jnz1568/getInfo.php?workbook=09_01.xlsx&amp;sheet=A0&amp;row=113&amp;col=12&amp;number=&amp;sourceID=11","")</f>
        <v/>
      </c>
      <c r="M113" s="4" t="str">
        <f>HYPERLINK("http://141.218.60.56/~jnz1568/getInfo.php?workbook=09_01.xlsx&amp;sheet=A0&amp;row=113&amp;col=13&amp;number=&amp;sourceID=11","")</f>
        <v/>
      </c>
      <c r="N113" s="4" t="str">
        <f>HYPERLINK("http://141.218.60.56/~jnz1568/getInfo.php?workbook=09_01.xlsx&amp;sheet=A0&amp;row=113&amp;col=14&amp;number=0&amp;sourceID=12","0")</f>
        <v>0</v>
      </c>
      <c r="O113" s="4" t="str">
        <f>HYPERLINK("http://141.218.60.56/~jnz1568/getInfo.php?workbook=09_01.xlsx&amp;sheet=A0&amp;row=113&amp;col=15&amp;number=&amp;sourceID=12","")</f>
        <v/>
      </c>
      <c r="P113" s="4" t="str">
        <f>HYPERLINK("http://141.218.60.56/~jnz1568/getInfo.php?workbook=09_01.xlsx&amp;sheet=A0&amp;row=113&amp;col=16&amp;number=&amp;sourceID=12","")</f>
        <v/>
      </c>
      <c r="Q113" s="4" t="str">
        <f>HYPERLINK("http://141.218.60.56/~jnz1568/getInfo.php?workbook=09_01.xlsx&amp;sheet=A0&amp;row=113&amp;col=17&amp;number=0&amp;sourceID=12","0")</f>
        <v>0</v>
      </c>
      <c r="R113" s="4" t="str">
        <f>HYPERLINK("http://141.218.60.56/~jnz1568/getInfo.php?workbook=09_01.xlsx&amp;sheet=A0&amp;row=113&amp;col=18&amp;number=&amp;sourceID=12","")</f>
        <v/>
      </c>
      <c r="S113" s="4" t="str">
        <f>HYPERLINK("http://141.218.60.56/~jnz1568/getInfo.php?workbook=09_01.xlsx&amp;sheet=A0&amp;row=113&amp;col=19&amp;number=&amp;sourceID=12","")</f>
        <v/>
      </c>
      <c r="T113" s="4" t="str">
        <f>HYPERLINK("http://141.218.60.56/~jnz1568/getInfo.php?workbook=09_01.xlsx&amp;sheet=A0&amp;row=113&amp;col=20&amp;number=&amp;sourceID=12","")</f>
        <v/>
      </c>
      <c r="U113" s="4" t="str">
        <f>HYPERLINK("http://141.218.60.56/~jnz1568/getInfo.php?workbook=09_01.xlsx&amp;sheet=A0&amp;row=113&amp;col=21&amp;number=&amp;sourceID=30","")</f>
        <v/>
      </c>
      <c r="V113" s="4" t="str">
        <f>HYPERLINK("http://141.218.60.56/~jnz1568/getInfo.php?workbook=09_01.xlsx&amp;sheet=A0&amp;row=113&amp;col=22&amp;number=&amp;sourceID=30","")</f>
        <v/>
      </c>
      <c r="W113" s="4" t="str">
        <f>HYPERLINK("http://141.218.60.56/~jnz1568/getInfo.php?workbook=09_01.xlsx&amp;sheet=A0&amp;row=113&amp;col=23&amp;number=&amp;sourceID=30","")</f>
        <v/>
      </c>
      <c r="X113" s="4" t="str">
        <f>HYPERLINK("http://141.218.60.56/~jnz1568/getInfo.php?workbook=09_01.xlsx&amp;sheet=A0&amp;row=113&amp;col=24&amp;number=&amp;sourceID=30","")</f>
        <v/>
      </c>
      <c r="Y113" s="4" t="str">
        <f>HYPERLINK("http://141.218.60.56/~jnz1568/getInfo.php?workbook=09_01.xlsx&amp;sheet=A0&amp;row=113&amp;col=25&amp;number=&amp;sourceID=30","")</f>
        <v/>
      </c>
      <c r="Z113" s="4" t="str">
        <f>HYPERLINK("http://141.218.60.56/~jnz1568/getInfo.php?workbook=09_01.xlsx&amp;sheet=A0&amp;row=113&amp;col=26&amp;number=&amp;sourceID=13","")</f>
        <v/>
      </c>
      <c r="AA113" s="4" t="str">
        <f>HYPERLINK("http://141.218.60.56/~jnz1568/getInfo.php?workbook=09_01.xlsx&amp;sheet=A0&amp;row=113&amp;col=27&amp;number=&amp;sourceID=13","")</f>
        <v/>
      </c>
      <c r="AB113" s="4" t="str">
        <f>HYPERLINK("http://141.218.60.56/~jnz1568/getInfo.php?workbook=09_01.xlsx&amp;sheet=A0&amp;row=113&amp;col=28&amp;number=&amp;sourceID=13","")</f>
        <v/>
      </c>
      <c r="AC113" s="4" t="str">
        <f>HYPERLINK("http://141.218.60.56/~jnz1568/getInfo.php?workbook=09_01.xlsx&amp;sheet=A0&amp;row=113&amp;col=29&amp;number=&amp;sourceID=13","")</f>
        <v/>
      </c>
      <c r="AD113" s="4" t="str">
        <f>HYPERLINK("http://141.218.60.56/~jnz1568/getInfo.php?workbook=09_01.xlsx&amp;sheet=A0&amp;row=113&amp;col=30&amp;number=&amp;sourceID=13","")</f>
        <v/>
      </c>
      <c r="AE113" s="4" t="str">
        <f>HYPERLINK("http://141.218.60.56/~jnz1568/getInfo.php?workbook=09_01.xlsx&amp;sheet=A0&amp;row=113&amp;col=31&amp;number=&amp;sourceID=13","")</f>
        <v/>
      </c>
    </row>
    <row r="114" spans="1:31">
      <c r="A114" s="3">
        <v>9</v>
      </c>
      <c r="B114" s="3">
        <v>1</v>
      </c>
      <c r="C114" s="3">
        <v>16</v>
      </c>
      <c r="D114" s="3">
        <v>12</v>
      </c>
      <c r="E114" s="3">
        <f>((1/(INDEX(E0!J$4:J$28,C114,1)-INDEX(E0!J$4:J$28,D114,1))))*100000000</f>
        <v>0</v>
      </c>
      <c r="F114" s="4" t="str">
        <f>HYPERLINK("http://141.218.60.56/~jnz1568/getInfo.php?workbook=09_01.xlsx&amp;sheet=A0&amp;row=114&amp;col=6&amp;number=&amp;sourceID=18","")</f>
        <v/>
      </c>
      <c r="G114" s="4" t="str">
        <f>HYPERLINK("http://141.218.60.56/~jnz1568/getInfo.php?workbook=09_01.xlsx&amp;sheet=A0&amp;row=114&amp;col=7&amp;number==&amp;sourceID=11","=")</f>
        <v>=</v>
      </c>
      <c r="H114" s="4" t="str">
        <f>HYPERLINK("http://141.218.60.56/~jnz1568/getInfo.php?workbook=09_01.xlsx&amp;sheet=A0&amp;row=114&amp;col=8&amp;number=&amp;sourceID=11","")</f>
        <v/>
      </c>
      <c r="I114" s="4" t="str">
        <f>HYPERLINK("http://141.218.60.56/~jnz1568/getInfo.php?workbook=09_01.xlsx&amp;sheet=A0&amp;row=114&amp;col=9&amp;number=&amp;sourceID=11","")</f>
        <v/>
      </c>
      <c r="J114" s="4" t="str">
        <f>HYPERLINK("http://141.218.60.56/~jnz1568/getInfo.php?workbook=09_01.xlsx&amp;sheet=A0&amp;row=114&amp;col=10&amp;number=0&amp;sourceID=11","0")</f>
        <v>0</v>
      </c>
      <c r="K114" s="4" t="str">
        <f>HYPERLINK("http://141.218.60.56/~jnz1568/getInfo.php?workbook=09_01.xlsx&amp;sheet=A0&amp;row=114&amp;col=11&amp;number=&amp;sourceID=11","")</f>
        <v/>
      </c>
      <c r="L114" s="4" t="str">
        <f>HYPERLINK("http://141.218.60.56/~jnz1568/getInfo.php?workbook=09_01.xlsx&amp;sheet=A0&amp;row=114&amp;col=12&amp;number=1e-15&amp;sourceID=11","1e-15")</f>
        <v>1e-15</v>
      </c>
      <c r="M114" s="4" t="str">
        <f>HYPERLINK("http://141.218.60.56/~jnz1568/getInfo.php?workbook=09_01.xlsx&amp;sheet=A0&amp;row=114&amp;col=13&amp;number=&amp;sourceID=11","")</f>
        <v/>
      </c>
      <c r="N114" s="4" t="str">
        <f>HYPERLINK("http://141.218.60.56/~jnz1568/getInfo.php?workbook=09_01.xlsx&amp;sheet=A0&amp;row=114&amp;col=14&amp;number=1e-15&amp;sourceID=12","1e-15")</f>
        <v>1e-15</v>
      </c>
      <c r="O114" s="4" t="str">
        <f>HYPERLINK("http://141.218.60.56/~jnz1568/getInfo.php?workbook=09_01.xlsx&amp;sheet=A0&amp;row=114&amp;col=15&amp;number=&amp;sourceID=12","")</f>
        <v/>
      </c>
      <c r="P114" s="4" t="str">
        <f>HYPERLINK("http://141.218.60.56/~jnz1568/getInfo.php?workbook=09_01.xlsx&amp;sheet=A0&amp;row=114&amp;col=16&amp;number=&amp;sourceID=12","")</f>
        <v/>
      </c>
      <c r="Q114" s="4" t="str">
        <f>HYPERLINK("http://141.218.60.56/~jnz1568/getInfo.php?workbook=09_01.xlsx&amp;sheet=A0&amp;row=114&amp;col=17&amp;number=0&amp;sourceID=12","0")</f>
        <v>0</v>
      </c>
      <c r="R114" s="4" t="str">
        <f>HYPERLINK("http://141.218.60.56/~jnz1568/getInfo.php?workbook=09_01.xlsx&amp;sheet=A0&amp;row=114&amp;col=18&amp;number=&amp;sourceID=12","")</f>
        <v/>
      </c>
      <c r="S114" s="4" t="str">
        <f>HYPERLINK("http://141.218.60.56/~jnz1568/getInfo.php?workbook=09_01.xlsx&amp;sheet=A0&amp;row=114&amp;col=19&amp;number=1e-15&amp;sourceID=12","1e-15")</f>
        <v>1e-15</v>
      </c>
      <c r="T114" s="4" t="str">
        <f>HYPERLINK("http://141.218.60.56/~jnz1568/getInfo.php?workbook=09_01.xlsx&amp;sheet=A0&amp;row=114&amp;col=20&amp;number=&amp;sourceID=12","")</f>
        <v/>
      </c>
      <c r="U114" s="4" t="str">
        <f>HYPERLINK("http://141.218.60.56/~jnz1568/getInfo.php?workbook=09_01.xlsx&amp;sheet=A0&amp;row=114&amp;col=21&amp;number=1e-15&amp;sourceID=30","1e-15")</f>
        <v>1e-15</v>
      </c>
      <c r="V114" s="4" t="str">
        <f>HYPERLINK("http://141.218.60.56/~jnz1568/getInfo.php?workbook=09_01.xlsx&amp;sheet=A0&amp;row=114&amp;col=22&amp;number=&amp;sourceID=30","")</f>
        <v/>
      </c>
      <c r="W114" s="4" t="str">
        <f>HYPERLINK("http://141.218.60.56/~jnz1568/getInfo.php?workbook=09_01.xlsx&amp;sheet=A0&amp;row=114&amp;col=23&amp;number=&amp;sourceID=30","")</f>
        <v/>
      </c>
      <c r="X114" s="4" t="str">
        <f>HYPERLINK("http://141.218.60.56/~jnz1568/getInfo.php?workbook=09_01.xlsx&amp;sheet=A0&amp;row=114&amp;col=24&amp;number=&amp;sourceID=30","")</f>
        <v/>
      </c>
      <c r="Y114" s="4" t="str">
        <f>HYPERLINK("http://141.218.60.56/~jnz1568/getInfo.php?workbook=09_01.xlsx&amp;sheet=A0&amp;row=114&amp;col=25&amp;number=1e-15&amp;sourceID=30","1e-15")</f>
        <v>1e-15</v>
      </c>
      <c r="Z114" s="4" t="str">
        <f>HYPERLINK("http://141.218.60.56/~jnz1568/getInfo.php?workbook=09_01.xlsx&amp;sheet=A0&amp;row=114&amp;col=26&amp;number=&amp;sourceID=13","")</f>
        <v/>
      </c>
      <c r="AA114" s="4" t="str">
        <f>HYPERLINK("http://141.218.60.56/~jnz1568/getInfo.php?workbook=09_01.xlsx&amp;sheet=A0&amp;row=114&amp;col=27&amp;number=&amp;sourceID=13","")</f>
        <v/>
      </c>
      <c r="AB114" s="4" t="str">
        <f>HYPERLINK("http://141.218.60.56/~jnz1568/getInfo.php?workbook=09_01.xlsx&amp;sheet=A0&amp;row=114&amp;col=28&amp;number=&amp;sourceID=13","")</f>
        <v/>
      </c>
      <c r="AC114" s="4" t="str">
        <f>HYPERLINK("http://141.218.60.56/~jnz1568/getInfo.php?workbook=09_01.xlsx&amp;sheet=A0&amp;row=114&amp;col=29&amp;number=&amp;sourceID=13","")</f>
        <v/>
      </c>
      <c r="AD114" s="4" t="str">
        <f>HYPERLINK("http://141.218.60.56/~jnz1568/getInfo.php?workbook=09_01.xlsx&amp;sheet=A0&amp;row=114&amp;col=30&amp;number=&amp;sourceID=13","")</f>
        <v/>
      </c>
      <c r="AE114" s="4" t="str">
        <f>HYPERLINK("http://141.218.60.56/~jnz1568/getInfo.php?workbook=09_01.xlsx&amp;sheet=A0&amp;row=114&amp;col=31&amp;number=&amp;sourceID=13","")</f>
        <v/>
      </c>
    </row>
    <row r="115" spans="1:31">
      <c r="A115" s="3">
        <v>9</v>
      </c>
      <c r="B115" s="3">
        <v>1</v>
      </c>
      <c r="C115" s="3">
        <v>16</v>
      </c>
      <c r="D115" s="3">
        <v>13</v>
      </c>
      <c r="E115" s="3">
        <f>((1/(INDEX(E0!J$4:J$28,C115,1)-INDEX(E0!J$4:J$28,D115,1))))*100000000</f>
        <v>0</v>
      </c>
      <c r="F115" s="4" t="str">
        <f>HYPERLINK("http://141.218.60.56/~jnz1568/getInfo.php?workbook=09_01.xlsx&amp;sheet=A0&amp;row=115&amp;col=6&amp;number=&amp;sourceID=18","")</f>
        <v/>
      </c>
      <c r="G115" s="4" t="str">
        <f>HYPERLINK("http://141.218.60.56/~jnz1568/getInfo.php?workbook=09_01.xlsx&amp;sheet=A0&amp;row=115&amp;col=7&amp;number==&amp;sourceID=11","=")</f>
        <v>=</v>
      </c>
      <c r="H115" s="4" t="str">
        <f>HYPERLINK("http://141.218.60.56/~jnz1568/getInfo.php?workbook=09_01.xlsx&amp;sheet=A0&amp;row=115&amp;col=8&amp;number=&amp;sourceID=11","")</f>
        <v/>
      </c>
      <c r="I115" s="4" t="str">
        <f>HYPERLINK("http://141.218.60.56/~jnz1568/getInfo.php?workbook=09_01.xlsx&amp;sheet=A0&amp;row=115&amp;col=9&amp;number=4.4586e-11&amp;sourceID=11","4.4586e-11")</f>
        <v>4.4586e-11</v>
      </c>
      <c r="J115" s="4" t="str">
        <f>HYPERLINK("http://141.218.60.56/~jnz1568/getInfo.php?workbook=09_01.xlsx&amp;sheet=A0&amp;row=115&amp;col=10&amp;number=&amp;sourceID=11","")</f>
        <v/>
      </c>
      <c r="K115" s="4" t="str">
        <f>HYPERLINK("http://141.218.60.56/~jnz1568/getInfo.php?workbook=09_01.xlsx&amp;sheet=A0&amp;row=115&amp;col=11&amp;number=&amp;sourceID=11","")</f>
        <v/>
      </c>
      <c r="L115" s="4" t="str">
        <f>HYPERLINK("http://141.218.60.56/~jnz1568/getInfo.php?workbook=09_01.xlsx&amp;sheet=A0&amp;row=115&amp;col=12&amp;number=&amp;sourceID=11","")</f>
        <v/>
      </c>
      <c r="M115" s="4" t="str">
        <f>HYPERLINK("http://141.218.60.56/~jnz1568/getInfo.php?workbook=09_01.xlsx&amp;sheet=A0&amp;row=115&amp;col=13&amp;number=0&amp;sourceID=11","0")</f>
        <v>0</v>
      </c>
      <c r="N115" s="4" t="str">
        <f>HYPERLINK("http://141.218.60.56/~jnz1568/getInfo.php?workbook=09_01.xlsx&amp;sheet=A0&amp;row=115&amp;col=14&amp;number=4.4589e-11&amp;sourceID=12","4.4589e-11")</f>
        <v>4.4589e-11</v>
      </c>
      <c r="O115" s="4" t="str">
        <f>HYPERLINK("http://141.218.60.56/~jnz1568/getInfo.php?workbook=09_01.xlsx&amp;sheet=A0&amp;row=115&amp;col=15&amp;number=&amp;sourceID=12","")</f>
        <v/>
      </c>
      <c r="P115" s="4" t="str">
        <f>HYPERLINK("http://141.218.60.56/~jnz1568/getInfo.php?workbook=09_01.xlsx&amp;sheet=A0&amp;row=115&amp;col=16&amp;number=4.4589e-11&amp;sourceID=12","4.4589e-11")</f>
        <v>4.4589e-11</v>
      </c>
      <c r="Q115" s="4" t="str">
        <f>HYPERLINK("http://141.218.60.56/~jnz1568/getInfo.php?workbook=09_01.xlsx&amp;sheet=A0&amp;row=115&amp;col=17&amp;number=&amp;sourceID=12","")</f>
        <v/>
      </c>
      <c r="R115" s="4" t="str">
        <f>HYPERLINK("http://141.218.60.56/~jnz1568/getInfo.php?workbook=09_01.xlsx&amp;sheet=A0&amp;row=115&amp;col=18&amp;number=&amp;sourceID=12","")</f>
        <v/>
      </c>
      <c r="S115" s="4" t="str">
        <f>HYPERLINK("http://141.218.60.56/~jnz1568/getInfo.php?workbook=09_01.xlsx&amp;sheet=A0&amp;row=115&amp;col=19&amp;number=&amp;sourceID=12","")</f>
        <v/>
      </c>
      <c r="T115" s="4" t="str">
        <f>HYPERLINK("http://141.218.60.56/~jnz1568/getInfo.php?workbook=09_01.xlsx&amp;sheet=A0&amp;row=115&amp;col=20&amp;number=0&amp;sourceID=12","0")</f>
        <v>0</v>
      </c>
      <c r="U115" s="4" t="str">
        <f>HYPERLINK("http://141.218.60.56/~jnz1568/getInfo.php?workbook=09_01.xlsx&amp;sheet=A0&amp;row=115&amp;col=21&amp;number=4.459e-11&amp;sourceID=30","4.459e-11")</f>
        <v>4.459e-11</v>
      </c>
      <c r="V115" s="4" t="str">
        <f>HYPERLINK("http://141.218.60.56/~jnz1568/getInfo.php?workbook=09_01.xlsx&amp;sheet=A0&amp;row=115&amp;col=22&amp;number=&amp;sourceID=30","")</f>
        <v/>
      </c>
      <c r="W115" s="4" t="str">
        <f>HYPERLINK("http://141.218.60.56/~jnz1568/getInfo.php?workbook=09_01.xlsx&amp;sheet=A0&amp;row=115&amp;col=23&amp;number=4.459e-11&amp;sourceID=30","4.459e-11")</f>
        <v>4.459e-11</v>
      </c>
      <c r="X115" s="4" t="str">
        <f>HYPERLINK("http://141.218.60.56/~jnz1568/getInfo.php?workbook=09_01.xlsx&amp;sheet=A0&amp;row=115&amp;col=24&amp;number=&amp;sourceID=30","")</f>
        <v/>
      </c>
      <c r="Y115" s="4" t="str">
        <f>HYPERLINK("http://141.218.60.56/~jnz1568/getInfo.php?workbook=09_01.xlsx&amp;sheet=A0&amp;row=115&amp;col=25&amp;number=&amp;sourceID=30","")</f>
        <v/>
      </c>
      <c r="Z115" s="4" t="str">
        <f>HYPERLINK("http://141.218.60.56/~jnz1568/getInfo.php?workbook=09_01.xlsx&amp;sheet=A0&amp;row=115&amp;col=26&amp;number=&amp;sourceID=13","")</f>
        <v/>
      </c>
      <c r="AA115" s="4" t="str">
        <f>HYPERLINK("http://141.218.60.56/~jnz1568/getInfo.php?workbook=09_01.xlsx&amp;sheet=A0&amp;row=115&amp;col=27&amp;number=&amp;sourceID=13","")</f>
        <v/>
      </c>
      <c r="AB115" s="4" t="str">
        <f>HYPERLINK("http://141.218.60.56/~jnz1568/getInfo.php?workbook=09_01.xlsx&amp;sheet=A0&amp;row=115&amp;col=28&amp;number=&amp;sourceID=13","")</f>
        <v/>
      </c>
      <c r="AC115" s="4" t="str">
        <f>HYPERLINK("http://141.218.60.56/~jnz1568/getInfo.php?workbook=09_01.xlsx&amp;sheet=A0&amp;row=115&amp;col=29&amp;number=&amp;sourceID=13","")</f>
        <v/>
      </c>
      <c r="AD115" s="4" t="str">
        <f>HYPERLINK("http://141.218.60.56/~jnz1568/getInfo.php?workbook=09_01.xlsx&amp;sheet=A0&amp;row=115&amp;col=30&amp;number=&amp;sourceID=13","")</f>
        <v/>
      </c>
      <c r="AE115" s="4" t="str">
        <f>HYPERLINK("http://141.218.60.56/~jnz1568/getInfo.php?workbook=09_01.xlsx&amp;sheet=A0&amp;row=115&amp;col=31&amp;number=&amp;sourceID=13","")</f>
        <v/>
      </c>
    </row>
    <row r="116" spans="1:31">
      <c r="A116" s="3">
        <v>9</v>
      </c>
      <c r="B116" s="3">
        <v>1</v>
      </c>
      <c r="C116" s="3">
        <v>16</v>
      </c>
      <c r="D116" s="3">
        <v>14</v>
      </c>
      <c r="E116" s="3">
        <f>((1/(INDEX(E0!J$4:J$28,C116,1)-INDEX(E0!J$4:J$28,D116,1))))*100000000</f>
        <v>0</v>
      </c>
      <c r="F116" s="4" t="str">
        <f>HYPERLINK("http://141.218.60.56/~jnz1568/getInfo.php?workbook=09_01.xlsx&amp;sheet=A0&amp;row=116&amp;col=6&amp;number=&amp;sourceID=18","")</f>
        <v/>
      </c>
      <c r="G116" s="4" t="str">
        <f>HYPERLINK("http://141.218.60.56/~jnz1568/getInfo.php?workbook=09_01.xlsx&amp;sheet=A0&amp;row=116&amp;col=7&amp;number==&amp;sourceID=11","=")</f>
        <v>=</v>
      </c>
      <c r="H116" s="4" t="str">
        <f>HYPERLINK("http://141.218.60.56/~jnz1568/getInfo.php?workbook=09_01.xlsx&amp;sheet=A0&amp;row=116&amp;col=8&amp;number=&amp;sourceID=11","")</f>
        <v/>
      </c>
      <c r="I116" s="4" t="str">
        <f>HYPERLINK("http://141.218.60.56/~jnz1568/getInfo.php?workbook=09_01.xlsx&amp;sheet=A0&amp;row=116&amp;col=9&amp;number=2e-14&amp;sourceID=11","2e-14")</f>
        <v>2e-14</v>
      </c>
      <c r="J116" s="4" t="str">
        <f>HYPERLINK("http://141.218.60.56/~jnz1568/getInfo.php?workbook=09_01.xlsx&amp;sheet=A0&amp;row=116&amp;col=10&amp;number=&amp;sourceID=11","")</f>
        <v/>
      </c>
      <c r="K116" s="4" t="str">
        <f>HYPERLINK("http://141.218.60.56/~jnz1568/getInfo.php?workbook=09_01.xlsx&amp;sheet=A0&amp;row=116&amp;col=11&amp;number=1.4395e-06&amp;sourceID=11","1.4395e-06")</f>
        <v>1.4395e-06</v>
      </c>
      <c r="L116" s="4" t="str">
        <f>HYPERLINK("http://141.218.60.56/~jnz1568/getInfo.php?workbook=09_01.xlsx&amp;sheet=A0&amp;row=116&amp;col=12&amp;number=&amp;sourceID=11","")</f>
        <v/>
      </c>
      <c r="M116" s="4" t="str">
        <f>HYPERLINK("http://141.218.60.56/~jnz1568/getInfo.php?workbook=09_01.xlsx&amp;sheet=A0&amp;row=116&amp;col=13&amp;number=0&amp;sourceID=11","0")</f>
        <v>0</v>
      </c>
      <c r="N116" s="4" t="str">
        <f>HYPERLINK("http://141.218.60.56/~jnz1568/getInfo.php?workbook=09_01.xlsx&amp;sheet=A0&amp;row=116&amp;col=14&amp;number=1.4396e-06&amp;sourceID=12","1.4396e-06")</f>
        <v>1.4396e-06</v>
      </c>
      <c r="O116" s="4" t="str">
        <f>HYPERLINK("http://141.218.60.56/~jnz1568/getInfo.php?workbook=09_01.xlsx&amp;sheet=A0&amp;row=116&amp;col=15&amp;number=&amp;sourceID=12","")</f>
        <v/>
      </c>
      <c r="P116" s="4" t="str">
        <f>HYPERLINK("http://141.218.60.56/~jnz1568/getInfo.php?workbook=09_01.xlsx&amp;sheet=A0&amp;row=116&amp;col=16&amp;number=2e-14&amp;sourceID=12","2e-14")</f>
        <v>2e-14</v>
      </c>
      <c r="Q116" s="4" t="str">
        <f>HYPERLINK("http://141.218.60.56/~jnz1568/getInfo.php?workbook=09_01.xlsx&amp;sheet=A0&amp;row=116&amp;col=17&amp;number=&amp;sourceID=12","")</f>
        <v/>
      </c>
      <c r="R116" s="4" t="str">
        <f>HYPERLINK("http://141.218.60.56/~jnz1568/getInfo.php?workbook=09_01.xlsx&amp;sheet=A0&amp;row=116&amp;col=18&amp;number=1.4396e-06&amp;sourceID=12","1.4396e-06")</f>
        <v>1.4396e-06</v>
      </c>
      <c r="S116" s="4" t="str">
        <f>HYPERLINK("http://141.218.60.56/~jnz1568/getInfo.php?workbook=09_01.xlsx&amp;sheet=A0&amp;row=116&amp;col=19&amp;number=&amp;sourceID=12","")</f>
        <v/>
      </c>
      <c r="T116" s="4" t="str">
        <f>HYPERLINK("http://141.218.60.56/~jnz1568/getInfo.php?workbook=09_01.xlsx&amp;sheet=A0&amp;row=116&amp;col=20&amp;number=0&amp;sourceID=12","0")</f>
        <v>0</v>
      </c>
      <c r="U116" s="4" t="str">
        <f>HYPERLINK("http://141.218.60.56/~jnz1568/getInfo.php?workbook=09_01.xlsx&amp;sheet=A0&amp;row=116&amp;col=21&amp;number=1.44000002e-06&amp;sourceID=30","1.44000002e-06")</f>
        <v>1.44000002e-06</v>
      </c>
      <c r="V116" s="4" t="str">
        <f>HYPERLINK("http://141.218.60.56/~jnz1568/getInfo.php?workbook=09_01.xlsx&amp;sheet=A0&amp;row=116&amp;col=22&amp;number=&amp;sourceID=30","")</f>
        <v/>
      </c>
      <c r="W116" s="4" t="str">
        <f>HYPERLINK("http://141.218.60.56/~jnz1568/getInfo.php?workbook=09_01.xlsx&amp;sheet=A0&amp;row=116&amp;col=23&amp;number=2e-14&amp;sourceID=30","2e-14")</f>
        <v>2e-14</v>
      </c>
      <c r="X116" s="4" t="str">
        <f>HYPERLINK("http://141.218.60.56/~jnz1568/getInfo.php?workbook=09_01.xlsx&amp;sheet=A0&amp;row=116&amp;col=24&amp;number=1.44e-06&amp;sourceID=30","1.44e-06")</f>
        <v>1.44e-06</v>
      </c>
      <c r="Y116" s="4" t="str">
        <f>HYPERLINK("http://141.218.60.56/~jnz1568/getInfo.php?workbook=09_01.xlsx&amp;sheet=A0&amp;row=116&amp;col=25&amp;number=&amp;sourceID=30","")</f>
        <v/>
      </c>
      <c r="Z116" s="4" t="str">
        <f>HYPERLINK("http://141.218.60.56/~jnz1568/getInfo.php?workbook=09_01.xlsx&amp;sheet=A0&amp;row=116&amp;col=26&amp;number=&amp;sourceID=13","")</f>
        <v/>
      </c>
      <c r="AA116" s="4" t="str">
        <f>HYPERLINK("http://141.218.60.56/~jnz1568/getInfo.php?workbook=09_01.xlsx&amp;sheet=A0&amp;row=116&amp;col=27&amp;number=&amp;sourceID=13","")</f>
        <v/>
      </c>
      <c r="AB116" s="4" t="str">
        <f>HYPERLINK("http://141.218.60.56/~jnz1568/getInfo.php?workbook=09_01.xlsx&amp;sheet=A0&amp;row=116&amp;col=28&amp;number=&amp;sourceID=13","")</f>
        <v/>
      </c>
      <c r="AC116" s="4" t="str">
        <f>HYPERLINK("http://141.218.60.56/~jnz1568/getInfo.php?workbook=09_01.xlsx&amp;sheet=A0&amp;row=116&amp;col=29&amp;number=&amp;sourceID=13","")</f>
        <v/>
      </c>
      <c r="AD116" s="4" t="str">
        <f>HYPERLINK("http://141.218.60.56/~jnz1568/getInfo.php?workbook=09_01.xlsx&amp;sheet=A0&amp;row=116&amp;col=30&amp;number=&amp;sourceID=13","")</f>
        <v/>
      </c>
      <c r="AE116" s="4" t="str">
        <f>HYPERLINK("http://141.218.60.56/~jnz1568/getInfo.php?workbook=09_01.xlsx&amp;sheet=A0&amp;row=116&amp;col=31&amp;number=&amp;sourceID=13","")</f>
        <v/>
      </c>
    </row>
    <row r="117" spans="1:31">
      <c r="A117" s="3">
        <v>9</v>
      </c>
      <c r="B117" s="3">
        <v>1</v>
      </c>
      <c r="C117" s="3">
        <v>16</v>
      </c>
      <c r="D117" s="3">
        <v>15</v>
      </c>
      <c r="E117" s="3">
        <f>((1/(INDEX(E0!J$4:J$28,C117,1)-INDEX(E0!J$4:J$28,D117,1))))*100000000</f>
        <v>0</v>
      </c>
      <c r="F117" s="4" t="str">
        <f>HYPERLINK("http://141.218.60.56/~jnz1568/getInfo.php?workbook=09_01.xlsx&amp;sheet=A0&amp;row=117&amp;col=6&amp;number=&amp;sourceID=18","")</f>
        <v/>
      </c>
      <c r="G117" s="4" t="str">
        <f>HYPERLINK("http://141.218.60.56/~jnz1568/getInfo.php?workbook=09_01.xlsx&amp;sheet=A0&amp;row=117&amp;col=7&amp;number==&amp;sourceID=11","=")</f>
        <v>=</v>
      </c>
      <c r="H117" s="4" t="str">
        <f>HYPERLINK("http://141.218.60.56/~jnz1568/getInfo.php?workbook=09_01.xlsx&amp;sheet=A0&amp;row=117&amp;col=8&amp;number=0.33638&amp;sourceID=11","0.33638")</f>
        <v>0.33638</v>
      </c>
      <c r="I117" s="4" t="str">
        <f>HYPERLINK("http://141.218.60.56/~jnz1568/getInfo.php?workbook=09_01.xlsx&amp;sheet=A0&amp;row=117&amp;col=9&amp;number=&amp;sourceID=11","")</f>
        <v/>
      </c>
      <c r="J117" s="4" t="str">
        <f>HYPERLINK("http://141.218.60.56/~jnz1568/getInfo.php?workbook=09_01.xlsx&amp;sheet=A0&amp;row=117&amp;col=10&amp;number=0&amp;sourceID=11","0")</f>
        <v>0</v>
      </c>
      <c r="K117" s="4" t="str">
        <f>HYPERLINK("http://141.218.60.56/~jnz1568/getInfo.php?workbook=09_01.xlsx&amp;sheet=A0&amp;row=117&amp;col=11&amp;number=&amp;sourceID=11","")</f>
        <v/>
      </c>
      <c r="L117" s="4" t="str">
        <f>HYPERLINK("http://141.218.60.56/~jnz1568/getInfo.php?workbook=09_01.xlsx&amp;sheet=A0&amp;row=117&amp;col=12&amp;number=0&amp;sourceID=11","0")</f>
        <v>0</v>
      </c>
      <c r="M117" s="4" t="str">
        <f>HYPERLINK("http://141.218.60.56/~jnz1568/getInfo.php?workbook=09_01.xlsx&amp;sheet=A0&amp;row=117&amp;col=13&amp;number=&amp;sourceID=11","")</f>
        <v/>
      </c>
      <c r="N117" s="4" t="str">
        <f>HYPERLINK("http://141.218.60.56/~jnz1568/getInfo.php?workbook=09_01.xlsx&amp;sheet=A0&amp;row=117&amp;col=14&amp;number=0.3364&amp;sourceID=12","0.3364")</f>
        <v>0.3364</v>
      </c>
      <c r="O117" s="4" t="str">
        <f>HYPERLINK("http://141.218.60.56/~jnz1568/getInfo.php?workbook=09_01.xlsx&amp;sheet=A0&amp;row=117&amp;col=15&amp;number=0.3364&amp;sourceID=12","0.3364")</f>
        <v>0.3364</v>
      </c>
      <c r="P117" s="4" t="str">
        <f>HYPERLINK("http://141.218.60.56/~jnz1568/getInfo.php?workbook=09_01.xlsx&amp;sheet=A0&amp;row=117&amp;col=16&amp;number=&amp;sourceID=12","")</f>
        <v/>
      </c>
      <c r="Q117" s="4" t="str">
        <f>HYPERLINK("http://141.218.60.56/~jnz1568/getInfo.php?workbook=09_01.xlsx&amp;sheet=A0&amp;row=117&amp;col=17&amp;number=0&amp;sourceID=12","0")</f>
        <v>0</v>
      </c>
      <c r="R117" s="4" t="str">
        <f>HYPERLINK("http://141.218.60.56/~jnz1568/getInfo.php?workbook=09_01.xlsx&amp;sheet=A0&amp;row=117&amp;col=18&amp;number=&amp;sourceID=12","")</f>
        <v/>
      </c>
      <c r="S117" s="4" t="str">
        <f>HYPERLINK("http://141.218.60.56/~jnz1568/getInfo.php?workbook=09_01.xlsx&amp;sheet=A0&amp;row=117&amp;col=19&amp;number=0&amp;sourceID=12","0")</f>
        <v>0</v>
      </c>
      <c r="T117" s="4" t="str">
        <f>HYPERLINK("http://141.218.60.56/~jnz1568/getInfo.php?workbook=09_01.xlsx&amp;sheet=A0&amp;row=117&amp;col=20&amp;number=&amp;sourceID=12","")</f>
        <v/>
      </c>
      <c r="U117" s="4" t="str">
        <f>HYPERLINK("http://141.218.60.56/~jnz1568/getInfo.php?workbook=09_01.xlsx&amp;sheet=A0&amp;row=117&amp;col=21&amp;number=0.3364&amp;sourceID=30","0.3364")</f>
        <v>0.3364</v>
      </c>
      <c r="V117" s="4" t="str">
        <f>HYPERLINK("http://141.218.60.56/~jnz1568/getInfo.php?workbook=09_01.xlsx&amp;sheet=A0&amp;row=117&amp;col=22&amp;number=0.3364&amp;sourceID=30","0.3364")</f>
        <v>0.3364</v>
      </c>
      <c r="W117" s="4" t="str">
        <f>HYPERLINK("http://141.218.60.56/~jnz1568/getInfo.php?workbook=09_01.xlsx&amp;sheet=A0&amp;row=117&amp;col=23&amp;number=&amp;sourceID=30","")</f>
        <v/>
      </c>
      <c r="X117" s="4" t="str">
        <f>HYPERLINK("http://141.218.60.56/~jnz1568/getInfo.php?workbook=09_01.xlsx&amp;sheet=A0&amp;row=117&amp;col=24&amp;number=&amp;sourceID=30","")</f>
        <v/>
      </c>
      <c r="Y117" s="4" t="str">
        <f>HYPERLINK("http://141.218.60.56/~jnz1568/getInfo.php?workbook=09_01.xlsx&amp;sheet=A0&amp;row=117&amp;col=25&amp;number=0&amp;sourceID=30","0")</f>
        <v>0</v>
      </c>
      <c r="Z117" s="4" t="str">
        <f>HYPERLINK("http://141.218.60.56/~jnz1568/getInfo.php?workbook=09_01.xlsx&amp;sheet=A0&amp;row=117&amp;col=26&amp;number=&amp;sourceID=13","")</f>
        <v/>
      </c>
      <c r="AA117" s="4" t="str">
        <f>HYPERLINK("http://141.218.60.56/~jnz1568/getInfo.php?workbook=09_01.xlsx&amp;sheet=A0&amp;row=117&amp;col=27&amp;number=&amp;sourceID=13","")</f>
        <v/>
      </c>
      <c r="AB117" s="4" t="str">
        <f>HYPERLINK("http://141.218.60.56/~jnz1568/getInfo.php?workbook=09_01.xlsx&amp;sheet=A0&amp;row=117&amp;col=28&amp;number=&amp;sourceID=13","")</f>
        <v/>
      </c>
      <c r="AC117" s="4" t="str">
        <f>HYPERLINK("http://141.218.60.56/~jnz1568/getInfo.php?workbook=09_01.xlsx&amp;sheet=A0&amp;row=117&amp;col=29&amp;number=&amp;sourceID=13","")</f>
        <v/>
      </c>
      <c r="AD117" s="4" t="str">
        <f>HYPERLINK("http://141.218.60.56/~jnz1568/getInfo.php?workbook=09_01.xlsx&amp;sheet=A0&amp;row=117&amp;col=30&amp;number=&amp;sourceID=13","")</f>
        <v/>
      </c>
      <c r="AE117" s="4" t="str">
        <f>HYPERLINK("http://141.218.60.56/~jnz1568/getInfo.php?workbook=09_01.xlsx&amp;sheet=A0&amp;row=117&amp;col=31&amp;number=&amp;sourceID=13","")</f>
        <v/>
      </c>
    </row>
    <row r="118" spans="1:31">
      <c r="A118" s="3">
        <v>9</v>
      </c>
      <c r="B118" s="3">
        <v>1</v>
      </c>
      <c r="C118" s="3">
        <v>17</v>
      </c>
      <c r="D118" s="3">
        <v>1</v>
      </c>
      <c r="E118" s="3">
        <f>((1/(INDEX(E0!J$4:J$28,C118,1)-INDEX(E0!J$4:J$28,D118,1))))*100000000</f>
        <v>0</v>
      </c>
      <c r="F118" s="4" t="str">
        <f>HYPERLINK("http://141.218.60.56/~jnz1568/getInfo.php?workbook=09_01.xlsx&amp;sheet=A0&amp;row=118&amp;col=6&amp;number=&amp;sourceID=18","")</f>
        <v/>
      </c>
      <c r="G118" s="4" t="str">
        <f>HYPERLINK("http://141.218.60.56/~jnz1568/getInfo.php?workbook=09_01.xlsx&amp;sheet=A0&amp;row=118&amp;col=7&amp;number==&amp;sourceID=11","=")</f>
        <v>=</v>
      </c>
      <c r="H118" s="4" t="str">
        <f>HYPERLINK("http://141.218.60.56/~jnz1568/getInfo.php?workbook=09_01.xlsx&amp;sheet=A0&amp;row=118&amp;col=8&amp;number=225300000000&amp;sourceID=11","225300000000")</f>
        <v>225300000000</v>
      </c>
      <c r="I118" s="4" t="str">
        <f>HYPERLINK("http://141.218.60.56/~jnz1568/getInfo.php?workbook=09_01.xlsx&amp;sheet=A0&amp;row=118&amp;col=9&amp;number=&amp;sourceID=11","")</f>
        <v/>
      </c>
      <c r="J118" s="4" t="str">
        <f>HYPERLINK("http://141.218.60.56/~jnz1568/getInfo.php?workbook=09_01.xlsx&amp;sheet=A0&amp;row=118&amp;col=10&amp;number=&amp;sourceID=11","")</f>
        <v/>
      </c>
      <c r="K118" s="4" t="str">
        <f>HYPERLINK("http://141.218.60.56/~jnz1568/getInfo.php?workbook=09_01.xlsx&amp;sheet=A0&amp;row=118&amp;col=11&amp;number=&amp;sourceID=11","")</f>
        <v/>
      </c>
      <c r="L118" s="4" t="str">
        <f>HYPERLINK("http://141.218.60.56/~jnz1568/getInfo.php?workbook=09_01.xlsx&amp;sheet=A0&amp;row=118&amp;col=12&amp;number=&amp;sourceID=11","")</f>
        <v/>
      </c>
      <c r="M118" s="4" t="str">
        <f>HYPERLINK("http://141.218.60.56/~jnz1568/getInfo.php?workbook=09_01.xlsx&amp;sheet=A0&amp;row=118&amp;col=13&amp;number=&amp;sourceID=11","")</f>
        <v/>
      </c>
      <c r="N118" s="4" t="str">
        <f>HYPERLINK("http://141.218.60.56/~jnz1568/getInfo.php?workbook=09_01.xlsx&amp;sheet=A0&amp;row=118&amp;col=14&amp;number=225300000000&amp;sourceID=12","225300000000")</f>
        <v>225300000000</v>
      </c>
      <c r="O118" s="4" t="str">
        <f>HYPERLINK("http://141.218.60.56/~jnz1568/getInfo.php?workbook=09_01.xlsx&amp;sheet=A0&amp;row=118&amp;col=15&amp;number=225300000000&amp;sourceID=12","225300000000")</f>
        <v>225300000000</v>
      </c>
      <c r="P118" s="4" t="str">
        <f>HYPERLINK("http://141.218.60.56/~jnz1568/getInfo.php?workbook=09_01.xlsx&amp;sheet=A0&amp;row=118&amp;col=16&amp;number=&amp;sourceID=12","")</f>
        <v/>
      </c>
      <c r="Q118" s="4" t="str">
        <f>HYPERLINK("http://141.218.60.56/~jnz1568/getInfo.php?workbook=09_01.xlsx&amp;sheet=A0&amp;row=118&amp;col=17&amp;number=&amp;sourceID=12","")</f>
        <v/>
      </c>
      <c r="R118" s="4" t="str">
        <f>HYPERLINK("http://141.218.60.56/~jnz1568/getInfo.php?workbook=09_01.xlsx&amp;sheet=A0&amp;row=118&amp;col=18&amp;number=&amp;sourceID=12","")</f>
        <v/>
      </c>
      <c r="S118" s="4" t="str">
        <f>HYPERLINK("http://141.218.60.56/~jnz1568/getInfo.php?workbook=09_01.xlsx&amp;sheet=A0&amp;row=118&amp;col=19&amp;number=&amp;sourceID=12","")</f>
        <v/>
      </c>
      <c r="T118" s="4" t="str">
        <f>HYPERLINK("http://141.218.60.56/~jnz1568/getInfo.php?workbook=09_01.xlsx&amp;sheet=A0&amp;row=118&amp;col=20&amp;number=&amp;sourceID=12","")</f>
        <v/>
      </c>
      <c r="U118" s="4" t="str">
        <f>HYPERLINK("http://141.218.60.56/~jnz1568/getInfo.php?workbook=09_01.xlsx&amp;sheet=A0&amp;row=118&amp;col=21&amp;number=225300000000&amp;sourceID=30","225300000000")</f>
        <v>225300000000</v>
      </c>
      <c r="V118" s="4" t="str">
        <f>HYPERLINK("http://141.218.60.56/~jnz1568/getInfo.php?workbook=09_01.xlsx&amp;sheet=A0&amp;row=118&amp;col=22&amp;number=225300000000&amp;sourceID=30","225300000000")</f>
        <v>225300000000</v>
      </c>
      <c r="W118" s="4" t="str">
        <f>HYPERLINK("http://141.218.60.56/~jnz1568/getInfo.php?workbook=09_01.xlsx&amp;sheet=A0&amp;row=118&amp;col=23&amp;number=&amp;sourceID=30","")</f>
        <v/>
      </c>
      <c r="X118" s="4" t="str">
        <f>HYPERLINK("http://141.218.60.56/~jnz1568/getInfo.php?workbook=09_01.xlsx&amp;sheet=A0&amp;row=118&amp;col=24&amp;number=&amp;sourceID=30","")</f>
        <v/>
      </c>
      <c r="Y118" s="4" t="str">
        <f>HYPERLINK("http://141.218.60.56/~jnz1568/getInfo.php?workbook=09_01.xlsx&amp;sheet=A0&amp;row=118&amp;col=25&amp;number=&amp;sourceID=30","")</f>
        <v/>
      </c>
      <c r="Z118" s="4" t="str">
        <f>HYPERLINK("http://141.218.60.56/~jnz1568/getInfo.php?workbook=09_01.xlsx&amp;sheet=A0&amp;row=118&amp;col=26&amp;number=&amp;sourceID=13","")</f>
        <v/>
      </c>
      <c r="AA118" s="4" t="str">
        <f>HYPERLINK("http://141.218.60.56/~jnz1568/getInfo.php?workbook=09_01.xlsx&amp;sheet=A0&amp;row=118&amp;col=27&amp;number=&amp;sourceID=13","")</f>
        <v/>
      </c>
      <c r="AB118" s="4" t="str">
        <f>HYPERLINK("http://141.218.60.56/~jnz1568/getInfo.php?workbook=09_01.xlsx&amp;sheet=A0&amp;row=118&amp;col=28&amp;number=&amp;sourceID=13","")</f>
        <v/>
      </c>
      <c r="AC118" s="4" t="str">
        <f>HYPERLINK("http://141.218.60.56/~jnz1568/getInfo.php?workbook=09_01.xlsx&amp;sheet=A0&amp;row=118&amp;col=29&amp;number=&amp;sourceID=13","")</f>
        <v/>
      </c>
      <c r="AD118" s="4" t="str">
        <f>HYPERLINK("http://141.218.60.56/~jnz1568/getInfo.php?workbook=09_01.xlsx&amp;sheet=A0&amp;row=118&amp;col=30&amp;number=&amp;sourceID=13","")</f>
        <v/>
      </c>
      <c r="AE118" s="4" t="str">
        <f>HYPERLINK("http://141.218.60.56/~jnz1568/getInfo.php?workbook=09_01.xlsx&amp;sheet=A0&amp;row=118&amp;col=31&amp;number=&amp;sourceID=13","")</f>
        <v/>
      </c>
    </row>
    <row r="119" spans="1:31">
      <c r="A119" s="3">
        <v>9</v>
      </c>
      <c r="B119" s="3">
        <v>1</v>
      </c>
      <c r="C119" s="3">
        <v>17</v>
      </c>
      <c r="D119" s="3">
        <v>2</v>
      </c>
      <c r="E119" s="3">
        <f>((1/(INDEX(E0!J$4:J$28,C119,1)-INDEX(E0!J$4:J$28,D119,1))))*100000000</f>
        <v>0</v>
      </c>
      <c r="F119" s="4" t="str">
        <f>HYPERLINK("http://141.218.60.56/~jnz1568/getInfo.php?workbook=09_01.xlsx&amp;sheet=A0&amp;row=119&amp;col=6&amp;number=&amp;sourceID=18","")</f>
        <v/>
      </c>
      <c r="G119" s="4" t="str">
        <f>HYPERLINK("http://141.218.60.56/~jnz1568/getInfo.php?workbook=09_01.xlsx&amp;sheet=A0&amp;row=119&amp;col=7&amp;number==&amp;sourceID=11","=")</f>
        <v>=</v>
      </c>
      <c r="H119" s="4" t="str">
        <f>HYPERLINK("http://141.218.60.56/~jnz1568/getInfo.php?workbook=09_01.xlsx&amp;sheet=A0&amp;row=119&amp;col=8&amp;number=&amp;sourceID=11","")</f>
        <v/>
      </c>
      <c r="I119" s="4" t="str">
        <f>HYPERLINK("http://141.218.60.56/~jnz1568/getInfo.php?workbook=09_01.xlsx&amp;sheet=A0&amp;row=119&amp;col=9&amp;number=&amp;sourceID=11","")</f>
        <v/>
      </c>
      <c r="J119" s="4" t="str">
        <f>HYPERLINK("http://141.218.60.56/~jnz1568/getInfo.php?workbook=09_01.xlsx&amp;sheet=A0&amp;row=119&amp;col=10&amp;number=&amp;sourceID=11","")</f>
        <v/>
      </c>
      <c r="K119" s="4" t="str">
        <f>HYPERLINK("http://141.218.60.56/~jnz1568/getInfo.php?workbook=09_01.xlsx&amp;sheet=A0&amp;row=119&amp;col=11&amp;number=0.8675&amp;sourceID=11","0.8675")</f>
        <v>0.8675</v>
      </c>
      <c r="L119" s="4" t="str">
        <f>HYPERLINK("http://141.218.60.56/~jnz1568/getInfo.php?workbook=09_01.xlsx&amp;sheet=A0&amp;row=119&amp;col=12&amp;number=&amp;sourceID=11","")</f>
        <v/>
      </c>
      <c r="M119" s="4" t="str">
        <f>HYPERLINK("http://141.218.60.56/~jnz1568/getInfo.php?workbook=09_01.xlsx&amp;sheet=A0&amp;row=119&amp;col=13&amp;number=&amp;sourceID=11","")</f>
        <v/>
      </c>
      <c r="N119" s="4" t="str">
        <f>HYPERLINK("http://141.218.60.56/~jnz1568/getInfo.php?workbook=09_01.xlsx&amp;sheet=A0&amp;row=119&amp;col=14&amp;number=0.86766&amp;sourceID=12","0.86766")</f>
        <v>0.86766</v>
      </c>
      <c r="O119" s="4" t="str">
        <f>HYPERLINK("http://141.218.60.56/~jnz1568/getInfo.php?workbook=09_01.xlsx&amp;sheet=A0&amp;row=119&amp;col=15&amp;number=&amp;sourceID=12","")</f>
        <v/>
      </c>
      <c r="P119" s="4" t="str">
        <f>HYPERLINK("http://141.218.60.56/~jnz1568/getInfo.php?workbook=09_01.xlsx&amp;sheet=A0&amp;row=119&amp;col=16&amp;number=&amp;sourceID=12","")</f>
        <v/>
      </c>
      <c r="Q119" s="4" t="str">
        <f>HYPERLINK("http://141.218.60.56/~jnz1568/getInfo.php?workbook=09_01.xlsx&amp;sheet=A0&amp;row=119&amp;col=17&amp;number=&amp;sourceID=12","")</f>
        <v/>
      </c>
      <c r="R119" s="4" t="str">
        <f>HYPERLINK("http://141.218.60.56/~jnz1568/getInfo.php?workbook=09_01.xlsx&amp;sheet=A0&amp;row=119&amp;col=18&amp;number=0.86766&amp;sourceID=12","0.86766")</f>
        <v>0.86766</v>
      </c>
      <c r="S119" s="4" t="str">
        <f>HYPERLINK("http://141.218.60.56/~jnz1568/getInfo.php?workbook=09_01.xlsx&amp;sheet=A0&amp;row=119&amp;col=19&amp;number=&amp;sourceID=12","")</f>
        <v/>
      </c>
      <c r="T119" s="4" t="str">
        <f>HYPERLINK("http://141.218.60.56/~jnz1568/getInfo.php?workbook=09_01.xlsx&amp;sheet=A0&amp;row=119&amp;col=20&amp;number=&amp;sourceID=12","")</f>
        <v/>
      </c>
      <c r="U119" s="4" t="str">
        <f>HYPERLINK("http://141.218.60.56/~jnz1568/getInfo.php?workbook=09_01.xlsx&amp;sheet=A0&amp;row=119&amp;col=21&amp;number=0.8677&amp;sourceID=30","0.8677")</f>
        <v>0.8677</v>
      </c>
      <c r="V119" s="4" t="str">
        <f>HYPERLINK("http://141.218.60.56/~jnz1568/getInfo.php?workbook=09_01.xlsx&amp;sheet=A0&amp;row=119&amp;col=22&amp;number=&amp;sourceID=30","")</f>
        <v/>
      </c>
      <c r="W119" s="4" t="str">
        <f>HYPERLINK("http://141.218.60.56/~jnz1568/getInfo.php?workbook=09_01.xlsx&amp;sheet=A0&amp;row=119&amp;col=23&amp;number=&amp;sourceID=30","")</f>
        <v/>
      </c>
      <c r="X119" s="4" t="str">
        <f>HYPERLINK("http://141.218.60.56/~jnz1568/getInfo.php?workbook=09_01.xlsx&amp;sheet=A0&amp;row=119&amp;col=24&amp;number=0.8677&amp;sourceID=30","0.8677")</f>
        <v>0.8677</v>
      </c>
      <c r="Y119" s="4" t="str">
        <f>HYPERLINK("http://141.218.60.56/~jnz1568/getInfo.php?workbook=09_01.xlsx&amp;sheet=A0&amp;row=119&amp;col=25&amp;number=&amp;sourceID=30","")</f>
        <v/>
      </c>
      <c r="Z119" s="4" t="str">
        <f>HYPERLINK("http://141.218.60.56/~jnz1568/getInfo.php?workbook=09_01.xlsx&amp;sheet=A0&amp;row=119&amp;col=26&amp;number=&amp;sourceID=13","")</f>
        <v/>
      </c>
      <c r="AA119" s="4" t="str">
        <f>HYPERLINK("http://141.218.60.56/~jnz1568/getInfo.php?workbook=09_01.xlsx&amp;sheet=A0&amp;row=119&amp;col=27&amp;number=&amp;sourceID=13","")</f>
        <v/>
      </c>
      <c r="AB119" s="4" t="str">
        <f>HYPERLINK("http://141.218.60.56/~jnz1568/getInfo.php?workbook=09_01.xlsx&amp;sheet=A0&amp;row=119&amp;col=28&amp;number=&amp;sourceID=13","")</f>
        <v/>
      </c>
      <c r="AC119" s="4" t="str">
        <f>HYPERLINK("http://141.218.60.56/~jnz1568/getInfo.php?workbook=09_01.xlsx&amp;sheet=A0&amp;row=119&amp;col=29&amp;number=&amp;sourceID=13","")</f>
        <v/>
      </c>
      <c r="AD119" s="4" t="str">
        <f>HYPERLINK("http://141.218.60.56/~jnz1568/getInfo.php?workbook=09_01.xlsx&amp;sheet=A0&amp;row=119&amp;col=30&amp;number=&amp;sourceID=13","")</f>
        <v/>
      </c>
      <c r="AE119" s="4" t="str">
        <f>HYPERLINK("http://141.218.60.56/~jnz1568/getInfo.php?workbook=09_01.xlsx&amp;sheet=A0&amp;row=119&amp;col=31&amp;number=&amp;sourceID=13","")</f>
        <v/>
      </c>
    </row>
    <row r="120" spans="1:31">
      <c r="A120" s="3">
        <v>9</v>
      </c>
      <c r="B120" s="3">
        <v>1</v>
      </c>
      <c r="C120" s="3">
        <v>17</v>
      </c>
      <c r="D120" s="3">
        <v>3</v>
      </c>
      <c r="E120" s="3">
        <f>((1/(INDEX(E0!J$4:J$28,C120,1)-INDEX(E0!J$4:J$28,D120,1))))*100000000</f>
        <v>0</v>
      </c>
      <c r="F120" s="4" t="str">
        <f>HYPERLINK("http://141.218.60.56/~jnz1568/getInfo.php?workbook=09_01.xlsx&amp;sheet=A0&amp;row=120&amp;col=6&amp;number=&amp;sourceID=18","")</f>
        <v/>
      </c>
      <c r="G120" s="4" t="str">
        <f>HYPERLINK("http://141.218.60.56/~jnz1568/getInfo.php?workbook=09_01.xlsx&amp;sheet=A0&amp;row=120&amp;col=7&amp;number==&amp;sourceID=11","=")</f>
        <v>=</v>
      </c>
      <c r="H120" s="4" t="str">
        <f>HYPERLINK("http://141.218.60.56/~jnz1568/getInfo.php?workbook=09_01.xlsx&amp;sheet=A0&amp;row=120&amp;col=8&amp;number=32548000000&amp;sourceID=11","32548000000")</f>
        <v>32548000000</v>
      </c>
      <c r="I120" s="4" t="str">
        <f>HYPERLINK("http://141.218.60.56/~jnz1568/getInfo.php?workbook=09_01.xlsx&amp;sheet=A0&amp;row=120&amp;col=9&amp;number=&amp;sourceID=11","")</f>
        <v/>
      </c>
      <c r="J120" s="4" t="str">
        <f>HYPERLINK("http://141.218.60.56/~jnz1568/getInfo.php?workbook=09_01.xlsx&amp;sheet=A0&amp;row=120&amp;col=10&amp;number=&amp;sourceID=11","")</f>
        <v/>
      </c>
      <c r="K120" s="4" t="str">
        <f>HYPERLINK("http://141.218.60.56/~jnz1568/getInfo.php?workbook=09_01.xlsx&amp;sheet=A0&amp;row=120&amp;col=11&amp;number=&amp;sourceID=11","")</f>
        <v/>
      </c>
      <c r="L120" s="4" t="str">
        <f>HYPERLINK("http://141.218.60.56/~jnz1568/getInfo.php?workbook=09_01.xlsx&amp;sheet=A0&amp;row=120&amp;col=12&amp;number=&amp;sourceID=11","")</f>
        <v/>
      </c>
      <c r="M120" s="4" t="str">
        <f>HYPERLINK("http://141.218.60.56/~jnz1568/getInfo.php?workbook=09_01.xlsx&amp;sheet=A0&amp;row=120&amp;col=13&amp;number=&amp;sourceID=11","")</f>
        <v/>
      </c>
      <c r="N120" s="4" t="str">
        <f>HYPERLINK("http://141.218.60.56/~jnz1568/getInfo.php?workbook=09_01.xlsx&amp;sheet=A0&amp;row=120&amp;col=14&amp;number=32549000000&amp;sourceID=12","32549000000")</f>
        <v>32549000000</v>
      </c>
      <c r="O120" s="4" t="str">
        <f>HYPERLINK("http://141.218.60.56/~jnz1568/getInfo.php?workbook=09_01.xlsx&amp;sheet=A0&amp;row=120&amp;col=15&amp;number=32549000000&amp;sourceID=12","32549000000")</f>
        <v>32549000000</v>
      </c>
      <c r="P120" s="4" t="str">
        <f>HYPERLINK("http://141.218.60.56/~jnz1568/getInfo.php?workbook=09_01.xlsx&amp;sheet=A0&amp;row=120&amp;col=16&amp;number=&amp;sourceID=12","")</f>
        <v/>
      </c>
      <c r="Q120" s="4" t="str">
        <f>HYPERLINK("http://141.218.60.56/~jnz1568/getInfo.php?workbook=09_01.xlsx&amp;sheet=A0&amp;row=120&amp;col=17&amp;number=&amp;sourceID=12","")</f>
        <v/>
      </c>
      <c r="R120" s="4" t="str">
        <f>HYPERLINK("http://141.218.60.56/~jnz1568/getInfo.php?workbook=09_01.xlsx&amp;sheet=A0&amp;row=120&amp;col=18&amp;number=&amp;sourceID=12","")</f>
        <v/>
      </c>
      <c r="S120" s="4" t="str">
        <f>HYPERLINK("http://141.218.60.56/~jnz1568/getInfo.php?workbook=09_01.xlsx&amp;sheet=A0&amp;row=120&amp;col=19&amp;number=&amp;sourceID=12","")</f>
        <v/>
      </c>
      <c r="T120" s="4" t="str">
        <f>HYPERLINK("http://141.218.60.56/~jnz1568/getInfo.php?workbook=09_01.xlsx&amp;sheet=A0&amp;row=120&amp;col=20&amp;number=&amp;sourceID=12","")</f>
        <v/>
      </c>
      <c r="U120" s="4" t="str">
        <f>HYPERLINK("http://141.218.60.56/~jnz1568/getInfo.php?workbook=09_01.xlsx&amp;sheet=A0&amp;row=120&amp;col=21&amp;number=32550000000&amp;sourceID=30","32550000000")</f>
        <v>32550000000</v>
      </c>
      <c r="V120" s="4" t="str">
        <f>HYPERLINK("http://141.218.60.56/~jnz1568/getInfo.php?workbook=09_01.xlsx&amp;sheet=A0&amp;row=120&amp;col=22&amp;number=32550000000&amp;sourceID=30","32550000000")</f>
        <v>32550000000</v>
      </c>
      <c r="W120" s="4" t="str">
        <f>HYPERLINK("http://141.218.60.56/~jnz1568/getInfo.php?workbook=09_01.xlsx&amp;sheet=A0&amp;row=120&amp;col=23&amp;number=&amp;sourceID=30","")</f>
        <v/>
      </c>
      <c r="X120" s="4" t="str">
        <f>HYPERLINK("http://141.218.60.56/~jnz1568/getInfo.php?workbook=09_01.xlsx&amp;sheet=A0&amp;row=120&amp;col=24&amp;number=&amp;sourceID=30","")</f>
        <v/>
      </c>
      <c r="Y120" s="4" t="str">
        <f>HYPERLINK("http://141.218.60.56/~jnz1568/getInfo.php?workbook=09_01.xlsx&amp;sheet=A0&amp;row=120&amp;col=25&amp;number=&amp;sourceID=30","")</f>
        <v/>
      </c>
      <c r="Z120" s="4" t="str">
        <f>HYPERLINK("http://141.218.60.56/~jnz1568/getInfo.php?workbook=09_01.xlsx&amp;sheet=A0&amp;row=120&amp;col=26&amp;number=&amp;sourceID=13","")</f>
        <v/>
      </c>
      <c r="AA120" s="4" t="str">
        <f>HYPERLINK("http://141.218.60.56/~jnz1568/getInfo.php?workbook=09_01.xlsx&amp;sheet=A0&amp;row=120&amp;col=27&amp;number=&amp;sourceID=13","")</f>
        <v/>
      </c>
      <c r="AB120" s="4" t="str">
        <f>HYPERLINK("http://141.218.60.56/~jnz1568/getInfo.php?workbook=09_01.xlsx&amp;sheet=A0&amp;row=120&amp;col=28&amp;number=&amp;sourceID=13","")</f>
        <v/>
      </c>
      <c r="AC120" s="4" t="str">
        <f>HYPERLINK("http://141.218.60.56/~jnz1568/getInfo.php?workbook=09_01.xlsx&amp;sheet=A0&amp;row=120&amp;col=29&amp;number=&amp;sourceID=13","")</f>
        <v/>
      </c>
      <c r="AD120" s="4" t="str">
        <f>HYPERLINK("http://141.218.60.56/~jnz1568/getInfo.php?workbook=09_01.xlsx&amp;sheet=A0&amp;row=120&amp;col=30&amp;number=&amp;sourceID=13","")</f>
        <v/>
      </c>
      <c r="AE120" s="4" t="str">
        <f>HYPERLINK("http://141.218.60.56/~jnz1568/getInfo.php?workbook=09_01.xlsx&amp;sheet=A0&amp;row=120&amp;col=31&amp;number=&amp;sourceID=13","")</f>
        <v/>
      </c>
    </row>
    <row r="121" spans="1:31">
      <c r="A121" s="3">
        <v>9</v>
      </c>
      <c r="B121" s="3">
        <v>1</v>
      </c>
      <c r="C121" s="3">
        <v>17</v>
      </c>
      <c r="D121" s="3">
        <v>4</v>
      </c>
      <c r="E121" s="3">
        <f>((1/(INDEX(E0!J$4:J$28,C121,1)-INDEX(E0!J$4:J$28,D121,1))))*100000000</f>
        <v>0</v>
      </c>
      <c r="F121" s="4" t="str">
        <f>HYPERLINK("http://141.218.60.56/~jnz1568/getInfo.php?workbook=09_01.xlsx&amp;sheet=A0&amp;row=121&amp;col=6&amp;number=&amp;sourceID=18","")</f>
        <v/>
      </c>
      <c r="G121" s="4" t="str">
        <f>HYPERLINK("http://141.218.60.56/~jnz1568/getInfo.php?workbook=09_01.xlsx&amp;sheet=A0&amp;row=121&amp;col=7&amp;number==&amp;sourceID=11","=")</f>
        <v>=</v>
      </c>
      <c r="H121" s="4" t="str">
        <f>HYPERLINK("http://141.218.60.56/~jnz1568/getInfo.php?workbook=09_01.xlsx&amp;sheet=A0&amp;row=121&amp;col=8&amp;number=&amp;sourceID=11","")</f>
        <v/>
      </c>
      <c r="I121" s="4" t="str">
        <f>HYPERLINK("http://141.218.60.56/~jnz1568/getInfo.php?workbook=09_01.xlsx&amp;sheet=A0&amp;row=121&amp;col=9&amp;number=2794300&amp;sourceID=11","2794300")</f>
        <v>2794300</v>
      </c>
      <c r="J121" s="4" t="str">
        <f>HYPERLINK("http://141.218.60.56/~jnz1568/getInfo.php?workbook=09_01.xlsx&amp;sheet=A0&amp;row=121&amp;col=10&amp;number=&amp;sourceID=11","")</f>
        <v/>
      </c>
      <c r="K121" s="4" t="str">
        <f>HYPERLINK("http://141.218.60.56/~jnz1568/getInfo.php?workbook=09_01.xlsx&amp;sheet=A0&amp;row=121&amp;col=11&amp;number=15.23&amp;sourceID=11","15.23")</f>
        <v>15.23</v>
      </c>
      <c r="L121" s="4" t="str">
        <f>HYPERLINK("http://141.218.60.56/~jnz1568/getInfo.php?workbook=09_01.xlsx&amp;sheet=A0&amp;row=121&amp;col=12&amp;number=&amp;sourceID=11","")</f>
        <v/>
      </c>
      <c r="M121" s="4" t="str">
        <f>HYPERLINK("http://141.218.60.56/~jnz1568/getInfo.php?workbook=09_01.xlsx&amp;sheet=A0&amp;row=121&amp;col=13&amp;number=&amp;sourceID=11","")</f>
        <v/>
      </c>
      <c r="N121" s="4" t="str">
        <f>HYPERLINK("http://141.218.60.56/~jnz1568/getInfo.php?workbook=09_01.xlsx&amp;sheet=A0&amp;row=121&amp;col=14&amp;number=2794300&amp;sourceID=12","2794300")</f>
        <v>2794300</v>
      </c>
      <c r="O121" s="4" t="str">
        <f>HYPERLINK("http://141.218.60.56/~jnz1568/getInfo.php?workbook=09_01.xlsx&amp;sheet=A0&amp;row=121&amp;col=15&amp;number=&amp;sourceID=12","")</f>
        <v/>
      </c>
      <c r="P121" s="4" t="str">
        <f>HYPERLINK("http://141.218.60.56/~jnz1568/getInfo.php?workbook=09_01.xlsx&amp;sheet=A0&amp;row=121&amp;col=16&amp;number=2794300&amp;sourceID=12","2794300")</f>
        <v>2794300</v>
      </c>
      <c r="Q121" s="4" t="str">
        <f>HYPERLINK("http://141.218.60.56/~jnz1568/getInfo.php?workbook=09_01.xlsx&amp;sheet=A0&amp;row=121&amp;col=17&amp;number=&amp;sourceID=12","")</f>
        <v/>
      </c>
      <c r="R121" s="4" t="str">
        <f>HYPERLINK("http://141.218.60.56/~jnz1568/getInfo.php?workbook=09_01.xlsx&amp;sheet=A0&amp;row=121&amp;col=18&amp;number=15.23&amp;sourceID=12","15.23")</f>
        <v>15.23</v>
      </c>
      <c r="S121" s="4" t="str">
        <f>HYPERLINK("http://141.218.60.56/~jnz1568/getInfo.php?workbook=09_01.xlsx&amp;sheet=A0&amp;row=121&amp;col=19&amp;number=&amp;sourceID=12","")</f>
        <v/>
      </c>
      <c r="T121" s="4" t="str">
        <f>HYPERLINK("http://141.218.60.56/~jnz1568/getInfo.php?workbook=09_01.xlsx&amp;sheet=A0&amp;row=121&amp;col=20&amp;number=&amp;sourceID=12","")</f>
        <v/>
      </c>
      <c r="U121" s="4" t="str">
        <f>HYPERLINK("http://141.218.60.56/~jnz1568/getInfo.php?workbook=09_01.xlsx&amp;sheet=A0&amp;row=121&amp;col=21&amp;number=2794015.23&amp;sourceID=30","2794015.23")</f>
        <v>2794015.23</v>
      </c>
      <c r="V121" s="4" t="str">
        <f>HYPERLINK("http://141.218.60.56/~jnz1568/getInfo.php?workbook=09_01.xlsx&amp;sheet=A0&amp;row=121&amp;col=22&amp;number=&amp;sourceID=30","")</f>
        <v/>
      </c>
      <c r="W121" s="4" t="str">
        <f>HYPERLINK("http://141.218.60.56/~jnz1568/getInfo.php?workbook=09_01.xlsx&amp;sheet=A0&amp;row=121&amp;col=23&amp;number=2794000&amp;sourceID=30","2794000")</f>
        <v>2794000</v>
      </c>
      <c r="X121" s="4" t="str">
        <f>HYPERLINK("http://141.218.60.56/~jnz1568/getInfo.php?workbook=09_01.xlsx&amp;sheet=A0&amp;row=121&amp;col=24&amp;number=15.23&amp;sourceID=30","15.23")</f>
        <v>15.23</v>
      </c>
      <c r="Y121" s="4" t="str">
        <f>HYPERLINK("http://141.218.60.56/~jnz1568/getInfo.php?workbook=09_01.xlsx&amp;sheet=A0&amp;row=121&amp;col=25&amp;number=&amp;sourceID=30","")</f>
        <v/>
      </c>
      <c r="Z121" s="4" t="str">
        <f>HYPERLINK("http://141.218.60.56/~jnz1568/getInfo.php?workbook=09_01.xlsx&amp;sheet=A0&amp;row=121&amp;col=26&amp;number=&amp;sourceID=13","")</f>
        <v/>
      </c>
      <c r="AA121" s="4" t="str">
        <f>HYPERLINK("http://141.218.60.56/~jnz1568/getInfo.php?workbook=09_01.xlsx&amp;sheet=A0&amp;row=121&amp;col=27&amp;number=&amp;sourceID=13","")</f>
        <v/>
      </c>
      <c r="AB121" s="4" t="str">
        <f>HYPERLINK("http://141.218.60.56/~jnz1568/getInfo.php?workbook=09_01.xlsx&amp;sheet=A0&amp;row=121&amp;col=28&amp;number=&amp;sourceID=13","")</f>
        <v/>
      </c>
      <c r="AC121" s="4" t="str">
        <f>HYPERLINK("http://141.218.60.56/~jnz1568/getInfo.php?workbook=09_01.xlsx&amp;sheet=A0&amp;row=121&amp;col=29&amp;number=&amp;sourceID=13","")</f>
        <v/>
      </c>
      <c r="AD121" s="4" t="str">
        <f>HYPERLINK("http://141.218.60.56/~jnz1568/getInfo.php?workbook=09_01.xlsx&amp;sheet=A0&amp;row=121&amp;col=30&amp;number=&amp;sourceID=13","")</f>
        <v/>
      </c>
      <c r="AE121" s="4" t="str">
        <f>HYPERLINK("http://141.218.60.56/~jnz1568/getInfo.php?workbook=09_01.xlsx&amp;sheet=A0&amp;row=121&amp;col=31&amp;number=&amp;sourceID=13","")</f>
        <v/>
      </c>
    </row>
    <row r="122" spans="1:31">
      <c r="A122" s="3">
        <v>9</v>
      </c>
      <c r="B122" s="3">
        <v>1</v>
      </c>
      <c r="C122" s="3">
        <v>17</v>
      </c>
      <c r="D122" s="3">
        <v>5</v>
      </c>
      <c r="E122" s="3">
        <f>((1/(INDEX(E0!J$4:J$28,C122,1)-INDEX(E0!J$4:J$28,D122,1))))*100000000</f>
        <v>0</v>
      </c>
      <c r="F122" s="4" t="str">
        <f>HYPERLINK("http://141.218.60.56/~jnz1568/getInfo.php?workbook=09_01.xlsx&amp;sheet=A0&amp;row=122&amp;col=6&amp;number=&amp;sourceID=18","")</f>
        <v/>
      </c>
      <c r="G122" s="4" t="str">
        <f>HYPERLINK("http://141.218.60.56/~jnz1568/getInfo.php?workbook=09_01.xlsx&amp;sheet=A0&amp;row=122&amp;col=7&amp;number==&amp;sourceID=11","=")</f>
        <v>=</v>
      </c>
      <c r="H122" s="4" t="str">
        <f>HYPERLINK("http://141.218.60.56/~jnz1568/getInfo.php?workbook=09_01.xlsx&amp;sheet=A0&amp;row=122&amp;col=8&amp;number=&amp;sourceID=11","")</f>
        <v/>
      </c>
      <c r="I122" s="4" t="str">
        <f>HYPERLINK("http://141.218.60.56/~jnz1568/getInfo.php?workbook=09_01.xlsx&amp;sheet=A0&amp;row=122&amp;col=9&amp;number=&amp;sourceID=11","")</f>
        <v/>
      </c>
      <c r="J122" s="4" t="str">
        <f>HYPERLINK("http://141.218.60.56/~jnz1568/getInfo.php?workbook=09_01.xlsx&amp;sheet=A0&amp;row=122&amp;col=10&amp;number=&amp;sourceID=11","")</f>
        <v/>
      </c>
      <c r="K122" s="4" t="str">
        <f>HYPERLINK("http://141.218.60.56/~jnz1568/getInfo.php?workbook=09_01.xlsx&amp;sheet=A0&amp;row=122&amp;col=11&amp;number=0.026934&amp;sourceID=11","0.026934")</f>
        <v>0.026934</v>
      </c>
      <c r="L122" s="4" t="str">
        <f>HYPERLINK("http://141.218.60.56/~jnz1568/getInfo.php?workbook=09_01.xlsx&amp;sheet=A0&amp;row=122&amp;col=12&amp;number=&amp;sourceID=11","")</f>
        <v/>
      </c>
      <c r="M122" s="4" t="str">
        <f>HYPERLINK("http://141.218.60.56/~jnz1568/getInfo.php?workbook=09_01.xlsx&amp;sheet=A0&amp;row=122&amp;col=13&amp;number=&amp;sourceID=11","")</f>
        <v/>
      </c>
      <c r="N122" s="4" t="str">
        <f>HYPERLINK("http://141.218.60.56/~jnz1568/getInfo.php?workbook=09_01.xlsx&amp;sheet=A0&amp;row=122&amp;col=14&amp;number=0.026934&amp;sourceID=12","0.026934")</f>
        <v>0.026934</v>
      </c>
      <c r="O122" s="4" t="str">
        <f>HYPERLINK("http://141.218.60.56/~jnz1568/getInfo.php?workbook=09_01.xlsx&amp;sheet=A0&amp;row=122&amp;col=15&amp;number=&amp;sourceID=12","")</f>
        <v/>
      </c>
      <c r="P122" s="4" t="str">
        <f>HYPERLINK("http://141.218.60.56/~jnz1568/getInfo.php?workbook=09_01.xlsx&amp;sheet=A0&amp;row=122&amp;col=16&amp;number=&amp;sourceID=12","")</f>
        <v/>
      </c>
      <c r="Q122" s="4" t="str">
        <f>HYPERLINK("http://141.218.60.56/~jnz1568/getInfo.php?workbook=09_01.xlsx&amp;sheet=A0&amp;row=122&amp;col=17&amp;number=&amp;sourceID=12","")</f>
        <v/>
      </c>
      <c r="R122" s="4" t="str">
        <f>HYPERLINK("http://141.218.60.56/~jnz1568/getInfo.php?workbook=09_01.xlsx&amp;sheet=A0&amp;row=122&amp;col=18&amp;number=0.026934&amp;sourceID=12","0.026934")</f>
        <v>0.026934</v>
      </c>
      <c r="S122" s="4" t="str">
        <f>HYPERLINK("http://141.218.60.56/~jnz1568/getInfo.php?workbook=09_01.xlsx&amp;sheet=A0&amp;row=122&amp;col=19&amp;number=&amp;sourceID=12","")</f>
        <v/>
      </c>
      <c r="T122" s="4" t="str">
        <f>HYPERLINK("http://141.218.60.56/~jnz1568/getInfo.php?workbook=09_01.xlsx&amp;sheet=A0&amp;row=122&amp;col=20&amp;number=&amp;sourceID=12","")</f>
        <v/>
      </c>
      <c r="U122" s="4" t="str">
        <f>HYPERLINK("http://141.218.60.56/~jnz1568/getInfo.php?workbook=09_01.xlsx&amp;sheet=A0&amp;row=122&amp;col=21&amp;number=0.02697&amp;sourceID=30","0.02697")</f>
        <v>0.02697</v>
      </c>
      <c r="V122" s="4" t="str">
        <f>HYPERLINK("http://141.218.60.56/~jnz1568/getInfo.php?workbook=09_01.xlsx&amp;sheet=A0&amp;row=122&amp;col=22&amp;number=&amp;sourceID=30","")</f>
        <v/>
      </c>
      <c r="W122" s="4" t="str">
        <f>HYPERLINK("http://141.218.60.56/~jnz1568/getInfo.php?workbook=09_01.xlsx&amp;sheet=A0&amp;row=122&amp;col=23&amp;number=&amp;sourceID=30","")</f>
        <v/>
      </c>
      <c r="X122" s="4" t="str">
        <f>HYPERLINK("http://141.218.60.56/~jnz1568/getInfo.php?workbook=09_01.xlsx&amp;sheet=A0&amp;row=122&amp;col=24&amp;number=0.02697&amp;sourceID=30","0.02697")</f>
        <v>0.02697</v>
      </c>
      <c r="Y122" s="4" t="str">
        <f>HYPERLINK("http://141.218.60.56/~jnz1568/getInfo.php?workbook=09_01.xlsx&amp;sheet=A0&amp;row=122&amp;col=25&amp;number=&amp;sourceID=30","")</f>
        <v/>
      </c>
      <c r="Z122" s="4" t="str">
        <f>HYPERLINK("http://141.218.60.56/~jnz1568/getInfo.php?workbook=09_01.xlsx&amp;sheet=A0&amp;row=122&amp;col=26&amp;number=&amp;sourceID=13","")</f>
        <v/>
      </c>
      <c r="AA122" s="4" t="str">
        <f>HYPERLINK("http://141.218.60.56/~jnz1568/getInfo.php?workbook=09_01.xlsx&amp;sheet=A0&amp;row=122&amp;col=27&amp;number=&amp;sourceID=13","")</f>
        <v/>
      </c>
      <c r="AB122" s="4" t="str">
        <f>HYPERLINK("http://141.218.60.56/~jnz1568/getInfo.php?workbook=09_01.xlsx&amp;sheet=A0&amp;row=122&amp;col=28&amp;number=&amp;sourceID=13","")</f>
        <v/>
      </c>
      <c r="AC122" s="4" t="str">
        <f>HYPERLINK("http://141.218.60.56/~jnz1568/getInfo.php?workbook=09_01.xlsx&amp;sheet=A0&amp;row=122&amp;col=29&amp;number=&amp;sourceID=13","")</f>
        <v/>
      </c>
      <c r="AD122" s="4" t="str">
        <f>HYPERLINK("http://141.218.60.56/~jnz1568/getInfo.php?workbook=09_01.xlsx&amp;sheet=A0&amp;row=122&amp;col=30&amp;number=&amp;sourceID=13","")</f>
        <v/>
      </c>
      <c r="AE122" s="4" t="str">
        <f>HYPERLINK("http://141.218.60.56/~jnz1568/getInfo.php?workbook=09_01.xlsx&amp;sheet=A0&amp;row=122&amp;col=31&amp;number=&amp;sourceID=13","")</f>
        <v/>
      </c>
    </row>
    <row r="123" spans="1:31">
      <c r="A123" s="3">
        <v>9</v>
      </c>
      <c r="B123" s="3">
        <v>1</v>
      </c>
      <c r="C123" s="3">
        <v>17</v>
      </c>
      <c r="D123" s="3">
        <v>6</v>
      </c>
      <c r="E123" s="3">
        <f>((1/(INDEX(E0!J$4:J$28,C123,1)-INDEX(E0!J$4:J$28,D123,1))))*100000000</f>
        <v>0</v>
      </c>
      <c r="F123" s="4" t="str">
        <f>HYPERLINK("http://141.218.60.56/~jnz1568/getInfo.php?workbook=09_01.xlsx&amp;sheet=A0&amp;row=123&amp;col=6&amp;number=&amp;sourceID=18","")</f>
        <v/>
      </c>
      <c r="G123" s="4" t="str">
        <f>HYPERLINK("http://141.218.60.56/~jnz1568/getInfo.php?workbook=09_01.xlsx&amp;sheet=A0&amp;row=123&amp;col=7&amp;number==&amp;sourceID=11","=")</f>
        <v>=</v>
      </c>
      <c r="H123" s="4" t="str">
        <f>HYPERLINK("http://141.218.60.56/~jnz1568/getInfo.php?workbook=09_01.xlsx&amp;sheet=A0&amp;row=123&amp;col=8&amp;number=10774000000&amp;sourceID=11","10774000000")</f>
        <v>10774000000</v>
      </c>
      <c r="I123" s="4" t="str">
        <f>HYPERLINK("http://141.218.60.56/~jnz1568/getInfo.php?workbook=09_01.xlsx&amp;sheet=A0&amp;row=123&amp;col=9&amp;number=&amp;sourceID=11","")</f>
        <v/>
      </c>
      <c r="J123" s="4" t="str">
        <f>HYPERLINK("http://141.218.60.56/~jnz1568/getInfo.php?workbook=09_01.xlsx&amp;sheet=A0&amp;row=123&amp;col=10&amp;number=&amp;sourceID=11","")</f>
        <v/>
      </c>
      <c r="K123" s="4" t="str">
        <f>HYPERLINK("http://141.218.60.56/~jnz1568/getInfo.php?workbook=09_01.xlsx&amp;sheet=A0&amp;row=123&amp;col=11&amp;number=&amp;sourceID=11","")</f>
        <v/>
      </c>
      <c r="L123" s="4" t="str">
        <f>HYPERLINK("http://141.218.60.56/~jnz1568/getInfo.php?workbook=09_01.xlsx&amp;sheet=A0&amp;row=123&amp;col=12&amp;number=&amp;sourceID=11","")</f>
        <v/>
      </c>
      <c r="M123" s="4" t="str">
        <f>HYPERLINK("http://141.218.60.56/~jnz1568/getInfo.php?workbook=09_01.xlsx&amp;sheet=A0&amp;row=123&amp;col=13&amp;number=&amp;sourceID=11","")</f>
        <v/>
      </c>
      <c r="N123" s="4" t="str">
        <f>HYPERLINK("http://141.218.60.56/~jnz1568/getInfo.php?workbook=09_01.xlsx&amp;sheet=A0&amp;row=123&amp;col=14&amp;number=10775000000&amp;sourceID=12","10775000000")</f>
        <v>10775000000</v>
      </c>
      <c r="O123" s="4" t="str">
        <f>HYPERLINK("http://141.218.60.56/~jnz1568/getInfo.php?workbook=09_01.xlsx&amp;sheet=A0&amp;row=123&amp;col=15&amp;number=10775000000&amp;sourceID=12","10775000000")</f>
        <v>10775000000</v>
      </c>
      <c r="P123" s="4" t="str">
        <f>HYPERLINK("http://141.218.60.56/~jnz1568/getInfo.php?workbook=09_01.xlsx&amp;sheet=A0&amp;row=123&amp;col=16&amp;number=&amp;sourceID=12","")</f>
        <v/>
      </c>
      <c r="Q123" s="4" t="str">
        <f>HYPERLINK("http://141.218.60.56/~jnz1568/getInfo.php?workbook=09_01.xlsx&amp;sheet=A0&amp;row=123&amp;col=17&amp;number=&amp;sourceID=12","")</f>
        <v/>
      </c>
      <c r="R123" s="4" t="str">
        <f>HYPERLINK("http://141.218.60.56/~jnz1568/getInfo.php?workbook=09_01.xlsx&amp;sheet=A0&amp;row=123&amp;col=18&amp;number=&amp;sourceID=12","")</f>
        <v/>
      </c>
      <c r="S123" s="4" t="str">
        <f>HYPERLINK("http://141.218.60.56/~jnz1568/getInfo.php?workbook=09_01.xlsx&amp;sheet=A0&amp;row=123&amp;col=19&amp;number=&amp;sourceID=12","")</f>
        <v/>
      </c>
      <c r="T123" s="4" t="str">
        <f>HYPERLINK("http://141.218.60.56/~jnz1568/getInfo.php?workbook=09_01.xlsx&amp;sheet=A0&amp;row=123&amp;col=20&amp;number=&amp;sourceID=12","")</f>
        <v/>
      </c>
      <c r="U123" s="4" t="str">
        <f>HYPERLINK("http://141.218.60.56/~jnz1568/getInfo.php?workbook=09_01.xlsx&amp;sheet=A0&amp;row=123&amp;col=21&amp;number=10780000000&amp;sourceID=30","10780000000")</f>
        <v>10780000000</v>
      </c>
      <c r="V123" s="4" t="str">
        <f>HYPERLINK("http://141.218.60.56/~jnz1568/getInfo.php?workbook=09_01.xlsx&amp;sheet=A0&amp;row=123&amp;col=22&amp;number=10780000000&amp;sourceID=30","10780000000")</f>
        <v>10780000000</v>
      </c>
      <c r="W123" s="4" t="str">
        <f>HYPERLINK("http://141.218.60.56/~jnz1568/getInfo.php?workbook=09_01.xlsx&amp;sheet=A0&amp;row=123&amp;col=23&amp;number=&amp;sourceID=30","")</f>
        <v/>
      </c>
      <c r="X123" s="4" t="str">
        <f>HYPERLINK("http://141.218.60.56/~jnz1568/getInfo.php?workbook=09_01.xlsx&amp;sheet=A0&amp;row=123&amp;col=24&amp;number=&amp;sourceID=30","")</f>
        <v/>
      </c>
      <c r="Y123" s="4" t="str">
        <f>HYPERLINK("http://141.218.60.56/~jnz1568/getInfo.php?workbook=09_01.xlsx&amp;sheet=A0&amp;row=123&amp;col=25&amp;number=&amp;sourceID=30","")</f>
        <v/>
      </c>
      <c r="Z123" s="4" t="str">
        <f>HYPERLINK("http://141.218.60.56/~jnz1568/getInfo.php?workbook=09_01.xlsx&amp;sheet=A0&amp;row=123&amp;col=26&amp;number=&amp;sourceID=13","")</f>
        <v/>
      </c>
      <c r="AA123" s="4" t="str">
        <f>HYPERLINK("http://141.218.60.56/~jnz1568/getInfo.php?workbook=09_01.xlsx&amp;sheet=A0&amp;row=123&amp;col=27&amp;number=&amp;sourceID=13","")</f>
        <v/>
      </c>
      <c r="AB123" s="4" t="str">
        <f>HYPERLINK("http://141.218.60.56/~jnz1568/getInfo.php?workbook=09_01.xlsx&amp;sheet=A0&amp;row=123&amp;col=28&amp;number=&amp;sourceID=13","")</f>
        <v/>
      </c>
      <c r="AC123" s="4" t="str">
        <f>HYPERLINK("http://141.218.60.56/~jnz1568/getInfo.php?workbook=09_01.xlsx&amp;sheet=A0&amp;row=123&amp;col=29&amp;number=&amp;sourceID=13","")</f>
        <v/>
      </c>
      <c r="AD123" s="4" t="str">
        <f>HYPERLINK("http://141.218.60.56/~jnz1568/getInfo.php?workbook=09_01.xlsx&amp;sheet=A0&amp;row=123&amp;col=30&amp;number=&amp;sourceID=13","")</f>
        <v/>
      </c>
      <c r="AE123" s="4" t="str">
        <f>HYPERLINK("http://141.218.60.56/~jnz1568/getInfo.php?workbook=09_01.xlsx&amp;sheet=A0&amp;row=123&amp;col=31&amp;number=&amp;sourceID=13","")</f>
        <v/>
      </c>
    </row>
    <row r="124" spans="1:31">
      <c r="A124" s="3">
        <v>9</v>
      </c>
      <c r="B124" s="3">
        <v>1</v>
      </c>
      <c r="C124" s="3">
        <v>17</v>
      </c>
      <c r="D124" s="3">
        <v>7</v>
      </c>
      <c r="E124" s="3">
        <f>((1/(INDEX(E0!J$4:J$28,C124,1)-INDEX(E0!J$4:J$28,D124,1))))*100000000</f>
        <v>0</v>
      </c>
      <c r="F124" s="4" t="str">
        <f>HYPERLINK("http://141.218.60.56/~jnz1568/getInfo.php?workbook=09_01.xlsx&amp;sheet=A0&amp;row=124&amp;col=6&amp;number=&amp;sourceID=18","")</f>
        <v/>
      </c>
      <c r="G124" s="4" t="str">
        <f>HYPERLINK("http://141.218.60.56/~jnz1568/getInfo.php?workbook=09_01.xlsx&amp;sheet=A0&amp;row=124&amp;col=7&amp;number==&amp;sourceID=11","=")</f>
        <v>=</v>
      </c>
      <c r="H124" s="4" t="str">
        <f>HYPERLINK("http://141.218.60.56/~jnz1568/getInfo.php?workbook=09_01.xlsx&amp;sheet=A0&amp;row=124&amp;col=8&amp;number=994420000&amp;sourceID=11","994420000")</f>
        <v>994420000</v>
      </c>
      <c r="I124" s="4" t="str">
        <f>HYPERLINK("http://141.218.60.56/~jnz1568/getInfo.php?workbook=09_01.xlsx&amp;sheet=A0&amp;row=124&amp;col=9&amp;number=&amp;sourceID=11","")</f>
        <v/>
      </c>
      <c r="J124" s="4" t="str">
        <f>HYPERLINK("http://141.218.60.56/~jnz1568/getInfo.php?workbook=09_01.xlsx&amp;sheet=A0&amp;row=124&amp;col=10&amp;number=&amp;sourceID=11","")</f>
        <v/>
      </c>
      <c r="K124" s="4" t="str">
        <f>HYPERLINK("http://141.218.60.56/~jnz1568/getInfo.php?workbook=09_01.xlsx&amp;sheet=A0&amp;row=124&amp;col=11&amp;number=&amp;sourceID=11","")</f>
        <v/>
      </c>
      <c r="L124" s="4" t="str">
        <f>HYPERLINK("http://141.218.60.56/~jnz1568/getInfo.php?workbook=09_01.xlsx&amp;sheet=A0&amp;row=124&amp;col=12&amp;number=0.17559&amp;sourceID=11","0.17559")</f>
        <v>0.17559</v>
      </c>
      <c r="M124" s="4" t="str">
        <f>HYPERLINK("http://141.218.60.56/~jnz1568/getInfo.php?workbook=09_01.xlsx&amp;sheet=A0&amp;row=124&amp;col=13&amp;number=&amp;sourceID=11","")</f>
        <v/>
      </c>
      <c r="N124" s="4" t="str">
        <f>HYPERLINK("http://141.218.60.56/~jnz1568/getInfo.php?workbook=09_01.xlsx&amp;sheet=A0&amp;row=124&amp;col=14&amp;number=994440000&amp;sourceID=12","994440000")</f>
        <v>994440000</v>
      </c>
      <c r="O124" s="4" t="str">
        <f>HYPERLINK("http://141.218.60.56/~jnz1568/getInfo.php?workbook=09_01.xlsx&amp;sheet=A0&amp;row=124&amp;col=15&amp;number=994440000&amp;sourceID=12","994440000")</f>
        <v>994440000</v>
      </c>
      <c r="P124" s="4" t="str">
        <f>HYPERLINK("http://141.218.60.56/~jnz1568/getInfo.php?workbook=09_01.xlsx&amp;sheet=A0&amp;row=124&amp;col=16&amp;number=&amp;sourceID=12","")</f>
        <v/>
      </c>
      <c r="Q124" s="4" t="str">
        <f>HYPERLINK("http://141.218.60.56/~jnz1568/getInfo.php?workbook=09_01.xlsx&amp;sheet=A0&amp;row=124&amp;col=17&amp;number=&amp;sourceID=12","")</f>
        <v/>
      </c>
      <c r="R124" s="4" t="str">
        <f>HYPERLINK("http://141.218.60.56/~jnz1568/getInfo.php?workbook=09_01.xlsx&amp;sheet=A0&amp;row=124&amp;col=18&amp;number=&amp;sourceID=12","")</f>
        <v/>
      </c>
      <c r="S124" s="4" t="str">
        <f>HYPERLINK("http://141.218.60.56/~jnz1568/getInfo.php?workbook=09_01.xlsx&amp;sheet=A0&amp;row=124&amp;col=19&amp;number=0.1756&amp;sourceID=12","0.1756")</f>
        <v>0.1756</v>
      </c>
      <c r="T124" s="4" t="str">
        <f>HYPERLINK("http://141.218.60.56/~jnz1568/getInfo.php?workbook=09_01.xlsx&amp;sheet=A0&amp;row=124&amp;col=20&amp;number=&amp;sourceID=12","")</f>
        <v/>
      </c>
      <c r="U124" s="4" t="str">
        <f>HYPERLINK("http://141.218.60.56/~jnz1568/getInfo.php?workbook=09_01.xlsx&amp;sheet=A0&amp;row=124&amp;col=21&amp;number=994400000.176&amp;sourceID=30","994400000.176")</f>
        <v>994400000.176</v>
      </c>
      <c r="V124" s="4" t="str">
        <f>HYPERLINK("http://141.218.60.56/~jnz1568/getInfo.php?workbook=09_01.xlsx&amp;sheet=A0&amp;row=124&amp;col=22&amp;number=994400000&amp;sourceID=30","994400000")</f>
        <v>994400000</v>
      </c>
      <c r="W124" s="4" t="str">
        <f>HYPERLINK("http://141.218.60.56/~jnz1568/getInfo.php?workbook=09_01.xlsx&amp;sheet=A0&amp;row=124&amp;col=23&amp;number=&amp;sourceID=30","")</f>
        <v/>
      </c>
      <c r="X124" s="4" t="str">
        <f>HYPERLINK("http://141.218.60.56/~jnz1568/getInfo.php?workbook=09_01.xlsx&amp;sheet=A0&amp;row=124&amp;col=24&amp;number=&amp;sourceID=30","")</f>
        <v/>
      </c>
      <c r="Y124" s="4" t="str">
        <f>HYPERLINK("http://141.218.60.56/~jnz1568/getInfo.php?workbook=09_01.xlsx&amp;sheet=A0&amp;row=124&amp;col=25&amp;number=0.1756&amp;sourceID=30","0.1756")</f>
        <v>0.1756</v>
      </c>
      <c r="Z124" s="4" t="str">
        <f>HYPERLINK("http://141.218.60.56/~jnz1568/getInfo.php?workbook=09_01.xlsx&amp;sheet=A0&amp;row=124&amp;col=26&amp;number=&amp;sourceID=13","")</f>
        <v/>
      </c>
      <c r="AA124" s="4" t="str">
        <f>HYPERLINK("http://141.218.60.56/~jnz1568/getInfo.php?workbook=09_01.xlsx&amp;sheet=A0&amp;row=124&amp;col=27&amp;number=&amp;sourceID=13","")</f>
        <v/>
      </c>
      <c r="AB124" s="4" t="str">
        <f>HYPERLINK("http://141.218.60.56/~jnz1568/getInfo.php?workbook=09_01.xlsx&amp;sheet=A0&amp;row=124&amp;col=28&amp;number=&amp;sourceID=13","")</f>
        <v/>
      </c>
      <c r="AC124" s="4" t="str">
        <f>HYPERLINK("http://141.218.60.56/~jnz1568/getInfo.php?workbook=09_01.xlsx&amp;sheet=A0&amp;row=124&amp;col=29&amp;number=&amp;sourceID=13","")</f>
        <v/>
      </c>
      <c r="AD124" s="4" t="str">
        <f>HYPERLINK("http://141.218.60.56/~jnz1568/getInfo.php?workbook=09_01.xlsx&amp;sheet=A0&amp;row=124&amp;col=30&amp;number=&amp;sourceID=13","")</f>
        <v/>
      </c>
      <c r="AE124" s="4" t="str">
        <f>HYPERLINK("http://141.218.60.56/~jnz1568/getInfo.php?workbook=09_01.xlsx&amp;sheet=A0&amp;row=124&amp;col=31&amp;number=&amp;sourceID=13","")</f>
        <v/>
      </c>
    </row>
    <row r="125" spans="1:31">
      <c r="A125" s="3">
        <v>9</v>
      </c>
      <c r="B125" s="3">
        <v>1</v>
      </c>
      <c r="C125" s="3">
        <v>17</v>
      </c>
      <c r="D125" s="3">
        <v>8</v>
      </c>
      <c r="E125" s="3">
        <f>((1/(INDEX(E0!J$4:J$28,C125,1)-INDEX(E0!J$4:J$28,D125,1))))*100000000</f>
        <v>0</v>
      </c>
      <c r="F125" s="4" t="str">
        <f>HYPERLINK("http://141.218.60.56/~jnz1568/getInfo.php?workbook=09_01.xlsx&amp;sheet=A0&amp;row=125&amp;col=6&amp;number=&amp;sourceID=18","")</f>
        <v/>
      </c>
      <c r="G125" s="4" t="str">
        <f>HYPERLINK("http://141.218.60.56/~jnz1568/getInfo.php?workbook=09_01.xlsx&amp;sheet=A0&amp;row=125&amp;col=7&amp;number==&amp;sourceID=11","=")</f>
        <v>=</v>
      </c>
      <c r="H125" s="4" t="str">
        <f>HYPERLINK("http://141.218.60.56/~jnz1568/getInfo.php?workbook=09_01.xlsx&amp;sheet=A0&amp;row=125&amp;col=8&amp;number=&amp;sourceID=11","")</f>
        <v/>
      </c>
      <c r="I125" s="4" t="str">
        <f>HYPERLINK("http://141.218.60.56/~jnz1568/getInfo.php?workbook=09_01.xlsx&amp;sheet=A0&amp;row=125&amp;col=9&amp;number=758690&amp;sourceID=11","758690")</f>
        <v>758690</v>
      </c>
      <c r="J125" s="4" t="str">
        <f>HYPERLINK("http://141.218.60.56/~jnz1568/getInfo.php?workbook=09_01.xlsx&amp;sheet=A0&amp;row=125&amp;col=10&amp;number=&amp;sourceID=11","")</f>
        <v/>
      </c>
      <c r="K125" s="4" t="str">
        <f>HYPERLINK("http://141.218.60.56/~jnz1568/getInfo.php?workbook=09_01.xlsx&amp;sheet=A0&amp;row=125&amp;col=11&amp;number=1.4525&amp;sourceID=11","1.4525")</f>
        <v>1.4525</v>
      </c>
      <c r="L125" s="4" t="str">
        <f>HYPERLINK("http://141.218.60.56/~jnz1568/getInfo.php?workbook=09_01.xlsx&amp;sheet=A0&amp;row=125&amp;col=12&amp;number=&amp;sourceID=11","")</f>
        <v/>
      </c>
      <c r="M125" s="4" t="str">
        <f>HYPERLINK("http://141.218.60.56/~jnz1568/getInfo.php?workbook=09_01.xlsx&amp;sheet=A0&amp;row=125&amp;col=13&amp;number=&amp;sourceID=11","")</f>
        <v/>
      </c>
      <c r="N125" s="4" t="str">
        <f>HYPERLINK("http://141.218.60.56/~jnz1568/getInfo.php?workbook=09_01.xlsx&amp;sheet=A0&amp;row=125&amp;col=14&amp;number=758710&amp;sourceID=12","758710")</f>
        <v>758710</v>
      </c>
      <c r="O125" s="4" t="str">
        <f>HYPERLINK("http://141.218.60.56/~jnz1568/getInfo.php?workbook=09_01.xlsx&amp;sheet=A0&amp;row=125&amp;col=15&amp;number=&amp;sourceID=12","")</f>
        <v/>
      </c>
      <c r="P125" s="4" t="str">
        <f>HYPERLINK("http://141.218.60.56/~jnz1568/getInfo.php?workbook=09_01.xlsx&amp;sheet=A0&amp;row=125&amp;col=16&amp;number=758710&amp;sourceID=12","758710")</f>
        <v>758710</v>
      </c>
      <c r="Q125" s="4" t="str">
        <f>HYPERLINK("http://141.218.60.56/~jnz1568/getInfo.php?workbook=09_01.xlsx&amp;sheet=A0&amp;row=125&amp;col=17&amp;number=&amp;sourceID=12","")</f>
        <v/>
      </c>
      <c r="R125" s="4" t="str">
        <f>HYPERLINK("http://141.218.60.56/~jnz1568/getInfo.php?workbook=09_01.xlsx&amp;sheet=A0&amp;row=125&amp;col=18&amp;number=1.4525&amp;sourceID=12","1.4525")</f>
        <v>1.4525</v>
      </c>
      <c r="S125" s="4" t="str">
        <f>HYPERLINK("http://141.218.60.56/~jnz1568/getInfo.php?workbook=09_01.xlsx&amp;sheet=A0&amp;row=125&amp;col=19&amp;number=&amp;sourceID=12","")</f>
        <v/>
      </c>
      <c r="T125" s="4" t="str">
        <f>HYPERLINK("http://141.218.60.56/~jnz1568/getInfo.php?workbook=09_01.xlsx&amp;sheet=A0&amp;row=125&amp;col=20&amp;number=&amp;sourceID=12","")</f>
        <v/>
      </c>
      <c r="U125" s="4" t="str">
        <f>HYPERLINK("http://141.218.60.56/~jnz1568/getInfo.php?workbook=09_01.xlsx&amp;sheet=A0&amp;row=125&amp;col=21&amp;number=758701.452&amp;sourceID=30","758701.452")</f>
        <v>758701.452</v>
      </c>
      <c r="V125" s="4" t="str">
        <f>HYPERLINK("http://141.218.60.56/~jnz1568/getInfo.php?workbook=09_01.xlsx&amp;sheet=A0&amp;row=125&amp;col=22&amp;number=&amp;sourceID=30","")</f>
        <v/>
      </c>
      <c r="W125" s="4" t="str">
        <f>HYPERLINK("http://141.218.60.56/~jnz1568/getInfo.php?workbook=09_01.xlsx&amp;sheet=A0&amp;row=125&amp;col=23&amp;number=758700&amp;sourceID=30","758700")</f>
        <v>758700</v>
      </c>
      <c r="X125" s="4" t="str">
        <f>HYPERLINK("http://141.218.60.56/~jnz1568/getInfo.php?workbook=09_01.xlsx&amp;sheet=A0&amp;row=125&amp;col=24&amp;number=1.452&amp;sourceID=30","1.452")</f>
        <v>1.452</v>
      </c>
      <c r="Y125" s="4" t="str">
        <f>HYPERLINK("http://141.218.60.56/~jnz1568/getInfo.php?workbook=09_01.xlsx&amp;sheet=A0&amp;row=125&amp;col=25&amp;number=&amp;sourceID=30","")</f>
        <v/>
      </c>
      <c r="Z125" s="4" t="str">
        <f>HYPERLINK("http://141.218.60.56/~jnz1568/getInfo.php?workbook=09_01.xlsx&amp;sheet=A0&amp;row=125&amp;col=26&amp;number=&amp;sourceID=13","")</f>
        <v/>
      </c>
      <c r="AA125" s="4" t="str">
        <f>HYPERLINK("http://141.218.60.56/~jnz1568/getInfo.php?workbook=09_01.xlsx&amp;sheet=A0&amp;row=125&amp;col=27&amp;number=&amp;sourceID=13","")</f>
        <v/>
      </c>
      <c r="AB125" s="4" t="str">
        <f>HYPERLINK("http://141.218.60.56/~jnz1568/getInfo.php?workbook=09_01.xlsx&amp;sheet=A0&amp;row=125&amp;col=28&amp;number=&amp;sourceID=13","")</f>
        <v/>
      </c>
      <c r="AC125" s="4" t="str">
        <f>HYPERLINK("http://141.218.60.56/~jnz1568/getInfo.php?workbook=09_01.xlsx&amp;sheet=A0&amp;row=125&amp;col=29&amp;number=&amp;sourceID=13","")</f>
        <v/>
      </c>
      <c r="AD125" s="4" t="str">
        <f>HYPERLINK("http://141.218.60.56/~jnz1568/getInfo.php?workbook=09_01.xlsx&amp;sheet=A0&amp;row=125&amp;col=30&amp;number=&amp;sourceID=13","")</f>
        <v/>
      </c>
      <c r="AE125" s="4" t="str">
        <f>HYPERLINK("http://141.218.60.56/~jnz1568/getInfo.php?workbook=09_01.xlsx&amp;sheet=A0&amp;row=125&amp;col=31&amp;number=&amp;sourceID=13","")</f>
        <v/>
      </c>
    </row>
    <row r="126" spans="1:31">
      <c r="A126" s="3">
        <v>9</v>
      </c>
      <c r="B126" s="3">
        <v>1</v>
      </c>
      <c r="C126" s="3">
        <v>17</v>
      </c>
      <c r="D126" s="3">
        <v>9</v>
      </c>
      <c r="E126" s="3">
        <f>((1/(INDEX(E0!J$4:J$28,C126,1)-INDEX(E0!J$4:J$28,D126,1))))*100000000</f>
        <v>0</v>
      </c>
      <c r="F126" s="4" t="str">
        <f>HYPERLINK("http://141.218.60.56/~jnz1568/getInfo.php?workbook=09_01.xlsx&amp;sheet=A0&amp;row=126&amp;col=6&amp;number=&amp;sourceID=18","")</f>
        <v/>
      </c>
      <c r="G126" s="4" t="str">
        <f>HYPERLINK("http://141.218.60.56/~jnz1568/getInfo.php?workbook=09_01.xlsx&amp;sheet=A0&amp;row=126&amp;col=7&amp;number==&amp;sourceID=11","=")</f>
        <v>=</v>
      </c>
      <c r="H126" s="4" t="str">
        <f>HYPERLINK("http://141.218.60.56/~jnz1568/getInfo.php?workbook=09_01.xlsx&amp;sheet=A0&amp;row=126&amp;col=8&amp;number=&amp;sourceID=11","")</f>
        <v/>
      </c>
      <c r="I126" s="4" t="str">
        <f>HYPERLINK("http://141.218.60.56/~jnz1568/getInfo.php?workbook=09_01.xlsx&amp;sheet=A0&amp;row=126&amp;col=9&amp;number=&amp;sourceID=11","")</f>
        <v/>
      </c>
      <c r="J126" s="4" t="str">
        <f>HYPERLINK("http://141.218.60.56/~jnz1568/getInfo.php?workbook=09_01.xlsx&amp;sheet=A0&amp;row=126&amp;col=10&amp;number=9.6755&amp;sourceID=11","9.6755")</f>
        <v>9.6755</v>
      </c>
      <c r="K126" s="4" t="str">
        <f>HYPERLINK("http://141.218.60.56/~jnz1568/getInfo.php?workbook=09_01.xlsx&amp;sheet=A0&amp;row=126&amp;col=11&amp;number=&amp;sourceID=11","")</f>
        <v/>
      </c>
      <c r="L126" s="4" t="str">
        <f>HYPERLINK("http://141.218.60.56/~jnz1568/getInfo.php?workbook=09_01.xlsx&amp;sheet=A0&amp;row=126&amp;col=12&amp;number=1.8781&amp;sourceID=11","1.8781")</f>
        <v>1.8781</v>
      </c>
      <c r="M126" s="4" t="str">
        <f>HYPERLINK("http://141.218.60.56/~jnz1568/getInfo.php?workbook=09_01.xlsx&amp;sheet=A0&amp;row=126&amp;col=13&amp;number=&amp;sourceID=11","")</f>
        <v/>
      </c>
      <c r="N126" s="4" t="str">
        <f>HYPERLINK("http://141.218.60.56/~jnz1568/getInfo.php?workbook=09_01.xlsx&amp;sheet=A0&amp;row=126&amp;col=14&amp;number=11.554&amp;sourceID=12","11.554")</f>
        <v>11.554</v>
      </c>
      <c r="O126" s="4" t="str">
        <f>HYPERLINK("http://141.218.60.56/~jnz1568/getInfo.php?workbook=09_01.xlsx&amp;sheet=A0&amp;row=126&amp;col=15&amp;number=&amp;sourceID=12","")</f>
        <v/>
      </c>
      <c r="P126" s="4" t="str">
        <f>HYPERLINK("http://141.218.60.56/~jnz1568/getInfo.php?workbook=09_01.xlsx&amp;sheet=A0&amp;row=126&amp;col=16&amp;number=&amp;sourceID=12","")</f>
        <v/>
      </c>
      <c r="Q126" s="4" t="str">
        <f>HYPERLINK("http://141.218.60.56/~jnz1568/getInfo.php?workbook=09_01.xlsx&amp;sheet=A0&amp;row=126&amp;col=17&amp;number=9.6758&amp;sourceID=12","9.6758")</f>
        <v>9.6758</v>
      </c>
      <c r="R126" s="4" t="str">
        <f>HYPERLINK("http://141.218.60.56/~jnz1568/getInfo.php?workbook=09_01.xlsx&amp;sheet=A0&amp;row=126&amp;col=18&amp;number=&amp;sourceID=12","")</f>
        <v/>
      </c>
      <c r="S126" s="4" t="str">
        <f>HYPERLINK("http://141.218.60.56/~jnz1568/getInfo.php?workbook=09_01.xlsx&amp;sheet=A0&amp;row=126&amp;col=19&amp;number=1.8782&amp;sourceID=12","1.8782")</f>
        <v>1.8782</v>
      </c>
      <c r="T126" s="4" t="str">
        <f>HYPERLINK("http://141.218.60.56/~jnz1568/getInfo.php?workbook=09_01.xlsx&amp;sheet=A0&amp;row=126&amp;col=20&amp;number=&amp;sourceID=12","")</f>
        <v/>
      </c>
      <c r="U126" s="4" t="str">
        <f>HYPERLINK("http://141.218.60.56/~jnz1568/getInfo.php?workbook=09_01.xlsx&amp;sheet=A0&amp;row=126&amp;col=21&amp;number=1.878&amp;sourceID=30","1.878")</f>
        <v>1.878</v>
      </c>
      <c r="V126" s="4" t="str">
        <f>HYPERLINK("http://141.218.60.56/~jnz1568/getInfo.php?workbook=09_01.xlsx&amp;sheet=A0&amp;row=126&amp;col=22&amp;number=&amp;sourceID=30","")</f>
        <v/>
      </c>
      <c r="W126" s="4" t="str">
        <f>HYPERLINK("http://141.218.60.56/~jnz1568/getInfo.php?workbook=09_01.xlsx&amp;sheet=A0&amp;row=126&amp;col=23&amp;number=&amp;sourceID=30","")</f>
        <v/>
      </c>
      <c r="X126" s="4" t="str">
        <f>HYPERLINK("http://141.218.60.56/~jnz1568/getInfo.php?workbook=09_01.xlsx&amp;sheet=A0&amp;row=126&amp;col=24&amp;number=&amp;sourceID=30","")</f>
        <v/>
      </c>
      <c r="Y126" s="4" t="str">
        <f>HYPERLINK("http://141.218.60.56/~jnz1568/getInfo.php?workbook=09_01.xlsx&amp;sheet=A0&amp;row=126&amp;col=25&amp;number=1.878&amp;sourceID=30","1.878")</f>
        <v>1.878</v>
      </c>
      <c r="Z126" s="4" t="str">
        <f>HYPERLINK("http://141.218.60.56/~jnz1568/getInfo.php?workbook=09_01.xlsx&amp;sheet=A0&amp;row=126&amp;col=26&amp;number=&amp;sourceID=13","")</f>
        <v/>
      </c>
      <c r="AA126" s="4" t="str">
        <f>HYPERLINK("http://141.218.60.56/~jnz1568/getInfo.php?workbook=09_01.xlsx&amp;sheet=A0&amp;row=126&amp;col=27&amp;number=&amp;sourceID=13","")</f>
        <v/>
      </c>
      <c r="AB126" s="4" t="str">
        <f>HYPERLINK("http://141.218.60.56/~jnz1568/getInfo.php?workbook=09_01.xlsx&amp;sheet=A0&amp;row=126&amp;col=28&amp;number=&amp;sourceID=13","")</f>
        <v/>
      </c>
      <c r="AC126" s="4" t="str">
        <f>HYPERLINK("http://141.218.60.56/~jnz1568/getInfo.php?workbook=09_01.xlsx&amp;sheet=A0&amp;row=126&amp;col=29&amp;number=&amp;sourceID=13","")</f>
        <v/>
      </c>
      <c r="AD126" s="4" t="str">
        <f>HYPERLINK("http://141.218.60.56/~jnz1568/getInfo.php?workbook=09_01.xlsx&amp;sheet=A0&amp;row=126&amp;col=30&amp;number=&amp;sourceID=13","")</f>
        <v/>
      </c>
      <c r="AE126" s="4" t="str">
        <f>HYPERLINK("http://141.218.60.56/~jnz1568/getInfo.php?workbook=09_01.xlsx&amp;sheet=A0&amp;row=126&amp;col=31&amp;number=&amp;sourceID=13","")</f>
        <v/>
      </c>
    </row>
    <row r="127" spans="1:31">
      <c r="A127" s="3">
        <v>9</v>
      </c>
      <c r="B127" s="3">
        <v>1</v>
      </c>
      <c r="C127" s="3">
        <v>17</v>
      </c>
      <c r="D127" s="3">
        <v>10</v>
      </c>
      <c r="E127" s="3">
        <f>((1/(INDEX(E0!J$4:J$28,C127,1)-INDEX(E0!J$4:J$28,D127,1))))*100000000</f>
        <v>0</v>
      </c>
      <c r="F127" s="4" t="str">
        <f>HYPERLINK("http://141.218.60.56/~jnz1568/getInfo.php?workbook=09_01.xlsx&amp;sheet=A0&amp;row=127&amp;col=6&amp;number=&amp;sourceID=18","")</f>
        <v/>
      </c>
      <c r="G127" s="4" t="str">
        <f>HYPERLINK("http://141.218.60.56/~jnz1568/getInfo.php?workbook=09_01.xlsx&amp;sheet=A0&amp;row=127&amp;col=7&amp;number==&amp;sourceID=11","=")</f>
        <v>=</v>
      </c>
      <c r="H127" s="4" t="str">
        <f>HYPERLINK("http://141.218.60.56/~jnz1568/getInfo.php?workbook=09_01.xlsx&amp;sheet=A0&amp;row=127&amp;col=8&amp;number=&amp;sourceID=11","")</f>
        <v/>
      </c>
      <c r="I127" s="4" t="str">
        <f>HYPERLINK("http://141.218.60.56/~jnz1568/getInfo.php?workbook=09_01.xlsx&amp;sheet=A0&amp;row=127&amp;col=9&amp;number=&amp;sourceID=11","")</f>
        <v/>
      </c>
      <c r="J127" s="4" t="str">
        <f>HYPERLINK("http://141.218.60.56/~jnz1568/getInfo.php?workbook=09_01.xlsx&amp;sheet=A0&amp;row=127&amp;col=10&amp;number=&amp;sourceID=11","")</f>
        <v/>
      </c>
      <c r="K127" s="4" t="str">
        <f>HYPERLINK("http://141.218.60.56/~jnz1568/getInfo.php?workbook=09_01.xlsx&amp;sheet=A0&amp;row=127&amp;col=11&amp;number=0.00085708&amp;sourceID=11","0.00085708")</f>
        <v>0.00085708</v>
      </c>
      <c r="L127" s="4" t="str">
        <f>HYPERLINK("http://141.218.60.56/~jnz1568/getInfo.php?workbook=09_01.xlsx&amp;sheet=A0&amp;row=127&amp;col=12&amp;number=&amp;sourceID=11","")</f>
        <v/>
      </c>
      <c r="M127" s="4" t="str">
        <f>HYPERLINK("http://141.218.60.56/~jnz1568/getInfo.php?workbook=09_01.xlsx&amp;sheet=A0&amp;row=127&amp;col=13&amp;number=&amp;sourceID=11","")</f>
        <v/>
      </c>
      <c r="N127" s="4" t="str">
        <f>HYPERLINK("http://141.218.60.56/~jnz1568/getInfo.php?workbook=09_01.xlsx&amp;sheet=A0&amp;row=127&amp;col=14&amp;number=0.00085711&amp;sourceID=12","0.00085711")</f>
        <v>0.00085711</v>
      </c>
      <c r="O127" s="4" t="str">
        <f>HYPERLINK("http://141.218.60.56/~jnz1568/getInfo.php?workbook=09_01.xlsx&amp;sheet=A0&amp;row=127&amp;col=15&amp;number=&amp;sourceID=12","")</f>
        <v/>
      </c>
      <c r="P127" s="4" t="str">
        <f>HYPERLINK("http://141.218.60.56/~jnz1568/getInfo.php?workbook=09_01.xlsx&amp;sheet=A0&amp;row=127&amp;col=16&amp;number=&amp;sourceID=12","")</f>
        <v/>
      </c>
      <c r="Q127" s="4" t="str">
        <f>HYPERLINK("http://141.218.60.56/~jnz1568/getInfo.php?workbook=09_01.xlsx&amp;sheet=A0&amp;row=127&amp;col=17&amp;number=&amp;sourceID=12","")</f>
        <v/>
      </c>
      <c r="R127" s="4" t="str">
        <f>HYPERLINK("http://141.218.60.56/~jnz1568/getInfo.php?workbook=09_01.xlsx&amp;sheet=A0&amp;row=127&amp;col=18&amp;number=0.00085711&amp;sourceID=12","0.00085711")</f>
        <v>0.00085711</v>
      </c>
      <c r="S127" s="4" t="str">
        <f>HYPERLINK("http://141.218.60.56/~jnz1568/getInfo.php?workbook=09_01.xlsx&amp;sheet=A0&amp;row=127&amp;col=19&amp;number=&amp;sourceID=12","")</f>
        <v/>
      </c>
      <c r="T127" s="4" t="str">
        <f>HYPERLINK("http://141.218.60.56/~jnz1568/getInfo.php?workbook=09_01.xlsx&amp;sheet=A0&amp;row=127&amp;col=20&amp;number=&amp;sourceID=12","")</f>
        <v/>
      </c>
      <c r="U127" s="4" t="str">
        <f>HYPERLINK("http://141.218.60.56/~jnz1568/getInfo.php?workbook=09_01.xlsx&amp;sheet=A0&amp;row=127&amp;col=21&amp;number=0.0008618&amp;sourceID=30","0.0008618")</f>
        <v>0.0008618</v>
      </c>
      <c r="V127" s="4" t="str">
        <f>HYPERLINK("http://141.218.60.56/~jnz1568/getInfo.php?workbook=09_01.xlsx&amp;sheet=A0&amp;row=127&amp;col=22&amp;number=&amp;sourceID=30","")</f>
        <v/>
      </c>
      <c r="W127" s="4" t="str">
        <f>HYPERLINK("http://141.218.60.56/~jnz1568/getInfo.php?workbook=09_01.xlsx&amp;sheet=A0&amp;row=127&amp;col=23&amp;number=&amp;sourceID=30","")</f>
        <v/>
      </c>
      <c r="X127" s="4" t="str">
        <f>HYPERLINK("http://141.218.60.56/~jnz1568/getInfo.php?workbook=09_01.xlsx&amp;sheet=A0&amp;row=127&amp;col=24&amp;number=0.0008618&amp;sourceID=30","0.0008618")</f>
        <v>0.0008618</v>
      </c>
      <c r="Y127" s="4" t="str">
        <f>HYPERLINK("http://141.218.60.56/~jnz1568/getInfo.php?workbook=09_01.xlsx&amp;sheet=A0&amp;row=127&amp;col=25&amp;number=&amp;sourceID=30","")</f>
        <v/>
      </c>
      <c r="Z127" s="4" t="str">
        <f>HYPERLINK("http://141.218.60.56/~jnz1568/getInfo.php?workbook=09_01.xlsx&amp;sheet=A0&amp;row=127&amp;col=26&amp;number=&amp;sourceID=13","")</f>
        <v/>
      </c>
      <c r="AA127" s="4" t="str">
        <f>HYPERLINK("http://141.218.60.56/~jnz1568/getInfo.php?workbook=09_01.xlsx&amp;sheet=A0&amp;row=127&amp;col=27&amp;number=&amp;sourceID=13","")</f>
        <v/>
      </c>
      <c r="AB127" s="4" t="str">
        <f>HYPERLINK("http://141.218.60.56/~jnz1568/getInfo.php?workbook=09_01.xlsx&amp;sheet=A0&amp;row=127&amp;col=28&amp;number=&amp;sourceID=13","")</f>
        <v/>
      </c>
      <c r="AC127" s="4" t="str">
        <f>HYPERLINK("http://141.218.60.56/~jnz1568/getInfo.php?workbook=09_01.xlsx&amp;sheet=A0&amp;row=127&amp;col=29&amp;number=&amp;sourceID=13","")</f>
        <v/>
      </c>
      <c r="AD127" s="4" t="str">
        <f>HYPERLINK("http://141.218.60.56/~jnz1568/getInfo.php?workbook=09_01.xlsx&amp;sheet=A0&amp;row=127&amp;col=30&amp;number=&amp;sourceID=13","")</f>
        <v/>
      </c>
      <c r="AE127" s="4" t="str">
        <f>HYPERLINK("http://141.218.60.56/~jnz1568/getInfo.php?workbook=09_01.xlsx&amp;sheet=A0&amp;row=127&amp;col=31&amp;number=&amp;sourceID=13","")</f>
        <v/>
      </c>
    </row>
    <row r="128" spans="1:31">
      <c r="A128" s="3">
        <v>9</v>
      </c>
      <c r="B128" s="3">
        <v>1</v>
      </c>
      <c r="C128" s="3">
        <v>17</v>
      </c>
      <c r="D128" s="3">
        <v>11</v>
      </c>
      <c r="E128" s="3">
        <f>((1/(INDEX(E0!J$4:J$28,C128,1)-INDEX(E0!J$4:J$28,D128,1))))*100000000</f>
        <v>0</v>
      </c>
      <c r="F128" s="4" t="str">
        <f>HYPERLINK("http://141.218.60.56/~jnz1568/getInfo.php?workbook=09_01.xlsx&amp;sheet=A0&amp;row=128&amp;col=6&amp;number=&amp;sourceID=18","")</f>
        <v/>
      </c>
      <c r="G128" s="4" t="str">
        <f>HYPERLINK("http://141.218.60.56/~jnz1568/getInfo.php?workbook=09_01.xlsx&amp;sheet=A0&amp;row=128&amp;col=7&amp;number==&amp;sourceID=11","=")</f>
        <v>=</v>
      </c>
      <c r="H128" s="4" t="str">
        <f>HYPERLINK("http://141.218.60.56/~jnz1568/getInfo.php?workbook=09_01.xlsx&amp;sheet=A0&amp;row=128&amp;col=8&amp;number=4849400000&amp;sourceID=11","4849400000")</f>
        <v>4849400000</v>
      </c>
      <c r="I128" s="4" t="str">
        <f>HYPERLINK("http://141.218.60.56/~jnz1568/getInfo.php?workbook=09_01.xlsx&amp;sheet=A0&amp;row=128&amp;col=9&amp;number=&amp;sourceID=11","")</f>
        <v/>
      </c>
      <c r="J128" s="4" t="str">
        <f>HYPERLINK("http://141.218.60.56/~jnz1568/getInfo.php?workbook=09_01.xlsx&amp;sheet=A0&amp;row=128&amp;col=10&amp;number=&amp;sourceID=11","")</f>
        <v/>
      </c>
      <c r="K128" s="4" t="str">
        <f>HYPERLINK("http://141.218.60.56/~jnz1568/getInfo.php?workbook=09_01.xlsx&amp;sheet=A0&amp;row=128&amp;col=11&amp;number=&amp;sourceID=11","")</f>
        <v/>
      </c>
      <c r="L128" s="4" t="str">
        <f>HYPERLINK("http://141.218.60.56/~jnz1568/getInfo.php?workbook=09_01.xlsx&amp;sheet=A0&amp;row=128&amp;col=12&amp;number=&amp;sourceID=11","")</f>
        <v/>
      </c>
      <c r="M128" s="4" t="str">
        <f>HYPERLINK("http://141.218.60.56/~jnz1568/getInfo.php?workbook=09_01.xlsx&amp;sheet=A0&amp;row=128&amp;col=13&amp;number=&amp;sourceID=11","")</f>
        <v/>
      </c>
      <c r="N128" s="4" t="str">
        <f>HYPERLINK("http://141.218.60.56/~jnz1568/getInfo.php?workbook=09_01.xlsx&amp;sheet=A0&amp;row=128&amp;col=14&amp;number=4849500000&amp;sourceID=12","4849500000")</f>
        <v>4849500000</v>
      </c>
      <c r="O128" s="4" t="str">
        <f>HYPERLINK("http://141.218.60.56/~jnz1568/getInfo.php?workbook=09_01.xlsx&amp;sheet=A0&amp;row=128&amp;col=15&amp;number=4849500000&amp;sourceID=12","4849500000")</f>
        <v>4849500000</v>
      </c>
      <c r="P128" s="4" t="str">
        <f>HYPERLINK("http://141.218.60.56/~jnz1568/getInfo.php?workbook=09_01.xlsx&amp;sheet=A0&amp;row=128&amp;col=16&amp;number=&amp;sourceID=12","")</f>
        <v/>
      </c>
      <c r="Q128" s="4" t="str">
        <f>HYPERLINK("http://141.218.60.56/~jnz1568/getInfo.php?workbook=09_01.xlsx&amp;sheet=A0&amp;row=128&amp;col=17&amp;number=&amp;sourceID=12","")</f>
        <v/>
      </c>
      <c r="R128" s="4" t="str">
        <f>HYPERLINK("http://141.218.60.56/~jnz1568/getInfo.php?workbook=09_01.xlsx&amp;sheet=A0&amp;row=128&amp;col=18&amp;number=&amp;sourceID=12","")</f>
        <v/>
      </c>
      <c r="S128" s="4" t="str">
        <f>HYPERLINK("http://141.218.60.56/~jnz1568/getInfo.php?workbook=09_01.xlsx&amp;sheet=A0&amp;row=128&amp;col=19&amp;number=&amp;sourceID=12","")</f>
        <v/>
      </c>
      <c r="T128" s="4" t="str">
        <f>HYPERLINK("http://141.218.60.56/~jnz1568/getInfo.php?workbook=09_01.xlsx&amp;sheet=A0&amp;row=128&amp;col=20&amp;number=&amp;sourceID=12","")</f>
        <v/>
      </c>
      <c r="U128" s="4" t="str">
        <f>HYPERLINK("http://141.218.60.56/~jnz1568/getInfo.php?workbook=09_01.xlsx&amp;sheet=A0&amp;row=128&amp;col=21&amp;number=4850000000&amp;sourceID=30","4850000000")</f>
        <v>4850000000</v>
      </c>
      <c r="V128" s="4" t="str">
        <f>HYPERLINK("http://141.218.60.56/~jnz1568/getInfo.php?workbook=09_01.xlsx&amp;sheet=A0&amp;row=128&amp;col=22&amp;number=4850000000&amp;sourceID=30","4850000000")</f>
        <v>4850000000</v>
      </c>
      <c r="W128" s="4" t="str">
        <f>HYPERLINK("http://141.218.60.56/~jnz1568/getInfo.php?workbook=09_01.xlsx&amp;sheet=A0&amp;row=128&amp;col=23&amp;number=&amp;sourceID=30","")</f>
        <v/>
      </c>
      <c r="X128" s="4" t="str">
        <f>HYPERLINK("http://141.218.60.56/~jnz1568/getInfo.php?workbook=09_01.xlsx&amp;sheet=A0&amp;row=128&amp;col=24&amp;number=&amp;sourceID=30","")</f>
        <v/>
      </c>
      <c r="Y128" s="4" t="str">
        <f>HYPERLINK("http://141.218.60.56/~jnz1568/getInfo.php?workbook=09_01.xlsx&amp;sheet=A0&amp;row=128&amp;col=25&amp;number=&amp;sourceID=30","")</f>
        <v/>
      </c>
      <c r="Z128" s="4" t="str">
        <f>HYPERLINK("http://141.218.60.56/~jnz1568/getInfo.php?workbook=09_01.xlsx&amp;sheet=A0&amp;row=128&amp;col=26&amp;number=&amp;sourceID=13","")</f>
        <v/>
      </c>
      <c r="AA128" s="4" t="str">
        <f>HYPERLINK("http://141.218.60.56/~jnz1568/getInfo.php?workbook=09_01.xlsx&amp;sheet=A0&amp;row=128&amp;col=27&amp;number=&amp;sourceID=13","")</f>
        <v/>
      </c>
      <c r="AB128" s="4" t="str">
        <f>HYPERLINK("http://141.218.60.56/~jnz1568/getInfo.php?workbook=09_01.xlsx&amp;sheet=A0&amp;row=128&amp;col=28&amp;number=&amp;sourceID=13","")</f>
        <v/>
      </c>
      <c r="AC128" s="4" t="str">
        <f>HYPERLINK("http://141.218.60.56/~jnz1568/getInfo.php?workbook=09_01.xlsx&amp;sheet=A0&amp;row=128&amp;col=29&amp;number=&amp;sourceID=13","")</f>
        <v/>
      </c>
      <c r="AD128" s="4" t="str">
        <f>HYPERLINK("http://141.218.60.56/~jnz1568/getInfo.php?workbook=09_01.xlsx&amp;sheet=A0&amp;row=128&amp;col=30&amp;number=&amp;sourceID=13","")</f>
        <v/>
      </c>
      <c r="AE128" s="4" t="str">
        <f>HYPERLINK("http://141.218.60.56/~jnz1568/getInfo.php?workbook=09_01.xlsx&amp;sheet=A0&amp;row=128&amp;col=31&amp;number=&amp;sourceID=13","")</f>
        <v/>
      </c>
    </row>
    <row r="129" spans="1:31">
      <c r="A129" s="3">
        <v>9</v>
      </c>
      <c r="B129" s="3">
        <v>1</v>
      </c>
      <c r="C129" s="3">
        <v>17</v>
      </c>
      <c r="D129" s="3">
        <v>12</v>
      </c>
      <c r="E129" s="3">
        <f>((1/(INDEX(E0!J$4:J$28,C129,1)-INDEX(E0!J$4:J$28,D129,1))))*100000000</f>
        <v>0</v>
      </c>
      <c r="F129" s="4" t="str">
        <f>HYPERLINK("http://141.218.60.56/~jnz1568/getInfo.php?workbook=09_01.xlsx&amp;sheet=A0&amp;row=129&amp;col=6&amp;number=&amp;sourceID=18","")</f>
        <v/>
      </c>
      <c r="G129" s="4" t="str">
        <f>HYPERLINK("http://141.218.60.56/~jnz1568/getInfo.php?workbook=09_01.xlsx&amp;sheet=A0&amp;row=129&amp;col=7&amp;number==&amp;sourceID=11","=")</f>
        <v>=</v>
      </c>
      <c r="H129" s="4" t="str">
        <f>HYPERLINK("http://141.218.60.56/~jnz1568/getInfo.php?workbook=09_01.xlsx&amp;sheet=A0&amp;row=129&amp;col=8&amp;number=1251600000&amp;sourceID=11","1251600000")</f>
        <v>1251600000</v>
      </c>
      <c r="I129" s="4" t="str">
        <f>HYPERLINK("http://141.218.60.56/~jnz1568/getInfo.php?workbook=09_01.xlsx&amp;sheet=A0&amp;row=129&amp;col=9&amp;number=&amp;sourceID=11","")</f>
        <v/>
      </c>
      <c r="J129" s="4" t="str">
        <f>HYPERLINK("http://141.218.60.56/~jnz1568/getInfo.php?workbook=09_01.xlsx&amp;sheet=A0&amp;row=129&amp;col=10&amp;number=&amp;sourceID=11","")</f>
        <v/>
      </c>
      <c r="K129" s="4" t="str">
        <f>HYPERLINK("http://141.218.60.56/~jnz1568/getInfo.php?workbook=09_01.xlsx&amp;sheet=A0&amp;row=129&amp;col=11&amp;number=&amp;sourceID=11","")</f>
        <v/>
      </c>
      <c r="L129" s="4" t="str">
        <f>HYPERLINK("http://141.218.60.56/~jnz1568/getInfo.php?workbook=09_01.xlsx&amp;sheet=A0&amp;row=129&amp;col=12&amp;number=0.022092&amp;sourceID=11","0.022092")</f>
        <v>0.022092</v>
      </c>
      <c r="M129" s="4" t="str">
        <f>HYPERLINK("http://141.218.60.56/~jnz1568/getInfo.php?workbook=09_01.xlsx&amp;sheet=A0&amp;row=129&amp;col=13&amp;number=&amp;sourceID=11","")</f>
        <v/>
      </c>
      <c r="N129" s="4" t="str">
        <f>HYPERLINK("http://141.218.60.56/~jnz1568/getInfo.php?workbook=09_01.xlsx&amp;sheet=A0&amp;row=129&amp;col=14&amp;number=1251600000&amp;sourceID=12","1251600000")</f>
        <v>1251600000</v>
      </c>
      <c r="O129" s="4" t="str">
        <f>HYPERLINK("http://141.218.60.56/~jnz1568/getInfo.php?workbook=09_01.xlsx&amp;sheet=A0&amp;row=129&amp;col=15&amp;number=1251600000&amp;sourceID=12","1251600000")</f>
        <v>1251600000</v>
      </c>
      <c r="P129" s="4" t="str">
        <f>HYPERLINK("http://141.218.60.56/~jnz1568/getInfo.php?workbook=09_01.xlsx&amp;sheet=A0&amp;row=129&amp;col=16&amp;number=&amp;sourceID=12","")</f>
        <v/>
      </c>
      <c r="Q129" s="4" t="str">
        <f>HYPERLINK("http://141.218.60.56/~jnz1568/getInfo.php?workbook=09_01.xlsx&amp;sheet=A0&amp;row=129&amp;col=17&amp;number=&amp;sourceID=12","")</f>
        <v/>
      </c>
      <c r="R129" s="4" t="str">
        <f>HYPERLINK("http://141.218.60.56/~jnz1568/getInfo.php?workbook=09_01.xlsx&amp;sheet=A0&amp;row=129&amp;col=18&amp;number=&amp;sourceID=12","")</f>
        <v/>
      </c>
      <c r="S129" s="4" t="str">
        <f>HYPERLINK("http://141.218.60.56/~jnz1568/getInfo.php?workbook=09_01.xlsx&amp;sheet=A0&amp;row=129&amp;col=19&amp;number=0.022092&amp;sourceID=12","0.022092")</f>
        <v>0.022092</v>
      </c>
      <c r="T129" s="4" t="str">
        <f>HYPERLINK("http://141.218.60.56/~jnz1568/getInfo.php?workbook=09_01.xlsx&amp;sheet=A0&amp;row=129&amp;col=20&amp;number=&amp;sourceID=12","")</f>
        <v/>
      </c>
      <c r="U129" s="4" t="str">
        <f>HYPERLINK("http://141.218.60.56/~jnz1568/getInfo.php?workbook=09_01.xlsx&amp;sheet=A0&amp;row=129&amp;col=21&amp;number=1252000000.02&amp;sourceID=30","1252000000.02")</f>
        <v>1252000000.02</v>
      </c>
      <c r="V129" s="4" t="str">
        <f>HYPERLINK("http://141.218.60.56/~jnz1568/getInfo.php?workbook=09_01.xlsx&amp;sheet=A0&amp;row=129&amp;col=22&amp;number=1252000000&amp;sourceID=30","1252000000")</f>
        <v>1252000000</v>
      </c>
      <c r="W129" s="4" t="str">
        <f>HYPERLINK("http://141.218.60.56/~jnz1568/getInfo.php?workbook=09_01.xlsx&amp;sheet=A0&amp;row=129&amp;col=23&amp;number=&amp;sourceID=30","")</f>
        <v/>
      </c>
      <c r="X129" s="4" t="str">
        <f>HYPERLINK("http://141.218.60.56/~jnz1568/getInfo.php?workbook=09_01.xlsx&amp;sheet=A0&amp;row=129&amp;col=24&amp;number=&amp;sourceID=30","")</f>
        <v/>
      </c>
      <c r="Y129" s="4" t="str">
        <f>HYPERLINK("http://141.218.60.56/~jnz1568/getInfo.php?workbook=09_01.xlsx&amp;sheet=A0&amp;row=129&amp;col=25&amp;number=0.02209&amp;sourceID=30","0.02209")</f>
        <v>0.02209</v>
      </c>
      <c r="Z129" s="4" t="str">
        <f>HYPERLINK("http://141.218.60.56/~jnz1568/getInfo.php?workbook=09_01.xlsx&amp;sheet=A0&amp;row=129&amp;col=26&amp;number=&amp;sourceID=13","")</f>
        <v/>
      </c>
      <c r="AA129" s="4" t="str">
        <f>HYPERLINK("http://141.218.60.56/~jnz1568/getInfo.php?workbook=09_01.xlsx&amp;sheet=A0&amp;row=129&amp;col=27&amp;number=&amp;sourceID=13","")</f>
        <v/>
      </c>
      <c r="AB129" s="4" t="str">
        <f>HYPERLINK("http://141.218.60.56/~jnz1568/getInfo.php?workbook=09_01.xlsx&amp;sheet=A0&amp;row=129&amp;col=28&amp;number=&amp;sourceID=13","")</f>
        <v/>
      </c>
      <c r="AC129" s="4" t="str">
        <f>HYPERLINK("http://141.218.60.56/~jnz1568/getInfo.php?workbook=09_01.xlsx&amp;sheet=A0&amp;row=129&amp;col=29&amp;number=&amp;sourceID=13","")</f>
        <v/>
      </c>
      <c r="AD129" s="4" t="str">
        <f>HYPERLINK("http://141.218.60.56/~jnz1568/getInfo.php?workbook=09_01.xlsx&amp;sheet=A0&amp;row=129&amp;col=30&amp;number=&amp;sourceID=13","")</f>
        <v/>
      </c>
      <c r="AE129" s="4" t="str">
        <f>HYPERLINK("http://141.218.60.56/~jnz1568/getInfo.php?workbook=09_01.xlsx&amp;sheet=A0&amp;row=129&amp;col=31&amp;number=&amp;sourceID=13","")</f>
        <v/>
      </c>
    </row>
    <row r="130" spans="1:31">
      <c r="A130" s="3">
        <v>9</v>
      </c>
      <c r="B130" s="3">
        <v>1</v>
      </c>
      <c r="C130" s="3">
        <v>17</v>
      </c>
      <c r="D130" s="3">
        <v>13</v>
      </c>
      <c r="E130" s="3">
        <f>((1/(INDEX(E0!J$4:J$28,C130,1)-INDEX(E0!J$4:J$28,D130,1))))*100000000</f>
        <v>0</v>
      </c>
      <c r="F130" s="4" t="str">
        <f>HYPERLINK("http://141.218.60.56/~jnz1568/getInfo.php?workbook=09_01.xlsx&amp;sheet=A0&amp;row=130&amp;col=6&amp;number=&amp;sourceID=18","")</f>
        <v/>
      </c>
      <c r="G130" s="4" t="str">
        <f>HYPERLINK("http://141.218.60.56/~jnz1568/getInfo.php?workbook=09_01.xlsx&amp;sheet=A0&amp;row=130&amp;col=7&amp;number==&amp;sourceID=11","=")</f>
        <v>=</v>
      </c>
      <c r="H130" s="4" t="str">
        <f>HYPERLINK("http://141.218.60.56/~jnz1568/getInfo.php?workbook=09_01.xlsx&amp;sheet=A0&amp;row=130&amp;col=8&amp;number=&amp;sourceID=11","")</f>
        <v/>
      </c>
      <c r="I130" s="4" t="str">
        <f>HYPERLINK("http://141.218.60.56/~jnz1568/getInfo.php?workbook=09_01.xlsx&amp;sheet=A0&amp;row=130&amp;col=9&amp;number=241790&amp;sourceID=11","241790")</f>
        <v>241790</v>
      </c>
      <c r="J130" s="4" t="str">
        <f>HYPERLINK("http://141.218.60.56/~jnz1568/getInfo.php?workbook=09_01.xlsx&amp;sheet=A0&amp;row=130&amp;col=10&amp;number=&amp;sourceID=11","")</f>
        <v/>
      </c>
      <c r="K130" s="4" t="str">
        <f>HYPERLINK("http://141.218.60.56/~jnz1568/getInfo.php?workbook=09_01.xlsx&amp;sheet=A0&amp;row=130&amp;col=11&amp;number=0.18059&amp;sourceID=11","0.18059")</f>
        <v>0.18059</v>
      </c>
      <c r="L130" s="4" t="str">
        <f>HYPERLINK("http://141.218.60.56/~jnz1568/getInfo.php?workbook=09_01.xlsx&amp;sheet=A0&amp;row=130&amp;col=12&amp;number=&amp;sourceID=11","")</f>
        <v/>
      </c>
      <c r="M130" s="4" t="str">
        <f>HYPERLINK("http://141.218.60.56/~jnz1568/getInfo.php?workbook=09_01.xlsx&amp;sheet=A0&amp;row=130&amp;col=13&amp;number=&amp;sourceID=11","")</f>
        <v/>
      </c>
      <c r="N130" s="4" t="str">
        <f>HYPERLINK("http://141.218.60.56/~jnz1568/getInfo.php?workbook=09_01.xlsx&amp;sheet=A0&amp;row=130&amp;col=14&amp;number=241800&amp;sourceID=12","241800")</f>
        <v>241800</v>
      </c>
      <c r="O130" s="4" t="str">
        <f>HYPERLINK("http://141.218.60.56/~jnz1568/getInfo.php?workbook=09_01.xlsx&amp;sheet=A0&amp;row=130&amp;col=15&amp;number=&amp;sourceID=12","")</f>
        <v/>
      </c>
      <c r="P130" s="4" t="str">
        <f>HYPERLINK("http://141.218.60.56/~jnz1568/getInfo.php?workbook=09_01.xlsx&amp;sheet=A0&amp;row=130&amp;col=16&amp;number=241800&amp;sourceID=12","241800")</f>
        <v>241800</v>
      </c>
      <c r="Q130" s="4" t="str">
        <f>HYPERLINK("http://141.218.60.56/~jnz1568/getInfo.php?workbook=09_01.xlsx&amp;sheet=A0&amp;row=130&amp;col=17&amp;number=&amp;sourceID=12","")</f>
        <v/>
      </c>
      <c r="R130" s="4" t="str">
        <f>HYPERLINK("http://141.218.60.56/~jnz1568/getInfo.php?workbook=09_01.xlsx&amp;sheet=A0&amp;row=130&amp;col=18&amp;number=0.18059&amp;sourceID=12","0.18059")</f>
        <v>0.18059</v>
      </c>
      <c r="S130" s="4" t="str">
        <f>HYPERLINK("http://141.218.60.56/~jnz1568/getInfo.php?workbook=09_01.xlsx&amp;sheet=A0&amp;row=130&amp;col=19&amp;number=&amp;sourceID=12","")</f>
        <v/>
      </c>
      <c r="T130" s="4" t="str">
        <f>HYPERLINK("http://141.218.60.56/~jnz1568/getInfo.php?workbook=09_01.xlsx&amp;sheet=A0&amp;row=130&amp;col=20&amp;number=&amp;sourceID=12","")</f>
        <v/>
      </c>
      <c r="U130" s="4" t="str">
        <f>HYPERLINK("http://141.218.60.56/~jnz1568/getInfo.php?workbook=09_01.xlsx&amp;sheet=A0&amp;row=130&amp;col=21&amp;number=241800.1805&amp;sourceID=30","241800.1805")</f>
        <v>241800.1805</v>
      </c>
      <c r="V130" s="4" t="str">
        <f>HYPERLINK("http://141.218.60.56/~jnz1568/getInfo.php?workbook=09_01.xlsx&amp;sheet=A0&amp;row=130&amp;col=22&amp;number=&amp;sourceID=30","")</f>
        <v/>
      </c>
      <c r="W130" s="4" t="str">
        <f>HYPERLINK("http://141.218.60.56/~jnz1568/getInfo.php?workbook=09_01.xlsx&amp;sheet=A0&amp;row=130&amp;col=23&amp;number=241800&amp;sourceID=30","241800")</f>
        <v>241800</v>
      </c>
      <c r="X130" s="4" t="str">
        <f>HYPERLINK("http://141.218.60.56/~jnz1568/getInfo.php?workbook=09_01.xlsx&amp;sheet=A0&amp;row=130&amp;col=24&amp;number=0.1805&amp;sourceID=30","0.1805")</f>
        <v>0.1805</v>
      </c>
      <c r="Y130" s="4" t="str">
        <f>HYPERLINK("http://141.218.60.56/~jnz1568/getInfo.php?workbook=09_01.xlsx&amp;sheet=A0&amp;row=130&amp;col=25&amp;number=&amp;sourceID=30","")</f>
        <v/>
      </c>
      <c r="Z130" s="4" t="str">
        <f>HYPERLINK("http://141.218.60.56/~jnz1568/getInfo.php?workbook=09_01.xlsx&amp;sheet=A0&amp;row=130&amp;col=26&amp;number=&amp;sourceID=13","")</f>
        <v/>
      </c>
      <c r="AA130" s="4" t="str">
        <f>HYPERLINK("http://141.218.60.56/~jnz1568/getInfo.php?workbook=09_01.xlsx&amp;sheet=A0&amp;row=130&amp;col=27&amp;number=&amp;sourceID=13","")</f>
        <v/>
      </c>
      <c r="AB130" s="4" t="str">
        <f>HYPERLINK("http://141.218.60.56/~jnz1568/getInfo.php?workbook=09_01.xlsx&amp;sheet=A0&amp;row=130&amp;col=28&amp;number=&amp;sourceID=13","")</f>
        <v/>
      </c>
      <c r="AC130" s="4" t="str">
        <f>HYPERLINK("http://141.218.60.56/~jnz1568/getInfo.php?workbook=09_01.xlsx&amp;sheet=A0&amp;row=130&amp;col=29&amp;number=&amp;sourceID=13","")</f>
        <v/>
      </c>
      <c r="AD130" s="4" t="str">
        <f>HYPERLINK("http://141.218.60.56/~jnz1568/getInfo.php?workbook=09_01.xlsx&amp;sheet=A0&amp;row=130&amp;col=30&amp;number=&amp;sourceID=13","")</f>
        <v/>
      </c>
      <c r="AE130" s="4" t="str">
        <f>HYPERLINK("http://141.218.60.56/~jnz1568/getInfo.php?workbook=09_01.xlsx&amp;sheet=A0&amp;row=130&amp;col=31&amp;number=&amp;sourceID=13","")</f>
        <v/>
      </c>
    </row>
    <row r="131" spans="1:31">
      <c r="A131" s="3">
        <v>9</v>
      </c>
      <c r="B131" s="3">
        <v>1</v>
      </c>
      <c r="C131" s="3">
        <v>17</v>
      </c>
      <c r="D131" s="3">
        <v>14</v>
      </c>
      <c r="E131" s="3">
        <f>((1/(INDEX(E0!J$4:J$28,C131,1)-INDEX(E0!J$4:J$28,D131,1))))*100000000</f>
        <v>0</v>
      </c>
      <c r="F131" s="4" t="str">
        <f>HYPERLINK("http://141.218.60.56/~jnz1568/getInfo.php?workbook=09_01.xlsx&amp;sheet=A0&amp;row=131&amp;col=6&amp;number=&amp;sourceID=18","")</f>
        <v/>
      </c>
      <c r="G131" s="4" t="str">
        <f>HYPERLINK("http://141.218.60.56/~jnz1568/getInfo.php?workbook=09_01.xlsx&amp;sheet=A0&amp;row=131&amp;col=7&amp;number==&amp;sourceID=11","=")</f>
        <v>=</v>
      </c>
      <c r="H131" s="4" t="str">
        <f>HYPERLINK("http://141.218.60.56/~jnz1568/getInfo.php?workbook=09_01.xlsx&amp;sheet=A0&amp;row=131&amp;col=8&amp;number=&amp;sourceID=11","")</f>
        <v/>
      </c>
      <c r="I131" s="4" t="str">
        <f>HYPERLINK("http://141.218.60.56/~jnz1568/getInfo.php?workbook=09_01.xlsx&amp;sheet=A0&amp;row=131&amp;col=9&amp;number=25166&amp;sourceID=11","25166")</f>
        <v>25166</v>
      </c>
      <c r="J131" s="4" t="str">
        <f>HYPERLINK("http://141.218.60.56/~jnz1568/getInfo.php?workbook=09_01.xlsx&amp;sheet=A0&amp;row=131&amp;col=10&amp;number=&amp;sourceID=11","")</f>
        <v/>
      </c>
      <c r="K131" s="4" t="str">
        <f>HYPERLINK("http://141.218.60.56/~jnz1568/getInfo.php?workbook=09_01.xlsx&amp;sheet=A0&amp;row=131&amp;col=11&amp;number=&amp;sourceID=11","")</f>
        <v/>
      </c>
      <c r="L131" s="4" t="str">
        <f>HYPERLINK("http://141.218.60.56/~jnz1568/getInfo.php?workbook=09_01.xlsx&amp;sheet=A0&amp;row=131&amp;col=12&amp;number=&amp;sourceID=11","")</f>
        <v/>
      </c>
      <c r="M131" s="4" t="str">
        <f>HYPERLINK("http://141.218.60.56/~jnz1568/getInfo.php?workbook=09_01.xlsx&amp;sheet=A0&amp;row=131&amp;col=13&amp;number=2.6828e-07&amp;sourceID=11","2.6828e-07")</f>
        <v>2.6828e-07</v>
      </c>
      <c r="N131" s="4" t="str">
        <f>HYPERLINK("http://141.218.60.56/~jnz1568/getInfo.php?workbook=09_01.xlsx&amp;sheet=A0&amp;row=131&amp;col=14&amp;number=25167&amp;sourceID=12","25167")</f>
        <v>25167</v>
      </c>
      <c r="O131" s="4" t="str">
        <f>HYPERLINK("http://141.218.60.56/~jnz1568/getInfo.php?workbook=09_01.xlsx&amp;sheet=A0&amp;row=131&amp;col=15&amp;number=&amp;sourceID=12","")</f>
        <v/>
      </c>
      <c r="P131" s="4" t="str">
        <f>HYPERLINK("http://141.218.60.56/~jnz1568/getInfo.php?workbook=09_01.xlsx&amp;sheet=A0&amp;row=131&amp;col=16&amp;number=25167&amp;sourceID=12","25167")</f>
        <v>25167</v>
      </c>
      <c r="Q131" s="4" t="str">
        <f>HYPERLINK("http://141.218.60.56/~jnz1568/getInfo.php?workbook=09_01.xlsx&amp;sheet=A0&amp;row=131&amp;col=17&amp;number=&amp;sourceID=12","")</f>
        <v/>
      </c>
      <c r="R131" s="4" t="str">
        <f>HYPERLINK("http://141.218.60.56/~jnz1568/getInfo.php?workbook=09_01.xlsx&amp;sheet=A0&amp;row=131&amp;col=18&amp;number=&amp;sourceID=12","")</f>
        <v/>
      </c>
      <c r="S131" s="4" t="str">
        <f>HYPERLINK("http://141.218.60.56/~jnz1568/getInfo.php?workbook=09_01.xlsx&amp;sheet=A0&amp;row=131&amp;col=19&amp;number=&amp;sourceID=12","")</f>
        <v/>
      </c>
      <c r="T131" s="4" t="str">
        <f>HYPERLINK("http://141.218.60.56/~jnz1568/getInfo.php?workbook=09_01.xlsx&amp;sheet=A0&amp;row=131&amp;col=20&amp;number=2.6829e-07&amp;sourceID=12","2.6829e-07")</f>
        <v>2.6829e-07</v>
      </c>
      <c r="U131" s="4" t="str">
        <f>HYPERLINK("http://141.218.60.56/~jnz1568/getInfo.php?workbook=09_01.xlsx&amp;sheet=A0&amp;row=131&amp;col=21&amp;number=25170&amp;sourceID=30","25170")</f>
        <v>25170</v>
      </c>
      <c r="V131" s="4" t="str">
        <f>HYPERLINK("http://141.218.60.56/~jnz1568/getInfo.php?workbook=09_01.xlsx&amp;sheet=A0&amp;row=131&amp;col=22&amp;number=&amp;sourceID=30","")</f>
        <v/>
      </c>
      <c r="W131" s="4" t="str">
        <f>HYPERLINK("http://141.218.60.56/~jnz1568/getInfo.php?workbook=09_01.xlsx&amp;sheet=A0&amp;row=131&amp;col=23&amp;number=25170&amp;sourceID=30","25170")</f>
        <v>25170</v>
      </c>
      <c r="X131" s="4" t="str">
        <f>HYPERLINK("http://141.218.60.56/~jnz1568/getInfo.php?workbook=09_01.xlsx&amp;sheet=A0&amp;row=131&amp;col=24&amp;number=&amp;sourceID=30","")</f>
        <v/>
      </c>
      <c r="Y131" s="4" t="str">
        <f>HYPERLINK("http://141.218.60.56/~jnz1568/getInfo.php?workbook=09_01.xlsx&amp;sheet=A0&amp;row=131&amp;col=25&amp;number=&amp;sourceID=30","")</f>
        <v/>
      </c>
      <c r="Z131" s="4" t="str">
        <f>HYPERLINK("http://141.218.60.56/~jnz1568/getInfo.php?workbook=09_01.xlsx&amp;sheet=A0&amp;row=131&amp;col=26&amp;number=&amp;sourceID=13","")</f>
        <v/>
      </c>
      <c r="AA131" s="4" t="str">
        <f>HYPERLINK("http://141.218.60.56/~jnz1568/getInfo.php?workbook=09_01.xlsx&amp;sheet=A0&amp;row=131&amp;col=27&amp;number=&amp;sourceID=13","")</f>
        <v/>
      </c>
      <c r="AB131" s="4" t="str">
        <f>HYPERLINK("http://141.218.60.56/~jnz1568/getInfo.php?workbook=09_01.xlsx&amp;sheet=A0&amp;row=131&amp;col=28&amp;number=&amp;sourceID=13","")</f>
        <v/>
      </c>
      <c r="AC131" s="4" t="str">
        <f>HYPERLINK("http://141.218.60.56/~jnz1568/getInfo.php?workbook=09_01.xlsx&amp;sheet=A0&amp;row=131&amp;col=29&amp;number=&amp;sourceID=13","")</f>
        <v/>
      </c>
      <c r="AD131" s="4" t="str">
        <f>HYPERLINK("http://141.218.60.56/~jnz1568/getInfo.php?workbook=09_01.xlsx&amp;sheet=A0&amp;row=131&amp;col=30&amp;number=&amp;sourceID=13","")</f>
        <v/>
      </c>
      <c r="AE131" s="4" t="str">
        <f>HYPERLINK("http://141.218.60.56/~jnz1568/getInfo.php?workbook=09_01.xlsx&amp;sheet=A0&amp;row=131&amp;col=31&amp;number=&amp;sourceID=13","")</f>
        <v/>
      </c>
    </row>
    <row r="132" spans="1:31">
      <c r="A132" s="3">
        <v>9</v>
      </c>
      <c r="B132" s="3">
        <v>1</v>
      </c>
      <c r="C132" s="3">
        <v>17</v>
      </c>
      <c r="D132" s="3">
        <v>15</v>
      </c>
      <c r="E132" s="3">
        <f>((1/(INDEX(E0!J$4:J$28,C132,1)-INDEX(E0!J$4:J$28,D132,1))))*100000000</f>
        <v>0</v>
      </c>
      <c r="F132" s="4" t="str">
        <f>HYPERLINK("http://141.218.60.56/~jnz1568/getInfo.php?workbook=09_01.xlsx&amp;sheet=A0&amp;row=132&amp;col=6&amp;number=&amp;sourceID=18","")</f>
        <v/>
      </c>
      <c r="G132" s="4" t="str">
        <f>HYPERLINK("http://141.218.60.56/~jnz1568/getInfo.php?workbook=09_01.xlsx&amp;sheet=A0&amp;row=132&amp;col=7&amp;number==SUM(H132:M132)&amp;sourceID=11","=SUM(H132:M132)")</f>
        <v>=SUM(H132:M132)</v>
      </c>
      <c r="H132" s="4" t="str">
        <f>HYPERLINK("http://141.218.60.56/~jnz1568/getInfo.php?workbook=09_01.xlsx&amp;sheet=A0&amp;row=132&amp;col=8&amp;number=&amp;sourceID=11","")</f>
        <v/>
      </c>
      <c r="I132" s="4" t="str">
        <f>HYPERLINK("http://141.218.60.56/~jnz1568/getInfo.php?workbook=09_01.xlsx&amp;sheet=A0&amp;row=132&amp;col=9&amp;number=&amp;sourceID=11","")</f>
        <v/>
      </c>
      <c r="J132" s="4" t="str">
        <f>HYPERLINK("http://141.218.60.56/~jnz1568/getInfo.php?workbook=09_01.xlsx&amp;sheet=A0&amp;row=132&amp;col=10&amp;number=3.3051&amp;sourceID=11","3.3051")</f>
        <v>3.3051</v>
      </c>
      <c r="K132" s="4" t="str">
        <f>HYPERLINK("http://141.218.60.56/~jnz1568/getInfo.php?workbook=09_01.xlsx&amp;sheet=A0&amp;row=132&amp;col=11&amp;number=&amp;sourceID=11","")</f>
        <v/>
      </c>
      <c r="L132" s="4" t="str">
        <f>HYPERLINK("http://141.218.60.56/~jnz1568/getInfo.php?workbook=09_01.xlsx&amp;sheet=A0&amp;row=132&amp;col=12&amp;number=0.23618&amp;sourceID=11","0.23618")</f>
        <v>0.23618</v>
      </c>
      <c r="M132" s="4" t="str">
        <f>HYPERLINK("http://141.218.60.56/~jnz1568/getInfo.php?workbook=09_01.xlsx&amp;sheet=A0&amp;row=132&amp;col=13&amp;number=&amp;sourceID=11","")</f>
        <v/>
      </c>
      <c r="N132" s="4" t="str">
        <f>HYPERLINK("http://141.218.60.56/~jnz1568/getInfo.php?workbook=09_01.xlsx&amp;sheet=A0&amp;row=132&amp;col=14&amp;number=3.5414&amp;sourceID=12","3.5414")</f>
        <v>3.5414</v>
      </c>
      <c r="O132" s="4" t="str">
        <f>HYPERLINK("http://141.218.60.56/~jnz1568/getInfo.php?workbook=09_01.xlsx&amp;sheet=A0&amp;row=132&amp;col=15&amp;number=&amp;sourceID=12","")</f>
        <v/>
      </c>
      <c r="P132" s="4" t="str">
        <f>HYPERLINK("http://141.218.60.56/~jnz1568/getInfo.php?workbook=09_01.xlsx&amp;sheet=A0&amp;row=132&amp;col=16&amp;number=&amp;sourceID=12","")</f>
        <v/>
      </c>
      <c r="Q132" s="4" t="str">
        <f>HYPERLINK("http://141.218.60.56/~jnz1568/getInfo.php?workbook=09_01.xlsx&amp;sheet=A0&amp;row=132&amp;col=17&amp;number=3.3052&amp;sourceID=12","3.3052")</f>
        <v>3.3052</v>
      </c>
      <c r="R132" s="4" t="str">
        <f>HYPERLINK("http://141.218.60.56/~jnz1568/getInfo.php?workbook=09_01.xlsx&amp;sheet=A0&amp;row=132&amp;col=18&amp;number=&amp;sourceID=12","")</f>
        <v/>
      </c>
      <c r="S132" s="4" t="str">
        <f>HYPERLINK("http://141.218.60.56/~jnz1568/getInfo.php?workbook=09_01.xlsx&amp;sheet=A0&amp;row=132&amp;col=19&amp;number=0.23619&amp;sourceID=12","0.23619")</f>
        <v>0.23619</v>
      </c>
      <c r="T132" s="4" t="str">
        <f>HYPERLINK("http://141.218.60.56/~jnz1568/getInfo.php?workbook=09_01.xlsx&amp;sheet=A0&amp;row=132&amp;col=20&amp;number=&amp;sourceID=12","")</f>
        <v/>
      </c>
      <c r="U132" s="4" t="str">
        <f>HYPERLINK("http://141.218.60.56/~jnz1568/getInfo.php?workbook=09_01.xlsx&amp;sheet=A0&amp;row=132&amp;col=21&amp;number=0.2362&amp;sourceID=30","0.2362")</f>
        <v>0.2362</v>
      </c>
      <c r="V132" s="4" t="str">
        <f>HYPERLINK("http://141.218.60.56/~jnz1568/getInfo.php?workbook=09_01.xlsx&amp;sheet=A0&amp;row=132&amp;col=22&amp;number=&amp;sourceID=30","")</f>
        <v/>
      </c>
      <c r="W132" s="4" t="str">
        <f>HYPERLINK("http://141.218.60.56/~jnz1568/getInfo.php?workbook=09_01.xlsx&amp;sheet=A0&amp;row=132&amp;col=23&amp;number=&amp;sourceID=30","")</f>
        <v/>
      </c>
      <c r="X132" s="4" t="str">
        <f>HYPERLINK("http://141.218.60.56/~jnz1568/getInfo.php?workbook=09_01.xlsx&amp;sheet=A0&amp;row=132&amp;col=24&amp;number=&amp;sourceID=30","")</f>
        <v/>
      </c>
      <c r="Y132" s="4" t="str">
        <f>HYPERLINK("http://141.218.60.56/~jnz1568/getInfo.php?workbook=09_01.xlsx&amp;sheet=A0&amp;row=132&amp;col=25&amp;number=0.2362&amp;sourceID=30","0.2362")</f>
        <v>0.2362</v>
      </c>
      <c r="Z132" s="4" t="str">
        <f>HYPERLINK("http://141.218.60.56/~jnz1568/getInfo.php?workbook=09_01.xlsx&amp;sheet=A0&amp;row=132&amp;col=26&amp;number=&amp;sourceID=13","")</f>
        <v/>
      </c>
      <c r="AA132" s="4" t="str">
        <f>HYPERLINK("http://141.218.60.56/~jnz1568/getInfo.php?workbook=09_01.xlsx&amp;sheet=A0&amp;row=132&amp;col=27&amp;number=&amp;sourceID=13","")</f>
        <v/>
      </c>
      <c r="AB132" s="4" t="str">
        <f>HYPERLINK("http://141.218.60.56/~jnz1568/getInfo.php?workbook=09_01.xlsx&amp;sheet=A0&amp;row=132&amp;col=28&amp;number=&amp;sourceID=13","")</f>
        <v/>
      </c>
      <c r="AC132" s="4" t="str">
        <f>HYPERLINK("http://141.218.60.56/~jnz1568/getInfo.php?workbook=09_01.xlsx&amp;sheet=A0&amp;row=132&amp;col=29&amp;number=&amp;sourceID=13","")</f>
        <v/>
      </c>
      <c r="AD132" s="4" t="str">
        <f>HYPERLINK("http://141.218.60.56/~jnz1568/getInfo.php?workbook=09_01.xlsx&amp;sheet=A0&amp;row=132&amp;col=30&amp;number=&amp;sourceID=13","")</f>
        <v/>
      </c>
      <c r="AE132" s="4" t="str">
        <f>HYPERLINK("http://141.218.60.56/~jnz1568/getInfo.php?workbook=09_01.xlsx&amp;sheet=A0&amp;row=132&amp;col=31&amp;number=&amp;sourceID=13","")</f>
        <v/>
      </c>
    </row>
    <row r="133" spans="1:31">
      <c r="A133" s="3">
        <v>9</v>
      </c>
      <c r="B133" s="3">
        <v>1</v>
      </c>
      <c r="C133" s="3">
        <v>17</v>
      </c>
      <c r="D133" s="3">
        <v>16</v>
      </c>
      <c r="E133" s="3">
        <f>((1/(INDEX(E0!J$4:J$28,C133,1)-INDEX(E0!J$4:J$28,D133,1))))*100000000</f>
        <v>0</v>
      </c>
      <c r="F133" s="4" t="str">
        <f>HYPERLINK("http://141.218.60.56/~jnz1568/getInfo.php?workbook=09_01.xlsx&amp;sheet=A0&amp;row=133&amp;col=6&amp;number=&amp;sourceID=18","")</f>
        <v/>
      </c>
      <c r="G133" s="4" t="str">
        <f>HYPERLINK("http://141.218.60.56/~jnz1568/getInfo.php?workbook=09_01.xlsx&amp;sheet=A0&amp;row=133&amp;col=7&amp;number==&amp;sourceID=11","=")</f>
        <v>=</v>
      </c>
      <c r="H133" s="4" t="str">
        <f>HYPERLINK("http://141.218.60.56/~jnz1568/getInfo.php?workbook=09_01.xlsx&amp;sheet=A0&amp;row=133&amp;col=8&amp;number=&amp;sourceID=11","")</f>
        <v/>
      </c>
      <c r="I133" s="4" t="str">
        <f>HYPERLINK("http://141.218.60.56/~jnz1568/getInfo.php?workbook=09_01.xlsx&amp;sheet=A0&amp;row=133&amp;col=9&amp;number=&amp;sourceID=11","")</f>
        <v/>
      </c>
      <c r="J133" s="4" t="str">
        <f>HYPERLINK("http://141.218.60.56/~jnz1568/getInfo.php?workbook=09_01.xlsx&amp;sheet=A0&amp;row=133&amp;col=10&amp;number=&amp;sourceID=11","")</f>
        <v/>
      </c>
      <c r="K133" s="4" t="str">
        <f>HYPERLINK("http://141.218.60.56/~jnz1568/getInfo.php?workbook=09_01.xlsx&amp;sheet=A0&amp;row=133&amp;col=11&amp;number=&amp;sourceID=11","")</f>
        <v/>
      </c>
      <c r="L133" s="4" t="str">
        <f>HYPERLINK("http://141.218.60.56/~jnz1568/getInfo.php?workbook=09_01.xlsx&amp;sheet=A0&amp;row=133&amp;col=12&amp;number=&amp;sourceID=11","")</f>
        <v/>
      </c>
      <c r="M133" s="4" t="str">
        <f>HYPERLINK("http://141.218.60.56/~jnz1568/getInfo.php?workbook=09_01.xlsx&amp;sheet=A0&amp;row=133&amp;col=13&amp;number=7.2435e-06&amp;sourceID=11","7.2435e-06")</f>
        <v>7.2435e-06</v>
      </c>
      <c r="N133" s="4" t="str">
        <f>HYPERLINK("http://141.218.60.56/~jnz1568/getInfo.php?workbook=09_01.xlsx&amp;sheet=A0&amp;row=133&amp;col=14&amp;number=7.2437e-06&amp;sourceID=12","7.2437e-06")</f>
        <v>7.2437e-06</v>
      </c>
      <c r="O133" s="4" t="str">
        <f>HYPERLINK("http://141.218.60.56/~jnz1568/getInfo.php?workbook=09_01.xlsx&amp;sheet=A0&amp;row=133&amp;col=15&amp;number=&amp;sourceID=12","")</f>
        <v/>
      </c>
      <c r="P133" s="4" t="str">
        <f>HYPERLINK("http://141.218.60.56/~jnz1568/getInfo.php?workbook=09_01.xlsx&amp;sheet=A0&amp;row=133&amp;col=16&amp;number=&amp;sourceID=12","")</f>
        <v/>
      </c>
      <c r="Q133" s="4" t="str">
        <f>HYPERLINK("http://141.218.60.56/~jnz1568/getInfo.php?workbook=09_01.xlsx&amp;sheet=A0&amp;row=133&amp;col=17&amp;number=&amp;sourceID=12","")</f>
        <v/>
      </c>
      <c r="R133" s="4" t="str">
        <f>HYPERLINK("http://141.218.60.56/~jnz1568/getInfo.php?workbook=09_01.xlsx&amp;sheet=A0&amp;row=133&amp;col=18&amp;number=&amp;sourceID=12","")</f>
        <v/>
      </c>
      <c r="S133" s="4" t="str">
        <f>HYPERLINK("http://141.218.60.56/~jnz1568/getInfo.php?workbook=09_01.xlsx&amp;sheet=A0&amp;row=133&amp;col=19&amp;number=&amp;sourceID=12","")</f>
        <v/>
      </c>
      <c r="T133" s="4" t="str">
        <f>HYPERLINK("http://141.218.60.56/~jnz1568/getInfo.php?workbook=09_01.xlsx&amp;sheet=A0&amp;row=133&amp;col=20&amp;number=7.2437e-06&amp;sourceID=12","7.2437e-06")</f>
        <v>7.2437e-06</v>
      </c>
      <c r="U133" s="4" t="str">
        <f>HYPERLINK("http://141.218.60.56/~jnz1568/getInfo.php?workbook=09_01.xlsx&amp;sheet=A0&amp;row=133&amp;col=21&amp;number=&amp;sourceID=30","")</f>
        <v/>
      </c>
      <c r="V133" s="4" t="str">
        <f>HYPERLINK("http://141.218.60.56/~jnz1568/getInfo.php?workbook=09_01.xlsx&amp;sheet=A0&amp;row=133&amp;col=22&amp;number=&amp;sourceID=30","")</f>
        <v/>
      </c>
      <c r="W133" s="4" t="str">
        <f>HYPERLINK("http://141.218.60.56/~jnz1568/getInfo.php?workbook=09_01.xlsx&amp;sheet=A0&amp;row=133&amp;col=23&amp;number=&amp;sourceID=30","")</f>
        <v/>
      </c>
      <c r="X133" s="4" t="str">
        <f>HYPERLINK("http://141.218.60.56/~jnz1568/getInfo.php?workbook=09_01.xlsx&amp;sheet=A0&amp;row=133&amp;col=24&amp;number=&amp;sourceID=30","")</f>
        <v/>
      </c>
      <c r="Y133" s="4" t="str">
        <f>HYPERLINK("http://141.218.60.56/~jnz1568/getInfo.php?workbook=09_01.xlsx&amp;sheet=A0&amp;row=133&amp;col=25&amp;number=&amp;sourceID=30","")</f>
        <v/>
      </c>
      <c r="Z133" s="4" t="str">
        <f>HYPERLINK("http://141.218.60.56/~jnz1568/getInfo.php?workbook=09_01.xlsx&amp;sheet=A0&amp;row=133&amp;col=26&amp;number=&amp;sourceID=13","")</f>
        <v/>
      </c>
      <c r="AA133" s="4" t="str">
        <f>HYPERLINK("http://141.218.60.56/~jnz1568/getInfo.php?workbook=09_01.xlsx&amp;sheet=A0&amp;row=133&amp;col=27&amp;number=&amp;sourceID=13","")</f>
        <v/>
      </c>
      <c r="AB133" s="4" t="str">
        <f>HYPERLINK("http://141.218.60.56/~jnz1568/getInfo.php?workbook=09_01.xlsx&amp;sheet=A0&amp;row=133&amp;col=28&amp;number=&amp;sourceID=13","")</f>
        <v/>
      </c>
      <c r="AC133" s="4" t="str">
        <f>HYPERLINK("http://141.218.60.56/~jnz1568/getInfo.php?workbook=09_01.xlsx&amp;sheet=A0&amp;row=133&amp;col=29&amp;number=&amp;sourceID=13","")</f>
        <v/>
      </c>
      <c r="AD133" s="4" t="str">
        <f>HYPERLINK("http://141.218.60.56/~jnz1568/getInfo.php?workbook=09_01.xlsx&amp;sheet=A0&amp;row=133&amp;col=30&amp;number=&amp;sourceID=13","")</f>
        <v/>
      </c>
      <c r="AE133" s="4" t="str">
        <f>HYPERLINK("http://141.218.60.56/~jnz1568/getInfo.php?workbook=09_01.xlsx&amp;sheet=A0&amp;row=133&amp;col=31&amp;number=&amp;sourceID=13","")</f>
        <v/>
      </c>
    </row>
    <row r="134" spans="1:31">
      <c r="A134" s="3">
        <v>9</v>
      </c>
      <c r="B134" s="3">
        <v>1</v>
      </c>
      <c r="C134" s="3">
        <v>18</v>
      </c>
      <c r="D134" s="3">
        <v>1</v>
      </c>
      <c r="E134" s="3">
        <f>((1/(INDEX(E0!J$4:J$28,C134,1)-INDEX(E0!J$4:J$28,D134,1))))*100000000</f>
        <v>0</v>
      </c>
      <c r="F134" s="4" t="str">
        <f>HYPERLINK("http://141.218.60.56/~jnz1568/getInfo.php?workbook=09_01.xlsx&amp;sheet=A0&amp;row=134&amp;col=6&amp;number=&amp;sourceID=18","")</f>
        <v/>
      </c>
      <c r="G134" s="4" t="str">
        <f>HYPERLINK("http://141.218.60.56/~jnz1568/getInfo.php?workbook=09_01.xlsx&amp;sheet=A0&amp;row=134&amp;col=7&amp;number==&amp;sourceID=11","=")</f>
        <v>=</v>
      </c>
      <c r="H134" s="4" t="str">
        <f>HYPERLINK("http://141.218.60.56/~jnz1568/getInfo.php?workbook=09_01.xlsx&amp;sheet=A0&amp;row=134&amp;col=8&amp;number=&amp;sourceID=11","")</f>
        <v/>
      </c>
      <c r="I134" s="4" t="str">
        <f>HYPERLINK("http://141.218.60.56/~jnz1568/getInfo.php?workbook=09_01.xlsx&amp;sheet=A0&amp;row=134&amp;col=9&amp;number=&amp;sourceID=11","")</f>
        <v/>
      </c>
      <c r="J134" s="4" t="str">
        <f>HYPERLINK("http://141.218.60.56/~jnz1568/getInfo.php?workbook=09_01.xlsx&amp;sheet=A0&amp;row=134&amp;col=10&amp;number=&amp;sourceID=11","")</f>
        <v/>
      </c>
      <c r="K134" s="4" t="str">
        <f>HYPERLINK("http://141.218.60.56/~jnz1568/getInfo.php?workbook=09_01.xlsx&amp;sheet=A0&amp;row=134&amp;col=11&amp;number=1004.9&amp;sourceID=11","1004.9")</f>
        <v>1004.9</v>
      </c>
      <c r="L134" s="4" t="str">
        <f>HYPERLINK("http://141.218.60.56/~jnz1568/getInfo.php?workbook=09_01.xlsx&amp;sheet=A0&amp;row=134&amp;col=12&amp;number=&amp;sourceID=11","")</f>
        <v/>
      </c>
      <c r="M134" s="4" t="str">
        <f>HYPERLINK("http://141.218.60.56/~jnz1568/getInfo.php?workbook=09_01.xlsx&amp;sheet=A0&amp;row=134&amp;col=13&amp;number=&amp;sourceID=11","")</f>
        <v/>
      </c>
      <c r="N134" s="4" t="str">
        <f>HYPERLINK("http://141.218.60.56/~jnz1568/getInfo.php?workbook=09_01.xlsx&amp;sheet=A0&amp;row=134&amp;col=14&amp;number=1004.9&amp;sourceID=12","1004.9")</f>
        <v>1004.9</v>
      </c>
      <c r="O134" s="4" t="str">
        <f>HYPERLINK("http://141.218.60.56/~jnz1568/getInfo.php?workbook=09_01.xlsx&amp;sheet=A0&amp;row=134&amp;col=15&amp;number=&amp;sourceID=12","")</f>
        <v/>
      </c>
      <c r="P134" s="4" t="str">
        <f>HYPERLINK("http://141.218.60.56/~jnz1568/getInfo.php?workbook=09_01.xlsx&amp;sheet=A0&amp;row=134&amp;col=16&amp;number=&amp;sourceID=12","")</f>
        <v/>
      </c>
      <c r="Q134" s="4" t="str">
        <f>HYPERLINK("http://141.218.60.56/~jnz1568/getInfo.php?workbook=09_01.xlsx&amp;sheet=A0&amp;row=134&amp;col=17&amp;number=&amp;sourceID=12","")</f>
        <v/>
      </c>
      <c r="R134" s="4" t="str">
        <f>HYPERLINK("http://141.218.60.56/~jnz1568/getInfo.php?workbook=09_01.xlsx&amp;sheet=A0&amp;row=134&amp;col=18&amp;number=1004.9&amp;sourceID=12","1004.9")</f>
        <v>1004.9</v>
      </c>
      <c r="S134" s="4" t="str">
        <f>HYPERLINK("http://141.218.60.56/~jnz1568/getInfo.php?workbook=09_01.xlsx&amp;sheet=A0&amp;row=134&amp;col=19&amp;number=&amp;sourceID=12","")</f>
        <v/>
      </c>
      <c r="T134" s="4" t="str">
        <f>HYPERLINK("http://141.218.60.56/~jnz1568/getInfo.php?workbook=09_01.xlsx&amp;sheet=A0&amp;row=134&amp;col=20&amp;number=&amp;sourceID=12","")</f>
        <v/>
      </c>
      <c r="U134" s="4" t="str">
        <f>HYPERLINK("http://141.218.60.56/~jnz1568/getInfo.php?workbook=09_01.xlsx&amp;sheet=A0&amp;row=134&amp;col=21&amp;number=1005&amp;sourceID=30","1005")</f>
        <v>1005</v>
      </c>
      <c r="V134" s="4" t="str">
        <f>HYPERLINK("http://141.218.60.56/~jnz1568/getInfo.php?workbook=09_01.xlsx&amp;sheet=A0&amp;row=134&amp;col=22&amp;number=&amp;sourceID=30","")</f>
        <v/>
      </c>
      <c r="W134" s="4" t="str">
        <f>HYPERLINK("http://141.218.60.56/~jnz1568/getInfo.php?workbook=09_01.xlsx&amp;sheet=A0&amp;row=134&amp;col=23&amp;number=&amp;sourceID=30","")</f>
        <v/>
      </c>
      <c r="X134" s="4" t="str">
        <f>HYPERLINK("http://141.218.60.56/~jnz1568/getInfo.php?workbook=09_01.xlsx&amp;sheet=A0&amp;row=134&amp;col=24&amp;number=1005&amp;sourceID=30","1005")</f>
        <v>1005</v>
      </c>
      <c r="Y134" s="4" t="str">
        <f>HYPERLINK("http://141.218.60.56/~jnz1568/getInfo.php?workbook=09_01.xlsx&amp;sheet=A0&amp;row=134&amp;col=25&amp;number=&amp;sourceID=30","")</f>
        <v/>
      </c>
      <c r="Z134" s="4" t="str">
        <f>HYPERLINK("http://141.218.60.56/~jnz1568/getInfo.php?workbook=09_01.xlsx&amp;sheet=A0&amp;row=134&amp;col=26&amp;number=&amp;sourceID=13","")</f>
        <v/>
      </c>
      <c r="AA134" s="4" t="str">
        <f>HYPERLINK("http://141.218.60.56/~jnz1568/getInfo.php?workbook=09_01.xlsx&amp;sheet=A0&amp;row=134&amp;col=27&amp;number=&amp;sourceID=13","")</f>
        <v/>
      </c>
      <c r="AB134" s="4" t="str">
        <f>HYPERLINK("http://141.218.60.56/~jnz1568/getInfo.php?workbook=09_01.xlsx&amp;sheet=A0&amp;row=134&amp;col=28&amp;number=&amp;sourceID=13","")</f>
        <v/>
      </c>
      <c r="AC134" s="4" t="str">
        <f>HYPERLINK("http://141.218.60.56/~jnz1568/getInfo.php?workbook=09_01.xlsx&amp;sheet=A0&amp;row=134&amp;col=29&amp;number=&amp;sourceID=13","")</f>
        <v/>
      </c>
      <c r="AD134" s="4" t="str">
        <f>HYPERLINK("http://141.218.60.56/~jnz1568/getInfo.php?workbook=09_01.xlsx&amp;sheet=A0&amp;row=134&amp;col=30&amp;number=&amp;sourceID=13","")</f>
        <v/>
      </c>
      <c r="AE134" s="4" t="str">
        <f>HYPERLINK("http://141.218.60.56/~jnz1568/getInfo.php?workbook=09_01.xlsx&amp;sheet=A0&amp;row=134&amp;col=31&amp;number=&amp;sourceID=13","")</f>
        <v/>
      </c>
    </row>
    <row r="135" spans="1:31">
      <c r="A135" s="3">
        <v>9</v>
      </c>
      <c r="B135" s="3">
        <v>1</v>
      </c>
      <c r="C135" s="3">
        <v>18</v>
      </c>
      <c r="D135" s="3">
        <v>2</v>
      </c>
      <c r="E135" s="3">
        <f>((1/(INDEX(E0!J$4:J$28,C135,1)-INDEX(E0!J$4:J$28,D135,1))))*100000000</f>
        <v>0</v>
      </c>
      <c r="F135" s="4" t="str">
        <f>HYPERLINK("http://141.218.60.56/~jnz1568/getInfo.php?workbook=09_01.xlsx&amp;sheet=A0&amp;row=135&amp;col=6&amp;number=&amp;sourceID=18","")</f>
        <v/>
      </c>
      <c r="G135" s="4" t="str">
        <f>HYPERLINK("http://141.218.60.56/~jnz1568/getInfo.php?workbook=09_01.xlsx&amp;sheet=A0&amp;row=135&amp;col=7&amp;number==&amp;sourceID=11","=")</f>
        <v>=</v>
      </c>
      <c r="H135" s="4" t="str">
        <f>HYPERLINK("http://141.218.60.56/~jnz1568/getInfo.php?workbook=09_01.xlsx&amp;sheet=A0&amp;row=135&amp;col=8&amp;number=2826800000&amp;sourceID=11","2826800000")</f>
        <v>2826800000</v>
      </c>
      <c r="I135" s="4" t="str">
        <f>HYPERLINK("http://141.218.60.56/~jnz1568/getInfo.php?workbook=09_01.xlsx&amp;sheet=A0&amp;row=135&amp;col=9&amp;number=&amp;sourceID=11","")</f>
        <v/>
      </c>
      <c r="J135" s="4" t="str">
        <f>HYPERLINK("http://141.218.60.56/~jnz1568/getInfo.php?workbook=09_01.xlsx&amp;sheet=A0&amp;row=135&amp;col=10&amp;number=&amp;sourceID=11","")</f>
        <v/>
      </c>
      <c r="K135" s="4" t="str">
        <f>HYPERLINK("http://141.218.60.56/~jnz1568/getInfo.php?workbook=09_01.xlsx&amp;sheet=A0&amp;row=135&amp;col=11&amp;number=&amp;sourceID=11","")</f>
        <v/>
      </c>
      <c r="L135" s="4" t="str">
        <f>HYPERLINK("http://141.218.60.56/~jnz1568/getInfo.php?workbook=09_01.xlsx&amp;sheet=A0&amp;row=135&amp;col=12&amp;number=&amp;sourceID=11","")</f>
        <v/>
      </c>
      <c r="M135" s="4" t="str">
        <f>HYPERLINK("http://141.218.60.56/~jnz1568/getInfo.php?workbook=09_01.xlsx&amp;sheet=A0&amp;row=135&amp;col=13&amp;number=&amp;sourceID=11","")</f>
        <v/>
      </c>
      <c r="N135" s="4" t="str">
        <f>HYPERLINK("http://141.218.60.56/~jnz1568/getInfo.php?workbook=09_01.xlsx&amp;sheet=A0&amp;row=135&amp;col=14&amp;number=2826900000&amp;sourceID=12","2826900000")</f>
        <v>2826900000</v>
      </c>
      <c r="O135" s="4" t="str">
        <f>HYPERLINK("http://141.218.60.56/~jnz1568/getInfo.php?workbook=09_01.xlsx&amp;sheet=A0&amp;row=135&amp;col=15&amp;number=2826900000&amp;sourceID=12","2826900000")</f>
        <v>2826900000</v>
      </c>
      <c r="P135" s="4" t="str">
        <f>HYPERLINK("http://141.218.60.56/~jnz1568/getInfo.php?workbook=09_01.xlsx&amp;sheet=A0&amp;row=135&amp;col=16&amp;number=&amp;sourceID=12","")</f>
        <v/>
      </c>
      <c r="Q135" s="4" t="str">
        <f>HYPERLINK("http://141.218.60.56/~jnz1568/getInfo.php?workbook=09_01.xlsx&amp;sheet=A0&amp;row=135&amp;col=17&amp;number=&amp;sourceID=12","")</f>
        <v/>
      </c>
      <c r="R135" s="4" t="str">
        <f>HYPERLINK("http://141.218.60.56/~jnz1568/getInfo.php?workbook=09_01.xlsx&amp;sheet=A0&amp;row=135&amp;col=18&amp;number=&amp;sourceID=12","")</f>
        <v/>
      </c>
      <c r="S135" s="4" t="str">
        <f>HYPERLINK("http://141.218.60.56/~jnz1568/getInfo.php?workbook=09_01.xlsx&amp;sheet=A0&amp;row=135&amp;col=19&amp;number=&amp;sourceID=12","")</f>
        <v/>
      </c>
      <c r="T135" s="4" t="str">
        <f>HYPERLINK("http://141.218.60.56/~jnz1568/getInfo.php?workbook=09_01.xlsx&amp;sheet=A0&amp;row=135&amp;col=20&amp;number=&amp;sourceID=12","")</f>
        <v/>
      </c>
      <c r="U135" s="4" t="str">
        <f>HYPERLINK("http://141.218.60.56/~jnz1568/getInfo.php?workbook=09_01.xlsx&amp;sheet=A0&amp;row=135&amp;col=21&amp;number=2827000000&amp;sourceID=30","2827000000")</f>
        <v>2827000000</v>
      </c>
      <c r="V135" s="4" t="str">
        <f>HYPERLINK("http://141.218.60.56/~jnz1568/getInfo.php?workbook=09_01.xlsx&amp;sheet=A0&amp;row=135&amp;col=22&amp;number=2827000000&amp;sourceID=30","2827000000")</f>
        <v>2827000000</v>
      </c>
      <c r="W135" s="4" t="str">
        <f>HYPERLINK("http://141.218.60.56/~jnz1568/getInfo.php?workbook=09_01.xlsx&amp;sheet=A0&amp;row=135&amp;col=23&amp;number=&amp;sourceID=30","")</f>
        <v/>
      </c>
      <c r="X135" s="4" t="str">
        <f>HYPERLINK("http://141.218.60.56/~jnz1568/getInfo.php?workbook=09_01.xlsx&amp;sheet=A0&amp;row=135&amp;col=24&amp;number=&amp;sourceID=30","")</f>
        <v/>
      </c>
      <c r="Y135" s="4" t="str">
        <f>HYPERLINK("http://141.218.60.56/~jnz1568/getInfo.php?workbook=09_01.xlsx&amp;sheet=A0&amp;row=135&amp;col=25&amp;number=&amp;sourceID=30","")</f>
        <v/>
      </c>
      <c r="Z135" s="4" t="str">
        <f>HYPERLINK("http://141.218.60.56/~jnz1568/getInfo.php?workbook=09_01.xlsx&amp;sheet=A0&amp;row=135&amp;col=26&amp;number=&amp;sourceID=13","")</f>
        <v/>
      </c>
      <c r="AA135" s="4" t="str">
        <f>HYPERLINK("http://141.218.60.56/~jnz1568/getInfo.php?workbook=09_01.xlsx&amp;sheet=A0&amp;row=135&amp;col=27&amp;number=&amp;sourceID=13","")</f>
        <v/>
      </c>
      <c r="AB135" s="4" t="str">
        <f>HYPERLINK("http://141.218.60.56/~jnz1568/getInfo.php?workbook=09_01.xlsx&amp;sheet=A0&amp;row=135&amp;col=28&amp;number=&amp;sourceID=13","")</f>
        <v/>
      </c>
      <c r="AC135" s="4" t="str">
        <f>HYPERLINK("http://141.218.60.56/~jnz1568/getInfo.php?workbook=09_01.xlsx&amp;sheet=A0&amp;row=135&amp;col=29&amp;number=&amp;sourceID=13","")</f>
        <v/>
      </c>
      <c r="AD135" s="4" t="str">
        <f>HYPERLINK("http://141.218.60.56/~jnz1568/getInfo.php?workbook=09_01.xlsx&amp;sheet=A0&amp;row=135&amp;col=30&amp;number=&amp;sourceID=13","")</f>
        <v/>
      </c>
      <c r="AE135" s="4" t="str">
        <f>HYPERLINK("http://141.218.60.56/~jnz1568/getInfo.php?workbook=09_01.xlsx&amp;sheet=A0&amp;row=135&amp;col=31&amp;number=&amp;sourceID=13","")</f>
        <v/>
      </c>
    </row>
    <row r="136" spans="1:31">
      <c r="A136" s="3">
        <v>9</v>
      </c>
      <c r="B136" s="3">
        <v>1</v>
      </c>
      <c r="C136" s="3">
        <v>18</v>
      </c>
      <c r="D136" s="3">
        <v>3</v>
      </c>
      <c r="E136" s="3">
        <f>((1/(INDEX(E0!J$4:J$28,C136,1)-INDEX(E0!J$4:J$28,D136,1))))*100000000</f>
        <v>0</v>
      </c>
      <c r="F136" s="4" t="str">
        <f>HYPERLINK("http://141.218.60.56/~jnz1568/getInfo.php?workbook=09_01.xlsx&amp;sheet=A0&amp;row=136&amp;col=6&amp;number=&amp;sourceID=18","")</f>
        <v/>
      </c>
      <c r="G136" s="4" t="str">
        <f>HYPERLINK("http://141.218.60.56/~jnz1568/getInfo.php?workbook=09_01.xlsx&amp;sheet=A0&amp;row=136&amp;col=7&amp;number==&amp;sourceID=11","=")</f>
        <v>=</v>
      </c>
      <c r="H136" s="4" t="str">
        <f>HYPERLINK("http://141.218.60.56/~jnz1568/getInfo.php?workbook=09_01.xlsx&amp;sheet=A0&amp;row=136&amp;col=8&amp;number=&amp;sourceID=11","")</f>
        <v/>
      </c>
      <c r="I136" s="4" t="str">
        <f>HYPERLINK("http://141.218.60.56/~jnz1568/getInfo.php?workbook=09_01.xlsx&amp;sheet=A0&amp;row=136&amp;col=9&amp;number=&amp;sourceID=11","")</f>
        <v/>
      </c>
      <c r="J136" s="4" t="str">
        <f>HYPERLINK("http://141.218.60.56/~jnz1568/getInfo.php?workbook=09_01.xlsx&amp;sheet=A0&amp;row=136&amp;col=10&amp;number=&amp;sourceID=11","")</f>
        <v/>
      </c>
      <c r="K136" s="4" t="str">
        <f>HYPERLINK("http://141.218.60.56/~jnz1568/getInfo.php?workbook=09_01.xlsx&amp;sheet=A0&amp;row=136&amp;col=11&amp;number=3.7952&amp;sourceID=11","3.7952")</f>
        <v>3.7952</v>
      </c>
      <c r="L136" s="4" t="str">
        <f>HYPERLINK("http://141.218.60.56/~jnz1568/getInfo.php?workbook=09_01.xlsx&amp;sheet=A0&amp;row=136&amp;col=12&amp;number=&amp;sourceID=11","")</f>
        <v/>
      </c>
      <c r="M136" s="4" t="str">
        <f>HYPERLINK("http://141.218.60.56/~jnz1568/getInfo.php?workbook=09_01.xlsx&amp;sheet=A0&amp;row=136&amp;col=13&amp;number=&amp;sourceID=11","")</f>
        <v/>
      </c>
      <c r="N136" s="4" t="str">
        <f>HYPERLINK("http://141.218.60.56/~jnz1568/getInfo.php?workbook=09_01.xlsx&amp;sheet=A0&amp;row=136&amp;col=14&amp;number=3.7947&amp;sourceID=12","3.7947")</f>
        <v>3.7947</v>
      </c>
      <c r="O136" s="4" t="str">
        <f>HYPERLINK("http://141.218.60.56/~jnz1568/getInfo.php?workbook=09_01.xlsx&amp;sheet=A0&amp;row=136&amp;col=15&amp;number=&amp;sourceID=12","")</f>
        <v/>
      </c>
      <c r="P136" s="4" t="str">
        <f>HYPERLINK("http://141.218.60.56/~jnz1568/getInfo.php?workbook=09_01.xlsx&amp;sheet=A0&amp;row=136&amp;col=16&amp;number=&amp;sourceID=12","")</f>
        <v/>
      </c>
      <c r="Q136" s="4" t="str">
        <f>HYPERLINK("http://141.218.60.56/~jnz1568/getInfo.php?workbook=09_01.xlsx&amp;sheet=A0&amp;row=136&amp;col=17&amp;number=&amp;sourceID=12","")</f>
        <v/>
      </c>
      <c r="R136" s="4" t="str">
        <f>HYPERLINK("http://141.218.60.56/~jnz1568/getInfo.php?workbook=09_01.xlsx&amp;sheet=A0&amp;row=136&amp;col=18&amp;number=3.7947&amp;sourceID=12","3.7947")</f>
        <v>3.7947</v>
      </c>
      <c r="S136" s="4" t="str">
        <f>HYPERLINK("http://141.218.60.56/~jnz1568/getInfo.php?workbook=09_01.xlsx&amp;sheet=A0&amp;row=136&amp;col=19&amp;number=&amp;sourceID=12","")</f>
        <v/>
      </c>
      <c r="T136" s="4" t="str">
        <f>HYPERLINK("http://141.218.60.56/~jnz1568/getInfo.php?workbook=09_01.xlsx&amp;sheet=A0&amp;row=136&amp;col=20&amp;number=&amp;sourceID=12","")</f>
        <v/>
      </c>
      <c r="U136" s="4" t="str">
        <f>HYPERLINK("http://141.218.60.56/~jnz1568/getInfo.php?workbook=09_01.xlsx&amp;sheet=A0&amp;row=136&amp;col=21&amp;number=3.795&amp;sourceID=30","3.795")</f>
        <v>3.795</v>
      </c>
      <c r="V136" s="4" t="str">
        <f>HYPERLINK("http://141.218.60.56/~jnz1568/getInfo.php?workbook=09_01.xlsx&amp;sheet=A0&amp;row=136&amp;col=22&amp;number=&amp;sourceID=30","")</f>
        <v/>
      </c>
      <c r="W136" s="4" t="str">
        <f>HYPERLINK("http://141.218.60.56/~jnz1568/getInfo.php?workbook=09_01.xlsx&amp;sheet=A0&amp;row=136&amp;col=23&amp;number=&amp;sourceID=30","")</f>
        <v/>
      </c>
      <c r="X136" s="4" t="str">
        <f>HYPERLINK("http://141.218.60.56/~jnz1568/getInfo.php?workbook=09_01.xlsx&amp;sheet=A0&amp;row=136&amp;col=24&amp;number=3.795&amp;sourceID=30","3.795")</f>
        <v>3.795</v>
      </c>
      <c r="Y136" s="4" t="str">
        <f>HYPERLINK("http://141.218.60.56/~jnz1568/getInfo.php?workbook=09_01.xlsx&amp;sheet=A0&amp;row=136&amp;col=25&amp;number=&amp;sourceID=30","")</f>
        <v/>
      </c>
      <c r="Z136" s="4" t="str">
        <f>HYPERLINK("http://141.218.60.56/~jnz1568/getInfo.php?workbook=09_01.xlsx&amp;sheet=A0&amp;row=136&amp;col=26&amp;number=&amp;sourceID=13","")</f>
        <v/>
      </c>
      <c r="AA136" s="4" t="str">
        <f>HYPERLINK("http://141.218.60.56/~jnz1568/getInfo.php?workbook=09_01.xlsx&amp;sheet=A0&amp;row=136&amp;col=27&amp;number=&amp;sourceID=13","")</f>
        <v/>
      </c>
      <c r="AB136" s="4" t="str">
        <f>HYPERLINK("http://141.218.60.56/~jnz1568/getInfo.php?workbook=09_01.xlsx&amp;sheet=A0&amp;row=136&amp;col=28&amp;number=&amp;sourceID=13","")</f>
        <v/>
      </c>
      <c r="AC136" s="4" t="str">
        <f>HYPERLINK("http://141.218.60.56/~jnz1568/getInfo.php?workbook=09_01.xlsx&amp;sheet=A0&amp;row=136&amp;col=29&amp;number=&amp;sourceID=13","")</f>
        <v/>
      </c>
      <c r="AD136" s="4" t="str">
        <f>HYPERLINK("http://141.218.60.56/~jnz1568/getInfo.php?workbook=09_01.xlsx&amp;sheet=A0&amp;row=136&amp;col=30&amp;number=&amp;sourceID=13","")</f>
        <v/>
      </c>
      <c r="AE136" s="4" t="str">
        <f>HYPERLINK("http://141.218.60.56/~jnz1568/getInfo.php?workbook=09_01.xlsx&amp;sheet=A0&amp;row=136&amp;col=31&amp;number=&amp;sourceID=13","")</f>
        <v/>
      </c>
    </row>
    <row r="137" spans="1:31">
      <c r="A137" s="3">
        <v>9</v>
      </c>
      <c r="B137" s="3">
        <v>1</v>
      </c>
      <c r="C137" s="3">
        <v>18</v>
      </c>
      <c r="D137" s="3">
        <v>4</v>
      </c>
      <c r="E137" s="3">
        <f>((1/(INDEX(E0!J$4:J$28,C137,1)-INDEX(E0!J$4:J$28,D137,1))))*100000000</f>
        <v>0</v>
      </c>
      <c r="F137" s="4" t="str">
        <f>HYPERLINK("http://141.218.60.56/~jnz1568/getInfo.php?workbook=09_01.xlsx&amp;sheet=A0&amp;row=137&amp;col=6&amp;number=&amp;sourceID=18","")</f>
        <v/>
      </c>
      <c r="G137" s="4" t="str">
        <f>HYPERLINK("http://141.218.60.56/~jnz1568/getInfo.php?workbook=09_01.xlsx&amp;sheet=A0&amp;row=137&amp;col=7&amp;number==&amp;sourceID=11","=")</f>
        <v>=</v>
      </c>
      <c r="H137" s="4" t="str">
        <f>HYPERLINK("http://141.218.60.56/~jnz1568/getInfo.php?workbook=09_01.xlsx&amp;sheet=A0&amp;row=137&amp;col=8&amp;number=5700300000&amp;sourceID=11","5700300000")</f>
        <v>5700300000</v>
      </c>
      <c r="I137" s="4" t="str">
        <f>HYPERLINK("http://141.218.60.56/~jnz1568/getInfo.php?workbook=09_01.xlsx&amp;sheet=A0&amp;row=137&amp;col=9&amp;number=&amp;sourceID=11","")</f>
        <v/>
      </c>
      <c r="J137" s="4" t="str">
        <f>HYPERLINK("http://141.218.60.56/~jnz1568/getInfo.php?workbook=09_01.xlsx&amp;sheet=A0&amp;row=137&amp;col=10&amp;number=&amp;sourceID=11","")</f>
        <v/>
      </c>
      <c r="K137" s="4" t="str">
        <f>HYPERLINK("http://141.218.60.56/~jnz1568/getInfo.php?workbook=09_01.xlsx&amp;sheet=A0&amp;row=137&amp;col=11&amp;number=&amp;sourceID=11","")</f>
        <v/>
      </c>
      <c r="L137" s="4" t="str">
        <f>HYPERLINK("http://141.218.60.56/~jnz1568/getInfo.php?workbook=09_01.xlsx&amp;sheet=A0&amp;row=137&amp;col=12&amp;number=219.53&amp;sourceID=11","219.53")</f>
        <v>219.53</v>
      </c>
      <c r="M137" s="4" t="str">
        <f>HYPERLINK("http://141.218.60.56/~jnz1568/getInfo.php?workbook=09_01.xlsx&amp;sheet=A0&amp;row=137&amp;col=13&amp;number=&amp;sourceID=11","")</f>
        <v/>
      </c>
      <c r="N137" s="4" t="str">
        <f>HYPERLINK("http://141.218.60.56/~jnz1568/getInfo.php?workbook=09_01.xlsx&amp;sheet=A0&amp;row=137&amp;col=14&amp;number=5700500000&amp;sourceID=12","5700500000")</f>
        <v>5700500000</v>
      </c>
      <c r="O137" s="4" t="str">
        <f>HYPERLINK("http://141.218.60.56/~jnz1568/getInfo.php?workbook=09_01.xlsx&amp;sheet=A0&amp;row=137&amp;col=15&amp;number=5700500000&amp;sourceID=12","5700500000")</f>
        <v>5700500000</v>
      </c>
      <c r="P137" s="4" t="str">
        <f>HYPERLINK("http://141.218.60.56/~jnz1568/getInfo.php?workbook=09_01.xlsx&amp;sheet=A0&amp;row=137&amp;col=16&amp;number=&amp;sourceID=12","")</f>
        <v/>
      </c>
      <c r="Q137" s="4" t="str">
        <f>HYPERLINK("http://141.218.60.56/~jnz1568/getInfo.php?workbook=09_01.xlsx&amp;sheet=A0&amp;row=137&amp;col=17&amp;number=&amp;sourceID=12","")</f>
        <v/>
      </c>
      <c r="R137" s="4" t="str">
        <f>HYPERLINK("http://141.218.60.56/~jnz1568/getInfo.php?workbook=09_01.xlsx&amp;sheet=A0&amp;row=137&amp;col=18&amp;number=&amp;sourceID=12","")</f>
        <v/>
      </c>
      <c r="S137" s="4" t="str">
        <f>HYPERLINK("http://141.218.60.56/~jnz1568/getInfo.php?workbook=09_01.xlsx&amp;sheet=A0&amp;row=137&amp;col=19&amp;number=219.53&amp;sourceID=12","219.53")</f>
        <v>219.53</v>
      </c>
      <c r="T137" s="4" t="str">
        <f>HYPERLINK("http://141.218.60.56/~jnz1568/getInfo.php?workbook=09_01.xlsx&amp;sheet=A0&amp;row=137&amp;col=20&amp;number=&amp;sourceID=12","")</f>
        <v/>
      </c>
      <c r="U137" s="4" t="str">
        <f>HYPERLINK("http://141.218.60.56/~jnz1568/getInfo.php?workbook=09_01.xlsx&amp;sheet=A0&amp;row=137&amp;col=21&amp;number=5700000219.5&amp;sourceID=30","5700000219.5")</f>
        <v>5700000219.5</v>
      </c>
      <c r="V137" s="4" t="str">
        <f>HYPERLINK("http://141.218.60.56/~jnz1568/getInfo.php?workbook=09_01.xlsx&amp;sheet=A0&amp;row=137&amp;col=22&amp;number=5700000000&amp;sourceID=30","5700000000")</f>
        <v>5700000000</v>
      </c>
      <c r="W137" s="4" t="str">
        <f>HYPERLINK("http://141.218.60.56/~jnz1568/getInfo.php?workbook=09_01.xlsx&amp;sheet=A0&amp;row=137&amp;col=23&amp;number=&amp;sourceID=30","")</f>
        <v/>
      </c>
      <c r="X137" s="4" t="str">
        <f>HYPERLINK("http://141.218.60.56/~jnz1568/getInfo.php?workbook=09_01.xlsx&amp;sheet=A0&amp;row=137&amp;col=24&amp;number=&amp;sourceID=30","")</f>
        <v/>
      </c>
      <c r="Y137" s="4" t="str">
        <f>HYPERLINK("http://141.218.60.56/~jnz1568/getInfo.php?workbook=09_01.xlsx&amp;sheet=A0&amp;row=137&amp;col=25&amp;number=219.5&amp;sourceID=30","219.5")</f>
        <v>219.5</v>
      </c>
      <c r="Z137" s="4" t="str">
        <f>HYPERLINK("http://141.218.60.56/~jnz1568/getInfo.php?workbook=09_01.xlsx&amp;sheet=A0&amp;row=137&amp;col=26&amp;number=&amp;sourceID=13","")</f>
        <v/>
      </c>
      <c r="AA137" s="4" t="str">
        <f>HYPERLINK("http://141.218.60.56/~jnz1568/getInfo.php?workbook=09_01.xlsx&amp;sheet=A0&amp;row=137&amp;col=27&amp;number=&amp;sourceID=13","")</f>
        <v/>
      </c>
      <c r="AB137" s="4" t="str">
        <f>HYPERLINK("http://141.218.60.56/~jnz1568/getInfo.php?workbook=09_01.xlsx&amp;sheet=A0&amp;row=137&amp;col=28&amp;number=&amp;sourceID=13","")</f>
        <v/>
      </c>
      <c r="AC137" s="4" t="str">
        <f>HYPERLINK("http://141.218.60.56/~jnz1568/getInfo.php?workbook=09_01.xlsx&amp;sheet=A0&amp;row=137&amp;col=29&amp;number=&amp;sourceID=13","")</f>
        <v/>
      </c>
      <c r="AD137" s="4" t="str">
        <f>HYPERLINK("http://141.218.60.56/~jnz1568/getInfo.php?workbook=09_01.xlsx&amp;sheet=A0&amp;row=137&amp;col=30&amp;number=&amp;sourceID=13","")</f>
        <v/>
      </c>
      <c r="AE137" s="4" t="str">
        <f>HYPERLINK("http://141.218.60.56/~jnz1568/getInfo.php?workbook=09_01.xlsx&amp;sheet=A0&amp;row=137&amp;col=31&amp;number=&amp;sourceID=13","")</f>
        <v/>
      </c>
    </row>
    <row r="138" spans="1:31">
      <c r="A138" s="3">
        <v>9</v>
      </c>
      <c r="B138" s="3">
        <v>1</v>
      </c>
      <c r="C138" s="3">
        <v>18</v>
      </c>
      <c r="D138" s="3">
        <v>5</v>
      </c>
      <c r="E138" s="3">
        <f>((1/(INDEX(E0!J$4:J$28,C138,1)-INDEX(E0!J$4:J$28,D138,1))))*100000000</f>
        <v>0</v>
      </c>
      <c r="F138" s="4" t="str">
        <f>HYPERLINK("http://141.218.60.56/~jnz1568/getInfo.php?workbook=09_01.xlsx&amp;sheet=A0&amp;row=138&amp;col=6&amp;number=&amp;sourceID=18","")</f>
        <v/>
      </c>
      <c r="G138" s="4" t="str">
        <f>HYPERLINK("http://141.218.60.56/~jnz1568/getInfo.php?workbook=09_01.xlsx&amp;sheet=A0&amp;row=138&amp;col=7&amp;number==&amp;sourceID=11","=")</f>
        <v>=</v>
      </c>
      <c r="H138" s="4" t="str">
        <f>HYPERLINK("http://141.218.60.56/~jnz1568/getInfo.php?workbook=09_01.xlsx&amp;sheet=A0&amp;row=138&amp;col=8&amp;number=1983700000&amp;sourceID=11","1983700000")</f>
        <v>1983700000</v>
      </c>
      <c r="I138" s="4" t="str">
        <f>HYPERLINK("http://141.218.60.56/~jnz1568/getInfo.php?workbook=09_01.xlsx&amp;sheet=A0&amp;row=138&amp;col=9&amp;number=&amp;sourceID=11","")</f>
        <v/>
      </c>
      <c r="J138" s="4" t="str">
        <f>HYPERLINK("http://141.218.60.56/~jnz1568/getInfo.php?workbook=09_01.xlsx&amp;sheet=A0&amp;row=138&amp;col=10&amp;number=&amp;sourceID=11","")</f>
        <v/>
      </c>
      <c r="K138" s="4" t="str">
        <f>HYPERLINK("http://141.218.60.56/~jnz1568/getInfo.php?workbook=09_01.xlsx&amp;sheet=A0&amp;row=138&amp;col=11&amp;number=&amp;sourceID=11","")</f>
        <v/>
      </c>
      <c r="L138" s="4" t="str">
        <f>HYPERLINK("http://141.218.60.56/~jnz1568/getInfo.php?workbook=09_01.xlsx&amp;sheet=A0&amp;row=138&amp;col=12&amp;number=&amp;sourceID=11","")</f>
        <v/>
      </c>
      <c r="M138" s="4" t="str">
        <f>HYPERLINK("http://141.218.60.56/~jnz1568/getInfo.php?workbook=09_01.xlsx&amp;sheet=A0&amp;row=138&amp;col=13&amp;number=&amp;sourceID=11","")</f>
        <v/>
      </c>
      <c r="N138" s="4" t="str">
        <f>HYPERLINK("http://141.218.60.56/~jnz1568/getInfo.php?workbook=09_01.xlsx&amp;sheet=A0&amp;row=138&amp;col=14&amp;number=1983700000&amp;sourceID=12","1983700000")</f>
        <v>1983700000</v>
      </c>
      <c r="O138" s="4" t="str">
        <f>HYPERLINK("http://141.218.60.56/~jnz1568/getInfo.php?workbook=09_01.xlsx&amp;sheet=A0&amp;row=138&amp;col=15&amp;number=1983700000&amp;sourceID=12","1983700000")</f>
        <v>1983700000</v>
      </c>
      <c r="P138" s="4" t="str">
        <f>HYPERLINK("http://141.218.60.56/~jnz1568/getInfo.php?workbook=09_01.xlsx&amp;sheet=A0&amp;row=138&amp;col=16&amp;number=&amp;sourceID=12","")</f>
        <v/>
      </c>
      <c r="Q138" s="4" t="str">
        <f>HYPERLINK("http://141.218.60.56/~jnz1568/getInfo.php?workbook=09_01.xlsx&amp;sheet=A0&amp;row=138&amp;col=17&amp;number=&amp;sourceID=12","")</f>
        <v/>
      </c>
      <c r="R138" s="4" t="str">
        <f>HYPERLINK("http://141.218.60.56/~jnz1568/getInfo.php?workbook=09_01.xlsx&amp;sheet=A0&amp;row=138&amp;col=18&amp;number=&amp;sourceID=12","")</f>
        <v/>
      </c>
      <c r="S138" s="4" t="str">
        <f>HYPERLINK("http://141.218.60.56/~jnz1568/getInfo.php?workbook=09_01.xlsx&amp;sheet=A0&amp;row=138&amp;col=19&amp;number=&amp;sourceID=12","")</f>
        <v/>
      </c>
      <c r="T138" s="4" t="str">
        <f>HYPERLINK("http://141.218.60.56/~jnz1568/getInfo.php?workbook=09_01.xlsx&amp;sheet=A0&amp;row=138&amp;col=20&amp;number=&amp;sourceID=12","")</f>
        <v/>
      </c>
      <c r="U138" s="4" t="str">
        <f>HYPERLINK("http://141.218.60.56/~jnz1568/getInfo.php?workbook=09_01.xlsx&amp;sheet=A0&amp;row=138&amp;col=21&amp;number=1984000000&amp;sourceID=30","1984000000")</f>
        <v>1984000000</v>
      </c>
      <c r="V138" s="4" t="str">
        <f>HYPERLINK("http://141.218.60.56/~jnz1568/getInfo.php?workbook=09_01.xlsx&amp;sheet=A0&amp;row=138&amp;col=22&amp;number=1984000000&amp;sourceID=30","1984000000")</f>
        <v>1984000000</v>
      </c>
      <c r="W138" s="4" t="str">
        <f>HYPERLINK("http://141.218.60.56/~jnz1568/getInfo.php?workbook=09_01.xlsx&amp;sheet=A0&amp;row=138&amp;col=23&amp;number=&amp;sourceID=30","")</f>
        <v/>
      </c>
      <c r="X138" s="4" t="str">
        <f>HYPERLINK("http://141.218.60.56/~jnz1568/getInfo.php?workbook=09_01.xlsx&amp;sheet=A0&amp;row=138&amp;col=24&amp;number=&amp;sourceID=30","")</f>
        <v/>
      </c>
      <c r="Y138" s="4" t="str">
        <f>HYPERLINK("http://141.218.60.56/~jnz1568/getInfo.php?workbook=09_01.xlsx&amp;sheet=A0&amp;row=138&amp;col=25&amp;number=&amp;sourceID=30","")</f>
        <v/>
      </c>
      <c r="Z138" s="4" t="str">
        <f>HYPERLINK("http://141.218.60.56/~jnz1568/getInfo.php?workbook=09_01.xlsx&amp;sheet=A0&amp;row=138&amp;col=26&amp;number=&amp;sourceID=13","")</f>
        <v/>
      </c>
      <c r="AA138" s="4" t="str">
        <f>HYPERLINK("http://141.218.60.56/~jnz1568/getInfo.php?workbook=09_01.xlsx&amp;sheet=A0&amp;row=138&amp;col=27&amp;number=&amp;sourceID=13","")</f>
        <v/>
      </c>
      <c r="AB138" s="4" t="str">
        <f>HYPERLINK("http://141.218.60.56/~jnz1568/getInfo.php?workbook=09_01.xlsx&amp;sheet=A0&amp;row=138&amp;col=28&amp;number=&amp;sourceID=13","")</f>
        <v/>
      </c>
      <c r="AC138" s="4" t="str">
        <f>HYPERLINK("http://141.218.60.56/~jnz1568/getInfo.php?workbook=09_01.xlsx&amp;sheet=A0&amp;row=138&amp;col=29&amp;number=&amp;sourceID=13","")</f>
        <v/>
      </c>
      <c r="AD138" s="4" t="str">
        <f>HYPERLINK("http://141.218.60.56/~jnz1568/getInfo.php?workbook=09_01.xlsx&amp;sheet=A0&amp;row=138&amp;col=30&amp;number=&amp;sourceID=13","")</f>
        <v/>
      </c>
      <c r="AE138" s="4" t="str">
        <f>HYPERLINK("http://141.218.60.56/~jnz1568/getInfo.php?workbook=09_01.xlsx&amp;sheet=A0&amp;row=138&amp;col=31&amp;number=&amp;sourceID=13","")</f>
        <v/>
      </c>
    </row>
    <row r="139" spans="1:31">
      <c r="A139" s="3">
        <v>9</v>
      </c>
      <c r="B139" s="3">
        <v>1</v>
      </c>
      <c r="C139" s="3">
        <v>18</v>
      </c>
      <c r="D139" s="3">
        <v>6</v>
      </c>
      <c r="E139" s="3">
        <f>((1/(INDEX(E0!J$4:J$28,C139,1)-INDEX(E0!J$4:J$28,D139,1))))*100000000</f>
        <v>0</v>
      </c>
      <c r="F139" s="4" t="str">
        <f>HYPERLINK("http://141.218.60.56/~jnz1568/getInfo.php?workbook=09_01.xlsx&amp;sheet=A0&amp;row=139&amp;col=6&amp;number=&amp;sourceID=18","")</f>
        <v/>
      </c>
      <c r="G139" s="4" t="str">
        <f>HYPERLINK("http://141.218.60.56/~jnz1568/getInfo.php?workbook=09_01.xlsx&amp;sheet=A0&amp;row=139&amp;col=7&amp;number==&amp;sourceID=11","=")</f>
        <v>=</v>
      </c>
      <c r="H139" s="4" t="str">
        <f>HYPERLINK("http://141.218.60.56/~jnz1568/getInfo.php?workbook=09_01.xlsx&amp;sheet=A0&amp;row=139&amp;col=8&amp;number=&amp;sourceID=11","")</f>
        <v/>
      </c>
      <c r="I139" s="4" t="str">
        <f>HYPERLINK("http://141.218.60.56/~jnz1568/getInfo.php?workbook=09_01.xlsx&amp;sheet=A0&amp;row=139&amp;col=9&amp;number=&amp;sourceID=11","")</f>
        <v/>
      </c>
      <c r="J139" s="4" t="str">
        <f>HYPERLINK("http://141.218.60.56/~jnz1568/getInfo.php?workbook=09_01.xlsx&amp;sheet=A0&amp;row=139&amp;col=10&amp;number=&amp;sourceID=11","")</f>
        <v/>
      </c>
      <c r="K139" s="4" t="str">
        <f>HYPERLINK("http://141.218.60.56/~jnz1568/getInfo.php?workbook=09_01.xlsx&amp;sheet=A0&amp;row=139&amp;col=11&amp;number=0.09071&amp;sourceID=11","0.09071")</f>
        <v>0.09071</v>
      </c>
      <c r="L139" s="4" t="str">
        <f>HYPERLINK("http://141.218.60.56/~jnz1568/getInfo.php?workbook=09_01.xlsx&amp;sheet=A0&amp;row=139&amp;col=12&amp;number=&amp;sourceID=11","")</f>
        <v/>
      </c>
      <c r="M139" s="4" t="str">
        <f>HYPERLINK("http://141.218.60.56/~jnz1568/getInfo.php?workbook=09_01.xlsx&amp;sheet=A0&amp;row=139&amp;col=13&amp;number=&amp;sourceID=11","")</f>
        <v/>
      </c>
      <c r="N139" s="4" t="str">
        <f>HYPERLINK("http://141.218.60.56/~jnz1568/getInfo.php?workbook=09_01.xlsx&amp;sheet=A0&amp;row=139&amp;col=14&amp;number=0.090713&amp;sourceID=12","0.090713")</f>
        <v>0.090713</v>
      </c>
      <c r="O139" s="4" t="str">
        <f>HYPERLINK("http://141.218.60.56/~jnz1568/getInfo.php?workbook=09_01.xlsx&amp;sheet=A0&amp;row=139&amp;col=15&amp;number=&amp;sourceID=12","")</f>
        <v/>
      </c>
      <c r="P139" s="4" t="str">
        <f>HYPERLINK("http://141.218.60.56/~jnz1568/getInfo.php?workbook=09_01.xlsx&amp;sheet=A0&amp;row=139&amp;col=16&amp;number=&amp;sourceID=12","")</f>
        <v/>
      </c>
      <c r="Q139" s="4" t="str">
        <f>HYPERLINK("http://141.218.60.56/~jnz1568/getInfo.php?workbook=09_01.xlsx&amp;sheet=A0&amp;row=139&amp;col=17&amp;number=&amp;sourceID=12","")</f>
        <v/>
      </c>
      <c r="R139" s="4" t="str">
        <f>HYPERLINK("http://141.218.60.56/~jnz1568/getInfo.php?workbook=09_01.xlsx&amp;sheet=A0&amp;row=139&amp;col=18&amp;number=0.090713&amp;sourceID=12","0.090713")</f>
        <v>0.090713</v>
      </c>
      <c r="S139" s="4" t="str">
        <f>HYPERLINK("http://141.218.60.56/~jnz1568/getInfo.php?workbook=09_01.xlsx&amp;sheet=A0&amp;row=139&amp;col=19&amp;number=&amp;sourceID=12","")</f>
        <v/>
      </c>
      <c r="T139" s="4" t="str">
        <f>HYPERLINK("http://141.218.60.56/~jnz1568/getInfo.php?workbook=09_01.xlsx&amp;sheet=A0&amp;row=139&amp;col=20&amp;number=&amp;sourceID=12","")</f>
        <v/>
      </c>
      <c r="U139" s="4" t="str">
        <f>HYPERLINK("http://141.218.60.56/~jnz1568/getInfo.php?workbook=09_01.xlsx&amp;sheet=A0&amp;row=139&amp;col=21&amp;number=0.09062&amp;sourceID=30","0.09062")</f>
        <v>0.09062</v>
      </c>
      <c r="V139" s="4" t="str">
        <f>HYPERLINK("http://141.218.60.56/~jnz1568/getInfo.php?workbook=09_01.xlsx&amp;sheet=A0&amp;row=139&amp;col=22&amp;number=&amp;sourceID=30","")</f>
        <v/>
      </c>
      <c r="W139" s="4" t="str">
        <f>HYPERLINK("http://141.218.60.56/~jnz1568/getInfo.php?workbook=09_01.xlsx&amp;sheet=A0&amp;row=139&amp;col=23&amp;number=&amp;sourceID=30","")</f>
        <v/>
      </c>
      <c r="X139" s="4" t="str">
        <f>HYPERLINK("http://141.218.60.56/~jnz1568/getInfo.php?workbook=09_01.xlsx&amp;sheet=A0&amp;row=139&amp;col=24&amp;number=0.09062&amp;sourceID=30","0.09062")</f>
        <v>0.09062</v>
      </c>
      <c r="Y139" s="4" t="str">
        <f>HYPERLINK("http://141.218.60.56/~jnz1568/getInfo.php?workbook=09_01.xlsx&amp;sheet=A0&amp;row=139&amp;col=25&amp;number=&amp;sourceID=30","")</f>
        <v/>
      </c>
      <c r="Z139" s="4" t="str">
        <f>HYPERLINK("http://141.218.60.56/~jnz1568/getInfo.php?workbook=09_01.xlsx&amp;sheet=A0&amp;row=139&amp;col=26&amp;number=&amp;sourceID=13","")</f>
        <v/>
      </c>
      <c r="AA139" s="4" t="str">
        <f>HYPERLINK("http://141.218.60.56/~jnz1568/getInfo.php?workbook=09_01.xlsx&amp;sheet=A0&amp;row=139&amp;col=27&amp;number=&amp;sourceID=13","")</f>
        <v/>
      </c>
      <c r="AB139" s="4" t="str">
        <f>HYPERLINK("http://141.218.60.56/~jnz1568/getInfo.php?workbook=09_01.xlsx&amp;sheet=A0&amp;row=139&amp;col=28&amp;number=&amp;sourceID=13","")</f>
        <v/>
      </c>
      <c r="AC139" s="4" t="str">
        <f>HYPERLINK("http://141.218.60.56/~jnz1568/getInfo.php?workbook=09_01.xlsx&amp;sheet=A0&amp;row=139&amp;col=29&amp;number=&amp;sourceID=13","")</f>
        <v/>
      </c>
      <c r="AD139" s="4" t="str">
        <f>HYPERLINK("http://141.218.60.56/~jnz1568/getInfo.php?workbook=09_01.xlsx&amp;sheet=A0&amp;row=139&amp;col=30&amp;number=&amp;sourceID=13","")</f>
        <v/>
      </c>
      <c r="AE139" s="4" t="str">
        <f>HYPERLINK("http://141.218.60.56/~jnz1568/getInfo.php?workbook=09_01.xlsx&amp;sheet=A0&amp;row=139&amp;col=31&amp;number=&amp;sourceID=13","")</f>
        <v/>
      </c>
    </row>
    <row r="140" spans="1:31">
      <c r="A140" s="3">
        <v>9</v>
      </c>
      <c r="B140" s="3">
        <v>1</v>
      </c>
      <c r="C140" s="3">
        <v>18</v>
      </c>
      <c r="D140" s="3">
        <v>7</v>
      </c>
      <c r="E140" s="3">
        <f>((1/(INDEX(E0!J$4:J$28,C140,1)-INDEX(E0!J$4:J$28,D140,1))))*100000000</f>
        <v>0</v>
      </c>
      <c r="F140" s="4" t="str">
        <f>HYPERLINK("http://141.218.60.56/~jnz1568/getInfo.php?workbook=09_01.xlsx&amp;sheet=A0&amp;row=140&amp;col=6&amp;number=&amp;sourceID=18","")</f>
        <v/>
      </c>
      <c r="G140" s="4" t="str">
        <f>HYPERLINK("http://141.218.60.56/~jnz1568/getInfo.php?workbook=09_01.xlsx&amp;sheet=A0&amp;row=140&amp;col=7&amp;number==&amp;sourceID=11","=")</f>
        <v>=</v>
      </c>
      <c r="H140" s="4" t="str">
        <f>HYPERLINK("http://141.218.60.56/~jnz1568/getInfo.php?workbook=09_01.xlsx&amp;sheet=A0&amp;row=140&amp;col=8&amp;number=&amp;sourceID=11","")</f>
        <v/>
      </c>
      <c r="I140" s="4" t="str">
        <f>HYPERLINK("http://141.218.60.56/~jnz1568/getInfo.php?workbook=09_01.xlsx&amp;sheet=A0&amp;row=140&amp;col=9&amp;number=136270&amp;sourceID=11","136270")</f>
        <v>136270</v>
      </c>
      <c r="J140" s="4" t="str">
        <f>HYPERLINK("http://141.218.60.56/~jnz1568/getInfo.php?workbook=09_01.xlsx&amp;sheet=A0&amp;row=140&amp;col=10&amp;number=&amp;sourceID=11","")</f>
        <v/>
      </c>
      <c r="K140" s="4" t="str">
        <f>HYPERLINK("http://141.218.60.56/~jnz1568/getInfo.php?workbook=09_01.xlsx&amp;sheet=A0&amp;row=140&amp;col=11&amp;number=1.1942e-05&amp;sourceID=11","1.1942e-05")</f>
        <v>1.1942e-05</v>
      </c>
      <c r="L140" s="4" t="str">
        <f>HYPERLINK("http://141.218.60.56/~jnz1568/getInfo.php?workbook=09_01.xlsx&amp;sheet=A0&amp;row=140&amp;col=12&amp;number=&amp;sourceID=11","")</f>
        <v/>
      </c>
      <c r="M140" s="4" t="str">
        <f>HYPERLINK("http://141.218.60.56/~jnz1568/getInfo.php?workbook=09_01.xlsx&amp;sheet=A0&amp;row=140&amp;col=13&amp;number=&amp;sourceID=11","")</f>
        <v/>
      </c>
      <c r="N140" s="4" t="str">
        <f>HYPERLINK("http://141.218.60.56/~jnz1568/getInfo.php?workbook=09_01.xlsx&amp;sheet=A0&amp;row=140&amp;col=14&amp;number=136280&amp;sourceID=12","136280")</f>
        <v>136280</v>
      </c>
      <c r="O140" s="4" t="str">
        <f>HYPERLINK("http://141.218.60.56/~jnz1568/getInfo.php?workbook=09_01.xlsx&amp;sheet=A0&amp;row=140&amp;col=15&amp;number=&amp;sourceID=12","")</f>
        <v/>
      </c>
      <c r="P140" s="4" t="str">
        <f>HYPERLINK("http://141.218.60.56/~jnz1568/getInfo.php?workbook=09_01.xlsx&amp;sheet=A0&amp;row=140&amp;col=16&amp;number=136280&amp;sourceID=12","136280")</f>
        <v>136280</v>
      </c>
      <c r="Q140" s="4" t="str">
        <f>HYPERLINK("http://141.218.60.56/~jnz1568/getInfo.php?workbook=09_01.xlsx&amp;sheet=A0&amp;row=140&amp;col=17&amp;number=&amp;sourceID=12","")</f>
        <v/>
      </c>
      <c r="R140" s="4" t="str">
        <f>HYPERLINK("http://141.218.60.56/~jnz1568/getInfo.php?workbook=09_01.xlsx&amp;sheet=A0&amp;row=140&amp;col=18&amp;number=1.194e-05&amp;sourceID=12","1.194e-05")</f>
        <v>1.194e-05</v>
      </c>
      <c r="S140" s="4" t="str">
        <f>HYPERLINK("http://141.218.60.56/~jnz1568/getInfo.php?workbook=09_01.xlsx&amp;sheet=A0&amp;row=140&amp;col=19&amp;number=&amp;sourceID=12","")</f>
        <v/>
      </c>
      <c r="T140" s="4" t="str">
        <f>HYPERLINK("http://141.218.60.56/~jnz1568/getInfo.php?workbook=09_01.xlsx&amp;sheet=A0&amp;row=140&amp;col=20&amp;number=&amp;sourceID=12","")</f>
        <v/>
      </c>
      <c r="U140" s="4" t="str">
        <f>HYPERLINK("http://141.218.60.56/~jnz1568/getInfo.php?workbook=09_01.xlsx&amp;sheet=A0&amp;row=140&amp;col=21&amp;number=136300.000012&amp;sourceID=30","136300.000012")</f>
        <v>136300.000012</v>
      </c>
      <c r="V140" s="4" t="str">
        <f>HYPERLINK("http://141.218.60.56/~jnz1568/getInfo.php?workbook=09_01.xlsx&amp;sheet=A0&amp;row=140&amp;col=22&amp;number=&amp;sourceID=30","")</f>
        <v/>
      </c>
      <c r="W140" s="4" t="str">
        <f>HYPERLINK("http://141.218.60.56/~jnz1568/getInfo.php?workbook=09_01.xlsx&amp;sheet=A0&amp;row=140&amp;col=23&amp;number=136300&amp;sourceID=30","136300")</f>
        <v>136300</v>
      </c>
      <c r="X140" s="4" t="str">
        <f>HYPERLINK("http://141.218.60.56/~jnz1568/getInfo.php?workbook=09_01.xlsx&amp;sheet=A0&amp;row=140&amp;col=24&amp;number=1.239e-05&amp;sourceID=30","1.239e-05")</f>
        <v>1.239e-05</v>
      </c>
      <c r="Y140" s="4" t="str">
        <f>HYPERLINK("http://141.218.60.56/~jnz1568/getInfo.php?workbook=09_01.xlsx&amp;sheet=A0&amp;row=140&amp;col=25&amp;number=&amp;sourceID=30","")</f>
        <v/>
      </c>
      <c r="Z140" s="4" t="str">
        <f>HYPERLINK("http://141.218.60.56/~jnz1568/getInfo.php?workbook=09_01.xlsx&amp;sheet=A0&amp;row=140&amp;col=26&amp;number=&amp;sourceID=13","")</f>
        <v/>
      </c>
      <c r="AA140" s="4" t="str">
        <f>HYPERLINK("http://141.218.60.56/~jnz1568/getInfo.php?workbook=09_01.xlsx&amp;sheet=A0&amp;row=140&amp;col=27&amp;number=&amp;sourceID=13","")</f>
        <v/>
      </c>
      <c r="AB140" s="4" t="str">
        <f>HYPERLINK("http://141.218.60.56/~jnz1568/getInfo.php?workbook=09_01.xlsx&amp;sheet=A0&amp;row=140&amp;col=28&amp;number=&amp;sourceID=13","")</f>
        <v/>
      </c>
      <c r="AC140" s="4" t="str">
        <f>HYPERLINK("http://141.218.60.56/~jnz1568/getInfo.php?workbook=09_01.xlsx&amp;sheet=A0&amp;row=140&amp;col=29&amp;number=&amp;sourceID=13","")</f>
        <v/>
      </c>
      <c r="AD140" s="4" t="str">
        <f>HYPERLINK("http://141.218.60.56/~jnz1568/getInfo.php?workbook=09_01.xlsx&amp;sheet=A0&amp;row=140&amp;col=30&amp;number=&amp;sourceID=13","")</f>
        <v/>
      </c>
      <c r="AE140" s="4" t="str">
        <f>HYPERLINK("http://141.218.60.56/~jnz1568/getInfo.php?workbook=09_01.xlsx&amp;sheet=A0&amp;row=140&amp;col=31&amp;number=&amp;sourceID=13","")</f>
        <v/>
      </c>
    </row>
    <row r="141" spans="1:31">
      <c r="A141" s="3">
        <v>9</v>
      </c>
      <c r="B141" s="3">
        <v>1</v>
      </c>
      <c r="C141" s="3">
        <v>18</v>
      </c>
      <c r="D141" s="3">
        <v>8</v>
      </c>
      <c r="E141" s="3">
        <f>((1/(INDEX(E0!J$4:J$28,C141,1)-INDEX(E0!J$4:J$28,D141,1))))*100000000</f>
        <v>0</v>
      </c>
      <c r="F141" s="4" t="str">
        <f>HYPERLINK("http://141.218.60.56/~jnz1568/getInfo.php?workbook=09_01.xlsx&amp;sheet=A0&amp;row=141&amp;col=6&amp;number=&amp;sourceID=18","")</f>
        <v/>
      </c>
      <c r="G141" s="4" t="str">
        <f>HYPERLINK("http://141.218.60.56/~jnz1568/getInfo.php?workbook=09_01.xlsx&amp;sheet=A0&amp;row=141&amp;col=7&amp;number==&amp;sourceID=11","=")</f>
        <v>=</v>
      </c>
      <c r="H141" s="4" t="str">
        <f>HYPERLINK("http://141.218.60.56/~jnz1568/getInfo.php?workbook=09_01.xlsx&amp;sheet=A0&amp;row=141&amp;col=8&amp;number=3997300000&amp;sourceID=11","3997300000")</f>
        <v>3997300000</v>
      </c>
      <c r="I141" s="4" t="str">
        <f>HYPERLINK("http://141.218.60.56/~jnz1568/getInfo.php?workbook=09_01.xlsx&amp;sheet=A0&amp;row=141&amp;col=9&amp;number=&amp;sourceID=11","")</f>
        <v/>
      </c>
      <c r="J141" s="4" t="str">
        <f>HYPERLINK("http://141.218.60.56/~jnz1568/getInfo.php?workbook=09_01.xlsx&amp;sheet=A0&amp;row=141&amp;col=10&amp;number=&amp;sourceID=11","")</f>
        <v/>
      </c>
      <c r="K141" s="4" t="str">
        <f>HYPERLINK("http://141.218.60.56/~jnz1568/getInfo.php?workbook=09_01.xlsx&amp;sheet=A0&amp;row=141&amp;col=11&amp;number=&amp;sourceID=11","")</f>
        <v/>
      </c>
      <c r="L141" s="4" t="str">
        <f>HYPERLINK("http://141.218.60.56/~jnz1568/getInfo.php?workbook=09_01.xlsx&amp;sheet=A0&amp;row=141&amp;col=12&amp;number=17.641&amp;sourceID=11","17.641")</f>
        <v>17.641</v>
      </c>
      <c r="M141" s="4" t="str">
        <f>HYPERLINK("http://141.218.60.56/~jnz1568/getInfo.php?workbook=09_01.xlsx&amp;sheet=A0&amp;row=141&amp;col=13&amp;number=&amp;sourceID=11","")</f>
        <v/>
      </c>
      <c r="N141" s="4" t="str">
        <f>HYPERLINK("http://141.218.60.56/~jnz1568/getInfo.php?workbook=09_01.xlsx&amp;sheet=A0&amp;row=141&amp;col=14&amp;number=3997400000&amp;sourceID=12","3997400000")</f>
        <v>3997400000</v>
      </c>
      <c r="O141" s="4" t="str">
        <f>HYPERLINK("http://141.218.60.56/~jnz1568/getInfo.php?workbook=09_01.xlsx&amp;sheet=A0&amp;row=141&amp;col=15&amp;number=3997400000&amp;sourceID=12","3997400000")</f>
        <v>3997400000</v>
      </c>
      <c r="P141" s="4" t="str">
        <f>HYPERLINK("http://141.218.60.56/~jnz1568/getInfo.php?workbook=09_01.xlsx&amp;sheet=A0&amp;row=141&amp;col=16&amp;number=&amp;sourceID=12","")</f>
        <v/>
      </c>
      <c r="Q141" s="4" t="str">
        <f>HYPERLINK("http://141.218.60.56/~jnz1568/getInfo.php?workbook=09_01.xlsx&amp;sheet=A0&amp;row=141&amp;col=17&amp;number=&amp;sourceID=12","")</f>
        <v/>
      </c>
      <c r="R141" s="4" t="str">
        <f>HYPERLINK("http://141.218.60.56/~jnz1568/getInfo.php?workbook=09_01.xlsx&amp;sheet=A0&amp;row=141&amp;col=18&amp;number=&amp;sourceID=12","")</f>
        <v/>
      </c>
      <c r="S141" s="4" t="str">
        <f>HYPERLINK("http://141.218.60.56/~jnz1568/getInfo.php?workbook=09_01.xlsx&amp;sheet=A0&amp;row=141&amp;col=19&amp;number=17.641&amp;sourceID=12","17.641")</f>
        <v>17.641</v>
      </c>
      <c r="T141" s="4" t="str">
        <f>HYPERLINK("http://141.218.60.56/~jnz1568/getInfo.php?workbook=09_01.xlsx&amp;sheet=A0&amp;row=141&amp;col=20&amp;number=&amp;sourceID=12","")</f>
        <v/>
      </c>
      <c r="U141" s="4" t="str">
        <f>HYPERLINK("http://141.218.60.56/~jnz1568/getInfo.php?workbook=09_01.xlsx&amp;sheet=A0&amp;row=141&amp;col=21&amp;number=3997000017.64&amp;sourceID=30","3997000017.64")</f>
        <v>3997000017.64</v>
      </c>
      <c r="V141" s="4" t="str">
        <f>HYPERLINK("http://141.218.60.56/~jnz1568/getInfo.php?workbook=09_01.xlsx&amp;sheet=A0&amp;row=141&amp;col=22&amp;number=3997000000&amp;sourceID=30","3997000000")</f>
        <v>3997000000</v>
      </c>
      <c r="W141" s="4" t="str">
        <f>HYPERLINK("http://141.218.60.56/~jnz1568/getInfo.php?workbook=09_01.xlsx&amp;sheet=A0&amp;row=141&amp;col=23&amp;number=&amp;sourceID=30","")</f>
        <v/>
      </c>
      <c r="X141" s="4" t="str">
        <f>HYPERLINK("http://141.218.60.56/~jnz1568/getInfo.php?workbook=09_01.xlsx&amp;sheet=A0&amp;row=141&amp;col=24&amp;number=&amp;sourceID=30","")</f>
        <v/>
      </c>
      <c r="Y141" s="4" t="str">
        <f>HYPERLINK("http://141.218.60.56/~jnz1568/getInfo.php?workbook=09_01.xlsx&amp;sheet=A0&amp;row=141&amp;col=25&amp;number=17.64&amp;sourceID=30","17.64")</f>
        <v>17.64</v>
      </c>
      <c r="Z141" s="4" t="str">
        <f>HYPERLINK("http://141.218.60.56/~jnz1568/getInfo.php?workbook=09_01.xlsx&amp;sheet=A0&amp;row=141&amp;col=26&amp;number=&amp;sourceID=13","")</f>
        <v/>
      </c>
      <c r="AA141" s="4" t="str">
        <f>HYPERLINK("http://141.218.60.56/~jnz1568/getInfo.php?workbook=09_01.xlsx&amp;sheet=A0&amp;row=141&amp;col=27&amp;number=&amp;sourceID=13","")</f>
        <v/>
      </c>
      <c r="AB141" s="4" t="str">
        <f>HYPERLINK("http://141.218.60.56/~jnz1568/getInfo.php?workbook=09_01.xlsx&amp;sheet=A0&amp;row=141&amp;col=28&amp;number=&amp;sourceID=13","")</f>
        <v/>
      </c>
      <c r="AC141" s="4" t="str">
        <f>HYPERLINK("http://141.218.60.56/~jnz1568/getInfo.php?workbook=09_01.xlsx&amp;sheet=A0&amp;row=141&amp;col=29&amp;number=&amp;sourceID=13","")</f>
        <v/>
      </c>
      <c r="AD141" s="4" t="str">
        <f>HYPERLINK("http://141.218.60.56/~jnz1568/getInfo.php?workbook=09_01.xlsx&amp;sheet=A0&amp;row=141&amp;col=30&amp;number=&amp;sourceID=13","")</f>
        <v/>
      </c>
      <c r="AE141" s="4" t="str">
        <f>HYPERLINK("http://141.218.60.56/~jnz1568/getInfo.php?workbook=09_01.xlsx&amp;sheet=A0&amp;row=141&amp;col=31&amp;number=&amp;sourceID=13","")</f>
        <v/>
      </c>
    </row>
    <row r="142" spans="1:31">
      <c r="A142" s="3">
        <v>9</v>
      </c>
      <c r="B142" s="3">
        <v>1</v>
      </c>
      <c r="C142" s="3">
        <v>18</v>
      </c>
      <c r="D142" s="3">
        <v>9</v>
      </c>
      <c r="E142" s="3">
        <f>((1/(INDEX(E0!J$4:J$28,C142,1)-INDEX(E0!J$4:J$28,D142,1))))*100000000</f>
        <v>0</v>
      </c>
      <c r="F142" s="4" t="str">
        <f>HYPERLINK("http://141.218.60.56/~jnz1568/getInfo.php?workbook=09_01.xlsx&amp;sheet=A0&amp;row=142&amp;col=6&amp;number=&amp;sourceID=18","")</f>
        <v/>
      </c>
      <c r="G142" s="4" t="str">
        <f>HYPERLINK("http://141.218.60.56/~jnz1568/getInfo.php?workbook=09_01.xlsx&amp;sheet=A0&amp;row=142&amp;col=7&amp;number==&amp;sourceID=11","=")</f>
        <v>=</v>
      </c>
      <c r="H142" s="4" t="str">
        <f>HYPERLINK("http://141.218.60.56/~jnz1568/getInfo.php?workbook=09_01.xlsx&amp;sheet=A0&amp;row=142&amp;col=8&amp;number=&amp;sourceID=11","")</f>
        <v/>
      </c>
      <c r="I142" s="4" t="str">
        <f>HYPERLINK("http://141.218.60.56/~jnz1568/getInfo.php?workbook=09_01.xlsx&amp;sheet=A0&amp;row=142&amp;col=9&amp;number=204480&amp;sourceID=11","204480")</f>
        <v>204480</v>
      </c>
      <c r="J142" s="4" t="str">
        <f>HYPERLINK("http://141.218.60.56/~jnz1568/getInfo.php?workbook=09_01.xlsx&amp;sheet=A0&amp;row=142&amp;col=10&amp;number=&amp;sourceID=11","")</f>
        <v/>
      </c>
      <c r="K142" s="4" t="str">
        <f>HYPERLINK("http://141.218.60.56/~jnz1568/getInfo.php?workbook=09_01.xlsx&amp;sheet=A0&amp;row=142&amp;col=11&amp;number=&amp;sourceID=11","")</f>
        <v/>
      </c>
      <c r="L142" s="4" t="str">
        <f>HYPERLINK("http://141.218.60.56/~jnz1568/getInfo.php?workbook=09_01.xlsx&amp;sheet=A0&amp;row=142&amp;col=12&amp;number=&amp;sourceID=11","")</f>
        <v/>
      </c>
      <c r="M142" s="4" t="str">
        <f>HYPERLINK("http://141.218.60.56/~jnz1568/getInfo.php?workbook=09_01.xlsx&amp;sheet=A0&amp;row=142&amp;col=13&amp;number=0.0010684&amp;sourceID=11","0.0010684")</f>
        <v>0.0010684</v>
      </c>
      <c r="N142" s="4" t="str">
        <f>HYPERLINK("http://141.218.60.56/~jnz1568/getInfo.php?workbook=09_01.xlsx&amp;sheet=A0&amp;row=142&amp;col=14&amp;number=204480&amp;sourceID=12","204480")</f>
        <v>204480</v>
      </c>
      <c r="O142" s="4" t="str">
        <f>HYPERLINK("http://141.218.60.56/~jnz1568/getInfo.php?workbook=09_01.xlsx&amp;sheet=A0&amp;row=142&amp;col=15&amp;number=&amp;sourceID=12","")</f>
        <v/>
      </c>
      <c r="P142" s="4" t="str">
        <f>HYPERLINK("http://141.218.60.56/~jnz1568/getInfo.php?workbook=09_01.xlsx&amp;sheet=A0&amp;row=142&amp;col=16&amp;number=204480&amp;sourceID=12","204480")</f>
        <v>204480</v>
      </c>
      <c r="Q142" s="4" t="str">
        <f>HYPERLINK("http://141.218.60.56/~jnz1568/getInfo.php?workbook=09_01.xlsx&amp;sheet=A0&amp;row=142&amp;col=17&amp;number=&amp;sourceID=12","")</f>
        <v/>
      </c>
      <c r="R142" s="4" t="str">
        <f>HYPERLINK("http://141.218.60.56/~jnz1568/getInfo.php?workbook=09_01.xlsx&amp;sheet=A0&amp;row=142&amp;col=18&amp;number=&amp;sourceID=12","")</f>
        <v/>
      </c>
      <c r="S142" s="4" t="str">
        <f>HYPERLINK("http://141.218.60.56/~jnz1568/getInfo.php?workbook=09_01.xlsx&amp;sheet=A0&amp;row=142&amp;col=19&amp;number=&amp;sourceID=12","")</f>
        <v/>
      </c>
      <c r="T142" s="4" t="str">
        <f>HYPERLINK("http://141.218.60.56/~jnz1568/getInfo.php?workbook=09_01.xlsx&amp;sheet=A0&amp;row=142&amp;col=20&amp;number=0.0010684&amp;sourceID=12","0.0010684")</f>
        <v>0.0010684</v>
      </c>
      <c r="U142" s="4" t="str">
        <f>HYPERLINK("http://141.218.60.56/~jnz1568/getInfo.php?workbook=09_01.xlsx&amp;sheet=A0&amp;row=142&amp;col=21&amp;number=204500&amp;sourceID=30","204500")</f>
        <v>204500</v>
      </c>
      <c r="V142" s="4" t="str">
        <f>HYPERLINK("http://141.218.60.56/~jnz1568/getInfo.php?workbook=09_01.xlsx&amp;sheet=A0&amp;row=142&amp;col=22&amp;number=&amp;sourceID=30","")</f>
        <v/>
      </c>
      <c r="W142" s="4" t="str">
        <f>HYPERLINK("http://141.218.60.56/~jnz1568/getInfo.php?workbook=09_01.xlsx&amp;sheet=A0&amp;row=142&amp;col=23&amp;number=204500&amp;sourceID=30","204500")</f>
        <v>204500</v>
      </c>
      <c r="X142" s="4" t="str">
        <f>HYPERLINK("http://141.218.60.56/~jnz1568/getInfo.php?workbook=09_01.xlsx&amp;sheet=A0&amp;row=142&amp;col=24&amp;number=&amp;sourceID=30","")</f>
        <v/>
      </c>
      <c r="Y142" s="4" t="str">
        <f>HYPERLINK("http://141.218.60.56/~jnz1568/getInfo.php?workbook=09_01.xlsx&amp;sheet=A0&amp;row=142&amp;col=25&amp;number=&amp;sourceID=30","")</f>
        <v/>
      </c>
      <c r="Z142" s="4" t="str">
        <f>HYPERLINK("http://141.218.60.56/~jnz1568/getInfo.php?workbook=09_01.xlsx&amp;sheet=A0&amp;row=142&amp;col=26&amp;number=&amp;sourceID=13","")</f>
        <v/>
      </c>
      <c r="AA142" s="4" t="str">
        <f>HYPERLINK("http://141.218.60.56/~jnz1568/getInfo.php?workbook=09_01.xlsx&amp;sheet=A0&amp;row=142&amp;col=27&amp;number=&amp;sourceID=13","")</f>
        <v/>
      </c>
      <c r="AB142" s="4" t="str">
        <f>HYPERLINK("http://141.218.60.56/~jnz1568/getInfo.php?workbook=09_01.xlsx&amp;sheet=A0&amp;row=142&amp;col=28&amp;number=&amp;sourceID=13","")</f>
        <v/>
      </c>
      <c r="AC142" s="4" t="str">
        <f>HYPERLINK("http://141.218.60.56/~jnz1568/getInfo.php?workbook=09_01.xlsx&amp;sheet=A0&amp;row=142&amp;col=29&amp;number=&amp;sourceID=13","")</f>
        <v/>
      </c>
      <c r="AD142" s="4" t="str">
        <f>HYPERLINK("http://141.218.60.56/~jnz1568/getInfo.php?workbook=09_01.xlsx&amp;sheet=A0&amp;row=142&amp;col=30&amp;number=&amp;sourceID=13","")</f>
        <v/>
      </c>
      <c r="AE142" s="4" t="str">
        <f>HYPERLINK("http://141.218.60.56/~jnz1568/getInfo.php?workbook=09_01.xlsx&amp;sheet=A0&amp;row=142&amp;col=31&amp;number=&amp;sourceID=13","")</f>
        <v/>
      </c>
    </row>
    <row r="143" spans="1:31">
      <c r="A143" s="3">
        <v>9</v>
      </c>
      <c r="B143" s="3">
        <v>1</v>
      </c>
      <c r="C143" s="3">
        <v>18</v>
      </c>
      <c r="D143" s="3">
        <v>10</v>
      </c>
      <c r="E143" s="3">
        <f>((1/(INDEX(E0!J$4:J$28,C143,1)-INDEX(E0!J$4:J$28,D143,1))))*100000000</f>
        <v>0</v>
      </c>
      <c r="F143" s="4" t="str">
        <f>HYPERLINK("http://141.218.60.56/~jnz1568/getInfo.php?workbook=09_01.xlsx&amp;sheet=A0&amp;row=143&amp;col=6&amp;number=&amp;sourceID=18","")</f>
        <v/>
      </c>
      <c r="G143" s="4" t="str">
        <f>HYPERLINK("http://141.218.60.56/~jnz1568/getInfo.php?workbook=09_01.xlsx&amp;sheet=A0&amp;row=143&amp;col=7&amp;number==&amp;sourceID=11","=")</f>
        <v>=</v>
      </c>
      <c r="H143" s="4" t="str">
        <f>HYPERLINK("http://141.218.60.56/~jnz1568/getInfo.php?workbook=09_01.xlsx&amp;sheet=A0&amp;row=143&amp;col=8&amp;number=1414100000&amp;sourceID=11","1414100000")</f>
        <v>1414100000</v>
      </c>
      <c r="I143" s="4" t="str">
        <f>HYPERLINK("http://141.218.60.56/~jnz1568/getInfo.php?workbook=09_01.xlsx&amp;sheet=A0&amp;row=143&amp;col=9&amp;number=&amp;sourceID=11","")</f>
        <v/>
      </c>
      <c r="J143" s="4" t="str">
        <f>HYPERLINK("http://141.218.60.56/~jnz1568/getInfo.php?workbook=09_01.xlsx&amp;sheet=A0&amp;row=143&amp;col=10&amp;number=&amp;sourceID=11","")</f>
        <v/>
      </c>
      <c r="K143" s="4" t="str">
        <f>HYPERLINK("http://141.218.60.56/~jnz1568/getInfo.php?workbook=09_01.xlsx&amp;sheet=A0&amp;row=143&amp;col=11&amp;number=&amp;sourceID=11","")</f>
        <v/>
      </c>
      <c r="L143" s="4" t="str">
        <f>HYPERLINK("http://141.218.60.56/~jnz1568/getInfo.php?workbook=09_01.xlsx&amp;sheet=A0&amp;row=143&amp;col=12&amp;number=&amp;sourceID=11","")</f>
        <v/>
      </c>
      <c r="M143" s="4" t="str">
        <f>HYPERLINK("http://141.218.60.56/~jnz1568/getInfo.php?workbook=09_01.xlsx&amp;sheet=A0&amp;row=143&amp;col=13&amp;number=&amp;sourceID=11","")</f>
        <v/>
      </c>
      <c r="N143" s="4" t="str">
        <f>HYPERLINK("http://141.218.60.56/~jnz1568/getInfo.php?workbook=09_01.xlsx&amp;sheet=A0&amp;row=143&amp;col=14&amp;number=1414100000&amp;sourceID=12","1414100000")</f>
        <v>1414100000</v>
      </c>
      <c r="O143" s="4" t="str">
        <f>HYPERLINK("http://141.218.60.56/~jnz1568/getInfo.php?workbook=09_01.xlsx&amp;sheet=A0&amp;row=143&amp;col=15&amp;number=1414100000&amp;sourceID=12","1414100000")</f>
        <v>1414100000</v>
      </c>
      <c r="P143" s="4" t="str">
        <f>HYPERLINK("http://141.218.60.56/~jnz1568/getInfo.php?workbook=09_01.xlsx&amp;sheet=A0&amp;row=143&amp;col=16&amp;number=&amp;sourceID=12","")</f>
        <v/>
      </c>
      <c r="Q143" s="4" t="str">
        <f>HYPERLINK("http://141.218.60.56/~jnz1568/getInfo.php?workbook=09_01.xlsx&amp;sheet=A0&amp;row=143&amp;col=17&amp;number=&amp;sourceID=12","")</f>
        <v/>
      </c>
      <c r="R143" s="4" t="str">
        <f>HYPERLINK("http://141.218.60.56/~jnz1568/getInfo.php?workbook=09_01.xlsx&amp;sheet=A0&amp;row=143&amp;col=18&amp;number=&amp;sourceID=12","")</f>
        <v/>
      </c>
      <c r="S143" s="4" t="str">
        <f>HYPERLINK("http://141.218.60.56/~jnz1568/getInfo.php?workbook=09_01.xlsx&amp;sheet=A0&amp;row=143&amp;col=19&amp;number=&amp;sourceID=12","")</f>
        <v/>
      </c>
      <c r="T143" s="4" t="str">
        <f>HYPERLINK("http://141.218.60.56/~jnz1568/getInfo.php?workbook=09_01.xlsx&amp;sheet=A0&amp;row=143&amp;col=20&amp;number=&amp;sourceID=12","")</f>
        <v/>
      </c>
      <c r="U143" s="4" t="str">
        <f>HYPERLINK("http://141.218.60.56/~jnz1568/getInfo.php?workbook=09_01.xlsx&amp;sheet=A0&amp;row=143&amp;col=21&amp;number=1414000000&amp;sourceID=30","1414000000")</f>
        <v>1414000000</v>
      </c>
      <c r="V143" s="4" t="str">
        <f>HYPERLINK("http://141.218.60.56/~jnz1568/getInfo.php?workbook=09_01.xlsx&amp;sheet=A0&amp;row=143&amp;col=22&amp;number=1414000000&amp;sourceID=30","1414000000")</f>
        <v>1414000000</v>
      </c>
      <c r="W143" s="4" t="str">
        <f>HYPERLINK("http://141.218.60.56/~jnz1568/getInfo.php?workbook=09_01.xlsx&amp;sheet=A0&amp;row=143&amp;col=23&amp;number=&amp;sourceID=30","")</f>
        <v/>
      </c>
      <c r="X143" s="4" t="str">
        <f>HYPERLINK("http://141.218.60.56/~jnz1568/getInfo.php?workbook=09_01.xlsx&amp;sheet=A0&amp;row=143&amp;col=24&amp;number=&amp;sourceID=30","")</f>
        <v/>
      </c>
      <c r="Y143" s="4" t="str">
        <f>HYPERLINK("http://141.218.60.56/~jnz1568/getInfo.php?workbook=09_01.xlsx&amp;sheet=A0&amp;row=143&amp;col=25&amp;number=&amp;sourceID=30","")</f>
        <v/>
      </c>
      <c r="Z143" s="4" t="str">
        <f>HYPERLINK("http://141.218.60.56/~jnz1568/getInfo.php?workbook=09_01.xlsx&amp;sheet=A0&amp;row=143&amp;col=26&amp;number=&amp;sourceID=13","")</f>
        <v/>
      </c>
      <c r="AA143" s="4" t="str">
        <f>HYPERLINK("http://141.218.60.56/~jnz1568/getInfo.php?workbook=09_01.xlsx&amp;sheet=A0&amp;row=143&amp;col=27&amp;number=&amp;sourceID=13","")</f>
        <v/>
      </c>
      <c r="AB143" s="4" t="str">
        <f>HYPERLINK("http://141.218.60.56/~jnz1568/getInfo.php?workbook=09_01.xlsx&amp;sheet=A0&amp;row=143&amp;col=28&amp;number=&amp;sourceID=13","")</f>
        <v/>
      </c>
      <c r="AC143" s="4" t="str">
        <f>HYPERLINK("http://141.218.60.56/~jnz1568/getInfo.php?workbook=09_01.xlsx&amp;sheet=A0&amp;row=143&amp;col=29&amp;number=&amp;sourceID=13","")</f>
        <v/>
      </c>
      <c r="AD143" s="4" t="str">
        <f>HYPERLINK("http://141.218.60.56/~jnz1568/getInfo.php?workbook=09_01.xlsx&amp;sheet=A0&amp;row=143&amp;col=30&amp;number=&amp;sourceID=13","")</f>
        <v/>
      </c>
      <c r="AE143" s="4" t="str">
        <f>HYPERLINK("http://141.218.60.56/~jnz1568/getInfo.php?workbook=09_01.xlsx&amp;sheet=A0&amp;row=143&amp;col=31&amp;number=&amp;sourceID=13","")</f>
        <v/>
      </c>
    </row>
    <row r="144" spans="1:31">
      <c r="A144" s="3">
        <v>9</v>
      </c>
      <c r="B144" s="3">
        <v>1</v>
      </c>
      <c r="C144" s="3">
        <v>18</v>
      </c>
      <c r="D144" s="3">
        <v>11</v>
      </c>
      <c r="E144" s="3">
        <f>((1/(INDEX(E0!J$4:J$28,C144,1)-INDEX(E0!J$4:J$28,D144,1))))*100000000</f>
        <v>0</v>
      </c>
      <c r="F144" s="4" t="str">
        <f>HYPERLINK("http://141.218.60.56/~jnz1568/getInfo.php?workbook=09_01.xlsx&amp;sheet=A0&amp;row=144&amp;col=6&amp;number=&amp;sourceID=18","")</f>
        <v/>
      </c>
      <c r="G144" s="4" t="str">
        <f>HYPERLINK("http://141.218.60.56/~jnz1568/getInfo.php?workbook=09_01.xlsx&amp;sheet=A0&amp;row=144&amp;col=7&amp;number==&amp;sourceID=11","=")</f>
        <v>=</v>
      </c>
      <c r="H144" s="4" t="str">
        <f>HYPERLINK("http://141.218.60.56/~jnz1568/getInfo.php?workbook=09_01.xlsx&amp;sheet=A0&amp;row=144&amp;col=8&amp;number=&amp;sourceID=11","")</f>
        <v/>
      </c>
      <c r="I144" s="4" t="str">
        <f>HYPERLINK("http://141.218.60.56/~jnz1568/getInfo.php?workbook=09_01.xlsx&amp;sheet=A0&amp;row=144&amp;col=9&amp;number=&amp;sourceID=11","")</f>
        <v/>
      </c>
      <c r="J144" s="4" t="str">
        <f>HYPERLINK("http://141.218.60.56/~jnz1568/getInfo.php?workbook=09_01.xlsx&amp;sheet=A0&amp;row=144&amp;col=10&amp;number=&amp;sourceID=11","")</f>
        <v/>
      </c>
      <c r="K144" s="4" t="str">
        <f>HYPERLINK("http://141.218.60.56/~jnz1568/getInfo.php?workbook=09_01.xlsx&amp;sheet=A0&amp;row=144&amp;col=11&amp;number=0.0025775&amp;sourceID=11","0.0025775")</f>
        <v>0.0025775</v>
      </c>
      <c r="L144" s="4" t="str">
        <f>HYPERLINK("http://141.218.60.56/~jnz1568/getInfo.php?workbook=09_01.xlsx&amp;sheet=A0&amp;row=144&amp;col=12&amp;number=&amp;sourceID=11","")</f>
        <v/>
      </c>
      <c r="M144" s="4" t="str">
        <f>HYPERLINK("http://141.218.60.56/~jnz1568/getInfo.php?workbook=09_01.xlsx&amp;sheet=A0&amp;row=144&amp;col=13&amp;number=&amp;sourceID=11","")</f>
        <v/>
      </c>
      <c r="N144" s="4" t="str">
        <f>HYPERLINK("http://141.218.60.56/~jnz1568/getInfo.php?workbook=09_01.xlsx&amp;sheet=A0&amp;row=144&amp;col=14&amp;number=0.0025775&amp;sourceID=12","0.0025775")</f>
        <v>0.0025775</v>
      </c>
      <c r="O144" s="4" t="str">
        <f>HYPERLINK("http://141.218.60.56/~jnz1568/getInfo.php?workbook=09_01.xlsx&amp;sheet=A0&amp;row=144&amp;col=15&amp;number=&amp;sourceID=12","")</f>
        <v/>
      </c>
      <c r="P144" s="4" t="str">
        <f>HYPERLINK("http://141.218.60.56/~jnz1568/getInfo.php?workbook=09_01.xlsx&amp;sheet=A0&amp;row=144&amp;col=16&amp;number=&amp;sourceID=12","")</f>
        <v/>
      </c>
      <c r="Q144" s="4" t="str">
        <f>HYPERLINK("http://141.218.60.56/~jnz1568/getInfo.php?workbook=09_01.xlsx&amp;sheet=A0&amp;row=144&amp;col=17&amp;number=&amp;sourceID=12","")</f>
        <v/>
      </c>
      <c r="R144" s="4" t="str">
        <f>HYPERLINK("http://141.218.60.56/~jnz1568/getInfo.php?workbook=09_01.xlsx&amp;sheet=A0&amp;row=144&amp;col=18&amp;number=0.0025775&amp;sourceID=12","0.0025775")</f>
        <v>0.0025775</v>
      </c>
      <c r="S144" s="4" t="str">
        <f>HYPERLINK("http://141.218.60.56/~jnz1568/getInfo.php?workbook=09_01.xlsx&amp;sheet=A0&amp;row=144&amp;col=19&amp;number=&amp;sourceID=12","")</f>
        <v/>
      </c>
      <c r="T144" s="4" t="str">
        <f>HYPERLINK("http://141.218.60.56/~jnz1568/getInfo.php?workbook=09_01.xlsx&amp;sheet=A0&amp;row=144&amp;col=20&amp;number=&amp;sourceID=12","")</f>
        <v/>
      </c>
      <c r="U144" s="4" t="str">
        <f>HYPERLINK("http://141.218.60.56/~jnz1568/getInfo.php?workbook=09_01.xlsx&amp;sheet=A0&amp;row=144&amp;col=21&amp;number=0.002567&amp;sourceID=30","0.002567")</f>
        <v>0.002567</v>
      </c>
      <c r="V144" s="4" t="str">
        <f>HYPERLINK("http://141.218.60.56/~jnz1568/getInfo.php?workbook=09_01.xlsx&amp;sheet=A0&amp;row=144&amp;col=22&amp;number=&amp;sourceID=30","")</f>
        <v/>
      </c>
      <c r="W144" s="4" t="str">
        <f>HYPERLINK("http://141.218.60.56/~jnz1568/getInfo.php?workbook=09_01.xlsx&amp;sheet=A0&amp;row=144&amp;col=23&amp;number=&amp;sourceID=30","")</f>
        <v/>
      </c>
      <c r="X144" s="4" t="str">
        <f>HYPERLINK("http://141.218.60.56/~jnz1568/getInfo.php?workbook=09_01.xlsx&amp;sheet=A0&amp;row=144&amp;col=24&amp;number=0.002567&amp;sourceID=30","0.002567")</f>
        <v>0.002567</v>
      </c>
      <c r="Y144" s="4" t="str">
        <f>HYPERLINK("http://141.218.60.56/~jnz1568/getInfo.php?workbook=09_01.xlsx&amp;sheet=A0&amp;row=144&amp;col=25&amp;number=&amp;sourceID=30","")</f>
        <v/>
      </c>
      <c r="Z144" s="4" t="str">
        <f>HYPERLINK("http://141.218.60.56/~jnz1568/getInfo.php?workbook=09_01.xlsx&amp;sheet=A0&amp;row=144&amp;col=26&amp;number=&amp;sourceID=13","")</f>
        <v/>
      </c>
      <c r="AA144" s="4" t="str">
        <f>HYPERLINK("http://141.218.60.56/~jnz1568/getInfo.php?workbook=09_01.xlsx&amp;sheet=A0&amp;row=144&amp;col=27&amp;number=&amp;sourceID=13","")</f>
        <v/>
      </c>
      <c r="AB144" s="4" t="str">
        <f>HYPERLINK("http://141.218.60.56/~jnz1568/getInfo.php?workbook=09_01.xlsx&amp;sheet=A0&amp;row=144&amp;col=28&amp;number=&amp;sourceID=13","")</f>
        <v/>
      </c>
      <c r="AC144" s="4" t="str">
        <f>HYPERLINK("http://141.218.60.56/~jnz1568/getInfo.php?workbook=09_01.xlsx&amp;sheet=A0&amp;row=144&amp;col=29&amp;number=&amp;sourceID=13","")</f>
        <v/>
      </c>
      <c r="AD144" s="4" t="str">
        <f>HYPERLINK("http://141.218.60.56/~jnz1568/getInfo.php?workbook=09_01.xlsx&amp;sheet=A0&amp;row=144&amp;col=30&amp;number=&amp;sourceID=13","")</f>
        <v/>
      </c>
      <c r="AE144" s="4" t="str">
        <f>HYPERLINK("http://141.218.60.56/~jnz1568/getInfo.php?workbook=09_01.xlsx&amp;sheet=A0&amp;row=144&amp;col=31&amp;number=&amp;sourceID=13","")</f>
        <v/>
      </c>
    </row>
    <row r="145" spans="1:31">
      <c r="A145" s="3">
        <v>9</v>
      </c>
      <c r="B145" s="3">
        <v>1</v>
      </c>
      <c r="C145" s="3">
        <v>18</v>
      </c>
      <c r="D145" s="3">
        <v>12</v>
      </c>
      <c r="E145" s="3">
        <f>((1/(INDEX(E0!J$4:J$28,C145,1)-INDEX(E0!J$4:J$28,D145,1))))*100000000</f>
        <v>0</v>
      </c>
      <c r="F145" s="4" t="str">
        <f>HYPERLINK("http://141.218.60.56/~jnz1568/getInfo.php?workbook=09_01.xlsx&amp;sheet=A0&amp;row=145&amp;col=6&amp;number=&amp;sourceID=18","")</f>
        <v/>
      </c>
      <c r="G145" s="4" t="str">
        <f>HYPERLINK("http://141.218.60.56/~jnz1568/getInfo.php?workbook=09_01.xlsx&amp;sheet=A0&amp;row=145&amp;col=7&amp;number==&amp;sourceID=11","=")</f>
        <v>=</v>
      </c>
      <c r="H145" s="4" t="str">
        <f>HYPERLINK("http://141.218.60.56/~jnz1568/getInfo.php?workbook=09_01.xlsx&amp;sheet=A0&amp;row=145&amp;col=8&amp;number=&amp;sourceID=11","")</f>
        <v/>
      </c>
      <c r="I145" s="4" t="str">
        <f>HYPERLINK("http://141.218.60.56/~jnz1568/getInfo.php?workbook=09_01.xlsx&amp;sheet=A0&amp;row=145&amp;col=9&amp;number=69289&amp;sourceID=11","69289")</f>
        <v>69289</v>
      </c>
      <c r="J145" s="4" t="str">
        <f>HYPERLINK("http://141.218.60.56/~jnz1568/getInfo.php?workbook=09_01.xlsx&amp;sheet=A0&amp;row=145&amp;col=10&amp;number=&amp;sourceID=11","")</f>
        <v/>
      </c>
      <c r="K145" s="4" t="str">
        <f>HYPERLINK("http://141.218.60.56/~jnz1568/getInfo.php?workbook=09_01.xlsx&amp;sheet=A0&amp;row=145&amp;col=11&amp;number=2.7766e-06&amp;sourceID=11","2.7766e-06")</f>
        <v>2.7766e-06</v>
      </c>
      <c r="L145" s="4" t="str">
        <f>HYPERLINK("http://141.218.60.56/~jnz1568/getInfo.php?workbook=09_01.xlsx&amp;sheet=A0&amp;row=145&amp;col=12&amp;number=&amp;sourceID=11","")</f>
        <v/>
      </c>
      <c r="M145" s="4" t="str">
        <f>HYPERLINK("http://141.218.60.56/~jnz1568/getInfo.php?workbook=09_01.xlsx&amp;sheet=A0&amp;row=145&amp;col=13&amp;number=&amp;sourceID=11","")</f>
        <v/>
      </c>
      <c r="N145" s="4" t="str">
        <f>HYPERLINK("http://141.218.60.56/~jnz1568/getInfo.php?workbook=09_01.xlsx&amp;sheet=A0&amp;row=145&amp;col=14&amp;number=69291&amp;sourceID=12","69291")</f>
        <v>69291</v>
      </c>
      <c r="O145" s="4" t="str">
        <f>HYPERLINK("http://141.218.60.56/~jnz1568/getInfo.php?workbook=09_01.xlsx&amp;sheet=A0&amp;row=145&amp;col=15&amp;number=&amp;sourceID=12","")</f>
        <v/>
      </c>
      <c r="P145" s="4" t="str">
        <f>HYPERLINK("http://141.218.60.56/~jnz1568/getInfo.php?workbook=09_01.xlsx&amp;sheet=A0&amp;row=145&amp;col=16&amp;number=69291&amp;sourceID=12","69291")</f>
        <v>69291</v>
      </c>
      <c r="Q145" s="4" t="str">
        <f>HYPERLINK("http://141.218.60.56/~jnz1568/getInfo.php?workbook=09_01.xlsx&amp;sheet=A0&amp;row=145&amp;col=17&amp;number=&amp;sourceID=12","")</f>
        <v/>
      </c>
      <c r="R145" s="4" t="str">
        <f>HYPERLINK("http://141.218.60.56/~jnz1568/getInfo.php?workbook=09_01.xlsx&amp;sheet=A0&amp;row=145&amp;col=18&amp;number=2.7767e-06&amp;sourceID=12","2.7767e-06")</f>
        <v>2.7767e-06</v>
      </c>
      <c r="S145" s="4" t="str">
        <f>HYPERLINK("http://141.218.60.56/~jnz1568/getInfo.php?workbook=09_01.xlsx&amp;sheet=A0&amp;row=145&amp;col=19&amp;number=&amp;sourceID=12","")</f>
        <v/>
      </c>
      <c r="T145" s="4" t="str">
        <f>HYPERLINK("http://141.218.60.56/~jnz1568/getInfo.php?workbook=09_01.xlsx&amp;sheet=A0&amp;row=145&amp;col=20&amp;number=&amp;sourceID=12","")</f>
        <v/>
      </c>
      <c r="U145" s="4" t="str">
        <f>HYPERLINK("http://141.218.60.56/~jnz1568/getInfo.php?workbook=09_01.xlsx&amp;sheet=A0&amp;row=145&amp;col=21&amp;number=69290.0000029&amp;sourceID=30","69290.0000029")</f>
        <v>69290.0000029</v>
      </c>
      <c r="V145" s="4" t="str">
        <f>HYPERLINK("http://141.218.60.56/~jnz1568/getInfo.php?workbook=09_01.xlsx&amp;sheet=A0&amp;row=145&amp;col=22&amp;number=&amp;sourceID=30","")</f>
        <v/>
      </c>
      <c r="W145" s="4" t="str">
        <f>HYPERLINK("http://141.218.60.56/~jnz1568/getInfo.php?workbook=09_01.xlsx&amp;sheet=A0&amp;row=145&amp;col=23&amp;number=69290&amp;sourceID=30","69290")</f>
        <v>69290</v>
      </c>
      <c r="X145" s="4" t="str">
        <f>HYPERLINK("http://141.218.60.56/~jnz1568/getInfo.php?workbook=09_01.xlsx&amp;sheet=A0&amp;row=145&amp;col=24&amp;number=2.946e-06&amp;sourceID=30","2.946e-06")</f>
        <v>2.946e-06</v>
      </c>
      <c r="Y145" s="4" t="str">
        <f>HYPERLINK("http://141.218.60.56/~jnz1568/getInfo.php?workbook=09_01.xlsx&amp;sheet=A0&amp;row=145&amp;col=25&amp;number=&amp;sourceID=30","")</f>
        <v/>
      </c>
      <c r="Z145" s="4" t="str">
        <f>HYPERLINK("http://141.218.60.56/~jnz1568/getInfo.php?workbook=09_01.xlsx&amp;sheet=A0&amp;row=145&amp;col=26&amp;number=&amp;sourceID=13","")</f>
        <v/>
      </c>
      <c r="AA145" s="4" t="str">
        <f>HYPERLINK("http://141.218.60.56/~jnz1568/getInfo.php?workbook=09_01.xlsx&amp;sheet=A0&amp;row=145&amp;col=27&amp;number=&amp;sourceID=13","")</f>
        <v/>
      </c>
      <c r="AB145" s="4" t="str">
        <f>HYPERLINK("http://141.218.60.56/~jnz1568/getInfo.php?workbook=09_01.xlsx&amp;sheet=A0&amp;row=145&amp;col=28&amp;number=&amp;sourceID=13","")</f>
        <v/>
      </c>
      <c r="AC145" s="4" t="str">
        <f>HYPERLINK("http://141.218.60.56/~jnz1568/getInfo.php?workbook=09_01.xlsx&amp;sheet=A0&amp;row=145&amp;col=29&amp;number=&amp;sourceID=13","")</f>
        <v/>
      </c>
      <c r="AD145" s="4" t="str">
        <f>HYPERLINK("http://141.218.60.56/~jnz1568/getInfo.php?workbook=09_01.xlsx&amp;sheet=A0&amp;row=145&amp;col=30&amp;number=&amp;sourceID=13","")</f>
        <v/>
      </c>
      <c r="AE145" s="4" t="str">
        <f>HYPERLINK("http://141.218.60.56/~jnz1568/getInfo.php?workbook=09_01.xlsx&amp;sheet=A0&amp;row=145&amp;col=31&amp;number=&amp;sourceID=13","")</f>
        <v/>
      </c>
    </row>
    <row r="146" spans="1:31">
      <c r="A146" s="3">
        <v>9</v>
      </c>
      <c r="B146" s="3">
        <v>1</v>
      </c>
      <c r="C146" s="3">
        <v>18</v>
      </c>
      <c r="D146" s="3">
        <v>13</v>
      </c>
      <c r="E146" s="3">
        <f>((1/(INDEX(E0!J$4:J$28,C146,1)-INDEX(E0!J$4:J$28,D146,1))))*100000000</f>
        <v>0</v>
      </c>
      <c r="F146" s="4" t="str">
        <f>HYPERLINK("http://141.218.60.56/~jnz1568/getInfo.php?workbook=09_01.xlsx&amp;sheet=A0&amp;row=146&amp;col=6&amp;number=&amp;sourceID=18","")</f>
        <v/>
      </c>
      <c r="G146" s="4" t="str">
        <f>HYPERLINK("http://141.218.60.56/~jnz1568/getInfo.php?workbook=09_01.xlsx&amp;sheet=A0&amp;row=146&amp;col=7&amp;number==&amp;sourceID=11","=")</f>
        <v>=</v>
      </c>
      <c r="H146" s="4" t="str">
        <f>HYPERLINK("http://141.218.60.56/~jnz1568/getInfo.php?workbook=09_01.xlsx&amp;sheet=A0&amp;row=146&amp;col=8&amp;number=2850000000&amp;sourceID=11","2850000000")</f>
        <v>2850000000</v>
      </c>
      <c r="I146" s="4" t="str">
        <f>HYPERLINK("http://141.218.60.56/~jnz1568/getInfo.php?workbook=09_01.xlsx&amp;sheet=A0&amp;row=146&amp;col=9&amp;number=&amp;sourceID=11","")</f>
        <v/>
      </c>
      <c r="J146" s="4" t="str">
        <f>HYPERLINK("http://141.218.60.56/~jnz1568/getInfo.php?workbook=09_01.xlsx&amp;sheet=A0&amp;row=146&amp;col=10&amp;number=&amp;sourceID=11","")</f>
        <v/>
      </c>
      <c r="K146" s="4" t="str">
        <f>HYPERLINK("http://141.218.60.56/~jnz1568/getInfo.php?workbook=09_01.xlsx&amp;sheet=A0&amp;row=146&amp;col=11&amp;number=&amp;sourceID=11","")</f>
        <v/>
      </c>
      <c r="L146" s="4" t="str">
        <f>HYPERLINK("http://141.218.60.56/~jnz1568/getInfo.php?workbook=09_01.xlsx&amp;sheet=A0&amp;row=146&amp;col=12&amp;number=1.2576&amp;sourceID=11","1.2576")</f>
        <v>1.2576</v>
      </c>
      <c r="M146" s="4" t="str">
        <f>HYPERLINK("http://141.218.60.56/~jnz1568/getInfo.php?workbook=09_01.xlsx&amp;sheet=A0&amp;row=146&amp;col=13&amp;number=&amp;sourceID=11","")</f>
        <v/>
      </c>
      <c r="N146" s="4" t="str">
        <f>HYPERLINK("http://141.218.60.56/~jnz1568/getInfo.php?workbook=09_01.xlsx&amp;sheet=A0&amp;row=146&amp;col=14&amp;number=2850100000&amp;sourceID=12","2850100000")</f>
        <v>2850100000</v>
      </c>
      <c r="O146" s="4" t="str">
        <f>HYPERLINK("http://141.218.60.56/~jnz1568/getInfo.php?workbook=09_01.xlsx&amp;sheet=A0&amp;row=146&amp;col=15&amp;number=2850100000&amp;sourceID=12","2850100000")</f>
        <v>2850100000</v>
      </c>
      <c r="P146" s="4" t="str">
        <f>HYPERLINK("http://141.218.60.56/~jnz1568/getInfo.php?workbook=09_01.xlsx&amp;sheet=A0&amp;row=146&amp;col=16&amp;number=&amp;sourceID=12","")</f>
        <v/>
      </c>
      <c r="Q146" s="4" t="str">
        <f>HYPERLINK("http://141.218.60.56/~jnz1568/getInfo.php?workbook=09_01.xlsx&amp;sheet=A0&amp;row=146&amp;col=17&amp;number=&amp;sourceID=12","")</f>
        <v/>
      </c>
      <c r="R146" s="4" t="str">
        <f>HYPERLINK("http://141.218.60.56/~jnz1568/getInfo.php?workbook=09_01.xlsx&amp;sheet=A0&amp;row=146&amp;col=18&amp;number=&amp;sourceID=12","")</f>
        <v/>
      </c>
      <c r="S146" s="4" t="str">
        <f>HYPERLINK("http://141.218.60.56/~jnz1568/getInfo.php?workbook=09_01.xlsx&amp;sheet=A0&amp;row=146&amp;col=19&amp;number=1.2577&amp;sourceID=12","1.2577")</f>
        <v>1.2577</v>
      </c>
      <c r="T146" s="4" t="str">
        <f>HYPERLINK("http://141.218.60.56/~jnz1568/getInfo.php?workbook=09_01.xlsx&amp;sheet=A0&amp;row=146&amp;col=20&amp;number=&amp;sourceID=12","")</f>
        <v/>
      </c>
      <c r="U146" s="4" t="str">
        <f>HYPERLINK("http://141.218.60.56/~jnz1568/getInfo.php?workbook=09_01.xlsx&amp;sheet=A0&amp;row=146&amp;col=21&amp;number=2850000001.26&amp;sourceID=30","2850000001.26")</f>
        <v>2850000001.26</v>
      </c>
      <c r="V146" s="4" t="str">
        <f>HYPERLINK("http://141.218.60.56/~jnz1568/getInfo.php?workbook=09_01.xlsx&amp;sheet=A0&amp;row=146&amp;col=22&amp;number=2850000000&amp;sourceID=30","2850000000")</f>
        <v>2850000000</v>
      </c>
      <c r="W146" s="4" t="str">
        <f>HYPERLINK("http://141.218.60.56/~jnz1568/getInfo.php?workbook=09_01.xlsx&amp;sheet=A0&amp;row=146&amp;col=23&amp;number=&amp;sourceID=30","")</f>
        <v/>
      </c>
      <c r="X146" s="4" t="str">
        <f>HYPERLINK("http://141.218.60.56/~jnz1568/getInfo.php?workbook=09_01.xlsx&amp;sheet=A0&amp;row=146&amp;col=24&amp;number=&amp;sourceID=30","")</f>
        <v/>
      </c>
      <c r="Y146" s="4" t="str">
        <f>HYPERLINK("http://141.218.60.56/~jnz1568/getInfo.php?workbook=09_01.xlsx&amp;sheet=A0&amp;row=146&amp;col=25&amp;number=1.258&amp;sourceID=30","1.258")</f>
        <v>1.258</v>
      </c>
      <c r="Z146" s="4" t="str">
        <f>HYPERLINK("http://141.218.60.56/~jnz1568/getInfo.php?workbook=09_01.xlsx&amp;sheet=A0&amp;row=146&amp;col=26&amp;number=&amp;sourceID=13","")</f>
        <v/>
      </c>
      <c r="AA146" s="4" t="str">
        <f>HYPERLINK("http://141.218.60.56/~jnz1568/getInfo.php?workbook=09_01.xlsx&amp;sheet=A0&amp;row=146&amp;col=27&amp;number=&amp;sourceID=13","")</f>
        <v/>
      </c>
      <c r="AB146" s="4" t="str">
        <f>HYPERLINK("http://141.218.60.56/~jnz1568/getInfo.php?workbook=09_01.xlsx&amp;sheet=A0&amp;row=146&amp;col=28&amp;number=&amp;sourceID=13","")</f>
        <v/>
      </c>
      <c r="AC146" s="4" t="str">
        <f>HYPERLINK("http://141.218.60.56/~jnz1568/getInfo.php?workbook=09_01.xlsx&amp;sheet=A0&amp;row=146&amp;col=29&amp;number=&amp;sourceID=13","")</f>
        <v/>
      </c>
      <c r="AD146" s="4" t="str">
        <f>HYPERLINK("http://141.218.60.56/~jnz1568/getInfo.php?workbook=09_01.xlsx&amp;sheet=A0&amp;row=146&amp;col=30&amp;number=&amp;sourceID=13","")</f>
        <v/>
      </c>
      <c r="AE146" s="4" t="str">
        <f>HYPERLINK("http://141.218.60.56/~jnz1568/getInfo.php?workbook=09_01.xlsx&amp;sheet=A0&amp;row=146&amp;col=31&amp;number=&amp;sourceID=13","")</f>
        <v/>
      </c>
    </row>
    <row r="147" spans="1:31">
      <c r="A147" s="3">
        <v>9</v>
      </c>
      <c r="B147" s="3">
        <v>1</v>
      </c>
      <c r="C147" s="3">
        <v>18</v>
      </c>
      <c r="D147" s="3">
        <v>14</v>
      </c>
      <c r="E147" s="3">
        <f>((1/(INDEX(E0!J$4:J$28,C147,1)-INDEX(E0!J$4:J$28,D147,1))))*100000000</f>
        <v>0</v>
      </c>
      <c r="F147" s="4" t="str">
        <f>HYPERLINK("http://141.218.60.56/~jnz1568/getInfo.php?workbook=09_01.xlsx&amp;sheet=A0&amp;row=147&amp;col=6&amp;number=&amp;sourceID=18","")</f>
        <v/>
      </c>
      <c r="G147" s="4" t="str">
        <f>HYPERLINK("http://141.218.60.56/~jnz1568/getInfo.php?workbook=09_01.xlsx&amp;sheet=A0&amp;row=147&amp;col=7&amp;number==&amp;sourceID=11","=")</f>
        <v>=</v>
      </c>
      <c r="H147" s="4" t="str">
        <f>HYPERLINK("http://141.218.60.56/~jnz1568/getInfo.php?workbook=09_01.xlsx&amp;sheet=A0&amp;row=147&amp;col=8&amp;number=&amp;sourceID=11","")</f>
        <v/>
      </c>
      <c r="I147" s="4" t="str">
        <f>HYPERLINK("http://141.218.60.56/~jnz1568/getInfo.php?workbook=09_01.xlsx&amp;sheet=A0&amp;row=147&amp;col=9&amp;number=&amp;sourceID=11","")</f>
        <v/>
      </c>
      <c r="J147" s="4" t="str">
        <f>HYPERLINK("http://141.218.60.56/~jnz1568/getInfo.php?workbook=09_01.xlsx&amp;sheet=A0&amp;row=147&amp;col=10&amp;number=0.5889&amp;sourceID=11","0.5889")</f>
        <v>0.5889</v>
      </c>
      <c r="K147" s="4" t="str">
        <f>HYPERLINK("http://141.218.60.56/~jnz1568/getInfo.php?workbook=09_01.xlsx&amp;sheet=A0&amp;row=147&amp;col=11&amp;number=&amp;sourceID=11","")</f>
        <v/>
      </c>
      <c r="L147" s="4" t="str">
        <f>HYPERLINK("http://141.218.60.56/~jnz1568/getInfo.php?workbook=09_01.xlsx&amp;sheet=A0&amp;row=147&amp;col=12&amp;number=2.802e-12&amp;sourceID=11","2.802e-12")</f>
        <v>2.802e-12</v>
      </c>
      <c r="M147" s="4" t="str">
        <f>HYPERLINK("http://141.218.60.56/~jnz1568/getInfo.php?workbook=09_01.xlsx&amp;sheet=A0&amp;row=147&amp;col=13&amp;number=&amp;sourceID=11","")</f>
        <v/>
      </c>
      <c r="N147" s="4" t="str">
        <f>HYPERLINK("http://141.218.60.56/~jnz1568/getInfo.php?workbook=09_01.xlsx&amp;sheet=A0&amp;row=147&amp;col=14&amp;number=0.58892&amp;sourceID=12","0.58892")</f>
        <v>0.58892</v>
      </c>
      <c r="O147" s="4" t="str">
        <f>HYPERLINK("http://141.218.60.56/~jnz1568/getInfo.php?workbook=09_01.xlsx&amp;sheet=A0&amp;row=147&amp;col=15&amp;number=&amp;sourceID=12","")</f>
        <v/>
      </c>
      <c r="P147" s="4" t="str">
        <f>HYPERLINK("http://141.218.60.56/~jnz1568/getInfo.php?workbook=09_01.xlsx&amp;sheet=A0&amp;row=147&amp;col=16&amp;number=&amp;sourceID=12","")</f>
        <v/>
      </c>
      <c r="Q147" s="4" t="str">
        <f>HYPERLINK("http://141.218.60.56/~jnz1568/getInfo.php?workbook=09_01.xlsx&amp;sheet=A0&amp;row=147&amp;col=17&amp;number=0.58892&amp;sourceID=12","0.58892")</f>
        <v>0.58892</v>
      </c>
      <c r="R147" s="4" t="str">
        <f>HYPERLINK("http://141.218.60.56/~jnz1568/getInfo.php?workbook=09_01.xlsx&amp;sheet=A0&amp;row=147&amp;col=18&amp;number=&amp;sourceID=12","")</f>
        <v/>
      </c>
      <c r="S147" s="4" t="str">
        <f>HYPERLINK("http://141.218.60.56/~jnz1568/getInfo.php?workbook=09_01.xlsx&amp;sheet=A0&amp;row=147&amp;col=19&amp;number=2.802e-12&amp;sourceID=12","2.802e-12")</f>
        <v>2.802e-12</v>
      </c>
      <c r="T147" s="4" t="str">
        <f>HYPERLINK("http://141.218.60.56/~jnz1568/getInfo.php?workbook=09_01.xlsx&amp;sheet=A0&amp;row=147&amp;col=20&amp;number=&amp;sourceID=12","")</f>
        <v/>
      </c>
      <c r="U147" s="4" t="str">
        <f>HYPERLINK("http://141.218.60.56/~jnz1568/getInfo.php?workbook=09_01.xlsx&amp;sheet=A0&amp;row=147&amp;col=21&amp;number=3.606e-12&amp;sourceID=30","3.606e-12")</f>
        <v>3.606e-12</v>
      </c>
      <c r="V147" s="4" t="str">
        <f>HYPERLINK("http://141.218.60.56/~jnz1568/getInfo.php?workbook=09_01.xlsx&amp;sheet=A0&amp;row=147&amp;col=22&amp;number=&amp;sourceID=30","")</f>
        <v/>
      </c>
      <c r="W147" s="4" t="str">
        <f>HYPERLINK("http://141.218.60.56/~jnz1568/getInfo.php?workbook=09_01.xlsx&amp;sheet=A0&amp;row=147&amp;col=23&amp;number=&amp;sourceID=30","")</f>
        <v/>
      </c>
      <c r="X147" s="4" t="str">
        <f>HYPERLINK("http://141.218.60.56/~jnz1568/getInfo.php?workbook=09_01.xlsx&amp;sheet=A0&amp;row=147&amp;col=24&amp;number=&amp;sourceID=30","")</f>
        <v/>
      </c>
      <c r="Y147" s="4" t="str">
        <f>HYPERLINK("http://141.218.60.56/~jnz1568/getInfo.php?workbook=09_01.xlsx&amp;sheet=A0&amp;row=147&amp;col=25&amp;number=3.606e-12&amp;sourceID=30","3.606e-12")</f>
        <v>3.606e-12</v>
      </c>
      <c r="Z147" s="4" t="str">
        <f>HYPERLINK("http://141.218.60.56/~jnz1568/getInfo.php?workbook=09_01.xlsx&amp;sheet=A0&amp;row=147&amp;col=26&amp;number=&amp;sourceID=13","")</f>
        <v/>
      </c>
      <c r="AA147" s="4" t="str">
        <f>HYPERLINK("http://141.218.60.56/~jnz1568/getInfo.php?workbook=09_01.xlsx&amp;sheet=A0&amp;row=147&amp;col=27&amp;number=&amp;sourceID=13","")</f>
        <v/>
      </c>
      <c r="AB147" s="4" t="str">
        <f>HYPERLINK("http://141.218.60.56/~jnz1568/getInfo.php?workbook=09_01.xlsx&amp;sheet=A0&amp;row=147&amp;col=28&amp;number=&amp;sourceID=13","")</f>
        <v/>
      </c>
      <c r="AC147" s="4" t="str">
        <f>HYPERLINK("http://141.218.60.56/~jnz1568/getInfo.php?workbook=09_01.xlsx&amp;sheet=A0&amp;row=147&amp;col=29&amp;number=&amp;sourceID=13","")</f>
        <v/>
      </c>
      <c r="AD147" s="4" t="str">
        <f>HYPERLINK("http://141.218.60.56/~jnz1568/getInfo.php?workbook=09_01.xlsx&amp;sheet=A0&amp;row=147&amp;col=30&amp;number=&amp;sourceID=13","")</f>
        <v/>
      </c>
      <c r="AE147" s="4" t="str">
        <f>HYPERLINK("http://141.218.60.56/~jnz1568/getInfo.php?workbook=09_01.xlsx&amp;sheet=A0&amp;row=147&amp;col=31&amp;number=&amp;sourceID=13","")</f>
        <v/>
      </c>
    </row>
    <row r="148" spans="1:31">
      <c r="A148" s="3">
        <v>9</v>
      </c>
      <c r="B148" s="3">
        <v>1</v>
      </c>
      <c r="C148" s="3">
        <v>18</v>
      </c>
      <c r="D148" s="3">
        <v>15</v>
      </c>
      <c r="E148" s="3">
        <f>((1/(INDEX(E0!J$4:J$28,C148,1)-INDEX(E0!J$4:J$28,D148,1))))*100000000</f>
        <v>0</v>
      </c>
      <c r="F148" s="4" t="str">
        <f>HYPERLINK("http://141.218.60.56/~jnz1568/getInfo.php?workbook=09_01.xlsx&amp;sheet=A0&amp;row=148&amp;col=6&amp;number=&amp;sourceID=18","")</f>
        <v/>
      </c>
      <c r="G148" s="4" t="str">
        <f>HYPERLINK("http://141.218.60.56/~jnz1568/getInfo.php?workbook=09_01.xlsx&amp;sheet=A0&amp;row=148&amp;col=7&amp;number==&amp;sourceID=11","=")</f>
        <v>=</v>
      </c>
      <c r="H148" s="4" t="str">
        <f>HYPERLINK("http://141.218.60.56/~jnz1568/getInfo.php?workbook=09_01.xlsx&amp;sheet=A0&amp;row=148&amp;col=8&amp;number=&amp;sourceID=11","")</f>
        <v/>
      </c>
      <c r="I148" s="4" t="str">
        <f>HYPERLINK("http://141.218.60.56/~jnz1568/getInfo.php?workbook=09_01.xlsx&amp;sheet=A0&amp;row=148&amp;col=9&amp;number=103970&amp;sourceID=11","103970")</f>
        <v>103970</v>
      </c>
      <c r="J148" s="4" t="str">
        <f>HYPERLINK("http://141.218.60.56/~jnz1568/getInfo.php?workbook=09_01.xlsx&amp;sheet=A0&amp;row=148&amp;col=10&amp;number=&amp;sourceID=11","")</f>
        <v/>
      </c>
      <c r="K148" s="4" t="str">
        <f>HYPERLINK("http://141.218.60.56/~jnz1568/getInfo.php?workbook=09_01.xlsx&amp;sheet=A0&amp;row=148&amp;col=11&amp;number=&amp;sourceID=11","")</f>
        <v/>
      </c>
      <c r="L148" s="4" t="str">
        <f>HYPERLINK("http://141.218.60.56/~jnz1568/getInfo.php?workbook=09_01.xlsx&amp;sheet=A0&amp;row=148&amp;col=12&amp;number=&amp;sourceID=11","")</f>
        <v/>
      </c>
      <c r="M148" s="4" t="str">
        <f>HYPERLINK("http://141.218.60.56/~jnz1568/getInfo.php?workbook=09_01.xlsx&amp;sheet=A0&amp;row=148&amp;col=13&amp;number=5.4313e-05&amp;sourceID=11","5.4313e-05")</f>
        <v>5.4313e-05</v>
      </c>
      <c r="N148" s="4" t="str">
        <f>HYPERLINK("http://141.218.60.56/~jnz1568/getInfo.php?workbook=09_01.xlsx&amp;sheet=A0&amp;row=148&amp;col=14&amp;number=103970&amp;sourceID=12","103970")</f>
        <v>103970</v>
      </c>
      <c r="O148" s="4" t="str">
        <f>HYPERLINK("http://141.218.60.56/~jnz1568/getInfo.php?workbook=09_01.xlsx&amp;sheet=A0&amp;row=148&amp;col=15&amp;number=&amp;sourceID=12","")</f>
        <v/>
      </c>
      <c r="P148" s="4" t="str">
        <f>HYPERLINK("http://141.218.60.56/~jnz1568/getInfo.php?workbook=09_01.xlsx&amp;sheet=A0&amp;row=148&amp;col=16&amp;number=103970&amp;sourceID=12","103970")</f>
        <v>103970</v>
      </c>
      <c r="Q148" s="4" t="str">
        <f>HYPERLINK("http://141.218.60.56/~jnz1568/getInfo.php?workbook=09_01.xlsx&amp;sheet=A0&amp;row=148&amp;col=17&amp;number=&amp;sourceID=12","")</f>
        <v/>
      </c>
      <c r="R148" s="4" t="str">
        <f>HYPERLINK("http://141.218.60.56/~jnz1568/getInfo.php?workbook=09_01.xlsx&amp;sheet=A0&amp;row=148&amp;col=18&amp;number=&amp;sourceID=12","")</f>
        <v/>
      </c>
      <c r="S148" s="4" t="str">
        <f>HYPERLINK("http://141.218.60.56/~jnz1568/getInfo.php?workbook=09_01.xlsx&amp;sheet=A0&amp;row=148&amp;col=19&amp;number=&amp;sourceID=12","")</f>
        <v/>
      </c>
      <c r="T148" s="4" t="str">
        <f>HYPERLINK("http://141.218.60.56/~jnz1568/getInfo.php?workbook=09_01.xlsx&amp;sheet=A0&amp;row=148&amp;col=20&amp;number=5.4315e-05&amp;sourceID=12","5.4315e-05")</f>
        <v>5.4315e-05</v>
      </c>
      <c r="U148" s="4" t="str">
        <f>HYPERLINK("http://141.218.60.56/~jnz1568/getInfo.php?workbook=09_01.xlsx&amp;sheet=A0&amp;row=148&amp;col=21&amp;number=104000&amp;sourceID=30","104000")</f>
        <v>104000</v>
      </c>
      <c r="V148" s="4" t="str">
        <f>HYPERLINK("http://141.218.60.56/~jnz1568/getInfo.php?workbook=09_01.xlsx&amp;sheet=A0&amp;row=148&amp;col=22&amp;number=&amp;sourceID=30","")</f>
        <v/>
      </c>
      <c r="W148" s="4" t="str">
        <f>HYPERLINK("http://141.218.60.56/~jnz1568/getInfo.php?workbook=09_01.xlsx&amp;sheet=A0&amp;row=148&amp;col=23&amp;number=104000&amp;sourceID=30","104000")</f>
        <v>104000</v>
      </c>
      <c r="X148" s="4" t="str">
        <f>HYPERLINK("http://141.218.60.56/~jnz1568/getInfo.php?workbook=09_01.xlsx&amp;sheet=A0&amp;row=148&amp;col=24&amp;number=&amp;sourceID=30","")</f>
        <v/>
      </c>
      <c r="Y148" s="4" t="str">
        <f>HYPERLINK("http://141.218.60.56/~jnz1568/getInfo.php?workbook=09_01.xlsx&amp;sheet=A0&amp;row=148&amp;col=25&amp;number=&amp;sourceID=30","")</f>
        <v/>
      </c>
      <c r="Z148" s="4" t="str">
        <f>HYPERLINK("http://141.218.60.56/~jnz1568/getInfo.php?workbook=09_01.xlsx&amp;sheet=A0&amp;row=148&amp;col=26&amp;number=&amp;sourceID=13","")</f>
        <v/>
      </c>
      <c r="AA148" s="4" t="str">
        <f>HYPERLINK("http://141.218.60.56/~jnz1568/getInfo.php?workbook=09_01.xlsx&amp;sheet=A0&amp;row=148&amp;col=27&amp;number=&amp;sourceID=13","")</f>
        <v/>
      </c>
      <c r="AB148" s="4" t="str">
        <f>HYPERLINK("http://141.218.60.56/~jnz1568/getInfo.php?workbook=09_01.xlsx&amp;sheet=A0&amp;row=148&amp;col=28&amp;number=&amp;sourceID=13","")</f>
        <v/>
      </c>
      <c r="AC148" s="4" t="str">
        <f>HYPERLINK("http://141.218.60.56/~jnz1568/getInfo.php?workbook=09_01.xlsx&amp;sheet=A0&amp;row=148&amp;col=29&amp;number=&amp;sourceID=13","")</f>
        <v/>
      </c>
      <c r="AD148" s="4" t="str">
        <f>HYPERLINK("http://141.218.60.56/~jnz1568/getInfo.php?workbook=09_01.xlsx&amp;sheet=A0&amp;row=148&amp;col=30&amp;number=&amp;sourceID=13","")</f>
        <v/>
      </c>
      <c r="AE148" s="4" t="str">
        <f>HYPERLINK("http://141.218.60.56/~jnz1568/getInfo.php?workbook=09_01.xlsx&amp;sheet=A0&amp;row=148&amp;col=31&amp;number=&amp;sourceID=13","")</f>
        <v/>
      </c>
    </row>
    <row r="149" spans="1:31">
      <c r="A149" s="3">
        <v>9</v>
      </c>
      <c r="B149" s="3">
        <v>1</v>
      </c>
      <c r="C149" s="3">
        <v>18</v>
      </c>
      <c r="D149" s="3">
        <v>16</v>
      </c>
      <c r="E149" s="3">
        <f>((1/(INDEX(E0!J$4:J$28,C149,1)-INDEX(E0!J$4:J$28,D149,1))))*100000000</f>
        <v>0</v>
      </c>
      <c r="F149" s="4" t="str">
        <f>HYPERLINK("http://141.218.60.56/~jnz1568/getInfo.php?workbook=09_01.xlsx&amp;sheet=A0&amp;row=149&amp;col=6&amp;number=&amp;sourceID=18","")</f>
        <v/>
      </c>
      <c r="G149" s="4" t="str">
        <f>HYPERLINK("http://141.218.60.56/~jnz1568/getInfo.php?workbook=09_01.xlsx&amp;sheet=A0&amp;row=149&amp;col=7&amp;number==&amp;sourceID=11","=")</f>
        <v>=</v>
      </c>
      <c r="H149" s="4" t="str">
        <f>HYPERLINK("http://141.218.60.56/~jnz1568/getInfo.php?workbook=09_01.xlsx&amp;sheet=A0&amp;row=149&amp;col=8&amp;number=&amp;sourceID=11","")</f>
        <v/>
      </c>
      <c r="I149" s="4" t="str">
        <f>HYPERLINK("http://141.218.60.56/~jnz1568/getInfo.php?workbook=09_01.xlsx&amp;sheet=A0&amp;row=149&amp;col=9&amp;number=&amp;sourceID=11","")</f>
        <v/>
      </c>
      <c r="J149" s="4" t="str">
        <f>HYPERLINK("http://141.218.60.56/~jnz1568/getInfo.php?workbook=09_01.xlsx&amp;sheet=A0&amp;row=149&amp;col=10&amp;number=0.78488&amp;sourceID=11","0.78488")</f>
        <v>0.78488</v>
      </c>
      <c r="K149" s="4" t="str">
        <f>HYPERLINK("http://141.218.60.56/~jnz1568/getInfo.php?workbook=09_01.xlsx&amp;sheet=A0&amp;row=149&amp;col=11&amp;number=&amp;sourceID=11","")</f>
        <v/>
      </c>
      <c r="L149" s="4" t="str">
        <f>HYPERLINK("http://141.218.60.56/~jnz1568/getInfo.php?workbook=09_01.xlsx&amp;sheet=A0&amp;row=149&amp;col=12&amp;number=&amp;sourceID=11","")</f>
        <v/>
      </c>
      <c r="M149" s="4" t="str">
        <f>HYPERLINK("http://141.218.60.56/~jnz1568/getInfo.php?workbook=09_01.xlsx&amp;sheet=A0&amp;row=149&amp;col=13&amp;number=&amp;sourceID=11","")</f>
        <v/>
      </c>
      <c r="N149" s="4" t="str">
        <f>HYPERLINK("http://141.218.60.56/~jnz1568/getInfo.php?workbook=09_01.xlsx&amp;sheet=A0&amp;row=149&amp;col=14&amp;number=0.7849&amp;sourceID=12","0.7849")</f>
        <v>0.7849</v>
      </c>
      <c r="O149" s="4" t="str">
        <f>HYPERLINK("http://141.218.60.56/~jnz1568/getInfo.php?workbook=09_01.xlsx&amp;sheet=A0&amp;row=149&amp;col=15&amp;number=&amp;sourceID=12","")</f>
        <v/>
      </c>
      <c r="P149" s="4" t="str">
        <f>HYPERLINK("http://141.218.60.56/~jnz1568/getInfo.php?workbook=09_01.xlsx&amp;sheet=A0&amp;row=149&amp;col=16&amp;number=&amp;sourceID=12","")</f>
        <v/>
      </c>
      <c r="Q149" s="4" t="str">
        <f>HYPERLINK("http://141.218.60.56/~jnz1568/getInfo.php?workbook=09_01.xlsx&amp;sheet=A0&amp;row=149&amp;col=17&amp;number=0.7849&amp;sourceID=12","0.7849")</f>
        <v>0.7849</v>
      </c>
      <c r="R149" s="4" t="str">
        <f>HYPERLINK("http://141.218.60.56/~jnz1568/getInfo.php?workbook=09_01.xlsx&amp;sheet=A0&amp;row=149&amp;col=18&amp;number=&amp;sourceID=12","")</f>
        <v/>
      </c>
      <c r="S149" s="4" t="str">
        <f>HYPERLINK("http://141.218.60.56/~jnz1568/getInfo.php?workbook=09_01.xlsx&amp;sheet=A0&amp;row=149&amp;col=19&amp;number=&amp;sourceID=12","")</f>
        <v/>
      </c>
      <c r="T149" s="4" t="str">
        <f>HYPERLINK("http://141.218.60.56/~jnz1568/getInfo.php?workbook=09_01.xlsx&amp;sheet=A0&amp;row=149&amp;col=20&amp;number=&amp;sourceID=12","")</f>
        <v/>
      </c>
      <c r="U149" s="4" t="str">
        <f>HYPERLINK("http://141.218.60.56/~jnz1568/getInfo.php?workbook=09_01.xlsx&amp;sheet=A0&amp;row=149&amp;col=21&amp;number=&amp;sourceID=30","")</f>
        <v/>
      </c>
      <c r="V149" s="4" t="str">
        <f>HYPERLINK("http://141.218.60.56/~jnz1568/getInfo.php?workbook=09_01.xlsx&amp;sheet=A0&amp;row=149&amp;col=22&amp;number=&amp;sourceID=30","")</f>
        <v/>
      </c>
      <c r="W149" s="4" t="str">
        <f>HYPERLINK("http://141.218.60.56/~jnz1568/getInfo.php?workbook=09_01.xlsx&amp;sheet=A0&amp;row=149&amp;col=23&amp;number=&amp;sourceID=30","")</f>
        <v/>
      </c>
      <c r="X149" s="4" t="str">
        <f>HYPERLINK("http://141.218.60.56/~jnz1568/getInfo.php?workbook=09_01.xlsx&amp;sheet=A0&amp;row=149&amp;col=24&amp;number=&amp;sourceID=30","")</f>
        <v/>
      </c>
      <c r="Y149" s="4" t="str">
        <f>HYPERLINK("http://141.218.60.56/~jnz1568/getInfo.php?workbook=09_01.xlsx&amp;sheet=A0&amp;row=149&amp;col=25&amp;number=&amp;sourceID=30","")</f>
        <v/>
      </c>
      <c r="Z149" s="4" t="str">
        <f>HYPERLINK("http://141.218.60.56/~jnz1568/getInfo.php?workbook=09_01.xlsx&amp;sheet=A0&amp;row=149&amp;col=26&amp;number=&amp;sourceID=13","")</f>
        <v/>
      </c>
      <c r="AA149" s="4" t="str">
        <f>HYPERLINK("http://141.218.60.56/~jnz1568/getInfo.php?workbook=09_01.xlsx&amp;sheet=A0&amp;row=149&amp;col=27&amp;number=&amp;sourceID=13","")</f>
        <v/>
      </c>
      <c r="AB149" s="4" t="str">
        <f>HYPERLINK("http://141.218.60.56/~jnz1568/getInfo.php?workbook=09_01.xlsx&amp;sheet=A0&amp;row=149&amp;col=28&amp;number=&amp;sourceID=13","")</f>
        <v/>
      </c>
      <c r="AC149" s="4" t="str">
        <f>HYPERLINK("http://141.218.60.56/~jnz1568/getInfo.php?workbook=09_01.xlsx&amp;sheet=A0&amp;row=149&amp;col=29&amp;number=&amp;sourceID=13","")</f>
        <v/>
      </c>
      <c r="AD149" s="4" t="str">
        <f>HYPERLINK("http://141.218.60.56/~jnz1568/getInfo.php?workbook=09_01.xlsx&amp;sheet=A0&amp;row=149&amp;col=30&amp;number=&amp;sourceID=13","")</f>
        <v/>
      </c>
      <c r="AE149" s="4" t="str">
        <f>HYPERLINK("http://141.218.60.56/~jnz1568/getInfo.php?workbook=09_01.xlsx&amp;sheet=A0&amp;row=149&amp;col=31&amp;number=&amp;sourceID=13","")</f>
        <v/>
      </c>
    </row>
    <row r="150" spans="1:31">
      <c r="A150" s="3">
        <v>9</v>
      </c>
      <c r="B150" s="3">
        <v>1</v>
      </c>
      <c r="C150" s="3">
        <v>19</v>
      </c>
      <c r="D150" s="3">
        <v>1</v>
      </c>
      <c r="E150" s="3">
        <f>((1/(INDEX(E0!J$4:J$28,C150,1)-INDEX(E0!J$4:J$28,D150,1))))*100000000</f>
        <v>0</v>
      </c>
      <c r="F150" s="4" t="str">
        <f>HYPERLINK("http://141.218.60.56/~jnz1568/getInfo.php?workbook=09_01.xlsx&amp;sheet=A0&amp;row=150&amp;col=6&amp;number=&amp;sourceID=18","")</f>
        <v/>
      </c>
      <c r="G150" s="4" t="str">
        <f>HYPERLINK("http://141.218.60.56/~jnz1568/getInfo.php?workbook=09_01.xlsx&amp;sheet=A0&amp;row=150&amp;col=7&amp;number==&amp;sourceID=11","=")</f>
        <v>=</v>
      </c>
      <c r="H150" s="4" t="str">
        <f>HYPERLINK("http://141.218.60.56/~jnz1568/getInfo.php?workbook=09_01.xlsx&amp;sheet=A0&amp;row=150&amp;col=8&amp;number=&amp;sourceID=11","")</f>
        <v/>
      </c>
      <c r="I150" s="4" t="str">
        <f>HYPERLINK("http://141.218.60.56/~jnz1568/getInfo.php?workbook=09_01.xlsx&amp;sheet=A0&amp;row=150&amp;col=9&amp;number=97977000&amp;sourceID=11","97977000")</f>
        <v>97977000</v>
      </c>
      <c r="J150" s="4" t="str">
        <f>HYPERLINK("http://141.218.60.56/~jnz1568/getInfo.php?workbook=09_01.xlsx&amp;sheet=A0&amp;row=150&amp;col=10&amp;number=&amp;sourceID=11","")</f>
        <v/>
      </c>
      <c r="K150" s="4" t="str">
        <f>HYPERLINK("http://141.218.60.56/~jnz1568/getInfo.php?workbook=09_01.xlsx&amp;sheet=A0&amp;row=150&amp;col=11&amp;number=9.007&amp;sourceID=11","9.007")</f>
        <v>9.007</v>
      </c>
      <c r="L150" s="4" t="str">
        <f>HYPERLINK("http://141.218.60.56/~jnz1568/getInfo.php?workbook=09_01.xlsx&amp;sheet=A0&amp;row=150&amp;col=12&amp;number=&amp;sourceID=11","")</f>
        <v/>
      </c>
      <c r="M150" s="4" t="str">
        <f>HYPERLINK("http://141.218.60.56/~jnz1568/getInfo.php?workbook=09_01.xlsx&amp;sheet=A0&amp;row=150&amp;col=13&amp;number=&amp;sourceID=11","")</f>
        <v/>
      </c>
      <c r="N150" s="4" t="str">
        <f>HYPERLINK("http://141.218.60.56/~jnz1568/getInfo.php?workbook=09_01.xlsx&amp;sheet=A0&amp;row=150&amp;col=14&amp;number=97980000&amp;sourceID=12","97980000")</f>
        <v>97980000</v>
      </c>
      <c r="O150" s="4" t="str">
        <f>HYPERLINK("http://141.218.60.56/~jnz1568/getInfo.php?workbook=09_01.xlsx&amp;sheet=A0&amp;row=150&amp;col=15&amp;number=&amp;sourceID=12","")</f>
        <v/>
      </c>
      <c r="P150" s="4" t="str">
        <f>HYPERLINK("http://141.218.60.56/~jnz1568/getInfo.php?workbook=09_01.xlsx&amp;sheet=A0&amp;row=150&amp;col=16&amp;number=97980000&amp;sourceID=12","97980000")</f>
        <v>97980000</v>
      </c>
      <c r="Q150" s="4" t="str">
        <f>HYPERLINK("http://141.218.60.56/~jnz1568/getInfo.php?workbook=09_01.xlsx&amp;sheet=A0&amp;row=150&amp;col=17&amp;number=&amp;sourceID=12","")</f>
        <v/>
      </c>
      <c r="R150" s="4" t="str">
        <f>HYPERLINK("http://141.218.60.56/~jnz1568/getInfo.php?workbook=09_01.xlsx&amp;sheet=A0&amp;row=150&amp;col=18&amp;number=9.0074&amp;sourceID=12","9.0074")</f>
        <v>9.0074</v>
      </c>
      <c r="S150" s="4" t="str">
        <f>HYPERLINK("http://141.218.60.56/~jnz1568/getInfo.php?workbook=09_01.xlsx&amp;sheet=A0&amp;row=150&amp;col=19&amp;number=&amp;sourceID=12","")</f>
        <v/>
      </c>
      <c r="T150" s="4" t="str">
        <f>HYPERLINK("http://141.218.60.56/~jnz1568/getInfo.php?workbook=09_01.xlsx&amp;sheet=A0&amp;row=150&amp;col=20&amp;number=&amp;sourceID=12","")</f>
        <v/>
      </c>
      <c r="U150" s="4" t="str">
        <f>HYPERLINK("http://141.218.60.56/~jnz1568/getInfo.php?workbook=09_01.xlsx&amp;sheet=A0&amp;row=150&amp;col=21&amp;number=97980009.007&amp;sourceID=30","97980009.007")</f>
        <v>97980009.007</v>
      </c>
      <c r="V150" s="4" t="str">
        <f>HYPERLINK("http://141.218.60.56/~jnz1568/getInfo.php?workbook=09_01.xlsx&amp;sheet=A0&amp;row=150&amp;col=22&amp;number=&amp;sourceID=30","")</f>
        <v/>
      </c>
      <c r="W150" s="4" t="str">
        <f>HYPERLINK("http://141.218.60.56/~jnz1568/getInfo.php?workbook=09_01.xlsx&amp;sheet=A0&amp;row=150&amp;col=23&amp;number=97980000&amp;sourceID=30","97980000")</f>
        <v>97980000</v>
      </c>
      <c r="X150" s="4" t="str">
        <f>HYPERLINK("http://141.218.60.56/~jnz1568/getInfo.php?workbook=09_01.xlsx&amp;sheet=A0&amp;row=150&amp;col=24&amp;number=9.007&amp;sourceID=30","9.007")</f>
        <v>9.007</v>
      </c>
      <c r="Y150" s="4" t="str">
        <f>HYPERLINK("http://141.218.60.56/~jnz1568/getInfo.php?workbook=09_01.xlsx&amp;sheet=A0&amp;row=150&amp;col=25&amp;number=&amp;sourceID=30","")</f>
        <v/>
      </c>
      <c r="Z150" s="4" t="str">
        <f>HYPERLINK("http://141.218.60.56/~jnz1568/getInfo.php?workbook=09_01.xlsx&amp;sheet=A0&amp;row=150&amp;col=26&amp;number=&amp;sourceID=13","")</f>
        <v/>
      </c>
      <c r="AA150" s="4" t="str">
        <f>HYPERLINK("http://141.218.60.56/~jnz1568/getInfo.php?workbook=09_01.xlsx&amp;sheet=A0&amp;row=150&amp;col=27&amp;number=&amp;sourceID=13","")</f>
        <v/>
      </c>
      <c r="AB150" s="4" t="str">
        <f>HYPERLINK("http://141.218.60.56/~jnz1568/getInfo.php?workbook=09_01.xlsx&amp;sheet=A0&amp;row=150&amp;col=28&amp;number=&amp;sourceID=13","")</f>
        <v/>
      </c>
      <c r="AC150" s="4" t="str">
        <f>HYPERLINK("http://141.218.60.56/~jnz1568/getInfo.php?workbook=09_01.xlsx&amp;sheet=A0&amp;row=150&amp;col=29&amp;number=&amp;sourceID=13","")</f>
        <v/>
      </c>
      <c r="AD150" s="4" t="str">
        <f>HYPERLINK("http://141.218.60.56/~jnz1568/getInfo.php?workbook=09_01.xlsx&amp;sheet=A0&amp;row=150&amp;col=30&amp;number=&amp;sourceID=13","")</f>
        <v/>
      </c>
      <c r="AE150" s="4" t="str">
        <f>HYPERLINK("http://141.218.60.56/~jnz1568/getInfo.php?workbook=09_01.xlsx&amp;sheet=A0&amp;row=150&amp;col=31&amp;number=&amp;sourceID=13","")</f>
        <v/>
      </c>
    </row>
    <row r="151" spans="1:31">
      <c r="A151" s="3">
        <v>9</v>
      </c>
      <c r="B151" s="3">
        <v>1</v>
      </c>
      <c r="C151" s="3">
        <v>19</v>
      </c>
      <c r="D151" s="3">
        <v>2</v>
      </c>
      <c r="E151" s="3">
        <f>((1/(INDEX(E0!J$4:J$28,C151,1)-INDEX(E0!J$4:J$28,D151,1))))*100000000</f>
        <v>0</v>
      </c>
      <c r="F151" s="4" t="str">
        <f>HYPERLINK("http://141.218.60.56/~jnz1568/getInfo.php?workbook=09_01.xlsx&amp;sheet=A0&amp;row=151&amp;col=6&amp;number=&amp;sourceID=18","")</f>
        <v/>
      </c>
      <c r="G151" s="4" t="str">
        <f>HYPERLINK("http://141.218.60.56/~jnz1568/getInfo.php?workbook=09_01.xlsx&amp;sheet=A0&amp;row=151&amp;col=7&amp;number==&amp;sourceID=11","=")</f>
        <v>=</v>
      </c>
      <c r="H151" s="4" t="str">
        <f>HYPERLINK("http://141.218.60.56/~jnz1568/getInfo.php?workbook=09_01.xlsx&amp;sheet=A0&amp;row=151&amp;col=8&amp;number=51728000000&amp;sourceID=11","51728000000")</f>
        <v>51728000000</v>
      </c>
      <c r="I151" s="4" t="str">
        <f>HYPERLINK("http://141.218.60.56/~jnz1568/getInfo.php?workbook=09_01.xlsx&amp;sheet=A0&amp;row=151&amp;col=9&amp;number=&amp;sourceID=11","")</f>
        <v/>
      </c>
      <c r="J151" s="4" t="str">
        <f>HYPERLINK("http://141.218.60.56/~jnz1568/getInfo.php?workbook=09_01.xlsx&amp;sheet=A0&amp;row=151&amp;col=10&amp;number=&amp;sourceID=11","")</f>
        <v/>
      </c>
      <c r="K151" s="4" t="str">
        <f>HYPERLINK("http://141.218.60.56/~jnz1568/getInfo.php?workbook=09_01.xlsx&amp;sheet=A0&amp;row=151&amp;col=11&amp;number=&amp;sourceID=11","")</f>
        <v/>
      </c>
      <c r="L151" s="4" t="str">
        <f>HYPERLINK("http://141.218.60.56/~jnz1568/getInfo.php?workbook=09_01.xlsx&amp;sheet=A0&amp;row=151&amp;col=12&amp;number=79.696&amp;sourceID=11","79.696")</f>
        <v>79.696</v>
      </c>
      <c r="M151" s="4" t="str">
        <f>HYPERLINK("http://141.218.60.56/~jnz1568/getInfo.php?workbook=09_01.xlsx&amp;sheet=A0&amp;row=151&amp;col=13&amp;number=&amp;sourceID=11","")</f>
        <v/>
      </c>
      <c r="N151" s="4" t="str">
        <f>HYPERLINK("http://141.218.60.56/~jnz1568/getInfo.php?workbook=09_01.xlsx&amp;sheet=A0&amp;row=151&amp;col=14&amp;number=51729000000&amp;sourceID=12","51729000000")</f>
        <v>51729000000</v>
      </c>
      <c r="O151" s="4" t="str">
        <f>HYPERLINK("http://141.218.60.56/~jnz1568/getInfo.php?workbook=09_01.xlsx&amp;sheet=A0&amp;row=151&amp;col=15&amp;number=51729000000&amp;sourceID=12","51729000000")</f>
        <v>51729000000</v>
      </c>
      <c r="P151" s="4" t="str">
        <f>HYPERLINK("http://141.218.60.56/~jnz1568/getInfo.php?workbook=09_01.xlsx&amp;sheet=A0&amp;row=151&amp;col=16&amp;number=&amp;sourceID=12","")</f>
        <v/>
      </c>
      <c r="Q151" s="4" t="str">
        <f>HYPERLINK("http://141.218.60.56/~jnz1568/getInfo.php?workbook=09_01.xlsx&amp;sheet=A0&amp;row=151&amp;col=17&amp;number=&amp;sourceID=12","")</f>
        <v/>
      </c>
      <c r="R151" s="4" t="str">
        <f>HYPERLINK("http://141.218.60.56/~jnz1568/getInfo.php?workbook=09_01.xlsx&amp;sheet=A0&amp;row=151&amp;col=18&amp;number=&amp;sourceID=12","")</f>
        <v/>
      </c>
      <c r="S151" s="4" t="str">
        <f>HYPERLINK("http://141.218.60.56/~jnz1568/getInfo.php?workbook=09_01.xlsx&amp;sheet=A0&amp;row=151&amp;col=19&amp;number=79.698&amp;sourceID=12","79.698")</f>
        <v>79.698</v>
      </c>
      <c r="T151" s="4" t="str">
        <f>HYPERLINK("http://141.218.60.56/~jnz1568/getInfo.php?workbook=09_01.xlsx&amp;sheet=A0&amp;row=151&amp;col=20&amp;number=&amp;sourceID=12","")</f>
        <v/>
      </c>
      <c r="U151" s="4" t="str">
        <f>HYPERLINK("http://141.218.60.56/~jnz1568/getInfo.php?workbook=09_01.xlsx&amp;sheet=A0&amp;row=151&amp;col=21&amp;number=51730000079.7&amp;sourceID=30","51730000079.7")</f>
        <v>51730000079.7</v>
      </c>
      <c r="V151" s="4" t="str">
        <f>HYPERLINK("http://141.218.60.56/~jnz1568/getInfo.php?workbook=09_01.xlsx&amp;sheet=A0&amp;row=151&amp;col=22&amp;number=51730000000&amp;sourceID=30","51730000000")</f>
        <v>51730000000</v>
      </c>
      <c r="W151" s="4" t="str">
        <f>HYPERLINK("http://141.218.60.56/~jnz1568/getInfo.php?workbook=09_01.xlsx&amp;sheet=A0&amp;row=151&amp;col=23&amp;number=&amp;sourceID=30","")</f>
        <v/>
      </c>
      <c r="X151" s="4" t="str">
        <f>HYPERLINK("http://141.218.60.56/~jnz1568/getInfo.php?workbook=09_01.xlsx&amp;sheet=A0&amp;row=151&amp;col=24&amp;number=&amp;sourceID=30","")</f>
        <v/>
      </c>
      <c r="Y151" s="4" t="str">
        <f>HYPERLINK("http://141.218.60.56/~jnz1568/getInfo.php?workbook=09_01.xlsx&amp;sheet=A0&amp;row=151&amp;col=25&amp;number=79.7&amp;sourceID=30","79.7")</f>
        <v>79.7</v>
      </c>
      <c r="Z151" s="4" t="str">
        <f>HYPERLINK("http://141.218.60.56/~jnz1568/getInfo.php?workbook=09_01.xlsx&amp;sheet=A0&amp;row=151&amp;col=26&amp;number=&amp;sourceID=13","")</f>
        <v/>
      </c>
      <c r="AA151" s="4" t="str">
        <f>HYPERLINK("http://141.218.60.56/~jnz1568/getInfo.php?workbook=09_01.xlsx&amp;sheet=A0&amp;row=151&amp;col=27&amp;number=&amp;sourceID=13","")</f>
        <v/>
      </c>
      <c r="AB151" s="4" t="str">
        <f>HYPERLINK("http://141.218.60.56/~jnz1568/getInfo.php?workbook=09_01.xlsx&amp;sheet=A0&amp;row=151&amp;col=28&amp;number=&amp;sourceID=13","")</f>
        <v/>
      </c>
      <c r="AC151" s="4" t="str">
        <f>HYPERLINK("http://141.218.60.56/~jnz1568/getInfo.php?workbook=09_01.xlsx&amp;sheet=A0&amp;row=151&amp;col=29&amp;number=&amp;sourceID=13","")</f>
        <v/>
      </c>
      <c r="AD151" s="4" t="str">
        <f>HYPERLINK("http://141.218.60.56/~jnz1568/getInfo.php?workbook=09_01.xlsx&amp;sheet=A0&amp;row=151&amp;col=30&amp;number=&amp;sourceID=13","")</f>
        <v/>
      </c>
      <c r="AE151" s="4" t="str">
        <f>HYPERLINK("http://141.218.60.56/~jnz1568/getInfo.php?workbook=09_01.xlsx&amp;sheet=A0&amp;row=151&amp;col=31&amp;number=&amp;sourceID=13","")</f>
        <v/>
      </c>
    </row>
    <row r="152" spans="1:31">
      <c r="A152" s="3">
        <v>9</v>
      </c>
      <c r="B152" s="3">
        <v>1</v>
      </c>
      <c r="C152" s="3">
        <v>19</v>
      </c>
      <c r="D152" s="3">
        <v>3</v>
      </c>
      <c r="E152" s="3">
        <f>((1/(INDEX(E0!J$4:J$28,C152,1)-INDEX(E0!J$4:J$28,D152,1))))*100000000</f>
        <v>0</v>
      </c>
      <c r="F152" s="4" t="str">
        <f>HYPERLINK("http://141.218.60.56/~jnz1568/getInfo.php?workbook=09_01.xlsx&amp;sheet=A0&amp;row=152&amp;col=6&amp;number=&amp;sourceID=18","")</f>
        <v/>
      </c>
      <c r="G152" s="4" t="str">
        <f>HYPERLINK("http://141.218.60.56/~jnz1568/getInfo.php?workbook=09_01.xlsx&amp;sheet=A0&amp;row=152&amp;col=7&amp;number==&amp;sourceID=11","=")</f>
        <v>=</v>
      </c>
      <c r="H152" s="4" t="str">
        <f>HYPERLINK("http://141.218.60.56/~jnz1568/getInfo.php?workbook=09_01.xlsx&amp;sheet=A0&amp;row=152&amp;col=8&amp;number=&amp;sourceID=11","")</f>
        <v/>
      </c>
      <c r="I152" s="4" t="str">
        <f>HYPERLINK("http://141.218.60.56/~jnz1568/getInfo.php?workbook=09_01.xlsx&amp;sheet=A0&amp;row=152&amp;col=9&amp;number=521410&amp;sourceID=11","521410")</f>
        <v>521410</v>
      </c>
      <c r="J152" s="4" t="str">
        <f>HYPERLINK("http://141.218.60.56/~jnz1568/getInfo.php?workbook=09_01.xlsx&amp;sheet=A0&amp;row=152&amp;col=10&amp;number=&amp;sourceID=11","")</f>
        <v/>
      </c>
      <c r="K152" s="4" t="str">
        <f>HYPERLINK("http://141.218.60.56/~jnz1568/getInfo.php?workbook=09_01.xlsx&amp;sheet=A0&amp;row=152&amp;col=11&amp;number=0.11808&amp;sourceID=11","0.11808")</f>
        <v>0.11808</v>
      </c>
      <c r="L152" s="4" t="str">
        <f>HYPERLINK("http://141.218.60.56/~jnz1568/getInfo.php?workbook=09_01.xlsx&amp;sheet=A0&amp;row=152&amp;col=12&amp;number=&amp;sourceID=11","")</f>
        <v/>
      </c>
      <c r="M152" s="4" t="str">
        <f>HYPERLINK("http://141.218.60.56/~jnz1568/getInfo.php?workbook=09_01.xlsx&amp;sheet=A0&amp;row=152&amp;col=13&amp;number=&amp;sourceID=11","")</f>
        <v/>
      </c>
      <c r="N152" s="4" t="str">
        <f>HYPERLINK("http://141.218.60.56/~jnz1568/getInfo.php?workbook=09_01.xlsx&amp;sheet=A0&amp;row=152&amp;col=14&amp;number=521420&amp;sourceID=12","521420")</f>
        <v>521420</v>
      </c>
      <c r="O152" s="4" t="str">
        <f>HYPERLINK("http://141.218.60.56/~jnz1568/getInfo.php?workbook=09_01.xlsx&amp;sheet=A0&amp;row=152&amp;col=15&amp;number=&amp;sourceID=12","")</f>
        <v/>
      </c>
      <c r="P152" s="4" t="str">
        <f>HYPERLINK("http://141.218.60.56/~jnz1568/getInfo.php?workbook=09_01.xlsx&amp;sheet=A0&amp;row=152&amp;col=16&amp;number=521420&amp;sourceID=12","521420")</f>
        <v>521420</v>
      </c>
      <c r="Q152" s="4" t="str">
        <f>HYPERLINK("http://141.218.60.56/~jnz1568/getInfo.php?workbook=09_01.xlsx&amp;sheet=A0&amp;row=152&amp;col=17&amp;number=&amp;sourceID=12","")</f>
        <v/>
      </c>
      <c r="R152" s="4" t="str">
        <f>HYPERLINK("http://141.218.60.56/~jnz1568/getInfo.php?workbook=09_01.xlsx&amp;sheet=A0&amp;row=152&amp;col=18&amp;number=0.11805&amp;sourceID=12","0.11805")</f>
        <v>0.11805</v>
      </c>
      <c r="S152" s="4" t="str">
        <f>HYPERLINK("http://141.218.60.56/~jnz1568/getInfo.php?workbook=09_01.xlsx&amp;sheet=A0&amp;row=152&amp;col=19&amp;number=&amp;sourceID=12","")</f>
        <v/>
      </c>
      <c r="T152" s="4" t="str">
        <f>HYPERLINK("http://141.218.60.56/~jnz1568/getInfo.php?workbook=09_01.xlsx&amp;sheet=A0&amp;row=152&amp;col=20&amp;number=&amp;sourceID=12","")</f>
        <v/>
      </c>
      <c r="U152" s="4" t="str">
        <f>HYPERLINK("http://141.218.60.56/~jnz1568/getInfo.php?workbook=09_01.xlsx&amp;sheet=A0&amp;row=152&amp;col=21&amp;number=521400.1181&amp;sourceID=30","521400.1181")</f>
        <v>521400.1181</v>
      </c>
      <c r="V152" s="4" t="str">
        <f>HYPERLINK("http://141.218.60.56/~jnz1568/getInfo.php?workbook=09_01.xlsx&amp;sheet=A0&amp;row=152&amp;col=22&amp;number=&amp;sourceID=30","")</f>
        <v/>
      </c>
      <c r="W152" s="4" t="str">
        <f>HYPERLINK("http://141.218.60.56/~jnz1568/getInfo.php?workbook=09_01.xlsx&amp;sheet=A0&amp;row=152&amp;col=23&amp;number=521400&amp;sourceID=30","521400")</f>
        <v>521400</v>
      </c>
      <c r="X152" s="4" t="str">
        <f>HYPERLINK("http://141.218.60.56/~jnz1568/getInfo.php?workbook=09_01.xlsx&amp;sheet=A0&amp;row=152&amp;col=24&amp;number=0.1181&amp;sourceID=30","0.1181")</f>
        <v>0.1181</v>
      </c>
      <c r="Y152" s="4" t="str">
        <f>HYPERLINK("http://141.218.60.56/~jnz1568/getInfo.php?workbook=09_01.xlsx&amp;sheet=A0&amp;row=152&amp;col=25&amp;number=&amp;sourceID=30","")</f>
        <v/>
      </c>
      <c r="Z152" s="4" t="str">
        <f>HYPERLINK("http://141.218.60.56/~jnz1568/getInfo.php?workbook=09_01.xlsx&amp;sheet=A0&amp;row=152&amp;col=26&amp;number=&amp;sourceID=13","")</f>
        <v/>
      </c>
      <c r="AA152" s="4" t="str">
        <f>HYPERLINK("http://141.218.60.56/~jnz1568/getInfo.php?workbook=09_01.xlsx&amp;sheet=A0&amp;row=152&amp;col=27&amp;number=&amp;sourceID=13","")</f>
        <v/>
      </c>
      <c r="AB152" s="4" t="str">
        <f>HYPERLINK("http://141.218.60.56/~jnz1568/getInfo.php?workbook=09_01.xlsx&amp;sheet=A0&amp;row=152&amp;col=28&amp;number=&amp;sourceID=13","")</f>
        <v/>
      </c>
      <c r="AC152" s="4" t="str">
        <f>HYPERLINK("http://141.218.60.56/~jnz1568/getInfo.php?workbook=09_01.xlsx&amp;sheet=A0&amp;row=152&amp;col=29&amp;number=&amp;sourceID=13","")</f>
        <v/>
      </c>
      <c r="AD152" s="4" t="str">
        <f>HYPERLINK("http://141.218.60.56/~jnz1568/getInfo.php?workbook=09_01.xlsx&amp;sheet=A0&amp;row=152&amp;col=30&amp;number=&amp;sourceID=13","")</f>
        <v/>
      </c>
      <c r="AE152" s="4" t="str">
        <f>HYPERLINK("http://141.218.60.56/~jnz1568/getInfo.php?workbook=09_01.xlsx&amp;sheet=A0&amp;row=152&amp;col=31&amp;number=&amp;sourceID=13","")</f>
        <v/>
      </c>
    </row>
    <row r="153" spans="1:31">
      <c r="A153" s="3">
        <v>9</v>
      </c>
      <c r="B153" s="3">
        <v>1</v>
      </c>
      <c r="C153" s="3">
        <v>19</v>
      </c>
      <c r="D153" s="3">
        <v>4</v>
      </c>
      <c r="E153" s="3">
        <f>((1/(INDEX(E0!J$4:J$28,C153,1)-INDEX(E0!J$4:J$28,D153,1))))*100000000</f>
        <v>0</v>
      </c>
      <c r="F153" s="4" t="str">
        <f>HYPERLINK("http://141.218.60.56/~jnz1568/getInfo.php?workbook=09_01.xlsx&amp;sheet=A0&amp;row=153&amp;col=6&amp;number=&amp;sourceID=18","")</f>
        <v/>
      </c>
      <c r="G153" s="4" t="str">
        <f>HYPERLINK("http://141.218.60.56/~jnz1568/getInfo.php?workbook=09_01.xlsx&amp;sheet=A0&amp;row=153&amp;col=7&amp;number==&amp;sourceID=11","=")</f>
        <v>=</v>
      </c>
      <c r="H153" s="4" t="str">
        <f>HYPERLINK("http://141.218.60.56/~jnz1568/getInfo.php?workbook=09_01.xlsx&amp;sheet=A0&amp;row=153&amp;col=8&amp;number=10300000000&amp;sourceID=11","10300000000")</f>
        <v>10300000000</v>
      </c>
      <c r="I153" s="4" t="str">
        <f>HYPERLINK("http://141.218.60.56/~jnz1568/getInfo.php?workbook=09_01.xlsx&amp;sheet=A0&amp;row=153&amp;col=9&amp;number=&amp;sourceID=11","")</f>
        <v/>
      </c>
      <c r="J153" s="4" t="str">
        <f>HYPERLINK("http://141.218.60.56/~jnz1568/getInfo.php?workbook=09_01.xlsx&amp;sheet=A0&amp;row=153&amp;col=10&amp;number=30.714&amp;sourceID=11","30.714")</f>
        <v>30.714</v>
      </c>
      <c r="K153" s="4" t="str">
        <f>HYPERLINK("http://141.218.60.56/~jnz1568/getInfo.php?workbook=09_01.xlsx&amp;sheet=A0&amp;row=153&amp;col=11&amp;number=&amp;sourceID=11","")</f>
        <v/>
      </c>
      <c r="L153" s="4" t="str">
        <f>HYPERLINK("http://141.218.60.56/~jnz1568/getInfo.php?workbook=09_01.xlsx&amp;sheet=A0&amp;row=153&amp;col=12&amp;number=&amp;sourceID=11","")</f>
        <v/>
      </c>
      <c r="M153" s="4" t="str">
        <f>HYPERLINK("http://141.218.60.56/~jnz1568/getInfo.php?workbook=09_01.xlsx&amp;sheet=A0&amp;row=153&amp;col=13&amp;number=&amp;sourceID=11","")</f>
        <v/>
      </c>
      <c r="N153" s="4" t="str">
        <f>HYPERLINK("http://141.218.60.56/~jnz1568/getInfo.php?workbook=09_01.xlsx&amp;sheet=A0&amp;row=153&amp;col=14&amp;number=10300000000&amp;sourceID=12","10300000000")</f>
        <v>10300000000</v>
      </c>
      <c r="O153" s="4" t="str">
        <f>HYPERLINK("http://141.218.60.56/~jnz1568/getInfo.php?workbook=09_01.xlsx&amp;sheet=A0&amp;row=153&amp;col=15&amp;number=10300000000&amp;sourceID=12","10300000000")</f>
        <v>10300000000</v>
      </c>
      <c r="P153" s="4" t="str">
        <f>HYPERLINK("http://141.218.60.56/~jnz1568/getInfo.php?workbook=09_01.xlsx&amp;sheet=A0&amp;row=153&amp;col=16&amp;number=&amp;sourceID=12","")</f>
        <v/>
      </c>
      <c r="Q153" s="4" t="str">
        <f>HYPERLINK("http://141.218.60.56/~jnz1568/getInfo.php?workbook=09_01.xlsx&amp;sheet=A0&amp;row=153&amp;col=17&amp;number=30.715&amp;sourceID=12","30.715")</f>
        <v>30.715</v>
      </c>
      <c r="R153" s="4" t="str">
        <f>HYPERLINK("http://141.218.60.56/~jnz1568/getInfo.php?workbook=09_01.xlsx&amp;sheet=A0&amp;row=153&amp;col=18&amp;number=&amp;sourceID=12","")</f>
        <v/>
      </c>
      <c r="S153" s="4" t="str">
        <f>HYPERLINK("http://141.218.60.56/~jnz1568/getInfo.php?workbook=09_01.xlsx&amp;sheet=A0&amp;row=153&amp;col=19&amp;number=&amp;sourceID=12","")</f>
        <v/>
      </c>
      <c r="T153" s="4" t="str">
        <f>HYPERLINK("http://141.218.60.56/~jnz1568/getInfo.php?workbook=09_01.xlsx&amp;sheet=A0&amp;row=153&amp;col=20&amp;number=&amp;sourceID=12","")</f>
        <v/>
      </c>
      <c r="U153" s="4" t="str">
        <f>HYPERLINK("http://141.218.60.56/~jnz1568/getInfo.php?workbook=09_01.xlsx&amp;sheet=A0&amp;row=153&amp;col=21&amp;number=10300000000&amp;sourceID=30","10300000000")</f>
        <v>10300000000</v>
      </c>
      <c r="V153" s="4" t="str">
        <f>HYPERLINK("http://141.218.60.56/~jnz1568/getInfo.php?workbook=09_01.xlsx&amp;sheet=A0&amp;row=153&amp;col=22&amp;number=10300000000&amp;sourceID=30","10300000000")</f>
        <v>10300000000</v>
      </c>
      <c r="W153" s="4" t="str">
        <f>HYPERLINK("http://141.218.60.56/~jnz1568/getInfo.php?workbook=09_01.xlsx&amp;sheet=A0&amp;row=153&amp;col=23&amp;number=&amp;sourceID=30","")</f>
        <v/>
      </c>
      <c r="X153" s="4" t="str">
        <f>HYPERLINK("http://141.218.60.56/~jnz1568/getInfo.php?workbook=09_01.xlsx&amp;sheet=A0&amp;row=153&amp;col=24&amp;number=&amp;sourceID=30","")</f>
        <v/>
      </c>
      <c r="Y153" s="4" t="str">
        <f>HYPERLINK("http://141.218.60.56/~jnz1568/getInfo.php?workbook=09_01.xlsx&amp;sheet=A0&amp;row=153&amp;col=25&amp;number=&amp;sourceID=30","")</f>
        <v/>
      </c>
      <c r="Z153" s="4" t="str">
        <f>HYPERLINK("http://141.218.60.56/~jnz1568/getInfo.php?workbook=09_01.xlsx&amp;sheet=A0&amp;row=153&amp;col=26&amp;number=&amp;sourceID=13","")</f>
        <v/>
      </c>
      <c r="AA153" s="4" t="str">
        <f>HYPERLINK("http://141.218.60.56/~jnz1568/getInfo.php?workbook=09_01.xlsx&amp;sheet=A0&amp;row=153&amp;col=27&amp;number=&amp;sourceID=13","")</f>
        <v/>
      </c>
      <c r="AB153" s="4" t="str">
        <f>HYPERLINK("http://141.218.60.56/~jnz1568/getInfo.php?workbook=09_01.xlsx&amp;sheet=A0&amp;row=153&amp;col=28&amp;number=&amp;sourceID=13","")</f>
        <v/>
      </c>
      <c r="AC153" s="4" t="str">
        <f>HYPERLINK("http://141.218.60.56/~jnz1568/getInfo.php?workbook=09_01.xlsx&amp;sheet=A0&amp;row=153&amp;col=29&amp;number=&amp;sourceID=13","")</f>
        <v/>
      </c>
      <c r="AD153" s="4" t="str">
        <f>HYPERLINK("http://141.218.60.56/~jnz1568/getInfo.php?workbook=09_01.xlsx&amp;sheet=A0&amp;row=153&amp;col=30&amp;number=&amp;sourceID=13","")</f>
        <v/>
      </c>
      <c r="AE153" s="4" t="str">
        <f>HYPERLINK("http://141.218.60.56/~jnz1568/getInfo.php?workbook=09_01.xlsx&amp;sheet=A0&amp;row=153&amp;col=31&amp;number=&amp;sourceID=13","")</f>
        <v/>
      </c>
    </row>
    <row r="154" spans="1:31">
      <c r="A154" s="3">
        <v>9</v>
      </c>
      <c r="B154" s="3">
        <v>1</v>
      </c>
      <c r="C154" s="3">
        <v>19</v>
      </c>
      <c r="D154" s="3">
        <v>5</v>
      </c>
      <c r="E154" s="3">
        <f>((1/(INDEX(E0!J$4:J$28,C154,1)-INDEX(E0!J$4:J$28,D154,1))))*100000000</f>
        <v>0</v>
      </c>
      <c r="F154" s="4" t="str">
        <f>HYPERLINK("http://141.218.60.56/~jnz1568/getInfo.php?workbook=09_01.xlsx&amp;sheet=A0&amp;row=154&amp;col=6&amp;number=&amp;sourceID=18","")</f>
        <v/>
      </c>
      <c r="G154" s="4" t="str">
        <f>HYPERLINK("http://141.218.60.56/~jnz1568/getInfo.php?workbook=09_01.xlsx&amp;sheet=A0&amp;row=154&amp;col=7&amp;number==&amp;sourceID=11","=")</f>
        <v>=</v>
      </c>
      <c r="H154" s="4" t="str">
        <f>HYPERLINK("http://141.218.60.56/~jnz1568/getInfo.php?workbook=09_01.xlsx&amp;sheet=A0&amp;row=154&amp;col=8&amp;number=18577000000&amp;sourceID=11","18577000000")</f>
        <v>18577000000</v>
      </c>
      <c r="I154" s="4" t="str">
        <f>HYPERLINK("http://141.218.60.56/~jnz1568/getInfo.php?workbook=09_01.xlsx&amp;sheet=A0&amp;row=154&amp;col=9&amp;number=&amp;sourceID=11","")</f>
        <v/>
      </c>
      <c r="J154" s="4" t="str">
        <f>HYPERLINK("http://141.218.60.56/~jnz1568/getInfo.php?workbook=09_01.xlsx&amp;sheet=A0&amp;row=154&amp;col=10&amp;number=&amp;sourceID=11","")</f>
        <v/>
      </c>
      <c r="K154" s="4" t="str">
        <f>HYPERLINK("http://141.218.60.56/~jnz1568/getInfo.php?workbook=09_01.xlsx&amp;sheet=A0&amp;row=154&amp;col=11&amp;number=&amp;sourceID=11","")</f>
        <v/>
      </c>
      <c r="L154" s="4" t="str">
        <f>HYPERLINK("http://141.218.60.56/~jnz1568/getInfo.php?workbook=09_01.xlsx&amp;sheet=A0&amp;row=154&amp;col=12&amp;number=3.2853&amp;sourceID=11","3.2853")</f>
        <v>3.2853</v>
      </c>
      <c r="M154" s="4" t="str">
        <f>HYPERLINK("http://141.218.60.56/~jnz1568/getInfo.php?workbook=09_01.xlsx&amp;sheet=A0&amp;row=154&amp;col=13&amp;number=&amp;sourceID=11","")</f>
        <v/>
      </c>
      <c r="N154" s="4" t="str">
        <f>HYPERLINK("http://141.218.60.56/~jnz1568/getInfo.php?workbook=09_01.xlsx&amp;sheet=A0&amp;row=154&amp;col=14&amp;number=18577000000&amp;sourceID=12","18577000000")</f>
        <v>18577000000</v>
      </c>
      <c r="O154" s="4" t="str">
        <f>HYPERLINK("http://141.218.60.56/~jnz1568/getInfo.php?workbook=09_01.xlsx&amp;sheet=A0&amp;row=154&amp;col=15&amp;number=18577000000&amp;sourceID=12","18577000000")</f>
        <v>18577000000</v>
      </c>
      <c r="P154" s="4" t="str">
        <f>HYPERLINK("http://141.218.60.56/~jnz1568/getInfo.php?workbook=09_01.xlsx&amp;sheet=A0&amp;row=154&amp;col=16&amp;number=&amp;sourceID=12","")</f>
        <v/>
      </c>
      <c r="Q154" s="4" t="str">
        <f>HYPERLINK("http://141.218.60.56/~jnz1568/getInfo.php?workbook=09_01.xlsx&amp;sheet=A0&amp;row=154&amp;col=17&amp;number=&amp;sourceID=12","")</f>
        <v/>
      </c>
      <c r="R154" s="4" t="str">
        <f>HYPERLINK("http://141.218.60.56/~jnz1568/getInfo.php?workbook=09_01.xlsx&amp;sheet=A0&amp;row=154&amp;col=18&amp;number=&amp;sourceID=12","")</f>
        <v/>
      </c>
      <c r="S154" s="4" t="str">
        <f>HYPERLINK("http://141.218.60.56/~jnz1568/getInfo.php?workbook=09_01.xlsx&amp;sheet=A0&amp;row=154&amp;col=19&amp;number=3.2854&amp;sourceID=12","3.2854")</f>
        <v>3.2854</v>
      </c>
      <c r="T154" s="4" t="str">
        <f>HYPERLINK("http://141.218.60.56/~jnz1568/getInfo.php?workbook=09_01.xlsx&amp;sheet=A0&amp;row=154&amp;col=20&amp;number=&amp;sourceID=12","")</f>
        <v/>
      </c>
      <c r="U154" s="4" t="str">
        <f>HYPERLINK("http://141.218.60.56/~jnz1568/getInfo.php?workbook=09_01.xlsx&amp;sheet=A0&amp;row=154&amp;col=21&amp;number=18580000003.3&amp;sourceID=30","18580000003.3")</f>
        <v>18580000003.3</v>
      </c>
      <c r="V154" s="4" t="str">
        <f>HYPERLINK("http://141.218.60.56/~jnz1568/getInfo.php?workbook=09_01.xlsx&amp;sheet=A0&amp;row=154&amp;col=22&amp;number=18580000000&amp;sourceID=30","18580000000")</f>
        <v>18580000000</v>
      </c>
      <c r="W154" s="4" t="str">
        <f>HYPERLINK("http://141.218.60.56/~jnz1568/getInfo.php?workbook=09_01.xlsx&amp;sheet=A0&amp;row=154&amp;col=23&amp;number=&amp;sourceID=30","")</f>
        <v/>
      </c>
      <c r="X154" s="4" t="str">
        <f>HYPERLINK("http://141.218.60.56/~jnz1568/getInfo.php?workbook=09_01.xlsx&amp;sheet=A0&amp;row=154&amp;col=24&amp;number=&amp;sourceID=30","")</f>
        <v/>
      </c>
      <c r="Y154" s="4" t="str">
        <f>HYPERLINK("http://141.218.60.56/~jnz1568/getInfo.php?workbook=09_01.xlsx&amp;sheet=A0&amp;row=154&amp;col=25&amp;number=3.285&amp;sourceID=30","3.285")</f>
        <v>3.285</v>
      </c>
      <c r="Z154" s="4" t="str">
        <f>HYPERLINK("http://141.218.60.56/~jnz1568/getInfo.php?workbook=09_01.xlsx&amp;sheet=A0&amp;row=154&amp;col=26&amp;number=&amp;sourceID=13","")</f>
        <v/>
      </c>
      <c r="AA154" s="4" t="str">
        <f>HYPERLINK("http://141.218.60.56/~jnz1568/getInfo.php?workbook=09_01.xlsx&amp;sheet=A0&amp;row=154&amp;col=27&amp;number=&amp;sourceID=13","")</f>
        <v/>
      </c>
      <c r="AB154" s="4" t="str">
        <f>HYPERLINK("http://141.218.60.56/~jnz1568/getInfo.php?workbook=09_01.xlsx&amp;sheet=A0&amp;row=154&amp;col=28&amp;number=&amp;sourceID=13","")</f>
        <v/>
      </c>
      <c r="AC154" s="4" t="str">
        <f>HYPERLINK("http://141.218.60.56/~jnz1568/getInfo.php?workbook=09_01.xlsx&amp;sheet=A0&amp;row=154&amp;col=29&amp;number=&amp;sourceID=13","")</f>
        <v/>
      </c>
      <c r="AD154" s="4" t="str">
        <f>HYPERLINK("http://141.218.60.56/~jnz1568/getInfo.php?workbook=09_01.xlsx&amp;sheet=A0&amp;row=154&amp;col=30&amp;number=&amp;sourceID=13","")</f>
        <v/>
      </c>
      <c r="AE154" s="4" t="str">
        <f>HYPERLINK("http://141.218.60.56/~jnz1568/getInfo.php?workbook=09_01.xlsx&amp;sheet=A0&amp;row=154&amp;col=31&amp;number=&amp;sourceID=13","")</f>
        <v/>
      </c>
    </row>
    <row r="155" spans="1:31">
      <c r="A155" s="3">
        <v>9</v>
      </c>
      <c r="B155" s="3">
        <v>1</v>
      </c>
      <c r="C155" s="3">
        <v>19</v>
      </c>
      <c r="D155" s="3">
        <v>6</v>
      </c>
      <c r="E155" s="3">
        <f>((1/(INDEX(E0!J$4:J$28,C155,1)-INDEX(E0!J$4:J$28,D155,1))))*100000000</f>
        <v>0</v>
      </c>
      <c r="F155" s="4" t="str">
        <f>HYPERLINK("http://141.218.60.56/~jnz1568/getInfo.php?workbook=09_01.xlsx&amp;sheet=A0&amp;row=155&amp;col=6&amp;number=&amp;sourceID=18","")</f>
        <v/>
      </c>
      <c r="G155" s="4" t="str">
        <f>HYPERLINK("http://141.218.60.56/~jnz1568/getInfo.php?workbook=09_01.xlsx&amp;sheet=A0&amp;row=155&amp;col=7&amp;number==&amp;sourceID=11","=")</f>
        <v>=</v>
      </c>
      <c r="H155" s="4" t="str">
        <f>HYPERLINK("http://141.218.60.56/~jnz1568/getInfo.php?workbook=09_01.xlsx&amp;sheet=A0&amp;row=155&amp;col=8&amp;number=&amp;sourceID=11","")</f>
        <v/>
      </c>
      <c r="I155" s="4" t="str">
        <f>HYPERLINK("http://141.218.60.56/~jnz1568/getInfo.php?workbook=09_01.xlsx&amp;sheet=A0&amp;row=155&amp;col=9&amp;number=581560&amp;sourceID=11","581560")</f>
        <v>581560</v>
      </c>
      <c r="J155" s="4" t="str">
        <f>HYPERLINK("http://141.218.60.56/~jnz1568/getInfo.php?workbook=09_01.xlsx&amp;sheet=A0&amp;row=155&amp;col=10&amp;number=&amp;sourceID=11","")</f>
        <v/>
      </c>
      <c r="K155" s="4" t="str">
        <f>HYPERLINK("http://141.218.60.56/~jnz1568/getInfo.php?workbook=09_01.xlsx&amp;sheet=A0&amp;row=155&amp;col=11&amp;number=0.0024615&amp;sourceID=11","0.0024615")</f>
        <v>0.0024615</v>
      </c>
      <c r="L155" s="4" t="str">
        <f>HYPERLINK("http://141.218.60.56/~jnz1568/getInfo.php?workbook=09_01.xlsx&amp;sheet=A0&amp;row=155&amp;col=12&amp;number=&amp;sourceID=11","")</f>
        <v/>
      </c>
      <c r="M155" s="4" t="str">
        <f>HYPERLINK("http://141.218.60.56/~jnz1568/getInfo.php?workbook=09_01.xlsx&amp;sheet=A0&amp;row=155&amp;col=13&amp;number=&amp;sourceID=11","")</f>
        <v/>
      </c>
      <c r="N155" s="4" t="str">
        <f>HYPERLINK("http://141.218.60.56/~jnz1568/getInfo.php?workbook=09_01.xlsx&amp;sheet=A0&amp;row=155&amp;col=14&amp;number=581570&amp;sourceID=12","581570")</f>
        <v>581570</v>
      </c>
      <c r="O155" s="4" t="str">
        <f>HYPERLINK("http://141.218.60.56/~jnz1568/getInfo.php?workbook=09_01.xlsx&amp;sheet=A0&amp;row=155&amp;col=15&amp;number=&amp;sourceID=12","")</f>
        <v/>
      </c>
      <c r="P155" s="4" t="str">
        <f>HYPERLINK("http://141.218.60.56/~jnz1568/getInfo.php?workbook=09_01.xlsx&amp;sheet=A0&amp;row=155&amp;col=16&amp;number=581570&amp;sourceID=12","581570")</f>
        <v>581570</v>
      </c>
      <c r="Q155" s="4" t="str">
        <f>HYPERLINK("http://141.218.60.56/~jnz1568/getInfo.php?workbook=09_01.xlsx&amp;sheet=A0&amp;row=155&amp;col=17&amp;number=&amp;sourceID=12","")</f>
        <v/>
      </c>
      <c r="R155" s="4" t="str">
        <f>HYPERLINK("http://141.218.60.56/~jnz1568/getInfo.php?workbook=09_01.xlsx&amp;sheet=A0&amp;row=155&amp;col=18&amp;number=0.0024616&amp;sourceID=12","0.0024616")</f>
        <v>0.0024616</v>
      </c>
      <c r="S155" s="4" t="str">
        <f>HYPERLINK("http://141.218.60.56/~jnz1568/getInfo.php?workbook=09_01.xlsx&amp;sheet=A0&amp;row=155&amp;col=19&amp;number=&amp;sourceID=12","")</f>
        <v/>
      </c>
      <c r="T155" s="4" t="str">
        <f>HYPERLINK("http://141.218.60.56/~jnz1568/getInfo.php?workbook=09_01.xlsx&amp;sheet=A0&amp;row=155&amp;col=20&amp;number=&amp;sourceID=12","")</f>
        <v/>
      </c>
      <c r="U155" s="4" t="str">
        <f>HYPERLINK("http://141.218.60.56/~jnz1568/getInfo.php?workbook=09_01.xlsx&amp;sheet=A0&amp;row=155&amp;col=21&amp;number=581600.002462&amp;sourceID=30","581600.002462")</f>
        <v>581600.002462</v>
      </c>
      <c r="V155" s="4" t="str">
        <f>HYPERLINK("http://141.218.60.56/~jnz1568/getInfo.php?workbook=09_01.xlsx&amp;sheet=A0&amp;row=155&amp;col=22&amp;number=&amp;sourceID=30","")</f>
        <v/>
      </c>
      <c r="W155" s="4" t="str">
        <f>HYPERLINK("http://141.218.60.56/~jnz1568/getInfo.php?workbook=09_01.xlsx&amp;sheet=A0&amp;row=155&amp;col=23&amp;number=581600&amp;sourceID=30","581600")</f>
        <v>581600</v>
      </c>
      <c r="X155" s="4" t="str">
        <f>HYPERLINK("http://141.218.60.56/~jnz1568/getInfo.php?workbook=09_01.xlsx&amp;sheet=A0&amp;row=155&amp;col=24&amp;number=0.002462&amp;sourceID=30","0.002462")</f>
        <v>0.002462</v>
      </c>
      <c r="Y155" s="4" t="str">
        <f>HYPERLINK("http://141.218.60.56/~jnz1568/getInfo.php?workbook=09_01.xlsx&amp;sheet=A0&amp;row=155&amp;col=25&amp;number=&amp;sourceID=30","")</f>
        <v/>
      </c>
      <c r="Z155" s="4" t="str">
        <f>HYPERLINK("http://141.218.60.56/~jnz1568/getInfo.php?workbook=09_01.xlsx&amp;sheet=A0&amp;row=155&amp;col=26&amp;number=&amp;sourceID=13","")</f>
        <v/>
      </c>
      <c r="AA155" s="4" t="str">
        <f>HYPERLINK("http://141.218.60.56/~jnz1568/getInfo.php?workbook=09_01.xlsx&amp;sheet=A0&amp;row=155&amp;col=27&amp;number=&amp;sourceID=13","")</f>
        <v/>
      </c>
      <c r="AB155" s="4" t="str">
        <f>HYPERLINK("http://141.218.60.56/~jnz1568/getInfo.php?workbook=09_01.xlsx&amp;sheet=A0&amp;row=155&amp;col=28&amp;number=&amp;sourceID=13","")</f>
        <v/>
      </c>
      <c r="AC155" s="4" t="str">
        <f>HYPERLINK("http://141.218.60.56/~jnz1568/getInfo.php?workbook=09_01.xlsx&amp;sheet=A0&amp;row=155&amp;col=29&amp;number=&amp;sourceID=13","")</f>
        <v/>
      </c>
      <c r="AD155" s="4" t="str">
        <f>HYPERLINK("http://141.218.60.56/~jnz1568/getInfo.php?workbook=09_01.xlsx&amp;sheet=A0&amp;row=155&amp;col=30&amp;number=&amp;sourceID=13","")</f>
        <v/>
      </c>
      <c r="AE155" s="4" t="str">
        <f>HYPERLINK("http://141.218.60.56/~jnz1568/getInfo.php?workbook=09_01.xlsx&amp;sheet=A0&amp;row=155&amp;col=31&amp;number=&amp;sourceID=13","")</f>
        <v/>
      </c>
    </row>
    <row r="156" spans="1:31">
      <c r="A156" s="3">
        <v>9</v>
      </c>
      <c r="B156" s="3">
        <v>1</v>
      </c>
      <c r="C156" s="3">
        <v>19</v>
      </c>
      <c r="D156" s="3">
        <v>7</v>
      </c>
      <c r="E156" s="3">
        <f>((1/(INDEX(E0!J$4:J$28,C156,1)-INDEX(E0!J$4:J$28,D156,1))))*100000000</f>
        <v>0</v>
      </c>
      <c r="F156" s="4" t="str">
        <f>HYPERLINK("http://141.218.60.56/~jnz1568/getInfo.php?workbook=09_01.xlsx&amp;sheet=A0&amp;row=156&amp;col=6&amp;number=&amp;sourceID=18","")</f>
        <v/>
      </c>
      <c r="G156" s="4" t="str">
        <f>HYPERLINK("http://141.218.60.56/~jnz1568/getInfo.php?workbook=09_01.xlsx&amp;sheet=A0&amp;row=156&amp;col=7&amp;number==&amp;sourceID=11","=")</f>
        <v>=</v>
      </c>
      <c r="H156" s="4" t="str">
        <f>HYPERLINK("http://141.218.60.56/~jnz1568/getInfo.php?workbook=09_01.xlsx&amp;sheet=A0&amp;row=156&amp;col=8&amp;number=&amp;sourceID=11","")</f>
        <v/>
      </c>
      <c r="I156" s="4" t="str">
        <f>HYPERLINK("http://141.218.60.56/~jnz1568/getInfo.php?workbook=09_01.xlsx&amp;sheet=A0&amp;row=156&amp;col=9&amp;number=213390&amp;sourceID=11","213390")</f>
        <v>213390</v>
      </c>
      <c r="J156" s="4" t="str">
        <f>HYPERLINK("http://141.218.60.56/~jnz1568/getInfo.php?workbook=09_01.xlsx&amp;sheet=A0&amp;row=156&amp;col=10&amp;number=&amp;sourceID=11","")</f>
        <v/>
      </c>
      <c r="K156" s="4" t="str">
        <f>HYPERLINK("http://141.218.60.56/~jnz1568/getInfo.php?workbook=09_01.xlsx&amp;sheet=A0&amp;row=156&amp;col=11&amp;number=0.065687&amp;sourceID=11","0.065687")</f>
        <v>0.065687</v>
      </c>
      <c r="L156" s="4" t="str">
        <f>HYPERLINK("http://141.218.60.56/~jnz1568/getInfo.php?workbook=09_01.xlsx&amp;sheet=A0&amp;row=156&amp;col=12&amp;number=&amp;sourceID=11","")</f>
        <v/>
      </c>
      <c r="M156" s="4" t="str">
        <f>HYPERLINK("http://141.218.60.56/~jnz1568/getInfo.php?workbook=09_01.xlsx&amp;sheet=A0&amp;row=156&amp;col=13&amp;number=4.0991e-05&amp;sourceID=11","4.0991e-05")</f>
        <v>4.0991e-05</v>
      </c>
      <c r="N156" s="4" t="str">
        <f>HYPERLINK("http://141.218.60.56/~jnz1568/getInfo.php?workbook=09_01.xlsx&amp;sheet=A0&amp;row=156&amp;col=14&amp;number=213400&amp;sourceID=12","213400")</f>
        <v>213400</v>
      </c>
      <c r="O156" s="4" t="str">
        <f>HYPERLINK("http://141.218.60.56/~jnz1568/getInfo.php?workbook=09_01.xlsx&amp;sheet=A0&amp;row=156&amp;col=15&amp;number=&amp;sourceID=12","")</f>
        <v/>
      </c>
      <c r="P156" s="4" t="str">
        <f>HYPERLINK("http://141.218.60.56/~jnz1568/getInfo.php?workbook=09_01.xlsx&amp;sheet=A0&amp;row=156&amp;col=16&amp;number=213400&amp;sourceID=12","213400")</f>
        <v>213400</v>
      </c>
      <c r="Q156" s="4" t="str">
        <f>HYPERLINK("http://141.218.60.56/~jnz1568/getInfo.php?workbook=09_01.xlsx&amp;sheet=A0&amp;row=156&amp;col=17&amp;number=&amp;sourceID=12","")</f>
        <v/>
      </c>
      <c r="R156" s="4" t="str">
        <f>HYPERLINK("http://141.218.60.56/~jnz1568/getInfo.php?workbook=09_01.xlsx&amp;sheet=A0&amp;row=156&amp;col=18&amp;number=0.065689&amp;sourceID=12","0.065689")</f>
        <v>0.065689</v>
      </c>
      <c r="S156" s="4" t="str">
        <f>HYPERLINK("http://141.218.60.56/~jnz1568/getInfo.php?workbook=09_01.xlsx&amp;sheet=A0&amp;row=156&amp;col=19&amp;number=&amp;sourceID=12","")</f>
        <v/>
      </c>
      <c r="T156" s="4" t="str">
        <f>HYPERLINK("http://141.218.60.56/~jnz1568/getInfo.php?workbook=09_01.xlsx&amp;sheet=A0&amp;row=156&amp;col=20&amp;number=4.0992e-05&amp;sourceID=12","4.0992e-05")</f>
        <v>4.0992e-05</v>
      </c>
      <c r="U156" s="4" t="str">
        <f>HYPERLINK("http://141.218.60.56/~jnz1568/getInfo.php?workbook=09_01.xlsx&amp;sheet=A0&amp;row=156&amp;col=21&amp;number=213400.06571&amp;sourceID=30","213400.06571")</f>
        <v>213400.06571</v>
      </c>
      <c r="V156" s="4" t="str">
        <f>HYPERLINK("http://141.218.60.56/~jnz1568/getInfo.php?workbook=09_01.xlsx&amp;sheet=A0&amp;row=156&amp;col=22&amp;number=&amp;sourceID=30","")</f>
        <v/>
      </c>
      <c r="W156" s="4" t="str">
        <f>HYPERLINK("http://141.218.60.56/~jnz1568/getInfo.php?workbook=09_01.xlsx&amp;sheet=A0&amp;row=156&amp;col=23&amp;number=213400&amp;sourceID=30","213400")</f>
        <v>213400</v>
      </c>
      <c r="X156" s="4" t="str">
        <f>HYPERLINK("http://141.218.60.56/~jnz1568/getInfo.php?workbook=09_01.xlsx&amp;sheet=A0&amp;row=156&amp;col=24&amp;number=0.06571&amp;sourceID=30","0.06571")</f>
        <v>0.06571</v>
      </c>
      <c r="Y156" s="4" t="str">
        <f>HYPERLINK("http://141.218.60.56/~jnz1568/getInfo.php?workbook=09_01.xlsx&amp;sheet=A0&amp;row=156&amp;col=25&amp;number=&amp;sourceID=30","")</f>
        <v/>
      </c>
      <c r="Z156" s="4" t="str">
        <f>HYPERLINK("http://141.218.60.56/~jnz1568/getInfo.php?workbook=09_01.xlsx&amp;sheet=A0&amp;row=156&amp;col=26&amp;number=&amp;sourceID=13","")</f>
        <v/>
      </c>
      <c r="AA156" s="4" t="str">
        <f>HYPERLINK("http://141.218.60.56/~jnz1568/getInfo.php?workbook=09_01.xlsx&amp;sheet=A0&amp;row=156&amp;col=27&amp;number=&amp;sourceID=13","")</f>
        <v/>
      </c>
      <c r="AB156" s="4" t="str">
        <f>HYPERLINK("http://141.218.60.56/~jnz1568/getInfo.php?workbook=09_01.xlsx&amp;sheet=A0&amp;row=156&amp;col=28&amp;number=&amp;sourceID=13","")</f>
        <v/>
      </c>
      <c r="AC156" s="4" t="str">
        <f>HYPERLINK("http://141.218.60.56/~jnz1568/getInfo.php?workbook=09_01.xlsx&amp;sheet=A0&amp;row=156&amp;col=29&amp;number=&amp;sourceID=13","")</f>
        <v/>
      </c>
      <c r="AD156" s="4" t="str">
        <f>HYPERLINK("http://141.218.60.56/~jnz1568/getInfo.php?workbook=09_01.xlsx&amp;sheet=A0&amp;row=156&amp;col=30&amp;number=&amp;sourceID=13","")</f>
        <v/>
      </c>
      <c r="AE156" s="4" t="str">
        <f>HYPERLINK("http://141.218.60.56/~jnz1568/getInfo.php?workbook=09_01.xlsx&amp;sheet=A0&amp;row=156&amp;col=31&amp;number=&amp;sourceID=13","")</f>
        <v/>
      </c>
    </row>
    <row r="157" spans="1:31">
      <c r="A157" s="3">
        <v>9</v>
      </c>
      <c r="B157" s="3">
        <v>1</v>
      </c>
      <c r="C157" s="3">
        <v>19</v>
      </c>
      <c r="D157" s="3">
        <v>8</v>
      </c>
      <c r="E157" s="3">
        <f>((1/(INDEX(E0!J$4:J$28,C157,1)-INDEX(E0!J$4:J$28,D157,1))))*100000000</f>
        <v>0</v>
      </c>
      <c r="F157" s="4" t="str">
        <f>HYPERLINK("http://141.218.60.56/~jnz1568/getInfo.php?workbook=09_01.xlsx&amp;sheet=A0&amp;row=157&amp;col=6&amp;number=&amp;sourceID=18","")</f>
        <v/>
      </c>
      <c r="G157" s="4" t="str">
        <f>HYPERLINK("http://141.218.60.56/~jnz1568/getInfo.php?workbook=09_01.xlsx&amp;sheet=A0&amp;row=157&amp;col=7&amp;number==&amp;sourceID=11","=")</f>
        <v>=</v>
      </c>
      <c r="H157" s="4" t="str">
        <f>HYPERLINK("http://141.218.60.56/~jnz1568/getInfo.php?workbook=09_01.xlsx&amp;sheet=A0&amp;row=157&amp;col=8&amp;number=3711700000&amp;sourceID=11","3711700000")</f>
        <v>3711700000</v>
      </c>
      <c r="I157" s="4" t="str">
        <f>HYPERLINK("http://141.218.60.56/~jnz1568/getInfo.php?workbook=09_01.xlsx&amp;sheet=A0&amp;row=157&amp;col=9&amp;number=&amp;sourceID=11","")</f>
        <v/>
      </c>
      <c r="J157" s="4" t="str">
        <f>HYPERLINK("http://141.218.60.56/~jnz1568/getInfo.php?workbook=09_01.xlsx&amp;sheet=A0&amp;row=157&amp;col=10&amp;number=3.221&amp;sourceID=11","3.221")</f>
        <v>3.221</v>
      </c>
      <c r="K157" s="4" t="str">
        <f>HYPERLINK("http://141.218.60.56/~jnz1568/getInfo.php?workbook=09_01.xlsx&amp;sheet=A0&amp;row=157&amp;col=11&amp;number=&amp;sourceID=11","")</f>
        <v/>
      </c>
      <c r="L157" s="4" t="str">
        <f>HYPERLINK("http://141.218.60.56/~jnz1568/getInfo.php?workbook=09_01.xlsx&amp;sheet=A0&amp;row=157&amp;col=12&amp;number=&amp;sourceID=11","")</f>
        <v/>
      </c>
      <c r="M157" s="4" t="str">
        <f>HYPERLINK("http://141.218.60.56/~jnz1568/getInfo.php?workbook=09_01.xlsx&amp;sheet=A0&amp;row=157&amp;col=13&amp;number=&amp;sourceID=11","")</f>
        <v/>
      </c>
      <c r="N157" s="4" t="str">
        <f>HYPERLINK("http://141.218.60.56/~jnz1568/getInfo.php?workbook=09_01.xlsx&amp;sheet=A0&amp;row=157&amp;col=14&amp;number=3711800000&amp;sourceID=12","3711800000")</f>
        <v>3711800000</v>
      </c>
      <c r="O157" s="4" t="str">
        <f>HYPERLINK("http://141.218.60.56/~jnz1568/getInfo.php?workbook=09_01.xlsx&amp;sheet=A0&amp;row=157&amp;col=15&amp;number=3711800000&amp;sourceID=12","3711800000")</f>
        <v>3711800000</v>
      </c>
      <c r="P157" s="4" t="str">
        <f>HYPERLINK("http://141.218.60.56/~jnz1568/getInfo.php?workbook=09_01.xlsx&amp;sheet=A0&amp;row=157&amp;col=16&amp;number=&amp;sourceID=12","")</f>
        <v/>
      </c>
      <c r="Q157" s="4" t="str">
        <f>HYPERLINK("http://141.218.60.56/~jnz1568/getInfo.php?workbook=09_01.xlsx&amp;sheet=A0&amp;row=157&amp;col=17&amp;number=3.221&amp;sourceID=12","3.221")</f>
        <v>3.221</v>
      </c>
      <c r="R157" s="4" t="str">
        <f>HYPERLINK("http://141.218.60.56/~jnz1568/getInfo.php?workbook=09_01.xlsx&amp;sheet=A0&amp;row=157&amp;col=18&amp;number=&amp;sourceID=12","")</f>
        <v/>
      </c>
      <c r="S157" s="4" t="str">
        <f>HYPERLINK("http://141.218.60.56/~jnz1568/getInfo.php?workbook=09_01.xlsx&amp;sheet=A0&amp;row=157&amp;col=19&amp;number=&amp;sourceID=12","")</f>
        <v/>
      </c>
      <c r="T157" s="4" t="str">
        <f>HYPERLINK("http://141.218.60.56/~jnz1568/getInfo.php?workbook=09_01.xlsx&amp;sheet=A0&amp;row=157&amp;col=20&amp;number=&amp;sourceID=12","")</f>
        <v/>
      </c>
      <c r="U157" s="4" t="str">
        <f>HYPERLINK("http://141.218.60.56/~jnz1568/getInfo.php?workbook=09_01.xlsx&amp;sheet=A0&amp;row=157&amp;col=21&amp;number=3712000000&amp;sourceID=30","3712000000")</f>
        <v>3712000000</v>
      </c>
      <c r="V157" s="4" t="str">
        <f>HYPERLINK("http://141.218.60.56/~jnz1568/getInfo.php?workbook=09_01.xlsx&amp;sheet=A0&amp;row=157&amp;col=22&amp;number=3712000000&amp;sourceID=30","3712000000")</f>
        <v>3712000000</v>
      </c>
      <c r="W157" s="4" t="str">
        <f>HYPERLINK("http://141.218.60.56/~jnz1568/getInfo.php?workbook=09_01.xlsx&amp;sheet=A0&amp;row=157&amp;col=23&amp;number=&amp;sourceID=30","")</f>
        <v/>
      </c>
      <c r="X157" s="4" t="str">
        <f>HYPERLINK("http://141.218.60.56/~jnz1568/getInfo.php?workbook=09_01.xlsx&amp;sheet=A0&amp;row=157&amp;col=24&amp;number=&amp;sourceID=30","")</f>
        <v/>
      </c>
      <c r="Y157" s="4" t="str">
        <f>HYPERLINK("http://141.218.60.56/~jnz1568/getInfo.php?workbook=09_01.xlsx&amp;sheet=A0&amp;row=157&amp;col=25&amp;number=&amp;sourceID=30","")</f>
        <v/>
      </c>
      <c r="Z157" s="4" t="str">
        <f>HYPERLINK("http://141.218.60.56/~jnz1568/getInfo.php?workbook=09_01.xlsx&amp;sheet=A0&amp;row=157&amp;col=26&amp;number=&amp;sourceID=13","")</f>
        <v/>
      </c>
      <c r="AA157" s="4" t="str">
        <f>HYPERLINK("http://141.218.60.56/~jnz1568/getInfo.php?workbook=09_01.xlsx&amp;sheet=A0&amp;row=157&amp;col=27&amp;number=&amp;sourceID=13","")</f>
        <v/>
      </c>
      <c r="AB157" s="4" t="str">
        <f>HYPERLINK("http://141.218.60.56/~jnz1568/getInfo.php?workbook=09_01.xlsx&amp;sheet=A0&amp;row=157&amp;col=28&amp;number=&amp;sourceID=13","")</f>
        <v/>
      </c>
      <c r="AC157" s="4" t="str">
        <f>HYPERLINK("http://141.218.60.56/~jnz1568/getInfo.php?workbook=09_01.xlsx&amp;sheet=A0&amp;row=157&amp;col=29&amp;number=&amp;sourceID=13","")</f>
        <v/>
      </c>
      <c r="AD157" s="4" t="str">
        <f>HYPERLINK("http://141.218.60.56/~jnz1568/getInfo.php?workbook=09_01.xlsx&amp;sheet=A0&amp;row=157&amp;col=30&amp;number=&amp;sourceID=13","")</f>
        <v/>
      </c>
      <c r="AE157" s="4" t="str">
        <f>HYPERLINK("http://141.218.60.56/~jnz1568/getInfo.php?workbook=09_01.xlsx&amp;sheet=A0&amp;row=157&amp;col=31&amp;number=&amp;sourceID=13","")</f>
        <v/>
      </c>
    </row>
    <row r="158" spans="1:31">
      <c r="A158" s="3">
        <v>9</v>
      </c>
      <c r="B158" s="3">
        <v>1</v>
      </c>
      <c r="C158" s="3">
        <v>19</v>
      </c>
      <c r="D158" s="3">
        <v>9</v>
      </c>
      <c r="E158" s="3">
        <f>((1/(INDEX(E0!J$4:J$28,C158,1)-INDEX(E0!J$4:J$28,D158,1))))*100000000</f>
        <v>0</v>
      </c>
      <c r="F158" s="4" t="str">
        <f>HYPERLINK("http://141.218.60.56/~jnz1568/getInfo.php?workbook=09_01.xlsx&amp;sheet=A0&amp;row=158&amp;col=6&amp;number=&amp;sourceID=18","")</f>
        <v/>
      </c>
      <c r="G158" s="4" t="str">
        <f>HYPERLINK("http://141.218.60.56/~jnz1568/getInfo.php?workbook=09_01.xlsx&amp;sheet=A0&amp;row=158&amp;col=7&amp;number==&amp;sourceID=11","=")</f>
        <v>=</v>
      </c>
      <c r="H158" s="4" t="str">
        <f>HYPERLINK("http://141.218.60.56/~jnz1568/getInfo.php?workbook=09_01.xlsx&amp;sheet=A0&amp;row=158&amp;col=8&amp;number=&amp;sourceID=11","")</f>
        <v/>
      </c>
      <c r="I158" s="4" t="str">
        <f>HYPERLINK("http://141.218.60.56/~jnz1568/getInfo.php?workbook=09_01.xlsx&amp;sheet=A0&amp;row=158&amp;col=9&amp;number=91338&amp;sourceID=11","91338")</f>
        <v>91338</v>
      </c>
      <c r="J158" s="4" t="str">
        <f>HYPERLINK("http://141.218.60.56/~jnz1568/getInfo.php?workbook=09_01.xlsx&amp;sheet=A0&amp;row=158&amp;col=10&amp;number=&amp;sourceID=11","")</f>
        <v/>
      </c>
      <c r="K158" s="4" t="str">
        <f>HYPERLINK("http://141.218.60.56/~jnz1568/getInfo.php?workbook=09_01.xlsx&amp;sheet=A0&amp;row=158&amp;col=11&amp;number=0.14173&amp;sourceID=11","0.14173")</f>
        <v>0.14173</v>
      </c>
      <c r="L158" s="4" t="str">
        <f>HYPERLINK("http://141.218.60.56/~jnz1568/getInfo.php?workbook=09_01.xlsx&amp;sheet=A0&amp;row=158&amp;col=12&amp;number=&amp;sourceID=11","")</f>
        <v/>
      </c>
      <c r="M158" s="4" t="str">
        <f>HYPERLINK("http://141.218.60.56/~jnz1568/getInfo.php?workbook=09_01.xlsx&amp;sheet=A0&amp;row=158&amp;col=13&amp;number=2.7281e-05&amp;sourceID=11","2.7281e-05")</f>
        <v>2.7281e-05</v>
      </c>
      <c r="N158" s="4" t="str">
        <f>HYPERLINK("http://141.218.60.56/~jnz1568/getInfo.php?workbook=09_01.xlsx&amp;sheet=A0&amp;row=158&amp;col=14&amp;number=91341&amp;sourceID=12","91341")</f>
        <v>91341</v>
      </c>
      <c r="O158" s="4" t="str">
        <f>HYPERLINK("http://141.218.60.56/~jnz1568/getInfo.php?workbook=09_01.xlsx&amp;sheet=A0&amp;row=158&amp;col=15&amp;number=&amp;sourceID=12","")</f>
        <v/>
      </c>
      <c r="P158" s="4" t="str">
        <f>HYPERLINK("http://141.218.60.56/~jnz1568/getInfo.php?workbook=09_01.xlsx&amp;sheet=A0&amp;row=158&amp;col=16&amp;number=91341&amp;sourceID=12","91341")</f>
        <v>91341</v>
      </c>
      <c r="Q158" s="4" t="str">
        <f>HYPERLINK("http://141.218.60.56/~jnz1568/getInfo.php?workbook=09_01.xlsx&amp;sheet=A0&amp;row=158&amp;col=17&amp;number=&amp;sourceID=12","")</f>
        <v/>
      </c>
      <c r="R158" s="4" t="str">
        <f>HYPERLINK("http://141.218.60.56/~jnz1568/getInfo.php?workbook=09_01.xlsx&amp;sheet=A0&amp;row=158&amp;col=18&amp;number=0.14174&amp;sourceID=12","0.14174")</f>
        <v>0.14174</v>
      </c>
      <c r="S158" s="4" t="str">
        <f>HYPERLINK("http://141.218.60.56/~jnz1568/getInfo.php?workbook=09_01.xlsx&amp;sheet=A0&amp;row=158&amp;col=19&amp;number=&amp;sourceID=12","")</f>
        <v/>
      </c>
      <c r="T158" s="4" t="str">
        <f>HYPERLINK("http://141.218.60.56/~jnz1568/getInfo.php?workbook=09_01.xlsx&amp;sheet=A0&amp;row=158&amp;col=20&amp;number=2.7281e-05&amp;sourceID=12","2.7281e-05")</f>
        <v>2.7281e-05</v>
      </c>
      <c r="U158" s="4" t="str">
        <f>HYPERLINK("http://141.218.60.56/~jnz1568/getInfo.php?workbook=09_01.xlsx&amp;sheet=A0&amp;row=158&amp;col=21&amp;number=91340.1417&amp;sourceID=30","91340.1417")</f>
        <v>91340.1417</v>
      </c>
      <c r="V158" s="4" t="str">
        <f>HYPERLINK("http://141.218.60.56/~jnz1568/getInfo.php?workbook=09_01.xlsx&amp;sheet=A0&amp;row=158&amp;col=22&amp;number=&amp;sourceID=30","")</f>
        <v/>
      </c>
      <c r="W158" s="4" t="str">
        <f>HYPERLINK("http://141.218.60.56/~jnz1568/getInfo.php?workbook=09_01.xlsx&amp;sheet=A0&amp;row=158&amp;col=23&amp;number=91340&amp;sourceID=30","91340")</f>
        <v>91340</v>
      </c>
      <c r="X158" s="4" t="str">
        <f>HYPERLINK("http://141.218.60.56/~jnz1568/getInfo.php?workbook=09_01.xlsx&amp;sheet=A0&amp;row=158&amp;col=24&amp;number=0.1417&amp;sourceID=30","0.1417")</f>
        <v>0.1417</v>
      </c>
      <c r="Y158" s="4" t="str">
        <f>HYPERLINK("http://141.218.60.56/~jnz1568/getInfo.php?workbook=09_01.xlsx&amp;sheet=A0&amp;row=158&amp;col=25&amp;number=&amp;sourceID=30","")</f>
        <v/>
      </c>
      <c r="Z158" s="4" t="str">
        <f>HYPERLINK("http://141.218.60.56/~jnz1568/getInfo.php?workbook=09_01.xlsx&amp;sheet=A0&amp;row=158&amp;col=26&amp;number=&amp;sourceID=13","")</f>
        <v/>
      </c>
      <c r="AA158" s="4" t="str">
        <f>HYPERLINK("http://141.218.60.56/~jnz1568/getInfo.php?workbook=09_01.xlsx&amp;sheet=A0&amp;row=158&amp;col=27&amp;number=&amp;sourceID=13","")</f>
        <v/>
      </c>
      <c r="AB158" s="4" t="str">
        <f>HYPERLINK("http://141.218.60.56/~jnz1568/getInfo.php?workbook=09_01.xlsx&amp;sheet=A0&amp;row=158&amp;col=28&amp;number=&amp;sourceID=13","")</f>
        <v/>
      </c>
      <c r="AC158" s="4" t="str">
        <f>HYPERLINK("http://141.218.60.56/~jnz1568/getInfo.php?workbook=09_01.xlsx&amp;sheet=A0&amp;row=158&amp;col=29&amp;number=&amp;sourceID=13","")</f>
        <v/>
      </c>
      <c r="AD158" s="4" t="str">
        <f>HYPERLINK("http://141.218.60.56/~jnz1568/getInfo.php?workbook=09_01.xlsx&amp;sheet=A0&amp;row=158&amp;col=30&amp;number=&amp;sourceID=13","")</f>
        <v/>
      </c>
      <c r="AE158" s="4" t="str">
        <f>HYPERLINK("http://141.218.60.56/~jnz1568/getInfo.php?workbook=09_01.xlsx&amp;sheet=A0&amp;row=158&amp;col=31&amp;number=&amp;sourceID=13","")</f>
        <v/>
      </c>
    </row>
    <row r="159" spans="1:31">
      <c r="A159" s="3">
        <v>9</v>
      </c>
      <c r="B159" s="3">
        <v>1</v>
      </c>
      <c r="C159" s="3">
        <v>19</v>
      </c>
      <c r="D159" s="3">
        <v>10</v>
      </c>
      <c r="E159" s="3">
        <f>((1/(INDEX(E0!J$4:J$28,C159,1)-INDEX(E0!J$4:J$28,D159,1))))*100000000</f>
        <v>0</v>
      </c>
      <c r="F159" s="4" t="str">
        <f>HYPERLINK("http://141.218.60.56/~jnz1568/getInfo.php?workbook=09_01.xlsx&amp;sheet=A0&amp;row=159&amp;col=6&amp;number=&amp;sourceID=18","")</f>
        <v/>
      </c>
      <c r="G159" s="4" t="str">
        <f>HYPERLINK("http://141.218.60.56/~jnz1568/getInfo.php?workbook=09_01.xlsx&amp;sheet=A0&amp;row=159&amp;col=7&amp;number==&amp;sourceID=11","=")</f>
        <v>=</v>
      </c>
      <c r="H159" s="4" t="str">
        <f>HYPERLINK("http://141.218.60.56/~jnz1568/getInfo.php?workbook=09_01.xlsx&amp;sheet=A0&amp;row=159&amp;col=8&amp;number=8118100000&amp;sourceID=11","8118100000")</f>
        <v>8118100000</v>
      </c>
      <c r="I159" s="4" t="str">
        <f>HYPERLINK("http://141.218.60.56/~jnz1568/getInfo.php?workbook=09_01.xlsx&amp;sheet=A0&amp;row=159&amp;col=9&amp;number=&amp;sourceID=11","")</f>
        <v/>
      </c>
      <c r="J159" s="4" t="str">
        <f>HYPERLINK("http://141.218.60.56/~jnz1568/getInfo.php?workbook=09_01.xlsx&amp;sheet=A0&amp;row=159&amp;col=10&amp;number=&amp;sourceID=11","")</f>
        <v/>
      </c>
      <c r="K159" s="4" t="str">
        <f>HYPERLINK("http://141.218.60.56/~jnz1568/getInfo.php?workbook=09_01.xlsx&amp;sheet=A0&amp;row=159&amp;col=11&amp;number=&amp;sourceID=11","")</f>
        <v/>
      </c>
      <c r="L159" s="4" t="str">
        <f>HYPERLINK("http://141.218.60.56/~jnz1568/getInfo.php?workbook=09_01.xlsx&amp;sheet=A0&amp;row=159&amp;col=12&amp;number=0.14389&amp;sourceID=11","0.14389")</f>
        <v>0.14389</v>
      </c>
      <c r="M159" s="4" t="str">
        <f>HYPERLINK("http://141.218.60.56/~jnz1568/getInfo.php?workbook=09_01.xlsx&amp;sheet=A0&amp;row=159&amp;col=13&amp;number=&amp;sourceID=11","")</f>
        <v/>
      </c>
      <c r="N159" s="4" t="str">
        <f>HYPERLINK("http://141.218.60.56/~jnz1568/getInfo.php?workbook=09_01.xlsx&amp;sheet=A0&amp;row=159&amp;col=14&amp;number=8118400000&amp;sourceID=12","8118400000")</f>
        <v>8118400000</v>
      </c>
      <c r="O159" s="4" t="str">
        <f>HYPERLINK("http://141.218.60.56/~jnz1568/getInfo.php?workbook=09_01.xlsx&amp;sheet=A0&amp;row=159&amp;col=15&amp;number=8118400000&amp;sourceID=12","8118400000")</f>
        <v>8118400000</v>
      </c>
      <c r="P159" s="4" t="str">
        <f>HYPERLINK("http://141.218.60.56/~jnz1568/getInfo.php?workbook=09_01.xlsx&amp;sheet=A0&amp;row=159&amp;col=16&amp;number=&amp;sourceID=12","")</f>
        <v/>
      </c>
      <c r="Q159" s="4" t="str">
        <f>HYPERLINK("http://141.218.60.56/~jnz1568/getInfo.php?workbook=09_01.xlsx&amp;sheet=A0&amp;row=159&amp;col=17&amp;number=&amp;sourceID=12","")</f>
        <v/>
      </c>
      <c r="R159" s="4" t="str">
        <f>HYPERLINK("http://141.218.60.56/~jnz1568/getInfo.php?workbook=09_01.xlsx&amp;sheet=A0&amp;row=159&amp;col=18&amp;number=&amp;sourceID=12","")</f>
        <v/>
      </c>
      <c r="S159" s="4" t="str">
        <f>HYPERLINK("http://141.218.60.56/~jnz1568/getInfo.php?workbook=09_01.xlsx&amp;sheet=A0&amp;row=159&amp;col=19&amp;number=0.1439&amp;sourceID=12","0.1439")</f>
        <v>0.1439</v>
      </c>
      <c r="T159" s="4" t="str">
        <f>HYPERLINK("http://141.218.60.56/~jnz1568/getInfo.php?workbook=09_01.xlsx&amp;sheet=A0&amp;row=159&amp;col=20&amp;number=&amp;sourceID=12","")</f>
        <v/>
      </c>
      <c r="U159" s="4" t="str">
        <f>HYPERLINK("http://141.218.60.56/~jnz1568/getInfo.php?workbook=09_01.xlsx&amp;sheet=A0&amp;row=159&amp;col=21&amp;number=8118000000.14&amp;sourceID=30","8118000000.14")</f>
        <v>8118000000.14</v>
      </c>
      <c r="V159" s="4" t="str">
        <f>HYPERLINK("http://141.218.60.56/~jnz1568/getInfo.php?workbook=09_01.xlsx&amp;sheet=A0&amp;row=159&amp;col=22&amp;number=8118000000&amp;sourceID=30","8118000000")</f>
        <v>8118000000</v>
      </c>
      <c r="W159" s="4" t="str">
        <f>HYPERLINK("http://141.218.60.56/~jnz1568/getInfo.php?workbook=09_01.xlsx&amp;sheet=A0&amp;row=159&amp;col=23&amp;number=&amp;sourceID=30","")</f>
        <v/>
      </c>
      <c r="X159" s="4" t="str">
        <f>HYPERLINK("http://141.218.60.56/~jnz1568/getInfo.php?workbook=09_01.xlsx&amp;sheet=A0&amp;row=159&amp;col=24&amp;number=&amp;sourceID=30","")</f>
        <v/>
      </c>
      <c r="Y159" s="4" t="str">
        <f>HYPERLINK("http://141.218.60.56/~jnz1568/getInfo.php?workbook=09_01.xlsx&amp;sheet=A0&amp;row=159&amp;col=25&amp;number=0.1439&amp;sourceID=30","0.1439")</f>
        <v>0.1439</v>
      </c>
      <c r="Z159" s="4" t="str">
        <f>HYPERLINK("http://141.218.60.56/~jnz1568/getInfo.php?workbook=09_01.xlsx&amp;sheet=A0&amp;row=159&amp;col=26&amp;number=&amp;sourceID=13","")</f>
        <v/>
      </c>
      <c r="AA159" s="4" t="str">
        <f>HYPERLINK("http://141.218.60.56/~jnz1568/getInfo.php?workbook=09_01.xlsx&amp;sheet=A0&amp;row=159&amp;col=27&amp;number=&amp;sourceID=13","")</f>
        <v/>
      </c>
      <c r="AB159" s="4" t="str">
        <f>HYPERLINK("http://141.218.60.56/~jnz1568/getInfo.php?workbook=09_01.xlsx&amp;sheet=A0&amp;row=159&amp;col=28&amp;number=&amp;sourceID=13","")</f>
        <v/>
      </c>
      <c r="AC159" s="4" t="str">
        <f>HYPERLINK("http://141.218.60.56/~jnz1568/getInfo.php?workbook=09_01.xlsx&amp;sheet=A0&amp;row=159&amp;col=29&amp;number=&amp;sourceID=13","")</f>
        <v/>
      </c>
      <c r="AD159" s="4" t="str">
        <f>HYPERLINK("http://141.218.60.56/~jnz1568/getInfo.php?workbook=09_01.xlsx&amp;sheet=A0&amp;row=159&amp;col=30&amp;number=&amp;sourceID=13","")</f>
        <v/>
      </c>
      <c r="AE159" s="4" t="str">
        <f>HYPERLINK("http://141.218.60.56/~jnz1568/getInfo.php?workbook=09_01.xlsx&amp;sheet=A0&amp;row=159&amp;col=31&amp;number=&amp;sourceID=13","")</f>
        <v/>
      </c>
    </row>
    <row r="160" spans="1:31">
      <c r="A160" s="3">
        <v>9</v>
      </c>
      <c r="B160" s="3">
        <v>1</v>
      </c>
      <c r="C160" s="3">
        <v>19</v>
      </c>
      <c r="D160" s="3">
        <v>11</v>
      </c>
      <c r="E160" s="3">
        <f>((1/(INDEX(E0!J$4:J$28,C160,1)-INDEX(E0!J$4:J$28,D160,1))))*100000000</f>
        <v>0</v>
      </c>
      <c r="F160" s="4" t="str">
        <f>HYPERLINK("http://141.218.60.56/~jnz1568/getInfo.php?workbook=09_01.xlsx&amp;sheet=A0&amp;row=160&amp;col=6&amp;number=&amp;sourceID=18","")</f>
        <v/>
      </c>
      <c r="G160" s="4" t="str">
        <f>HYPERLINK("http://141.218.60.56/~jnz1568/getInfo.php?workbook=09_01.xlsx&amp;sheet=A0&amp;row=160&amp;col=7&amp;number==&amp;sourceID=11","=")</f>
        <v>=</v>
      </c>
      <c r="H160" s="4" t="str">
        <f>HYPERLINK("http://141.218.60.56/~jnz1568/getInfo.php?workbook=09_01.xlsx&amp;sheet=A0&amp;row=160&amp;col=8&amp;number=&amp;sourceID=11","")</f>
        <v/>
      </c>
      <c r="I160" s="4" t="str">
        <f>HYPERLINK("http://141.218.60.56/~jnz1568/getInfo.php?workbook=09_01.xlsx&amp;sheet=A0&amp;row=160&amp;col=9&amp;number=287720&amp;sourceID=11","287720")</f>
        <v>287720</v>
      </c>
      <c r="J160" s="4" t="str">
        <f>HYPERLINK("http://141.218.60.56/~jnz1568/getInfo.php?workbook=09_01.xlsx&amp;sheet=A0&amp;row=160&amp;col=10&amp;number=&amp;sourceID=11","")</f>
        <v/>
      </c>
      <c r="K160" s="4" t="str">
        <f>HYPERLINK("http://141.218.60.56/~jnz1568/getInfo.php?workbook=09_01.xlsx&amp;sheet=A0&amp;row=160&amp;col=11&amp;number=3.2791e-05&amp;sourceID=11","3.2791e-05")</f>
        <v>3.2791e-05</v>
      </c>
      <c r="L160" s="4" t="str">
        <f>HYPERLINK("http://141.218.60.56/~jnz1568/getInfo.php?workbook=09_01.xlsx&amp;sheet=A0&amp;row=160&amp;col=12&amp;number=&amp;sourceID=11","")</f>
        <v/>
      </c>
      <c r="M160" s="4" t="str">
        <f>HYPERLINK("http://141.218.60.56/~jnz1568/getInfo.php?workbook=09_01.xlsx&amp;sheet=A0&amp;row=160&amp;col=13&amp;number=&amp;sourceID=11","")</f>
        <v/>
      </c>
      <c r="N160" s="4" t="str">
        <f>HYPERLINK("http://141.218.60.56/~jnz1568/getInfo.php?workbook=09_01.xlsx&amp;sheet=A0&amp;row=160&amp;col=14&amp;number=287730&amp;sourceID=12","287730")</f>
        <v>287730</v>
      </c>
      <c r="O160" s="4" t="str">
        <f>HYPERLINK("http://141.218.60.56/~jnz1568/getInfo.php?workbook=09_01.xlsx&amp;sheet=A0&amp;row=160&amp;col=15&amp;number=&amp;sourceID=12","")</f>
        <v/>
      </c>
      <c r="P160" s="4" t="str">
        <f>HYPERLINK("http://141.218.60.56/~jnz1568/getInfo.php?workbook=09_01.xlsx&amp;sheet=A0&amp;row=160&amp;col=16&amp;number=287730&amp;sourceID=12","287730")</f>
        <v>287730</v>
      </c>
      <c r="Q160" s="4" t="str">
        <f>HYPERLINK("http://141.218.60.56/~jnz1568/getInfo.php?workbook=09_01.xlsx&amp;sheet=A0&amp;row=160&amp;col=17&amp;number=&amp;sourceID=12","")</f>
        <v/>
      </c>
      <c r="R160" s="4" t="str">
        <f>HYPERLINK("http://141.218.60.56/~jnz1568/getInfo.php?workbook=09_01.xlsx&amp;sheet=A0&amp;row=160&amp;col=18&amp;number=3.2792e-05&amp;sourceID=12","3.2792e-05")</f>
        <v>3.2792e-05</v>
      </c>
      <c r="S160" s="4" t="str">
        <f>HYPERLINK("http://141.218.60.56/~jnz1568/getInfo.php?workbook=09_01.xlsx&amp;sheet=A0&amp;row=160&amp;col=19&amp;number=&amp;sourceID=12","")</f>
        <v/>
      </c>
      <c r="T160" s="4" t="str">
        <f>HYPERLINK("http://141.218.60.56/~jnz1568/getInfo.php?workbook=09_01.xlsx&amp;sheet=A0&amp;row=160&amp;col=20&amp;number=&amp;sourceID=12","")</f>
        <v/>
      </c>
      <c r="U160" s="4" t="str">
        <f>HYPERLINK("http://141.218.60.56/~jnz1568/getInfo.php?workbook=09_01.xlsx&amp;sheet=A0&amp;row=160&amp;col=21&amp;number=287700.000033&amp;sourceID=30","287700.000033")</f>
        <v>287700.000033</v>
      </c>
      <c r="V160" s="4" t="str">
        <f>HYPERLINK("http://141.218.60.56/~jnz1568/getInfo.php?workbook=09_01.xlsx&amp;sheet=A0&amp;row=160&amp;col=22&amp;number=&amp;sourceID=30","")</f>
        <v/>
      </c>
      <c r="W160" s="4" t="str">
        <f>HYPERLINK("http://141.218.60.56/~jnz1568/getInfo.php?workbook=09_01.xlsx&amp;sheet=A0&amp;row=160&amp;col=23&amp;number=287700&amp;sourceID=30","287700")</f>
        <v>287700</v>
      </c>
      <c r="X160" s="4" t="str">
        <f>HYPERLINK("http://141.218.60.56/~jnz1568/getInfo.php?workbook=09_01.xlsx&amp;sheet=A0&amp;row=160&amp;col=24&amp;number=3.256e-05&amp;sourceID=30","3.256e-05")</f>
        <v>3.256e-05</v>
      </c>
      <c r="Y160" s="4" t="str">
        <f>HYPERLINK("http://141.218.60.56/~jnz1568/getInfo.php?workbook=09_01.xlsx&amp;sheet=A0&amp;row=160&amp;col=25&amp;number=&amp;sourceID=30","")</f>
        <v/>
      </c>
      <c r="Z160" s="4" t="str">
        <f>HYPERLINK("http://141.218.60.56/~jnz1568/getInfo.php?workbook=09_01.xlsx&amp;sheet=A0&amp;row=160&amp;col=26&amp;number=&amp;sourceID=13","")</f>
        <v/>
      </c>
      <c r="AA160" s="4" t="str">
        <f>HYPERLINK("http://141.218.60.56/~jnz1568/getInfo.php?workbook=09_01.xlsx&amp;sheet=A0&amp;row=160&amp;col=27&amp;number=&amp;sourceID=13","")</f>
        <v/>
      </c>
      <c r="AB160" s="4" t="str">
        <f>HYPERLINK("http://141.218.60.56/~jnz1568/getInfo.php?workbook=09_01.xlsx&amp;sheet=A0&amp;row=160&amp;col=28&amp;number=&amp;sourceID=13","")</f>
        <v/>
      </c>
      <c r="AC160" s="4" t="str">
        <f>HYPERLINK("http://141.218.60.56/~jnz1568/getInfo.php?workbook=09_01.xlsx&amp;sheet=A0&amp;row=160&amp;col=29&amp;number=&amp;sourceID=13","")</f>
        <v/>
      </c>
      <c r="AD160" s="4" t="str">
        <f>HYPERLINK("http://141.218.60.56/~jnz1568/getInfo.php?workbook=09_01.xlsx&amp;sheet=A0&amp;row=160&amp;col=30&amp;number=&amp;sourceID=13","")</f>
        <v/>
      </c>
      <c r="AE160" s="4" t="str">
        <f>HYPERLINK("http://141.218.60.56/~jnz1568/getInfo.php?workbook=09_01.xlsx&amp;sheet=A0&amp;row=160&amp;col=31&amp;number=&amp;sourceID=13","")</f>
        <v/>
      </c>
    </row>
    <row r="161" spans="1:31">
      <c r="A161" s="3">
        <v>9</v>
      </c>
      <c r="B161" s="3">
        <v>1</v>
      </c>
      <c r="C161" s="3">
        <v>19</v>
      </c>
      <c r="D161" s="3">
        <v>12</v>
      </c>
      <c r="E161" s="3">
        <f>((1/(INDEX(E0!J$4:J$28,C161,1)-INDEX(E0!J$4:J$28,D161,1))))*100000000</f>
        <v>0</v>
      </c>
      <c r="F161" s="4" t="str">
        <f>HYPERLINK("http://141.218.60.56/~jnz1568/getInfo.php?workbook=09_01.xlsx&amp;sheet=A0&amp;row=161&amp;col=6&amp;number=&amp;sourceID=18","")</f>
        <v/>
      </c>
      <c r="G161" s="4" t="str">
        <f>HYPERLINK("http://141.218.60.56/~jnz1568/getInfo.php?workbook=09_01.xlsx&amp;sheet=A0&amp;row=161&amp;col=7&amp;number==&amp;sourceID=11","=")</f>
        <v>=</v>
      </c>
      <c r="H161" s="4" t="str">
        <f>HYPERLINK("http://141.218.60.56/~jnz1568/getInfo.php?workbook=09_01.xlsx&amp;sheet=A0&amp;row=161&amp;col=8&amp;number=&amp;sourceID=11","")</f>
        <v/>
      </c>
      <c r="I161" s="4" t="str">
        <f>HYPERLINK("http://141.218.60.56/~jnz1568/getInfo.php?workbook=09_01.xlsx&amp;sheet=A0&amp;row=161&amp;col=9&amp;number=98931&amp;sourceID=11","98931")</f>
        <v>98931</v>
      </c>
      <c r="J161" s="4" t="str">
        <f>HYPERLINK("http://141.218.60.56/~jnz1568/getInfo.php?workbook=09_01.xlsx&amp;sheet=A0&amp;row=161&amp;col=10&amp;number=&amp;sourceID=11","")</f>
        <v/>
      </c>
      <c r="K161" s="4" t="str">
        <f>HYPERLINK("http://141.218.60.56/~jnz1568/getInfo.php?workbook=09_01.xlsx&amp;sheet=A0&amp;row=161&amp;col=11&amp;number=0.0030472&amp;sourceID=11","0.0030472")</f>
        <v>0.0030472</v>
      </c>
      <c r="L161" s="4" t="str">
        <f>HYPERLINK("http://141.218.60.56/~jnz1568/getInfo.php?workbook=09_01.xlsx&amp;sheet=A0&amp;row=161&amp;col=12&amp;number=&amp;sourceID=11","")</f>
        <v/>
      </c>
      <c r="M161" s="4" t="str">
        <f>HYPERLINK("http://141.218.60.56/~jnz1568/getInfo.php?workbook=09_01.xlsx&amp;sheet=A0&amp;row=161&amp;col=13&amp;number=1.903e-06&amp;sourceID=11","1.903e-06")</f>
        <v>1.903e-06</v>
      </c>
      <c r="N161" s="4" t="str">
        <f>HYPERLINK("http://141.218.60.56/~jnz1568/getInfo.php?workbook=09_01.xlsx&amp;sheet=A0&amp;row=161&amp;col=14&amp;number=98934&amp;sourceID=12","98934")</f>
        <v>98934</v>
      </c>
      <c r="O161" s="4" t="str">
        <f>HYPERLINK("http://141.218.60.56/~jnz1568/getInfo.php?workbook=09_01.xlsx&amp;sheet=A0&amp;row=161&amp;col=15&amp;number=&amp;sourceID=12","")</f>
        <v/>
      </c>
      <c r="P161" s="4" t="str">
        <f>HYPERLINK("http://141.218.60.56/~jnz1568/getInfo.php?workbook=09_01.xlsx&amp;sheet=A0&amp;row=161&amp;col=16&amp;number=98934&amp;sourceID=12","98934")</f>
        <v>98934</v>
      </c>
      <c r="Q161" s="4" t="str">
        <f>HYPERLINK("http://141.218.60.56/~jnz1568/getInfo.php?workbook=09_01.xlsx&amp;sheet=A0&amp;row=161&amp;col=17&amp;number=&amp;sourceID=12","")</f>
        <v/>
      </c>
      <c r="R161" s="4" t="str">
        <f>HYPERLINK("http://141.218.60.56/~jnz1568/getInfo.php?workbook=09_01.xlsx&amp;sheet=A0&amp;row=161&amp;col=18&amp;number=0.0030473&amp;sourceID=12","0.0030473")</f>
        <v>0.0030473</v>
      </c>
      <c r="S161" s="4" t="str">
        <f>HYPERLINK("http://141.218.60.56/~jnz1568/getInfo.php?workbook=09_01.xlsx&amp;sheet=A0&amp;row=161&amp;col=19&amp;number=&amp;sourceID=12","")</f>
        <v/>
      </c>
      <c r="T161" s="4" t="str">
        <f>HYPERLINK("http://141.218.60.56/~jnz1568/getInfo.php?workbook=09_01.xlsx&amp;sheet=A0&amp;row=161&amp;col=20&amp;number=1.903e-06&amp;sourceID=12","1.903e-06")</f>
        <v>1.903e-06</v>
      </c>
      <c r="U161" s="4" t="str">
        <f>HYPERLINK("http://141.218.60.56/~jnz1568/getInfo.php?workbook=09_01.xlsx&amp;sheet=A0&amp;row=161&amp;col=21&amp;number=98930.003052&amp;sourceID=30","98930.003052")</f>
        <v>98930.003052</v>
      </c>
      <c r="V161" s="4" t="str">
        <f>HYPERLINK("http://141.218.60.56/~jnz1568/getInfo.php?workbook=09_01.xlsx&amp;sheet=A0&amp;row=161&amp;col=22&amp;number=&amp;sourceID=30","")</f>
        <v/>
      </c>
      <c r="W161" s="4" t="str">
        <f>HYPERLINK("http://141.218.60.56/~jnz1568/getInfo.php?workbook=09_01.xlsx&amp;sheet=A0&amp;row=161&amp;col=23&amp;number=98930&amp;sourceID=30","98930")</f>
        <v>98930</v>
      </c>
      <c r="X161" s="4" t="str">
        <f>HYPERLINK("http://141.218.60.56/~jnz1568/getInfo.php?workbook=09_01.xlsx&amp;sheet=A0&amp;row=161&amp;col=24&amp;number=0.003052&amp;sourceID=30","0.003052")</f>
        <v>0.003052</v>
      </c>
      <c r="Y161" s="4" t="str">
        <f>HYPERLINK("http://141.218.60.56/~jnz1568/getInfo.php?workbook=09_01.xlsx&amp;sheet=A0&amp;row=161&amp;col=25&amp;number=&amp;sourceID=30","")</f>
        <v/>
      </c>
      <c r="Z161" s="4" t="str">
        <f>HYPERLINK("http://141.218.60.56/~jnz1568/getInfo.php?workbook=09_01.xlsx&amp;sheet=A0&amp;row=161&amp;col=26&amp;number=&amp;sourceID=13","")</f>
        <v/>
      </c>
      <c r="AA161" s="4" t="str">
        <f>HYPERLINK("http://141.218.60.56/~jnz1568/getInfo.php?workbook=09_01.xlsx&amp;sheet=A0&amp;row=161&amp;col=27&amp;number=&amp;sourceID=13","")</f>
        <v/>
      </c>
      <c r="AB161" s="4" t="str">
        <f>HYPERLINK("http://141.218.60.56/~jnz1568/getInfo.php?workbook=09_01.xlsx&amp;sheet=A0&amp;row=161&amp;col=28&amp;number=&amp;sourceID=13","")</f>
        <v/>
      </c>
      <c r="AC161" s="4" t="str">
        <f>HYPERLINK("http://141.218.60.56/~jnz1568/getInfo.php?workbook=09_01.xlsx&amp;sheet=A0&amp;row=161&amp;col=29&amp;number=&amp;sourceID=13","")</f>
        <v/>
      </c>
      <c r="AD161" s="4" t="str">
        <f>HYPERLINK("http://141.218.60.56/~jnz1568/getInfo.php?workbook=09_01.xlsx&amp;sheet=A0&amp;row=161&amp;col=30&amp;number=&amp;sourceID=13","")</f>
        <v/>
      </c>
      <c r="AE161" s="4" t="str">
        <f>HYPERLINK("http://141.218.60.56/~jnz1568/getInfo.php?workbook=09_01.xlsx&amp;sheet=A0&amp;row=161&amp;col=31&amp;number=&amp;sourceID=13","")</f>
        <v/>
      </c>
    </row>
    <row r="162" spans="1:31">
      <c r="A162" s="3">
        <v>9</v>
      </c>
      <c r="B162" s="3">
        <v>1</v>
      </c>
      <c r="C162" s="3">
        <v>19</v>
      </c>
      <c r="D162" s="3">
        <v>13</v>
      </c>
      <c r="E162" s="3">
        <f>((1/(INDEX(E0!J$4:J$28,C162,1)-INDEX(E0!J$4:J$28,D162,1))))*100000000</f>
        <v>0</v>
      </c>
      <c r="F162" s="4" t="str">
        <f>HYPERLINK("http://141.218.60.56/~jnz1568/getInfo.php?workbook=09_01.xlsx&amp;sheet=A0&amp;row=162&amp;col=6&amp;number=&amp;sourceID=18","")</f>
        <v/>
      </c>
      <c r="G162" s="4" t="str">
        <f>HYPERLINK("http://141.218.60.56/~jnz1568/getInfo.php?workbook=09_01.xlsx&amp;sheet=A0&amp;row=162&amp;col=7&amp;number==&amp;sourceID=11","=")</f>
        <v>=</v>
      </c>
      <c r="H162" s="4" t="str">
        <f>HYPERLINK("http://141.218.60.56/~jnz1568/getInfo.php?workbook=09_01.xlsx&amp;sheet=A0&amp;row=162&amp;col=8&amp;number=1626700000&amp;sourceID=11","1626700000")</f>
        <v>1626700000</v>
      </c>
      <c r="I162" s="4" t="str">
        <f>HYPERLINK("http://141.218.60.56/~jnz1568/getInfo.php?workbook=09_01.xlsx&amp;sheet=A0&amp;row=162&amp;col=9&amp;number=&amp;sourceID=11","")</f>
        <v/>
      </c>
      <c r="J162" s="4" t="str">
        <f>HYPERLINK("http://141.218.60.56/~jnz1568/getInfo.php?workbook=09_01.xlsx&amp;sheet=A0&amp;row=162&amp;col=10&amp;number=5.6374&amp;sourceID=11","5.6374")</f>
        <v>5.6374</v>
      </c>
      <c r="K162" s="4" t="str">
        <f>HYPERLINK("http://141.218.60.56/~jnz1568/getInfo.php?workbook=09_01.xlsx&amp;sheet=A0&amp;row=162&amp;col=11&amp;number=&amp;sourceID=11","")</f>
        <v/>
      </c>
      <c r="L162" s="4" t="str">
        <f>HYPERLINK("http://141.218.60.56/~jnz1568/getInfo.php?workbook=09_01.xlsx&amp;sheet=A0&amp;row=162&amp;col=12&amp;number=&amp;sourceID=11","")</f>
        <v/>
      </c>
      <c r="M162" s="4" t="str">
        <f>HYPERLINK("http://141.218.60.56/~jnz1568/getInfo.php?workbook=09_01.xlsx&amp;sheet=A0&amp;row=162&amp;col=13&amp;number=&amp;sourceID=11","")</f>
        <v/>
      </c>
      <c r="N162" s="4" t="str">
        <f>HYPERLINK("http://141.218.60.56/~jnz1568/getInfo.php?workbook=09_01.xlsx&amp;sheet=A0&amp;row=162&amp;col=14&amp;number=1626800000&amp;sourceID=12","1626800000")</f>
        <v>1626800000</v>
      </c>
      <c r="O162" s="4" t="str">
        <f>HYPERLINK("http://141.218.60.56/~jnz1568/getInfo.php?workbook=09_01.xlsx&amp;sheet=A0&amp;row=162&amp;col=15&amp;number=1626800000&amp;sourceID=12","1626800000")</f>
        <v>1626800000</v>
      </c>
      <c r="P162" s="4" t="str">
        <f>HYPERLINK("http://141.218.60.56/~jnz1568/getInfo.php?workbook=09_01.xlsx&amp;sheet=A0&amp;row=162&amp;col=16&amp;number=&amp;sourceID=12","")</f>
        <v/>
      </c>
      <c r="Q162" s="4" t="str">
        <f>HYPERLINK("http://141.218.60.56/~jnz1568/getInfo.php?workbook=09_01.xlsx&amp;sheet=A0&amp;row=162&amp;col=17&amp;number=5.6375&amp;sourceID=12","5.6375")</f>
        <v>5.6375</v>
      </c>
      <c r="R162" s="4" t="str">
        <f>HYPERLINK("http://141.218.60.56/~jnz1568/getInfo.php?workbook=09_01.xlsx&amp;sheet=A0&amp;row=162&amp;col=18&amp;number=&amp;sourceID=12","")</f>
        <v/>
      </c>
      <c r="S162" s="4" t="str">
        <f>HYPERLINK("http://141.218.60.56/~jnz1568/getInfo.php?workbook=09_01.xlsx&amp;sheet=A0&amp;row=162&amp;col=19&amp;number=&amp;sourceID=12","")</f>
        <v/>
      </c>
      <c r="T162" s="4" t="str">
        <f>HYPERLINK("http://141.218.60.56/~jnz1568/getInfo.php?workbook=09_01.xlsx&amp;sheet=A0&amp;row=162&amp;col=20&amp;number=&amp;sourceID=12","")</f>
        <v/>
      </c>
      <c r="U162" s="4" t="str">
        <f>HYPERLINK("http://141.218.60.56/~jnz1568/getInfo.php?workbook=09_01.xlsx&amp;sheet=A0&amp;row=162&amp;col=21&amp;number=1627000000&amp;sourceID=30","1627000000")</f>
        <v>1627000000</v>
      </c>
      <c r="V162" s="4" t="str">
        <f>HYPERLINK("http://141.218.60.56/~jnz1568/getInfo.php?workbook=09_01.xlsx&amp;sheet=A0&amp;row=162&amp;col=22&amp;number=1627000000&amp;sourceID=30","1627000000")</f>
        <v>1627000000</v>
      </c>
      <c r="W162" s="4" t="str">
        <f>HYPERLINK("http://141.218.60.56/~jnz1568/getInfo.php?workbook=09_01.xlsx&amp;sheet=A0&amp;row=162&amp;col=23&amp;number=&amp;sourceID=30","")</f>
        <v/>
      </c>
      <c r="X162" s="4" t="str">
        <f>HYPERLINK("http://141.218.60.56/~jnz1568/getInfo.php?workbook=09_01.xlsx&amp;sheet=A0&amp;row=162&amp;col=24&amp;number=&amp;sourceID=30","")</f>
        <v/>
      </c>
      <c r="Y162" s="4" t="str">
        <f>HYPERLINK("http://141.218.60.56/~jnz1568/getInfo.php?workbook=09_01.xlsx&amp;sheet=A0&amp;row=162&amp;col=25&amp;number=&amp;sourceID=30","")</f>
        <v/>
      </c>
      <c r="Z162" s="4" t="str">
        <f>HYPERLINK("http://141.218.60.56/~jnz1568/getInfo.php?workbook=09_01.xlsx&amp;sheet=A0&amp;row=162&amp;col=26&amp;number=&amp;sourceID=13","")</f>
        <v/>
      </c>
      <c r="AA162" s="4" t="str">
        <f>HYPERLINK("http://141.218.60.56/~jnz1568/getInfo.php?workbook=09_01.xlsx&amp;sheet=A0&amp;row=162&amp;col=27&amp;number=&amp;sourceID=13","")</f>
        <v/>
      </c>
      <c r="AB162" s="4" t="str">
        <f>HYPERLINK("http://141.218.60.56/~jnz1568/getInfo.php?workbook=09_01.xlsx&amp;sheet=A0&amp;row=162&amp;col=28&amp;number=&amp;sourceID=13","")</f>
        <v/>
      </c>
      <c r="AC162" s="4" t="str">
        <f>HYPERLINK("http://141.218.60.56/~jnz1568/getInfo.php?workbook=09_01.xlsx&amp;sheet=A0&amp;row=162&amp;col=29&amp;number=&amp;sourceID=13","")</f>
        <v/>
      </c>
      <c r="AD162" s="4" t="str">
        <f>HYPERLINK("http://141.218.60.56/~jnz1568/getInfo.php?workbook=09_01.xlsx&amp;sheet=A0&amp;row=162&amp;col=30&amp;number=&amp;sourceID=13","")</f>
        <v/>
      </c>
      <c r="AE162" s="4" t="str">
        <f>HYPERLINK("http://141.218.60.56/~jnz1568/getInfo.php?workbook=09_01.xlsx&amp;sheet=A0&amp;row=162&amp;col=31&amp;number=&amp;sourceID=13","")</f>
        <v/>
      </c>
    </row>
    <row r="163" spans="1:31">
      <c r="A163" s="3">
        <v>9</v>
      </c>
      <c r="B163" s="3">
        <v>1</v>
      </c>
      <c r="C163" s="3">
        <v>19</v>
      </c>
      <c r="D163" s="3">
        <v>14</v>
      </c>
      <c r="E163" s="3">
        <f>((1/(INDEX(E0!J$4:J$28,C163,1)-INDEX(E0!J$4:J$28,D163,1))))*100000000</f>
        <v>0</v>
      </c>
      <c r="F163" s="4" t="str">
        <f>HYPERLINK("http://141.218.60.56/~jnz1568/getInfo.php?workbook=09_01.xlsx&amp;sheet=A0&amp;row=163&amp;col=6&amp;number=&amp;sourceID=18","")</f>
        <v/>
      </c>
      <c r="G163" s="4" t="str">
        <f>HYPERLINK("http://141.218.60.56/~jnz1568/getInfo.php?workbook=09_01.xlsx&amp;sheet=A0&amp;row=163&amp;col=7&amp;number==&amp;sourceID=11","=")</f>
        <v>=</v>
      </c>
      <c r="H163" s="4" t="str">
        <f>HYPERLINK("http://141.218.60.56/~jnz1568/getInfo.php?workbook=09_01.xlsx&amp;sheet=A0&amp;row=163&amp;col=8&amp;number=332950000&amp;sourceID=11","332950000")</f>
        <v>332950000</v>
      </c>
      <c r="I163" s="4" t="str">
        <f>HYPERLINK("http://141.218.60.56/~jnz1568/getInfo.php?workbook=09_01.xlsx&amp;sheet=A0&amp;row=163&amp;col=9&amp;number=&amp;sourceID=11","")</f>
        <v/>
      </c>
      <c r="J163" s="4" t="str">
        <f>HYPERLINK("http://141.218.60.56/~jnz1568/getInfo.php?workbook=09_01.xlsx&amp;sheet=A0&amp;row=163&amp;col=10&amp;number=0.50695&amp;sourceID=11","0.50695")</f>
        <v>0.50695</v>
      </c>
      <c r="K163" s="4" t="str">
        <f>HYPERLINK("http://141.218.60.56/~jnz1568/getInfo.php?workbook=09_01.xlsx&amp;sheet=A0&amp;row=163&amp;col=11&amp;number=&amp;sourceID=11","")</f>
        <v/>
      </c>
      <c r="L163" s="4" t="str">
        <f>HYPERLINK("http://141.218.60.56/~jnz1568/getInfo.php?workbook=09_01.xlsx&amp;sheet=A0&amp;row=163&amp;col=12&amp;number=0.035004&amp;sourceID=11","0.035004")</f>
        <v>0.035004</v>
      </c>
      <c r="M163" s="4" t="str">
        <f>HYPERLINK("http://141.218.60.56/~jnz1568/getInfo.php?workbook=09_01.xlsx&amp;sheet=A0&amp;row=163&amp;col=13&amp;number=&amp;sourceID=11","")</f>
        <v/>
      </c>
      <c r="N163" s="4" t="str">
        <f>HYPERLINK("http://141.218.60.56/~jnz1568/getInfo.php?workbook=09_01.xlsx&amp;sheet=A0&amp;row=163&amp;col=14&amp;number=332960000&amp;sourceID=12","332960000")</f>
        <v>332960000</v>
      </c>
      <c r="O163" s="4" t="str">
        <f>HYPERLINK("http://141.218.60.56/~jnz1568/getInfo.php?workbook=09_01.xlsx&amp;sheet=A0&amp;row=163&amp;col=15&amp;number=332960000&amp;sourceID=12","332960000")</f>
        <v>332960000</v>
      </c>
      <c r="P163" s="4" t="str">
        <f>HYPERLINK("http://141.218.60.56/~jnz1568/getInfo.php?workbook=09_01.xlsx&amp;sheet=A0&amp;row=163&amp;col=16&amp;number=&amp;sourceID=12","")</f>
        <v/>
      </c>
      <c r="Q163" s="4" t="str">
        <f>HYPERLINK("http://141.218.60.56/~jnz1568/getInfo.php?workbook=09_01.xlsx&amp;sheet=A0&amp;row=163&amp;col=17&amp;number=0.50696&amp;sourceID=12","0.50696")</f>
        <v>0.50696</v>
      </c>
      <c r="R163" s="4" t="str">
        <f>HYPERLINK("http://141.218.60.56/~jnz1568/getInfo.php?workbook=09_01.xlsx&amp;sheet=A0&amp;row=163&amp;col=18&amp;number=&amp;sourceID=12","")</f>
        <v/>
      </c>
      <c r="S163" s="4" t="str">
        <f>HYPERLINK("http://141.218.60.56/~jnz1568/getInfo.php?workbook=09_01.xlsx&amp;sheet=A0&amp;row=163&amp;col=19&amp;number=0.035005&amp;sourceID=12","0.035005")</f>
        <v>0.035005</v>
      </c>
      <c r="T163" s="4" t="str">
        <f>HYPERLINK("http://141.218.60.56/~jnz1568/getInfo.php?workbook=09_01.xlsx&amp;sheet=A0&amp;row=163&amp;col=20&amp;number=&amp;sourceID=12","")</f>
        <v/>
      </c>
      <c r="U163" s="4" t="str">
        <f>HYPERLINK("http://141.218.60.56/~jnz1568/getInfo.php?workbook=09_01.xlsx&amp;sheet=A0&amp;row=163&amp;col=21&amp;number=333000000.035&amp;sourceID=30","333000000.035")</f>
        <v>333000000.035</v>
      </c>
      <c r="V163" s="4" t="str">
        <f>HYPERLINK("http://141.218.60.56/~jnz1568/getInfo.php?workbook=09_01.xlsx&amp;sheet=A0&amp;row=163&amp;col=22&amp;number=333000000&amp;sourceID=30","333000000")</f>
        <v>333000000</v>
      </c>
      <c r="W163" s="4" t="str">
        <f>HYPERLINK("http://141.218.60.56/~jnz1568/getInfo.php?workbook=09_01.xlsx&amp;sheet=A0&amp;row=163&amp;col=23&amp;number=&amp;sourceID=30","")</f>
        <v/>
      </c>
      <c r="X163" s="4" t="str">
        <f>HYPERLINK("http://141.218.60.56/~jnz1568/getInfo.php?workbook=09_01.xlsx&amp;sheet=A0&amp;row=163&amp;col=24&amp;number=&amp;sourceID=30","")</f>
        <v/>
      </c>
      <c r="Y163" s="4" t="str">
        <f>HYPERLINK("http://141.218.60.56/~jnz1568/getInfo.php?workbook=09_01.xlsx&amp;sheet=A0&amp;row=163&amp;col=25&amp;number=0.035&amp;sourceID=30","0.035")</f>
        <v>0.035</v>
      </c>
      <c r="Z163" s="4" t="str">
        <f>HYPERLINK("http://141.218.60.56/~jnz1568/getInfo.php?workbook=09_01.xlsx&amp;sheet=A0&amp;row=163&amp;col=26&amp;number=&amp;sourceID=13","")</f>
        <v/>
      </c>
      <c r="AA163" s="4" t="str">
        <f>HYPERLINK("http://141.218.60.56/~jnz1568/getInfo.php?workbook=09_01.xlsx&amp;sheet=A0&amp;row=163&amp;col=27&amp;number=&amp;sourceID=13","")</f>
        <v/>
      </c>
      <c r="AB163" s="4" t="str">
        <f>HYPERLINK("http://141.218.60.56/~jnz1568/getInfo.php?workbook=09_01.xlsx&amp;sheet=A0&amp;row=163&amp;col=28&amp;number=&amp;sourceID=13","")</f>
        <v/>
      </c>
      <c r="AC163" s="4" t="str">
        <f>HYPERLINK("http://141.218.60.56/~jnz1568/getInfo.php?workbook=09_01.xlsx&amp;sheet=A0&amp;row=163&amp;col=29&amp;number=&amp;sourceID=13","")</f>
        <v/>
      </c>
      <c r="AD163" s="4" t="str">
        <f>HYPERLINK("http://141.218.60.56/~jnz1568/getInfo.php?workbook=09_01.xlsx&amp;sheet=A0&amp;row=163&amp;col=30&amp;number=&amp;sourceID=13","")</f>
        <v/>
      </c>
      <c r="AE163" s="4" t="str">
        <f>HYPERLINK("http://141.218.60.56/~jnz1568/getInfo.php?workbook=09_01.xlsx&amp;sheet=A0&amp;row=163&amp;col=31&amp;number=&amp;sourceID=13","")</f>
        <v/>
      </c>
    </row>
    <row r="164" spans="1:31">
      <c r="A164" s="3">
        <v>9</v>
      </c>
      <c r="B164" s="3">
        <v>1</v>
      </c>
      <c r="C164" s="3">
        <v>19</v>
      </c>
      <c r="D164" s="3">
        <v>15</v>
      </c>
      <c r="E164" s="3">
        <f>((1/(INDEX(E0!J$4:J$28,C164,1)-INDEX(E0!J$4:J$28,D164,1))))*100000000</f>
        <v>0</v>
      </c>
      <c r="F164" s="4" t="str">
        <f>HYPERLINK("http://141.218.60.56/~jnz1568/getInfo.php?workbook=09_01.xlsx&amp;sheet=A0&amp;row=164&amp;col=6&amp;number=&amp;sourceID=18","")</f>
        <v/>
      </c>
      <c r="G164" s="4" t="str">
        <f>HYPERLINK("http://141.218.60.56/~jnz1568/getInfo.php?workbook=09_01.xlsx&amp;sheet=A0&amp;row=164&amp;col=7&amp;number==&amp;sourceID=11","=")</f>
        <v>=</v>
      </c>
      <c r="H164" s="4" t="str">
        <f>HYPERLINK("http://141.218.60.56/~jnz1568/getInfo.php?workbook=09_01.xlsx&amp;sheet=A0&amp;row=164&amp;col=8&amp;number=&amp;sourceID=11","")</f>
        <v/>
      </c>
      <c r="I164" s="4" t="str">
        <f>HYPERLINK("http://141.218.60.56/~jnz1568/getInfo.php?workbook=09_01.xlsx&amp;sheet=A0&amp;row=164&amp;col=9&amp;number=42380&amp;sourceID=11","42380")</f>
        <v>42380</v>
      </c>
      <c r="J164" s="4" t="str">
        <f>HYPERLINK("http://141.218.60.56/~jnz1568/getInfo.php?workbook=09_01.xlsx&amp;sheet=A0&amp;row=164&amp;col=10&amp;number=&amp;sourceID=11","")</f>
        <v/>
      </c>
      <c r="K164" s="4" t="str">
        <f>HYPERLINK("http://141.218.60.56/~jnz1568/getInfo.php?workbook=09_01.xlsx&amp;sheet=A0&amp;row=164&amp;col=11&amp;number=0.019664&amp;sourceID=11","0.019664")</f>
        <v>0.019664</v>
      </c>
      <c r="L164" s="4" t="str">
        <f>HYPERLINK("http://141.218.60.56/~jnz1568/getInfo.php?workbook=09_01.xlsx&amp;sheet=A0&amp;row=164&amp;col=12&amp;number=&amp;sourceID=11","")</f>
        <v/>
      </c>
      <c r="M164" s="4" t="str">
        <f>HYPERLINK("http://141.218.60.56/~jnz1568/getInfo.php?workbook=09_01.xlsx&amp;sheet=A0&amp;row=164&amp;col=13&amp;number=1.267e-06&amp;sourceID=11","1.267e-06")</f>
        <v>1.267e-06</v>
      </c>
      <c r="N164" s="4" t="str">
        <f>HYPERLINK("http://141.218.60.56/~jnz1568/getInfo.php?workbook=09_01.xlsx&amp;sheet=A0&amp;row=164&amp;col=14&amp;number=42381&amp;sourceID=12","42381")</f>
        <v>42381</v>
      </c>
      <c r="O164" s="4" t="str">
        <f>HYPERLINK("http://141.218.60.56/~jnz1568/getInfo.php?workbook=09_01.xlsx&amp;sheet=A0&amp;row=164&amp;col=15&amp;number=&amp;sourceID=12","")</f>
        <v/>
      </c>
      <c r="P164" s="4" t="str">
        <f>HYPERLINK("http://141.218.60.56/~jnz1568/getInfo.php?workbook=09_01.xlsx&amp;sheet=A0&amp;row=164&amp;col=16&amp;number=42381&amp;sourceID=12","42381")</f>
        <v>42381</v>
      </c>
      <c r="Q164" s="4" t="str">
        <f>HYPERLINK("http://141.218.60.56/~jnz1568/getInfo.php?workbook=09_01.xlsx&amp;sheet=A0&amp;row=164&amp;col=17&amp;number=&amp;sourceID=12","")</f>
        <v/>
      </c>
      <c r="R164" s="4" t="str">
        <f>HYPERLINK("http://141.218.60.56/~jnz1568/getInfo.php?workbook=09_01.xlsx&amp;sheet=A0&amp;row=164&amp;col=18&amp;number=0.019665&amp;sourceID=12","0.019665")</f>
        <v>0.019665</v>
      </c>
      <c r="S164" s="4" t="str">
        <f>HYPERLINK("http://141.218.60.56/~jnz1568/getInfo.php?workbook=09_01.xlsx&amp;sheet=A0&amp;row=164&amp;col=19&amp;number=&amp;sourceID=12","")</f>
        <v/>
      </c>
      <c r="T164" s="4" t="str">
        <f>HYPERLINK("http://141.218.60.56/~jnz1568/getInfo.php?workbook=09_01.xlsx&amp;sheet=A0&amp;row=164&amp;col=20&amp;number=1.267e-06&amp;sourceID=12","1.267e-06")</f>
        <v>1.267e-06</v>
      </c>
      <c r="U164" s="4" t="str">
        <f>HYPERLINK("http://141.218.60.56/~jnz1568/getInfo.php?workbook=09_01.xlsx&amp;sheet=A0&amp;row=164&amp;col=21&amp;number=42380.01966&amp;sourceID=30","42380.01966")</f>
        <v>42380.01966</v>
      </c>
      <c r="V164" s="4" t="str">
        <f>HYPERLINK("http://141.218.60.56/~jnz1568/getInfo.php?workbook=09_01.xlsx&amp;sheet=A0&amp;row=164&amp;col=22&amp;number=&amp;sourceID=30","")</f>
        <v/>
      </c>
      <c r="W164" s="4" t="str">
        <f>HYPERLINK("http://141.218.60.56/~jnz1568/getInfo.php?workbook=09_01.xlsx&amp;sheet=A0&amp;row=164&amp;col=23&amp;number=42380&amp;sourceID=30","42380")</f>
        <v>42380</v>
      </c>
      <c r="X164" s="4" t="str">
        <f>HYPERLINK("http://141.218.60.56/~jnz1568/getInfo.php?workbook=09_01.xlsx&amp;sheet=A0&amp;row=164&amp;col=24&amp;number=0.01966&amp;sourceID=30","0.01966")</f>
        <v>0.01966</v>
      </c>
      <c r="Y164" s="4" t="str">
        <f>HYPERLINK("http://141.218.60.56/~jnz1568/getInfo.php?workbook=09_01.xlsx&amp;sheet=A0&amp;row=164&amp;col=25&amp;number=&amp;sourceID=30","")</f>
        <v/>
      </c>
      <c r="Z164" s="4" t="str">
        <f>HYPERLINK("http://141.218.60.56/~jnz1568/getInfo.php?workbook=09_01.xlsx&amp;sheet=A0&amp;row=164&amp;col=26&amp;number=&amp;sourceID=13","")</f>
        <v/>
      </c>
      <c r="AA164" s="4" t="str">
        <f>HYPERLINK("http://141.218.60.56/~jnz1568/getInfo.php?workbook=09_01.xlsx&amp;sheet=A0&amp;row=164&amp;col=27&amp;number=&amp;sourceID=13","")</f>
        <v/>
      </c>
      <c r="AB164" s="4" t="str">
        <f>HYPERLINK("http://141.218.60.56/~jnz1568/getInfo.php?workbook=09_01.xlsx&amp;sheet=A0&amp;row=164&amp;col=28&amp;number=&amp;sourceID=13","")</f>
        <v/>
      </c>
      <c r="AC164" s="4" t="str">
        <f>HYPERLINK("http://141.218.60.56/~jnz1568/getInfo.php?workbook=09_01.xlsx&amp;sheet=A0&amp;row=164&amp;col=29&amp;number=&amp;sourceID=13","")</f>
        <v/>
      </c>
      <c r="AD164" s="4" t="str">
        <f>HYPERLINK("http://141.218.60.56/~jnz1568/getInfo.php?workbook=09_01.xlsx&amp;sheet=A0&amp;row=164&amp;col=30&amp;number=&amp;sourceID=13","")</f>
        <v/>
      </c>
      <c r="AE164" s="4" t="str">
        <f>HYPERLINK("http://141.218.60.56/~jnz1568/getInfo.php?workbook=09_01.xlsx&amp;sheet=A0&amp;row=164&amp;col=31&amp;number=&amp;sourceID=13","")</f>
        <v/>
      </c>
    </row>
    <row r="165" spans="1:31">
      <c r="A165" s="3">
        <v>9</v>
      </c>
      <c r="B165" s="3">
        <v>1</v>
      </c>
      <c r="C165" s="3">
        <v>19</v>
      </c>
      <c r="D165" s="3">
        <v>16</v>
      </c>
      <c r="E165" s="3">
        <f>((1/(INDEX(E0!J$4:J$28,C165,1)-INDEX(E0!J$4:J$28,D165,1))))*100000000</f>
        <v>0</v>
      </c>
      <c r="F165" s="4" t="str">
        <f>HYPERLINK("http://141.218.60.56/~jnz1568/getInfo.php?workbook=09_01.xlsx&amp;sheet=A0&amp;row=165&amp;col=6&amp;number=&amp;sourceID=18","")</f>
        <v/>
      </c>
      <c r="G165" s="4" t="str">
        <f>HYPERLINK("http://141.218.60.56/~jnz1568/getInfo.php?workbook=09_01.xlsx&amp;sheet=A0&amp;row=165&amp;col=7&amp;number==&amp;sourceID=11","=")</f>
        <v>=</v>
      </c>
      <c r="H165" s="4" t="str">
        <f>HYPERLINK("http://141.218.60.56/~jnz1568/getInfo.php?workbook=09_01.xlsx&amp;sheet=A0&amp;row=165&amp;col=8&amp;number=&amp;sourceID=11","")</f>
        <v/>
      </c>
      <c r="I165" s="4" t="str">
        <f>HYPERLINK("http://141.218.60.56/~jnz1568/getInfo.php?workbook=09_01.xlsx&amp;sheet=A0&amp;row=165&amp;col=9&amp;number=&amp;sourceID=11","")</f>
        <v/>
      </c>
      <c r="J165" s="4" t="str">
        <f>HYPERLINK("http://141.218.60.56/~jnz1568/getInfo.php?workbook=09_01.xlsx&amp;sheet=A0&amp;row=165&amp;col=10&amp;number=0.28145&amp;sourceID=11","0.28145")</f>
        <v>0.28145</v>
      </c>
      <c r="K165" s="4" t="str">
        <f>HYPERLINK("http://141.218.60.56/~jnz1568/getInfo.php?workbook=09_01.xlsx&amp;sheet=A0&amp;row=165&amp;col=11&amp;number=&amp;sourceID=11","")</f>
        <v/>
      </c>
      <c r="L165" s="4" t="str">
        <f>HYPERLINK("http://141.218.60.56/~jnz1568/getInfo.php?workbook=09_01.xlsx&amp;sheet=A0&amp;row=165&amp;col=12&amp;number=0.059831&amp;sourceID=11","0.059831")</f>
        <v>0.059831</v>
      </c>
      <c r="M165" s="4" t="str">
        <f>HYPERLINK("http://141.218.60.56/~jnz1568/getInfo.php?workbook=09_01.xlsx&amp;sheet=A0&amp;row=165&amp;col=13&amp;number=&amp;sourceID=11","")</f>
        <v/>
      </c>
      <c r="N165" s="4" t="str">
        <f>HYPERLINK("http://141.218.60.56/~jnz1568/getInfo.php?workbook=09_01.xlsx&amp;sheet=A0&amp;row=165&amp;col=14&amp;number=0.34129&amp;sourceID=12","0.34129")</f>
        <v>0.34129</v>
      </c>
      <c r="O165" s="4" t="str">
        <f>HYPERLINK("http://141.218.60.56/~jnz1568/getInfo.php?workbook=09_01.xlsx&amp;sheet=A0&amp;row=165&amp;col=15&amp;number=&amp;sourceID=12","")</f>
        <v/>
      </c>
      <c r="P165" s="4" t="str">
        <f>HYPERLINK("http://141.218.60.56/~jnz1568/getInfo.php?workbook=09_01.xlsx&amp;sheet=A0&amp;row=165&amp;col=16&amp;number=&amp;sourceID=12","")</f>
        <v/>
      </c>
      <c r="Q165" s="4" t="str">
        <f>HYPERLINK("http://141.218.60.56/~jnz1568/getInfo.php?workbook=09_01.xlsx&amp;sheet=A0&amp;row=165&amp;col=17&amp;number=0.28146&amp;sourceID=12","0.28146")</f>
        <v>0.28146</v>
      </c>
      <c r="R165" s="4" t="str">
        <f>HYPERLINK("http://141.218.60.56/~jnz1568/getInfo.php?workbook=09_01.xlsx&amp;sheet=A0&amp;row=165&amp;col=18&amp;number=&amp;sourceID=12","")</f>
        <v/>
      </c>
      <c r="S165" s="4" t="str">
        <f>HYPERLINK("http://141.218.60.56/~jnz1568/getInfo.php?workbook=09_01.xlsx&amp;sheet=A0&amp;row=165&amp;col=19&amp;number=0.059833&amp;sourceID=12","0.059833")</f>
        <v>0.059833</v>
      </c>
      <c r="T165" s="4" t="str">
        <f>HYPERLINK("http://141.218.60.56/~jnz1568/getInfo.php?workbook=09_01.xlsx&amp;sheet=A0&amp;row=165&amp;col=20&amp;number=&amp;sourceID=12","")</f>
        <v/>
      </c>
      <c r="U165" s="4" t="str">
        <f>HYPERLINK("http://141.218.60.56/~jnz1568/getInfo.php?workbook=09_01.xlsx&amp;sheet=A0&amp;row=165&amp;col=21&amp;number=0.05983&amp;sourceID=30","0.05983")</f>
        <v>0.05983</v>
      </c>
      <c r="V165" s="4" t="str">
        <f>HYPERLINK("http://141.218.60.56/~jnz1568/getInfo.php?workbook=09_01.xlsx&amp;sheet=A0&amp;row=165&amp;col=22&amp;number=&amp;sourceID=30","")</f>
        <v/>
      </c>
      <c r="W165" s="4" t="str">
        <f>HYPERLINK("http://141.218.60.56/~jnz1568/getInfo.php?workbook=09_01.xlsx&amp;sheet=A0&amp;row=165&amp;col=23&amp;number=&amp;sourceID=30","")</f>
        <v/>
      </c>
      <c r="X165" s="4" t="str">
        <f>HYPERLINK("http://141.218.60.56/~jnz1568/getInfo.php?workbook=09_01.xlsx&amp;sheet=A0&amp;row=165&amp;col=24&amp;number=&amp;sourceID=30","")</f>
        <v/>
      </c>
      <c r="Y165" s="4" t="str">
        <f>HYPERLINK("http://141.218.60.56/~jnz1568/getInfo.php?workbook=09_01.xlsx&amp;sheet=A0&amp;row=165&amp;col=25&amp;number=0.05983&amp;sourceID=30","0.05983")</f>
        <v>0.05983</v>
      </c>
      <c r="Z165" s="4" t="str">
        <f>HYPERLINK("http://141.218.60.56/~jnz1568/getInfo.php?workbook=09_01.xlsx&amp;sheet=A0&amp;row=165&amp;col=26&amp;number=&amp;sourceID=13","")</f>
        <v/>
      </c>
      <c r="AA165" s="4" t="str">
        <f>HYPERLINK("http://141.218.60.56/~jnz1568/getInfo.php?workbook=09_01.xlsx&amp;sheet=A0&amp;row=165&amp;col=27&amp;number=&amp;sourceID=13","")</f>
        <v/>
      </c>
      <c r="AB165" s="4" t="str">
        <f>HYPERLINK("http://141.218.60.56/~jnz1568/getInfo.php?workbook=09_01.xlsx&amp;sheet=A0&amp;row=165&amp;col=28&amp;number=&amp;sourceID=13","")</f>
        <v/>
      </c>
      <c r="AC165" s="4" t="str">
        <f>HYPERLINK("http://141.218.60.56/~jnz1568/getInfo.php?workbook=09_01.xlsx&amp;sheet=A0&amp;row=165&amp;col=29&amp;number=&amp;sourceID=13","")</f>
        <v/>
      </c>
      <c r="AD165" s="4" t="str">
        <f>HYPERLINK("http://141.218.60.56/~jnz1568/getInfo.php?workbook=09_01.xlsx&amp;sheet=A0&amp;row=165&amp;col=30&amp;number=&amp;sourceID=13","")</f>
        <v/>
      </c>
      <c r="AE165" s="4" t="str">
        <f>HYPERLINK("http://141.218.60.56/~jnz1568/getInfo.php?workbook=09_01.xlsx&amp;sheet=A0&amp;row=165&amp;col=31&amp;number=&amp;sourceID=13","")</f>
        <v/>
      </c>
    </row>
    <row r="166" spans="1:31">
      <c r="A166" s="3">
        <v>9</v>
      </c>
      <c r="B166" s="3">
        <v>1</v>
      </c>
      <c r="C166" s="3">
        <v>19</v>
      </c>
      <c r="D166" s="3">
        <v>17</v>
      </c>
      <c r="E166" s="3">
        <f>((1/(INDEX(E0!J$4:J$28,C166,1)-INDEX(E0!J$4:J$28,D166,1))))*100000000</f>
        <v>0</v>
      </c>
      <c r="F166" s="4" t="str">
        <f>HYPERLINK("http://141.218.60.56/~jnz1568/getInfo.php?workbook=09_01.xlsx&amp;sheet=A0&amp;row=166&amp;col=6&amp;number=&amp;sourceID=18","")</f>
        <v/>
      </c>
      <c r="G166" s="4" t="str">
        <f>HYPERLINK("http://141.218.60.56/~jnz1568/getInfo.php?workbook=09_01.xlsx&amp;sheet=A0&amp;row=166&amp;col=7&amp;number==&amp;sourceID=11","=")</f>
        <v>=</v>
      </c>
      <c r="H166" s="4" t="str">
        <f>HYPERLINK("http://141.218.60.56/~jnz1568/getInfo.php?workbook=09_01.xlsx&amp;sheet=A0&amp;row=166&amp;col=8&amp;number=35.788&amp;sourceID=11","35.788")</f>
        <v>35.788</v>
      </c>
      <c r="I166" s="4" t="str">
        <f>HYPERLINK("http://141.218.60.56/~jnz1568/getInfo.php?workbook=09_01.xlsx&amp;sheet=A0&amp;row=166&amp;col=9&amp;number=&amp;sourceID=11","")</f>
        <v/>
      </c>
      <c r="J166" s="4" t="str">
        <f>HYPERLINK("http://141.218.60.56/~jnz1568/getInfo.php?workbook=09_01.xlsx&amp;sheet=A0&amp;row=166&amp;col=10&amp;number=&amp;sourceID=11","")</f>
        <v/>
      </c>
      <c r="K166" s="4" t="str">
        <f>HYPERLINK("http://141.218.60.56/~jnz1568/getInfo.php?workbook=09_01.xlsx&amp;sheet=A0&amp;row=166&amp;col=11&amp;number=&amp;sourceID=11","")</f>
        <v/>
      </c>
      <c r="L166" s="4" t="str">
        <f>HYPERLINK("http://141.218.60.56/~jnz1568/getInfo.php?workbook=09_01.xlsx&amp;sheet=A0&amp;row=166&amp;col=12&amp;number=0&amp;sourceID=11","0")</f>
        <v>0</v>
      </c>
      <c r="M166" s="4" t="str">
        <f>HYPERLINK("http://141.218.60.56/~jnz1568/getInfo.php?workbook=09_01.xlsx&amp;sheet=A0&amp;row=166&amp;col=13&amp;number=&amp;sourceID=11","")</f>
        <v/>
      </c>
      <c r="N166" s="4" t="str">
        <f>HYPERLINK("http://141.218.60.56/~jnz1568/getInfo.php?workbook=09_01.xlsx&amp;sheet=A0&amp;row=166&amp;col=14&amp;number=35.791&amp;sourceID=12","35.791")</f>
        <v>35.791</v>
      </c>
      <c r="O166" s="4" t="str">
        <f>HYPERLINK("http://141.218.60.56/~jnz1568/getInfo.php?workbook=09_01.xlsx&amp;sheet=A0&amp;row=166&amp;col=15&amp;number=35.791&amp;sourceID=12","35.791")</f>
        <v>35.791</v>
      </c>
      <c r="P166" s="4" t="str">
        <f>HYPERLINK("http://141.218.60.56/~jnz1568/getInfo.php?workbook=09_01.xlsx&amp;sheet=A0&amp;row=166&amp;col=16&amp;number=&amp;sourceID=12","")</f>
        <v/>
      </c>
      <c r="Q166" s="4" t="str">
        <f>HYPERLINK("http://141.218.60.56/~jnz1568/getInfo.php?workbook=09_01.xlsx&amp;sheet=A0&amp;row=166&amp;col=17&amp;number=&amp;sourceID=12","")</f>
        <v/>
      </c>
      <c r="R166" s="4" t="str">
        <f>HYPERLINK("http://141.218.60.56/~jnz1568/getInfo.php?workbook=09_01.xlsx&amp;sheet=A0&amp;row=166&amp;col=18&amp;number=&amp;sourceID=12","")</f>
        <v/>
      </c>
      <c r="S166" s="4" t="str">
        <f>HYPERLINK("http://141.218.60.56/~jnz1568/getInfo.php?workbook=09_01.xlsx&amp;sheet=A0&amp;row=166&amp;col=19&amp;number=0&amp;sourceID=12","0")</f>
        <v>0</v>
      </c>
      <c r="T166" s="4" t="str">
        <f>HYPERLINK("http://141.218.60.56/~jnz1568/getInfo.php?workbook=09_01.xlsx&amp;sheet=A0&amp;row=166&amp;col=20&amp;number=&amp;sourceID=12","")</f>
        <v/>
      </c>
      <c r="U166" s="4" t="str">
        <f>HYPERLINK("http://141.218.60.56/~jnz1568/getInfo.php?workbook=09_01.xlsx&amp;sheet=A0&amp;row=166&amp;col=21&amp;number=35.79&amp;sourceID=30","35.79")</f>
        <v>35.79</v>
      </c>
      <c r="V166" s="4" t="str">
        <f>HYPERLINK("http://141.218.60.56/~jnz1568/getInfo.php?workbook=09_01.xlsx&amp;sheet=A0&amp;row=166&amp;col=22&amp;number=35.79&amp;sourceID=30","35.79")</f>
        <v>35.79</v>
      </c>
      <c r="W166" s="4" t="str">
        <f>HYPERLINK("http://141.218.60.56/~jnz1568/getInfo.php?workbook=09_01.xlsx&amp;sheet=A0&amp;row=166&amp;col=23&amp;number=&amp;sourceID=30","")</f>
        <v/>
      </c>
      <c r="X166" s="4" t="str">
        <f>HYPERLINK("http://141.218.60.56/~jnz1568/getInfo.php?workbook=09_01.xlsx&amp;sheet=A0&amp;row=166&amp;col=24&amp;number=&amp;sourceID=30","")</f>
        <v/>
      </c>
      <c r="Y166" s="4" t="str">
        <f>HYPERLINK("http://141.218.60.56/~jnz1568/getInfo.php?workbook=09_01.xlsx&amp;sheet=A0&amp;row=166&amp;col=25&amp;number=0&amp;sourceID=30","0")</f>
        <v>0</v>
      </c>
      <c r="Z166" s="4" t="str">
        <f>HYPERLINK("http://141.218.60.56/~jnz1568/getInfo.php?workbook=09_01.xlsx&amp;sheet=A0&amp;row=166&amp;col=26&amp;number=&amp;sourceID=13","")</f>
        <v/>
      </c>
      <c r="AA166" s="4" t="str">
        <f>HYPERLINK("http://141.218.60.56/~jnz1568/getInfo.php?workbook=09_01.xlsx&amp;sheet=A0&amp;row=166&amp;col=27&amp;number=&amp;sourceID=13","")</f>
        <v/>
      </c>
      <c r="AB166" s="4" t="str">
        <f>HYPERLINK("http://141.218.60.56/~jnz1568/getInfo.php?workbook=09_01.xlsx&amp;sheet=A0&amp;row=166&amp;col=28&amp;number=&amp;sourceID=13","")</f>
        <v/>
      </c>
      <c r="AC166" s="4" t="str">
        <f>HYPERLINK("http://141.218.60.56/~jnz1568/getInfo.php?workbook=09_01.xlsx&amp;sheet=A0&amp;row=166&amp;col=29&amp;number=&amp;sourceID=13","")</f>
        <v/>
      </c>
      <c r="AD166" s="4" t="str">
        <f>HYPERLINK("http://141.218.60.56/~jnz1568/getInfo.php?workbook=09_01.xlsx&amp;sheet=A0&amp;row=166&amp;col=30&amp;number=&amp;sourceID=13","")</f>
        <v/>
      </c>
      <c r="AE166" s="4" t="str">
        <f>HYPERLINK("http://141.218.60.56/~jnz1568/getInfo.php?workbook=09_01.xlsx&amp;sheet=A0&amp;row=166&amp;col=31&amp;number=&amp;sourceID=13","")</f>
        <v/>
      </c>
    </row>
    <row r="167" spans="1:31">
      <c r="A167" s="3">
        <v>9</v>
      </c>
      <c r="B167" s="3">
        <v>1</v>
      </c>
      <c r="C167" s="3">
        <v>19</v>
      </c>
      <c r="D167" s="3">
        <v>18</v>
      </c>
      <c r="E167" s="3">
        <f>((1/(INDEX(E0!J$4:J$28,C167,1)-INDEX(E0!J$4:J$28,D167,1))))*100000000</f>
        <v>0</v>
      </c>
      <c r="F167" s="4" t="str">
        <f>HYPERLINK("http://141.218.60.56/~jnz1568/getInfo.php?workbook=09_01.xlsx&amp;sheet=A0&amp;row=167&amp;col=6&amp;number=&amp;sourceID=18","")</f>
        <v/>
      </c>
      <c r="G167" s="4" t="str">
        <f>HYPERLINK("http://141.218.60.56/~jnz1568/getInfo.php?workbook=09_01.xlsx&amp;sheet=A0&amp;row=167&amp;col=7&amp;number==&amp;sourceID=11","=")</f>
        <v>=</v>
      </c>
      <c r="H167" s="4" t="str">
        <f>HYPERLINK("http://141.218.60.56/~jnz1568/getInfo.php?workbook=09_01.xlsx&amp;sheet=A0&amp;row=167&amp;col=8&amp;number=&amp;sourceID=11","")</f>
        <v/>
      </c>
      <c r="I167" s="4" t="str">
        <f>HYPERLINK("http://141.218.60.56/~jnz1568/getInfo.php?workbook=09_01.xlsx&amp;sheet=A0&amp;row=167&amp;col=9&amp;number=5.7679e-10&amp;sourceID=11","5.7679e-10")</f>
        <v>5.7679e-10</v>
      </c>
      <c r="J167" s="4" t="str">
        <f>HYPERLINK("http://141.218.60.56/~jnz1568/getInfo.php?workbook=09_01.xlsx&amp;sheet=A0&amp;row=167&amp;col=10&amp;number=&amp;sourceID=11","")</f>
        <v/>
      </c>
      <c r="K167" s="4" t="str">
        <f>HYPERLINK("http://141.218.60.56/~jnz1568/getInfo.php?workbook=09_01.xlsx&amp;sheet=A0&amp;row=167&amp;col=11&amp;number=1.7e-14&amp;sourceID=11","1.7e-14")</f>
        <v>1.7e-14</v>
      </c>
      <c r="L167" s="4" t="str">
        <f>HYPERLINK("http://141.218.60.56/~jnz1568/getInfo.php?workbook=09_01.xlsx&amp;sheet=A0&amp;row=167&amp;col=12&amp;number=&amp;sourceID=11","")</f>
        <v/>
      </c>
      <c r="M167" s="4" t="str">
        <f>HYPERLINK("http://141.218.60.56/~jnz1568/getInfo.php?workbook=09_01.xlsx&amp;sheet=A0&amp;row=167&amp;col=13&amp;number=&amp;sourceID=11","")</f>
        <v/>
      </c>
      <c r="N167" s="4" t="str">
        <f>HYPERLINK("http://141.218.60.56/~jnz1568/getInfo.php?workbook=09_01.xlsx&amp;sheet=A0&amp;row=167&amp;col=14&amp;number=5.7688e-10&amp;sourceID=12","5.7688e-10")</f>
        <v>5.7688e-10</v>
      </c>
      <c r="O167" s="4" t="str">
        <f>HYPERLINK("http://141.218.60.56/~jnz1568/getInfo.php?workbook=09_01.xlsx&amp;sheet=A0&amp;row=167&amp;col=15&amp;number=&amp;sourceID=12","")</f>
        <v/>
      </c>
      <c r="P167" s="4" t="str">
        <f>HYPERLINK("http://141.218.60.56/~jnz1568/getInfo.php?workbook=09_01.xlsx&amp;sheet=A0&amp;row=167&amp;col=16&amp;number=5.7686e-10&amp;sourceID=12","5.7686e-10")</f>
        <v>5.7686e-10</v>
      </c>
      <c r="Q167" s="4" t="str">
        <f>HYPERLINK("http://141.218.60.56/~jnz1568/getInfo.php?workbook=09_01.xlsx&amp;sheet=A0&amp;row=167&amp;col=17&amp;number=&amp;sourceID=12","")</f>
        <v/>
      </c>
      <c r="R167" s="4" t="str">
        <f>HYPERLINK("http://141.218.60.56/~jnz1568/getInfo.php?workbook=09_01.xlsx&amp;sheet=A0&amp;row=167&amp;col=18&amp;number=1.7e-14&amp;sourceID=12","1.7e-14")</f>
        <v>1.7e-14</v>
      </c>
      <c r="S167" s="4" t="str">
        <f>HYPERLINK("http://141.218.60.56/~jnz1568/getInfo.php?workbook=09_01.xlsx&amp;sheet=A0&amp;row=167&amp;col=19&amp;number=&amp;sourceID=12","")</f>
        <v/>
      </c>
      <c r="T167" s="4" t="str">
        <f>HYPERLINK("http://141.218.60.56/~jnz1568/getInfo.php?workbook=09_01.xlsx&amp;sheet=A0&amp;row=167&amp;col=20&amp;number=&amp;sourceID=12","")</f>
        <v/>
      </c>
      <c r="U167" s="4" t="str">
        <f>HYPERLINK("http://141.218.60.56/~jnz1568/getInfo.php?workbook=09_01.xlsx&amp;sheet=A0&amp;row=167&amp;col=21&amp;number=5.76918e-10&amp;sourceID=30","5.76918e-10")</f>
        <v>5.76918e-10</v>
      </c>
      <c r="V167" s="4" t="str">
        <f>HYPERLINK("http://141.218.60.56/~jnz1568/getInfo.php?workbook=09_01.xlsx&amp;sheet=A0&amp;row=167&amp;col=22&amp;number=&amp;sourceID=30","")</f>
        <v/>
      </c>
      <c r="W167" s="4" t="str">
        <f>HYPERLINK("http://141.218.60.56/~jnz1568/getInfo.php?workbook=09_01.xlsx&amp;sheet=A0&amp;row=167&amp;col=23&amp;number=5.769e-10&amp;sourceID=30","5.769e-10")</f>
        <v>5.769e-10</v>
      </c>
      <c r="X167" s="4" t="str">
        <f>HYPERLINK("http://141.218.60.56/~jnz1568/getInfo.php?workbook=09_01.xlsx&amp;sheet=A0&amp;row=167&amp;col=24&amp;number=1.8e-14&amp;sourceID=30","1.8e-14")</f>
        <v>1.8e-14</v>
      </c>
      <c r="Y167" s="4" t="str">
        <f>HYPERLINK("http://141.218.60.56/~jnz1568/getInfo.php?workbook=09_01.xlsx&amp;sheet=A0&amp;row=167&amp;col=25&amp;number=&amp;sourceID=30","")</f>
        <v/>
      </c>
      <c r="Z167" s="4" t="str">
        <f>HYPERLINK("http://141.218.60.56/~jnz1568/getInfo.php?workbook=09_01.xlsx&amp;sheet=A0&amp;row=167&amp;col=26&amp;number=&amp;sourceID=13","")</f>
        <v/>
      </c>
      <c r="AA167" s="4" t="str">
        <f>HYPERLINK("http://141.218.60.56/~jnz1568/getInfo.php?workbook=09_01.xlsx&amp;sheet=A0&amp;row=167&amp;col=27&amp;number=&amp;sourceID=13","")</f>
        <v/>
      </c>
      <c r="AB167" s="4" t="str">
        <f>HYPERLINK("http://141.218.60.56/~jnz1568/getInfo.php?workbook=09_01.xlsx&amp;sheet=A0&amp;row=167&amp;col=28&amp;number=&amp;sourceID=13","")</f>
        <v/>
      </c>
      <c r="AC167" s="4" t="str">
        <f>HYPERLINK("http://141.218.60.56/~jnz1568/getInfo.php?workbook=09_01.xlsx&amp;sheet=A0&amp;row=167&amp;col=29&amp;number=&amp;sourceID=13","")</f>
        <v/>
      </c>
      <c r="AD167" s="4" t="str">
        <f>HYPERLINK("http://141.218.60.56/~jnz1568/getInfo.php?workbook=09_01.xlsx&amp;sheet=A0&amp;row=167&amp;col=30&amp;number=&amp;sourceID=13","")</f>
        <v/>
      </c>
      <c r="AE167" s="4" t="str">
        <f>HYPERLINK("http://141.218.60.56/~jnz1568/getInfo.php?workbook=09_01.xlsx&amp;sheet=A0&amp;row=167&amp;col=31&amp;number=&amp;sourceID=13","")</f>
        <v/>
      </c>
    </row>
    <row r="168" spans="1:31">
      <c r="A168" s="3">
        <v>9</v>
      </c>
      <c r="B168" s="3">
        <v>1</v>
      </c>
      <c r="C168" s="3">
        <v>20</v>
      </c>
      <c r="D168" s="3">
        <v>1</v>
      </c>
      <c r="E168" s="3">
        <f>((1/(INDEX(E0!J$4:J$28,C168,1)-INDEX(E0!J$4:J$28,D168,1))))*100000000</f>
        <v>0</v>
      </c>
      <c r="F168" s="4" t="str">
        <f>HYPERLINK("http://141.218.60.56/~jnz1568/getInfo.php?workbook=09_01.xlsx&amp;sheet=A0&amp;row=168&amp;col=6&amp;number=&amp;sourceID=18","")</f>
        <v/>
      </c>
      <c r="G168" s="4" t="str">
        <f>HYPERLINK("http://141.218.60.56/~jnz1568/getInfo.php?workbook=09_01.xlsx&amp;sheet=A0&amp;row=168&amp;col=7&amp;number==&amp;sourceID=11","=")</f>
        <v>=</v>
      </c>
      <c r="H168" s="4" t="str">
        <f>HYPERLINK("http://141.218.60.56/~jnz1568/getInfo.php?workbook=09_01.xlsx&amp;sheet=A0&amp;row=168&amp;col=8&amp;number=225560000000&amp;sourceID=11","225560000000")</f>
        <v>225560000000</v>
      </c>
      <c r="I168" s="4" t="str">
        <f>HYPERLINK("http://141.218.60.56/~jnz1568/getInfo.php?workbook=09_01.xlsx&amp;sheet=A0&amp;row=168&amp;col=9&amp;number=&amp;sourceID=11","")</f>
        <v/>
      </c>
      <c r="J168" s="4" t="str">
        <f>HYPERLINK("http://141.218.60.56/~jnz1568/getInfo.php?workbook=09_01.xlsx&amp;sheet=A0&amp;row=168&amp;col=10&amp;number=&amp;sourceID=11","")</f>
        <v/>
      </c>
      <c r="K168" s="4" t="str">
        <f>HYPERLINK("http://141.218.60.56/~jnz1568/getInfo.php?workbook=09_01.xlsx&amp;sheet=A0&amp;row=168&amp;col=11&amp;number=&amp;sourceID=11","")</f>
        <v/>
      </c>
      <c r="L168" s="4" t="str">
        <f>HYPERLINK("http://141.218.60.56/~jnz1568/getInfo.php?workbook=09_01.xlsx&amp;sheet=A0&amp;row=168&amp;col=12&amp;number=181450&amp;sourceID=11","181450")</f>
        <v>181450</v>
      </c>
      <c r="M168" s="4" t="str">
        <f>HYPERLINK("http://141.218.60.56/~jnz1568/getInfo.php?workbook=09_01.xlsx&amp;sheet=A0&amp;row=168&amp;col=13&amp;number=&amp;sourceID=11","")</f>
        <v/>
      </c>
      <c r="N168" s="4" t="str">
        <f>HYPERLINK("http://141.218.60.56/~jnz1568/getInfo.php?workbook=09_01.xlsx&amp;sheet=A0&amp;row=168&amp;col=14&amp;number=225570000000&amp;sourceID=12","225570000000")</f>
        <v>225570000000</v>
      </c>
      <c r="O168" s="4" t="str">
        <f>HYPERLINK("http://141.218.60.56/~jnz1568/getInfo.php?workbook=09_01.xlsx&amp;sheet=A0&amp;row=168&amp;col=15&amp;number=225570000000&amp;sourceID=12","225570000000")</f>
        <v>225570000000</v>
      </c>
      <c r="P168" s="4" t="str">
        <f>HYPERLINK("http://141.218.60.56/~jnz1568/getInfo.php?workbook=09_01.xlsx&amp;sheet=A0&amp;row=168&amp;col=16&amp;number=&amp;sourceID=12","")</f>
        <v/>
      </c>
      <c r="Q168" s="4" t="str">
        <f>HYPERLINK("http://141.218.60.56/~jnz1568/getInfo.php?workbook=09_01.xlsx&amp;sheet=A0&amp;row=168&amp;col=17&amp;number=&amp;sourceID=12","")</f>
        <v/>
      </c>
      <c r="R168" s="4" t="str">
        <f>HYPERLINK("http://141.218.60.56/~jnz1568/getInfo.php?workbook=09_01.xlsx&amp;sheet=A0&amp;row=168&amp;col=18&amp;number=&amp;sourceID=12","")</f>
        <v/>
      </c>
      <c r="S168" s="4" t="str">
        <f>HYPERLINK("http://141.218.60.56/~jnz1568/getInfo.php?workbook=09_01.xlsx&amp;sheet=A0&amp;row=168&amp;col=19&amp;number=181460&amp;sourceID=12","181460")</f>
        <v>181460</v>
      </c>
      <c r="T168" s="4" t="str">
        <f>HYPERLINK("http://141.218.60.56/~jnz1568/getInfo.php?workbook=09_01.xlsx&amp;sheet=A0&amp;row=168&amp;col=20&amp;number=&amp;sourceID=12","")</f>
        <v/>
      </c>
      <c r="U168" s="4" t="str">
        <f>HYPERLINK("http://141.218.60.56/~jnz1568/getInfo.php?workbook=09_01.xlsx&amp;sheet=A0&amp;row=168&amp;col=21&amp;number=225600181500&amp;sourceID=30","225600181500")</f>
        <v>225600181500</v>
      </c>
      <c r="V168" s="4" t="str">
        <f>HYPERLINK("http://141.218.60.56/~jnz1568/getInfo.php?workbook=09_01.xlsx&amp;sheet=A0&amp;row=168&amp;col=22&amp;number=225600000000&amp;sourceID=30","225600000000")</f>
        <v>225600000000</v>
      </c>
      <c r="W168" s="4" t="str">
        <f>HYPERLINK("http://141.218.60.56/~jnz1568/getInfo.php?workbook=09_01.xlsx&amp;sheet=A0&amp;row=168&amp;col=23&amp;number=&amp;sourceID=30","")</f>
        <v/>
      </c>
      <c r="X168" s="4" t="str">
        <f>HYPERLINK("http://141.218.60.56/~jnz1568/getInfo.php?workbook=09_01.xlsx&amp;sheet=A0&amp;row=168&amp;col=24&amp;number=&amp;sourceID=30","")</f>
        <v/>
      </c>
      <c r="Y168" s="4" t="str">
        <f>HYPERLINK("http://141.218.60.56/~jnz1568/getInfo.php?workbook=09_01.xlsx&amp;sheet=A0&amp;row=168&amp;col=25&amp;number=181500&amp;sourceID=30","181500")</f>
        <v>181500</v>
      </c>
      <c r="Z168" s="4" t="str">
        <f>HYPERLINK("http://141.218.60.56/~jnz1568/getInfo.php?workbook=09_01.xlsx&amp;sheet=A0&amp;row=168&amp;col=26&amp;number=&amp;sourceID=13","")</f>
        <v/>
      </c>
      <c r="AA168" s="4" t="str">
        <f>HYPERLINK("http://141.218.60.56/~jnz1568/getInfo.php?workbook=09_01.xlsx&amp;sheet=A0&amp;row=168&amp;col=27&amp;number=&amp;sourceID=13","")</f>
        <v/>
      </c>
      <c r="AB168" s="4" t="str">
        <f>HYPERLINK("http://141.218.60.56/~jnz1568/getInfo.php?workbook=09_01.xlsx&amp;sheet=A0&amp;row=168&amp;col=28&amp;number=&amp;sourceID=13","")</f>
        <v/>
      </c>
      <c r="AC168" s="4" t="str">
        <f>HYPERLINK("http://141.218.60.56/~jnz1568/getInfo.php?workbook=09_01.xlsx&amp;sheet=A0&amp;row=168&amp;col=29&amp;number=&amp;sourceID=13","")</f>
        <v/>
      </c>
      <c r="AD168" s="4" t="str">
        <f>HYPERLINK("http://141.218.60.56/~jnz1568/getInfo.php?workbook=09_01.xlsx&amp;sheet=A0&amp;row=168&amp;col=30&amp;number=&amp;sourceID=13","")</f>
        <v/>
      </c>
      <c r="AE168" s="4" t="str">
        <f>HYPERLINK("http://141.218.60.56/~jnz1568/getInfo.php?workbook=09_01.xlsx&amp;sheet=A0&amp;row=168&amp;col=31&amp;number=&amp;sourceID=13","")</f>
        <v/>
      </c>
    </row>
    <row r="169" spans="1:31">
      <c r="A169" s="3">
        <v>9</v>
      </c>
      <c r="B169" s="3">
        <v>1</v>
      </c>
      <c r="C169" s="3">
        <v>20</v>
      </c>
      <c r="D169" s="3">
        <v>2</v>
      </c>
      <c r="E169" s="3">
        <f>((1/(INDEX(E0!J$4:J$28,C169,1)-INDEX(E0!J$4:J$28,D169,1))))*100000000</f>
        <v>0</v>
      </c>
      <c r="F169" s="4" t="str">
        <f>HYPERLINK("http://141.218.60.56/~jnz1568/getInfo.php?workbook=09_01.xlsx&amp;sheet=A0&amp;row=169&amp;col=6&amp;number=&amp;sourceID=18","")</f>
        <v/>
      </c>
      <c r="G169" s="4" t="str">
        <f>HYPERLINK("http://141.218.60.56/~jnz1568/getInfo.php?workbook=09_01.xlsx&amp;sheet=A0&amp;row=169&amp;col=7&amp;number==&amp;sourceID=11","=")</f>
        <v>=</v>
      </c>
      <c r="H169" s="4" t="str">
        <f>HYPERLINK("http://141.218.60.56/~jnz1568/getInfo.php?workbook=09_01.xlsx&amp;sheet=A0&amp;row=169&amp;col=8&amp;number=&amp;sourceID=11","")</f>
        <v/>
      </c>
      <c r="I169" s="4" t="str">
        <f>HYPERLINK("http://141.218.60.56/~jnz1568/getInfo.php?workbook=09_01.xlsx&amp;sheet=A0&amp;row=169&amp;col=9&amp;number=1405300&amp;sourceID=11","1405300")</f>
        <v>1405300</v>
      </c>
      <c r="J169" s="4" t="str">
        <f>HYPERLINK("http://141.218.60.56/~jnz1568/getInfo.php?workbook=09_01.xlsx&amp;sheet=A0&amp;row=169&amp;col=10&amp;number=&amp;sourceID=11","")</f>
        <v/>
      </c>
      <c r="K169" s="4" t="str">
        <f>HYPERLINK("http://141.218.60.56/~jnz1568/getInfo.php?workbook=09_01.xlsx&amp;sheet=A0&amp;row=169&amp;col=11&amp;number=3.359&amp;sourceID=11","3.359")</f>
        <v>3.359</v>
      </c>
      <c r="L169" s="4" t="str">
        <f>HYPERLINK("http://141.218.60.56/~jnz1568/getInfo.php?workbook=09_01.xlsx&amp;sheet=A0&amp;row=169&amp;col=12&amp;number=&amp;sourceID=11","")</f>
        <v/>
      </c>
      <c r="M169" s="4" t="str">
        <f>HYPERLINK("http://141.218.60.56/~jnz1568/getInfo.php?workbook=09_01.xlsx&amp;sheet=A0&amp;row=169&amp;col=13&amp;number=&amp;sourceID=11","")</f>
        <v/>
      </c>
      <c r="N169" s="4" t="str">
        <f>HYPERLINK("http://141.218.60.56/~jnz1568/getInfo.php?workbook=09_01.xlsx&amp;sheet=A0&amp;row=169&amp;col=14&amp;number=1405400&amp;sourceID=12","1405400")</f>
        <v>1405400</v>
      </c>
      <c r="O169" s="4" t="str">
        <f>HYPERLINK("http://141.218.60.56/~jnz1568/getInfo.php?workbook=09_01.xlsx&amp;sheet=A0&amp;row=169&amp;col=15&amp;number=&amp;sourceID=12","")</f>
        <v/>
      </c>
      <c r="P169" s="4" t="str">
        <f>HYPERLINK("http://141.218.60.56/~jnz1568/getInfo.php?workbook=09_01.xlsx&amp;sheet=A0&amp;row=169&amp;col=16&amp;number=1405400&amp;sourceID=12","1405400")</f>
        <v>1405400</v>
      </c>
      <c r="Q169" s="4" t="str">
        <f>HYPERLINK("http://141.218.60.56/~jnz1568/getInfo.php?workbook=09_01.xlsx&amp;sheet=A0&amp;row=169&amp;col=17&amp;number=&amp;sourceID=12","")</f>
        <v/>
      </c>
      <c r="R169" s="4" t="str">
        <f>HYPERLINK("http://141.218.60.56/~jnz1568/getInfo.php?workbook=09_01.xlsx&amp;sheet=A0&amp;row=169&amp;col=18&amp;number=3.3593&amp;sourceID=12","3.3593")</f>
        <v>3.3593</v>
      </c>
      <c r="S169" s="4" t="str">
        <f>HYPERLINK("http://141.218.60.56/~jnz1568/getInfo.php?workbook=09_01.xlsx&amp;sheet=A0&amp;row=169&amp;col=19&amp;number=&amp;sourceID=12","")</f>
        <v/>
      </c>
      <c r="T169" s="4" t="str">
        <f>HYPERLINK("http://141.218.60.56/~jnz1568/getInfo.php?workbook=09_01.xlsx&amp;sheet=A0&amp;row=169&amp;col=20&amp;number=&amp;sourceID=12","")</f>
        <v/>
      </c>
      <c r="U169" s="4" t="str">
        <f>HYPERLINK("http://141.218.60.56/~jnz1568/getInfo.php?workbook=09_01.xlsx&amp;sheet=A0&amp;row=169&amp;col=21&amp;number=1405003.359&amp;sourceID=30","1405003.359")</f>
        <v>1405003.359</v>
      </c>
      <c r="V169" s="4" t="str">
        <f>HYPERLINK("http://141.218.60.56/~jnz1568/getInfo.php?workbook=09_01.xlsx&amp;sheet=A0&amp;row=169&amp;col=22&amp;number=&amp;sourceID=30","")</f>
        <v/>
      </c>
      <c r="W169" s="4" t="str">
        <f>HYPERLINK("http://141.218.60.56/~jnz1568/getInfo.php?workbook=09_01.xlsx&amp;sheet=A0&amp;row=169&amp;col=23&amp;number=1405000&amp;sourceID=30","1405000")</f>
        <v>1405000</v>
      </c>
      <c r="X169" s="4" t="str">
        <f>HYPERLINK("http://141.218.60.56/~jnz1568/getInfo.php?workbook=09_01.xlsx&amp;sheet=A0&amp;row=169&amp;col=24&amp;number=3.359&amp;sourceID=30","3.359")</f>
        <v>3.359</v>
      </c>
      <c r="Y169" s="4" t="str">
        <f>HYPERLINK("http://141.218.60.56/~jnz1568/getInfo.php?workbook=09_01.xlsx&amp;sheet=A0&amp;row=169&amp;col=25&amp;number=&amp;sourceID=30","")</f>
        <v/>
      </c>
      <c r="Z169" s="4" t="str">
        <f>HYPERLINK("http://141.218.60.56/~jnz1568/getInfo.php?workbook=09_01.xlsx&amp;sheet=A0&amp;row=169&amp;col=26&amp;number=&amp;sourceID=13","")</f>
        <v/>
      </c>
      <c r="AA169" s="4" t="str">
        <f>HYPERLINK("http://141.218.60.56/~jnz1568/getInfo.php?workbook=09_01.xlsx&amp;sheet=A0&amp;row=169&amp;col=27&amp;number=&amp;sourceID=13","")</f>
        <v/>
      </c>
      <c r="AB169" s="4" t="str">
        <f>HYPERLINK("http://141.218.60.56/~jnz1568/getInfo.php?workbook=09_01.xlsx&amp;sheet=A0&amp;row=169&amp;col=28&amp;number=&amp;sourceID=13","")</f>
        <v/>
      </c>
      <c r="AC169" s="4" t="str">
        <f>HYPERLINK("http://141.218.60.56/~jnz1568/getInfo.php?workbook=09_01.xlsx&amp;sheet=A0&amp;row=169&amp;col=29&amp;number=&amp;sourceID=13","")</f>
        <v/>
      </c>
      <c r="AD169" s="4" t="str">
        <f>HYPERLINK("http://141.218.60.56/~jnz1568/getInfo.php?workbook=09_01.xlsx&amp;sheet=A0&amp;row=169&amp;col=30&amp;number=&amp;sourceID=13","")</f>
        <v/>
      </c>
      <c r="AE169" s="4" t="str">
        <f>HYPERLINK("http://141.218.60.56/~jnz1568/getInfo.php?workbook=09_01.xlsx&amp;sheet=A0&amp;row=169&amp;col=31&amp;number=&amp;sourceID=13","")</f>
        <v/>
      </c>
    </row>
    <row r="170" spans="1:31">
      <c r="A170" s="3">
        <v>9</v>
      </c>
      <c r="B170" s="3">
        <v>1</v>
      </c>
      <c r="C170" s="3">
        <v>20</v>
      </c>
      <c r="D170" s="3">
        <v>3</v>
      </c>
      <c r="E170" s="3">
        <f>((1/(INDEX(E0!J$4:J$28,C170,1)-INDEX(E0!J$4:J$28,D170,1))))*100000000</f>
        <v>0</v>
      </c>
      <c r="F170" s="4" t="str">
        <f>HYPERLINK("http://141.218.60.56/~jnz1568/getInfo.php?workbook=09_01.xlsx&amp;sheet=A0&amp;row=170&amp;col=6&amp;number=&amp;sourceID=18","")</f>
        <v/>
      </c>
      <c r="G170" s="4" t="str">
        <f>HYPERLINK("http://141.218.60.56/~jnz1568/getInfo.php?workbook=09_01.xlsx&amp;sheet=A0&amp;row=170&amp;col=7&amp;number==&amp;sourceID=11","=")</f>
        <v>=</v>
      </c>
      <c r="H170" s="4" t="str">
        <f>HYPERLINK("http://141.218.60.56/~jnz1568/getInfo.php?workbook=09_01.xlsx&amp;sheet=A0&amp;row=170&amp;col=8&amp;number=32487000000&amp;sourceID=11","32487000000")</f>
        <v>32487000000</v>
      </c>
      <c r="I170" s="4" t="str">
        <f>HYPERLINK("http://141.218.60.56/~jnz1568/getInfo.php?workbook=09_01.xlsx&amp;sheet=A0&amp;row=170&amp;col=9&amp;number=&amp;sourceID=11","")</f>
        <v/>
      </c>
      <c r="J170" s="4" t="str">
        <f>HYPERLINK("http://141.218.60.56/~jnz1568/getInfo.php?workbook=09_01.xlsx&amp;sheet=A0&amp;row=170&amp;col=10&amp;number=&amp;sourceID=11","")</f>
        <v/>
      </c>
      <c r="K170" s="4" t="str">
        <f>HYPERLINK("http://141.218.60.56/~jnz1568/getInfo.php?workbook=09_01.xlsx&amp;sheet=A0&amp;row=170&amp;col=11&amp;number=&amp;sourceID=11","")</f>
        <v/>
      </c>
      <c r="L170" s="4" t="str">
        <f>HYPERLINK("http://141.218.60.56/~jnz1568/getInfo.php?workbook=09_01.xlsx&amp;sheet=A0&amp;row=170&amp;col=12&amp;number=1253.1&amp;sourceID=11","1253.1")</f>
        <v>1253.1</v>
      </c>
      <c r="M170" s="4" t="str">
        <f>HYPERLINK("http://141.218.60.56/~jnz1568/getInfo.php?workbook=09_01.xlsx&amp;sheet=A0&amp;row=170&amp;col=13&amp;number=&amp;sourceID=11","")</f>
        <v/>
      </c>
      <c r="N170" s="4" t="str">
        <f>HYPERLINK("http://141.218.60.56/~jnz1568/getInfo.php?workbook=09_01.xlsx&amp;sheet=A0&amp;row=170&amp;col=14&amp;number=32488000000&amp;sourceID=12","32488000000")</f>
        <v>32488000000</v>
      </c>
      <c r="O170" s="4" t="str">
        <f>HYPERLINK("http://141.218.60.56/~jnz1568/getInfo.php?workbook=09_01.xlsx&amp;sheet=A0&amp;row=170&amp;col=15&amp;number=32488000000&amp;sourceID=12","32488000000")</f>
        <v>32488000000</v>
      </c>
      <c r="P170" s="4" t="str">
        <f>HYPERLINK("http://141.218.60.56/~jnz1568/getInfo.php?workbook=09_01.xlsx&amp;sheet=A0&amp;row=170&amp;col=16&amp;number=&amp;sourceID=12","")</f>
        <v/>
      </c>
      <c r="Q170" s="4" t="str">
        <f>HYPERLINK("http://141.218.60.56/~jnz1568/getInfo.php?workbook=09_01.xlsx&amp;sheet=A0&amp;row=170&amp;col=17&amp;number=&amp;sourceID=12","")</f>
        <v/>
      </c>
      <c r="R170" s="4" t="str">
        <f>HYPERLINK("http://141.218.60.56/~jnz1568/getInfo.php?workbook=09_01.xlsx&amp;sheet=A0&amp;row=170&amp;col=18&amp;number=&amp;sourceID=12","")</f>
        <v/>
      </c>
      <c r="S170" s="4" t="str">
        <f>HYPERLINK("http://141.218.60.56/~jnz1568/getInfo.php?workbook=09_01.xlsx&amp;sheet=A0&amp;row=170&amp;col=19&amp;number=1253.1&amp;sourceID=12","1253.1")</f>
        <v>1253.1</v>
      </c>
      <c r="T170" s="4" t="str">
        <f>HYPERLINK("http://141.218.60.56/~jnz1568/getInfo.php?workbook=09_01.xlsx&amp;sheet=A0&amp;row=170&amp;col=20&amp;number=&amp;sourceID=12","")</f>
        <v/>
      </c>
      <c r="U170" s="4" t="str">
        <f>HYPERLINK("http://141.218.60.56/~jnz1568/getInfo.php?workbook=09_01.xlsx&amp;sheet=A0&amp;row=170&amp;col=21&amp;number=32490001253&amp;sourceID=30","32490001253")</f>
        <v>32490001253</v>
      </c>
      <c r="V170" s="4" t="str">
        <f>HYPERLINK("http://141.218.60.56/~jnz1568/getInfo.php?workbook=09_01.xlsx&amp;sheet=A0&amp;row=170&amp;col=22&amp;number=32490000000&amp;sourceID=30","32490000000")</f>
        <v>32490000000</v>
      </c>
      <c r="W170" s="4" t="str">
        <f>HYPERLINK("http://141.218.60.56/~jnz1568/getInfo.php?workbook=09_01.xlsx&amp;sheet=A0&amp;row=170&amp;col=23&amp;number=&amp;sourceID=30","")</f>
        <v/>
      </c>
      <c r="X170" s="4" t="str">
        <f>HYPERLINK("http://141.218.60.56/~jnz1568/getInfo.php?workbook=09_01.xlsx&amp;sheet=A0&amp;row=170&amp;col=24&amp;number=&amp;sourceID=30","")</f>
        <v/>
      </c>
      <c r="Y170" s="4" t="str">
        <f>HYPERLINK("http://141.218.60.56/~jnz1568/getInfo.php?workbook=09_01.xlsx&amp;sheet=A0&amp;row=170&amp;col=25&amp;number=1253&amp;sourceID=30","1253")</f>
        <v>1253</v>
      </c>
      <c r="Z170" s="4" t="str">
        <f>HYPERLINK("http://141.218.60.56/~jnz1568/getInfo.php?workbook=09_01.xlsx&amp;sheet=A0&amp;row=170&amp;col=26&amp;number=&amp;sourceID=13","")</f>
        <v/>
      </c>
      <c r="AA170" s="4" t="str">
        <f>HYPERLINK("http://141.218.60.56/~jnz1568/getInfo.php?workbook=09_01.xlsx&amp;sheet=A0&amp;row=170&amp;col=27&amp;number=&amp;sourceID=13","")</f>
        <v/>
      </c>
      <c r="AB170" s="4" t="str">
        <f>HYPERLINK("http://141.218.60.56/~jnz1568/getInfo.php?workbook=09_01.xlsx&amp;sheet=A0&amp;row=170&amp;col=28&amp;number=&amp;sourceID=13","")</f>
        <v/>
      </c>
      <c r="AC170" s="4" t="str">
        <f>HYPERLINK("http://141.218.60.56/~jnz1568/getInfo.php?workbook=09_01.xlsx&amp;sheet=A0&amp;row=170&amp;col=29&amp;number=&amp;sourceID=13","")</f>
        <v/>
      </c>
      <c r="AD170" s="4" t="str">
        <f>HYPERLINK("http://141.218.60.56/~jnz1568/getInfo.php?workbook=09_01.xlsx&amp;sheet=A0&amp;row=170&amp;col=30&amp;number=&amp;sourceID=13","")</f>
        <v/>
      </c>
      <c r="AE170" s="4" t="str">
        <f>HYPERLINK("http://141.218.60.56/~jnz1568/getInfo.php?workbook=09_01.xlsx&amp;sheet=A0&amp;row=170&amp;col=31&amp;number=&amp;sourceID=13","")</f>
        <v/>
      </c>
    </row>
    <row r="171" spans="1:31">
      <c r="A171" s="3">
        <v>9</v>
      </c>
      <c r="B171" s="3">
        <v>1</v>
      </c>
      <c r="C171" s="3">
        <v>20</v>
      </c>
      <c r="D171" s="3">
        <v>4</v>
      </c>
      <c r="E171" s="3">
        <f>((1/(INDEX(E0!J$4:J$28,C171,1)-INDEX(E0!J$4:J$28,D171,1))))*100000000</f>
        <v>0</v>
      </c>
      <c r="F171" s="4" t="str">
        <f>HYPERLINK("http://141.218.60.56/~jnz1568/getInfo.php?workbook=09_01.xlsx&amp;sheet=A0&amp;row=171&amp;col=6&amp;number=&amp;sourceID=18","")</f>
        <v/>
      </c>
      <c r="G171" s="4" t="str">
        <f>HYPERLINK("http://141.218.60.56/~jnz1568/getInfo.php?workbook=09_01.xlsx&amp;sheet=A0&amp;row=171&amp;col=7&amp;number==&amp;sourceID=11","=")</f>
        <v>=</v>
      </c>
      <c r="H171" s="4" t="str">
        <f>HYPERLINK("http://141.218.60.56/~jnz1568/getInfo.php?workbook=09_01.xlsx&amp;sheet=A0&amp;row=171&amp;col=8&amp;number=&amp;sourceID=11","")</f>
        <v/>
      </c>
      <c r="I171" s="4" t="str">
        <f>HYPERLINK("http://141.218.60.56/~jnz1568/getInfo.php?workbook=09_01.xlsx&amp;sheet=A0&amp;row=171&amp;col=9&amp;number=1399500&amp;sourceID=11","1399500")</f>
        <v>1399500</v>
      </c>
      <c r="J171" s="4" t="str">
        <f>HYPERLINK("http://141.218.60.56/~jnz1568/getInfo.php?workbook=09_01.xlsx&amp;sheet=A0&amp;row=171&amp;col=10&amp;number=&amp;sourceID=11","")</f>
        <v/>
      </c>
      <c r="K171" s="4" t="str">
        <f>HYPERLINK("http://141.218.60.56/~jnz1568/getInfo.php?workbook=09_01.xlsx&amp;sheet=A0&amp;row=171&amp;col=11&amp;number=6.2119&amp;sourceID=11","6.2119")</f>
        <v>6.2119</v>
      </c>
      <c r="L171" s="4" t="str">
        <f>HYPERLINK("http://141.218.60.56/~jnz1568/getInfo.php?workbook=09_01.xlsx&amp;sheet=A0&amp;row=171&amp;col=12&amp;number=&amp;sourceID=11","")</f>
        <v/>
      </c>
      <c r="M171" s="4" t="str">
        <f>HYPERLINK("http://141.218.60.56/~jnz1568/getInfo.php?workbook=09_01.xlsx&amp;sheet=A0&amp;row=171&amp;col=13&amp;number=0.11487&amp;sourceID=11","0.11487")</f>
        <v>0.11487</v>
      </c>
      <c r="N171" s="4" t="str">
        <f>HYPERLINK("http://141.218.60.56/~jnz1568/getInfo.php?workbook=09_01.xlsx&amp;sheet=A0&amp;row=171&amp;col=14&amp;number=1399600&amp;sourceID=12","1399600")</f>
        <v>1399600</v>
      </c>
      <c r="O171" s="4" t="str">
        <f>HYPERLINK("http://141.218.60.56/~jnz1568/getInfo.php?workbook=09_01.xlsx&amp;sheet=A0&amp;row=171&amp;col=15&amp;number=&amp;sourceID=12","")</f>
        <v/>
      </c>
      <c r="P171" s="4" t="str">
        <f>HYPERLINK("http://141.218.60.56/~jnz1568/getInfo.php?workbook=09_01.xlsx&amp;sheet=A0&amp;row=171&amp;col=16&amp;number=1399600&amp;sourceID=12","1399600")</f>
        <v>1399600</v>
      </c>
      <c r="Q171" s="4" t="str">
        <f>HYPERLINK("http://141.218.60.56/~jnz1568/getInfo.php?workbook=09_01.xlsx&amp;sheet=A0&amp;row=171&amp;col=17&amp;number=&amp;sourceID=12","")</f>
        <v/>
      </c>
      <c r="R171" s="4" t="str">
        <f>HYPERLINK("http://141.218.60.56/~jnz1568/getInfo.php?workbook=09_01.xlsx&amp;sheet=A0&amp;row=171&amp;col=18&amp;number=6.2117&amp;sourceID=12","6.2117")</f>
        <v>6.2117</v>
      </c>
      <c r="S171" s="4" t="str">
        <f>HYPERLINK("http://141.218.60.56/~jnz1568/getInfo.php?workbook=09_01.xlsx&amp;sheet=A0&amp;row=171&amp;col=19&amp;number=&amp;sourceID=12","")</f>
        <v/>
      </c>
      <c r="T171" s="4" t="str">
        <f>HYPERLINK("http://141.218.60.56/~jnz1568/getInfo.php?workbook=09_01.xlsx&amp;sheet=A0&amp;row=171&amp;col=20&amp;number=0.11487&amp;sourceID=12","0.11487")</f>
        <v>0.11487</v>
      </c>
      <c r="U171" s="4" t="str">
        <f>HYPERLINK("http://141.218.60.56/~jnz1568/getInfo.php?workbook=09_01.xlsx&amp;sheet=A0&amp;row=171&amp;col=21&amp;number=1400006.212&amp;sourceID=30","1400006.212")</f>
        <v>1400006.212</v>
      </c>
      <c r="V171" s="4" t="str">
        <f>HYPERLINK("http://141.218.60.56/~jnz1568/getInfo.php?workbook=09_01.xlsx&amp;sheet=A0&amp;row=171&amp;col=22&amp;number=&amp;sourceID=30","")</f>
        <v/>
      </c>
      <c r="W171" s="4" t="str">
        <f>HYPERLINK("http://141.218.60.56/~jnz1568/getInfo.php?workbook=09_01.xlsx&amp;sheet=A0&amp;row=171&amp;col=23&amp;number=1400000&amp;sourceID=30","1400000")</f>
        <v>1400000</v>
      </c>
      <c r="X171" s="4" t="str">
        <f>HYPERLINK("http://141.218.60.56/~jnz1568/getInfo.php?workbook=09_01.xlsx&amp;sheet=A0&amp;row=171&amp;col=24&amp;number=6.212&amp;sourceID=30","6.212")</f>
        <v>6.212</v>
      </c>
      <c r="Y171" s="4" t="str">
        <f>HYPERLINK("http://141.218.60.56/~jnz1568/getInfo.php?workbook=09_01.xlsx&amp;sheet=A0&amp;row=171&amp;col=25&amp;number=&amp;sourceID=30","")</f>
        <v/>
      </c>
      <c r="Z171" s="4" t="str">
        <f>HYPERLINK("http://141.218.60.56/~jnz1568/getInfo.php?workbook=09_01.xlsx&amp;sheet=A0&amp;row=171&amp;col=26&amp;number=&amp;sourceID=13","")</f>
        <v/>
      </c>
      <c r="AA171" s="4" t="str">
        <f>HYPERLINK("http://141.218.60.56/~jnz1568/getInfo.php?workbook=09_01.xlsx&amp;sheet=A0&amp;row=171&amp;col=27&amp;number=&amp;sourceID=13","")</f>
        <v/>
      </c>
      <c r="AB171" s="4" t="str">
        <f>HYPERLINK("http://141.218.60.56/~jnz1568/getInfo.php?workbook=09_01.xlsx&amp;sheet=A0&amp;row=171&amp;col=28&amp;number=&amp;sourceID=13","")</f>
        <v/>
      </c>
      <c r="AC171" s="4" t="str">
        <f>HYPERLINK("http://141.218.60.56/~jnz1568/getInfo.php?workbook=09_01.xlsx&amp;sheet=A0&amp;row=171&amp;col=29&amp;number=&amp;sourceID=13","")</f>
        <v/>
      </c>
      <c r="AD171" s="4" t="str">
        <f>HYPERLINK("http://141.218.60.56/~jnz1568/getInfo.php?workbook=09_01.xlsx&amp;sheet=A0&amp;row=171&amp;col=30&amp;number=&amp;sourceID=13","")</f>
        <v/>
      </c>
      <c r="AE171" s="4" t="str">
        <f>HYPERLINK("http://141.218.60.56/~jnz1568/getInfo.php?workbook=09_01.xlsx&amp;sheet=A0&amp;row=171&amp;col=31&amp;number=&amp;sourceID=13","")</f>
        <v/>
      </c>
    </row>
    <row r="172" spans="1:31">
      <c r="A172" s="3">
        <v>9</v>
      </c>
      <c r="B172" s="3">
        <v>1</v>
      </c>
      <c r="C172" s="3">
        <v>20</v>
      </c>
      <c r="D172" s="3">
        <v>5</v>
      </c>
      <c r="E172" s="3">
        <f>((1/(INDEX(E0!J$4:J$28,C172,1)-INDEX(E0!J$4:J$28,D172,1))))*100000000</f>
        <v>0</v>
      </c>
      <c r="F172" s="4" t="str">
        <f>HYPERLINK("http://141.218.60.56/~jnz1568/getInfo.php?workbook=09_01.xlsx&amp;sheet=A0&amp;row=172&amp;col=6&amp;number=&amp;sourceID=18","")</f>
        <v/>
      </c>
      <c r="G172" s="4" t="str">
        <f>HYPERLINK("http://141.218.60.56/~jnz1568/getInfo.php?workbook=09_01.xlsx&amp;sheet=A0&amp;row=172&amp;col=7&amp;number==&amp;sourceID=11","=")</f>
        <v>=</v>
      </c>
      <c r="H172" s="4" t="str">
        <f>HYPERLINK("http://141.218.60.56/~jnz1568/getInfo.php?workbook=09_01.xlsx&amp;sheet=A0&amp;row=172&amp;col=8&amp;number=&amp;sourceID=11","")</f>
        <v/>
      </c>
      <c r="I172" s="4" t="str">
        <f>HYPERLINK("http://141.218.60.56/~jnz1568/getInfo.php?workbook=09_01.xlsx&amp;sheet=A0&amp;row=172&amp;col=9&amp;number=380770&amp;sourceID=11","380770")</f>
        <v>380770</v>
      </c>
      <c r="J172" s="4" t="str">
        <f>HYPERLINK("http://141.218.60.56/~jnz1568/getInfo.php?workbook=09_01.xlsx&amp;sheet=A0&amp;row=172&amp;col=10&amp;number=&amp;sourceID=11","")</f>
        <v/>
      </c>
      <c r="K172" s="4" t="str">
        <f>HYPERLINK("http://141.218.60.56/~jnz1568/getInfo.php?workbook=09_01.xlsx&amp;sheet=A0&amp;row=172&amp;col=11&amp;number=0.47479&amp;sourceID=11","0.47479")</f>
        <v>0.47479</v>
      </c>
      <c r="L172" s="4" t="str">
        <f>HYPERLINK("http://141.218.60.56/~jnz1568/getInfo.php?workbook=09_01.xlsx&amp;sheet=A0&amp;row=172&amp;col=12&amp;number=&amp;sourceID=11","")</f>
        <v/>
      </c>
      <c r="M172" s="4" t="str">
        <f>HYPERLINK("http://141.218.60.56/~jnz1568/getInfo.php?workbook=09_01.xlsx&amp;sheet=A0&amp;row=172&amp;col=13&amp;number=&amp;sourceID=11","")</f>
        <v/>
      </c>
      <c r="N172" s="4" t="str">
        <f>HYPERLINK("http://141.218.60.56/~jnz1568/getInfo.php?workbook=09_01.xlsx&amp;sheet=A0&amp;row=172&amp;col=14&amp;number=380780&amp;sourceID=12","380780")</f>
        <v>380780</v>
      </c>
      <c r="O172" s="4" t="str">
        <f>HYPERLINK("http://141.218.60.56/~jnz1568/getInfo.php?workbook=09_01.xlsx&amp;sheet=A0&amp;row=172&amp;col=15&amp;number=&amp;sourceID=12","")</f>
        <v/>
      </c>
      <c r="P172" s="4" t="str">
        <f>HYPERLINK("http://141.218.60.56/~jnz1568/getInfo.php?workbook=09_01.xlsx&amp;sheet=A0&amp;row=172&amp;col=16&amp;number=380780&amp;sourceID=12","380780")</f>
        <v>380780</v>
      </c>
      <c r="Q172" s="4" t="str">
        <f>HYPERLINK("http://141.218.60.56/~jnz1568/getInfo.php?workbook=09_01.xlsx&amp;sheet=A0&amp;row=172&amp;col=17&amp;number=&amp;sourceID=12","")</f>
        <v/>
      </c>
      <c r="R172" s="4" t="str">
        <f>HYPERLINK("http://141.218.60.56/~jnz1568/getInfo.php?workbook=09_01.xlsx&amp;sheet=A0&amp;row=172&amp;col=18&amp;number=0.47481&amp;sourceID=12","0.47481")</f>
        <v>0.47481</v>
      </c>
      <c r="S172" s="4" t="str">
        <f>HYPERLINK("http://141.218.60.56/~jnz1568/getInfo.php?workbook=09_01.xlsx&amp;sheet=A0&amp;row=172&amp;col=19&amp;number=&amp;sourceID=12","")</f>
        <v/>
      </c>
      <c r="T172" s="4" t="str">
        <f>HYPERLINK("http://141.218.60.56/~jnz1568/getInfo.php?workbook=09_01.xlsx&amp;sheet=A0&amp;row=172&amp;col=20&amp;number=&amp;sourceID=12","")</f>
        <v/>
      </c>
      <c r="U172" s="4" t="str">
        <f>HYPERLINK("http://141.218.60.56/~jnz1568/getInfo.php?workbook=09_01.xlsx&amp;sheet=A0&amp;row=172&amp;col=21&amp;number=380800.4749&amp;sourceID=30","380800.4749")</f>
        <v>380800.4749</v>
      </c>
      <c r="V172" s="4" t="str">
        <f>HYPERLINK("http://141.218.60.56/~jnz1568/getInfo.php?workbook=09_01.xlsx&amp;sheet=A0&amp;row=172&amp;col=22&amp;number=&amp;sourceID=30","")</f>
        <v/>
      </c>
      <c r="W172" s="4" t="str">
        <f>HYPERLINK("http://141.218.60.56/~jnz1568/getInfo.php?workbook=09_01.xlsx&amp;sheet=A0&amp;row=172&amp;col=23&amp;number=380800&amp;sourceID=30","380800")</f>
        <v>380800</v>
      </c>
      <c r="X172" s="4" t="str">
        <f>HYPERLINK("http://141.218.60.56/~jnz1568/getInfo.php?workbook=09_01.xlsx&amp;sheet=A0&amp;row=172&amp;col=24&amp;number=0.4749&amp;sourceID=30","0.4749")</f>
        <v>0.4749</v>
      </c>
      <c r="Y172" s="4" t="str">
        <f>HYPERLINK("http://141.218.60.56/~jnz1568/getInfo.php?workbook=09_01.xlsx&amp;sheet=A0&amp;row=172&amp;col=25&amp;number=&amp;sourceID=30","")</f>
        <v/>
      </c>
      <c r="Z172" s="4" t="str">
        <f>HYPERLINK("http://141.218.60.56/~jnz1568/getInfo.php?workbook=09_01.xlsx&amp;sheet=A0&amp;row=172&amp;col=26&amp;number=&amp;sourceID=13","")</f>
        <v/>
      </c>
      <c r="AA172" s="4" t="str">
        <f>HYPERLINK("http://141.218.60.56/~jnz1568/getInfo.php?workbook=09_01.xlsx&amp;sheet=A0&amp;row=172&amp;col=27&amp;number=&amp;sourceID=13","")</f>
        <v/>
      </c>
      <c r="AB172" s="4" t="str">
        <f>HYPERLINK("http://141.218.60.56/~jnz1568/getInfo.php?workbook=09_01.xlsx&amp;sheet=A0&amp;row=172&amp;col=28&amp;number=&amp;sourceID=13","")</f>
        <v/>
      </c>
      <c r="AC172" s="4" t="str">
        <f>HYPERLINK("http://141.218.60.56/~jnz1568/getInfo.php?workbook=09_01.xlsx&amp;sheet=A0&amp;row=172&amp;col=29&amp;number=&amp;sourceID=13","")</f>
        <v/>
      </c>
      <c r="AD172" s="4" t="str">
        <f>HYPERLINK("http://141.218.60.56/~jnz1568/getInfo.php?workbook=09_01.xlsx&amp;sheet=A0&amp;row=172&amp;col=30&amp;number=&amp;sourceID=13","")</f>
        <v/>
      </c>
      <c r="AE172" s="4" t="str">
        <f>HYPERLINK("http://141.218.60.56/~jnz1568/getInfo.php?workbook=09_01.xlsx&amp;sheet=A0&amp;row=172&amp;col=31&amp;number=&amp;sourceID=13","")</f>
        <v/>
      </c>
    </row>
    <row r="173" spans="1:31">
      <c r="A173" s="3">
        <v>9</v>
      </c>
      <c r="B173" s="3">
        <v>1</v>
      </c>
      <c r="C173" s="3">
        <v>20</v>
      </c>
      <c r="D173" s="3">
        <v>6</v>
      </c>
      <c r="E173" s="3">
        <f>((1/(INDEX(E0!J$4:J$28,C173,1)-INDEX(E0!J$4:J$28,D173,1))))*100000000</f>
        <v>0</v>
      </c>
      <c r="F173" s="4" t="str">
        <f>HYPERLINK("http://141.218.60.56/~jnz1568/getInfo.php?workbook=09_01.xlsx&amp;sheet=A0&amp;row=173&amp;col=6&amp;number=&amp;sourceID=18","")</f>
        <v/>
      </c>
      <c r="G173" s="4" t="str">
        <f>HYPERLINK("http://141.218.60.56/~jnz1568/getInfo.php?workbook=09_01.xlsx&amp;sheet=A0&amp;row=173&amp;col=7&amp;number==&amp;sourceID=11","=")</f>
        <v>=</v>
      </c>
      <c r="H173" s="4" t="str">
        <f>HYPERLINK("http://141.218.60.56/~jnz1568/getInfo.php?workbook=09_01.xlsx&amp;sheet=A0&amp;row=173&amp;col=8&amp;number=10739000000&amp;sourceID=11","10739000000")</f>
        <v>10739000000</v>
      </c>
      <c r="I173" s="4" t="str">
        <f>HYPERLINK("http://141.218.60.56/~jnz1568/getInfo.php?workbook=09_01.xlsx&amp;sheet=A0&amp;row=173&amp;col=9&amp;number=&amp;sourceID=11","")</f>
        <v/>
      </c>
      <c r="J173" s="4" t="str">
        <f>HYPERLINK("http://141.218.60.56/~jnz1568/getInfo.php?workbook=09_01.xlsx&amp;sheet=A0&amp;row=173&amp;col=10&amp;number=&amp;sourceID=11","")</f>
        <v/>
      </c>
      <c r="K173" s="4" t="str">
        <f>HYPERLINK("http://141.218.60.56/~jnz1568/getInfo.php?workbook=09_01.xlsx&amp;sheet=A0&amp;row=173&amp;col=11&amp;number=&amp;sourceID=11","")</f>
        <v/>
      </c>
      <c r="L173" s="4" t="str">
        <f>HYPERLINK("http://141.218.60.56/~jnz1568/getInfo.php?workbook=09_01.xlsx&amp;sheet=A0&amp;row=173&amp;col=12&amp;number=47.502&amp;sourceID=11","47.502")</f>
        <v>47.502</v>
      </c>
      <c r="M173" s="4" t="str">
        <f>HYPERLINK("http://141.218.60.56/~jnz1568/getInfo.php?workbook=09_01.xlsx&amp;sheet=A0&amp;row=173&amp;col=13&amp;number=&amp;sourceID=11","")</f>
        <v/>
      </c>
      <c r="N173" s="4" t="str">
        <f>HYPERLINK("http://141.218.60.56/~jnz1568/getInfo.php?workbook=09_01.xlsx&amp;sheet=A0&amp;row=173&amp;col=14&amp;number=10739000000&amp;sourceID=12","10739000000")</f>
        <v>10739000000</v>
      </c>
      <c r="O173" s="4" t="str">
        <f>HYPERLINK("http://141.218.60.56/~jnz1568/getInfo.php?workbook=09_01.xlsx&amp;sheet=A0&amp;row=173&amp;col=15&amp;number=10739000000&amp;sourceID=12","10739000000")</f>
        <v>10739000000</v>
      </c>
      <c r="P173" s="4" t="str">
        <f>HYPERLINK("http://141.218.60.56/~jnz1568/getInfo.php?workbook=09_01.xlsx&amp;sheet=A0&amp;row=173&amp;col=16&amp;number=&amp;sourceID=12","")</f>
        <v/>
      </c>
      <c r="Q173" s="4" t="str">
        <f>HYPERLINK("http://141.218.60.56/~jnz1568/getInfo.php?workbook=09_01.xlsx&amp;sheet=A0&amp;row=173&amp;col=17&amp;number=&amp;sourceID=12","")</f>
        <v/>
      </c>
      <c r="R173" s="4" t="str">
        <f>HYPERLINK("http://141.218.60.56/~jnz1568/getInfo.php?workbook=09_01.xlsx&amp;sheet=A0&amp;row=173&amp;col=18&amp;number=&amp;sourceID=12","")</f>
        <v/>
      </c>
      <c r="S173" s="4" t="str">
        <f>HYPERLINK("http://141.218.60.56/~jnz1568/getInfo.php?workbook=09_01.xlsx&amp;sheet=A0&amp;row=173&amp;col=19&amp;number=47.503&amp;sourceID=12","47.503")</f>
        <v>47.503</v>
      </c>
      <c r="T173" s="4" t="str">
        <f>HYPERLINK("http://141.218.60.56/~jnz1568/getInfo.php?workbook=09_01.xlsx&amp;sheet=A0&amp;row=173&amp;col=20&amp;number=&amp;sourceID=12","")</f>
        <v/>
      </c>
      <c r="U173" s="4" t="str">
        <f>HYPERLINK("http://141.218.60.56/~jnz1568/getInfo.php?workbook=09_01.xlsx&amp;sheet=A0&amp;row=173&amp;col=21&amp;number=10740000047.5&amp;sourceID=30","10740000047.5")</f>
        <v>10740000047.5</v>
      </c>
      <c r="V173" s="4" t="str">
        <f>HYPERLINK("http://141.218.60.56/~jnz1568/getInfo.php?workbook=09_01.xlsx&amp;sheet=A0&amp;row=173&amp;col=22&amp;number=10740000000&amp;sourceID=30","10740000000")</f>
        <v>10740000000</v>
      </c>
      <c r="W173" s="4" t="str">
        <f>HYPERLINK("http://141.218.60.56/~jnz1568/getInfo.php?workbook=09_01.xlsx&amp;sheet=A0&amp;row=173&amp;col=23&amp;number=&amp;sourceID=30","")</f>
        <v/>
      </c>
      <c r="X173" s="4" t="str">
        <f>HYPERLINK("http://141.218.60.56/~jnz1568/getInfo.php?workbook=09_01.xlsx&amp;sheet=A0&amp;row=173&amp;col=24&amp;number=&amp;sourceID=30","")</f>
        <v/>
      </c>
      <c r="Y173" s="4" t="str">
        <f>HYPERLINK("http://141.218.60.56/~jnz1568/getInfo.php?workbook=09_01.xlsx&amp;sheet=A0&amp;row=173&amp;col=25&amp;number=47.5&amp;sourceID=30","47.5")</f>
        <v>47.5</v>
      </c>
      <c r="Z173" s="4" t="str">
        <f>HYPERLINK("http://141.218.60.56/~jnz1568/getInfo.php?workbook=09_01.xlsx&amp;sheet=A0&amp;row=173&amp;col=26&amp;number=&amp;sourceID=13","")</f>
        <v/>
      </c>
      <c r="AA173" s="4" t="str">
        <f>HYPERLINK("http://141.218.60.56/~jnz1568/getInfo.php?workbook=09_01.xlsx&amp;sheet=A0&amp;row=173&amp;col=27&amp;number=&amp;sourceID=13","")</f>
        <v/>
      </c>
      <c r="AB173" s="4" t="str">
        <f>HYPERLINK("http://141.218.60.56/~jnz1568/getInfo.php?workbook=09_01.xlsx&amp;sheet=A0&amp;row=173&amp;col=28&amp;number=&amp;sourceID=13","")</f>
        <v/>
      </c>
      <c r="AC173" s="4" t="str">
        <f>HYPERLINK("http://141.218.60.56/~jnz1568/getInfo.php?workbook=09_01.xlsx&amp;sheet=A0&amp;row=173&amp;col=29&amp;number=&amp;sourceID=13","")</f>
        <v/>
      </c>
      <c r="AD173" s="4" t="str">
        <f>HYPERLINK("http://141.218.60.56/~jnz1568/getInfo.php?workbook=09_01.xlsx&amp;sheet=A0&amp;row=173&amp;col=30&amp;number=&amp;sourceID=13","")</f>
        <v/>
      </c>
      <c r="AE173" s="4" t="str">
        <f>HYPERLINK("http://141.218.60.56/~jnz1568/getInfo.php?workbook=09_01.xlsx&amp;sheet=A0&amp;row=173&amp;col=31&amp;number=&amp;sourceID=13","")</f>
        <v/>
      </c>
    </row>
    <row r="174" spans="1:31">
      <c r="A174" s="3">
        <v>9</v>
      </c>
      <c r="B174" s="3">
        <v>1</v>
      </c>
      <c r="C174" s="3">
        <v>20</v>
      </c>
      <c r="D174" s="3">
        <v>7</v>
      </c>
      <c r="E174" s="3">
        <f>((1/(INDEX(E0!J$4:J$28,C174,1)-INDEX(E0!J$4:J$28,D174,1))))*100000000</f>
        <v>0</v>
      </c>
      <c r="F174" s="4" t="str">
        <f>HYPERLINK("http://141.218.60.56/~jnz1568/getInfo.php?workbook=09_01.xlsx&amp;sheet=A0&amp;row=174&amp;col=6&amp;number=&amp;sourceID=18","")</f>
        <v/>
      </c>
      <c r="G174" s="4" t="str">
        <f>HYPERLINK("http://141.218.60.56/~jnz1568/getInfo.php?workbook=09_01.xlsx&amp;sheet=A0&amp;row=174&amp;col=7&amp;number==&amp;sourceID=11","=")</f>
        <v>=</v>
      </c>
      <c r="H174" s="4" t="str">
        <f>HYPERLINK("http://141.218.60.56/~jnz1568/getInfo.php?workbook=09_01.xlsx&amp;sheet=A0&amp;row=174&amp;col=8&amp;number=98257000&amp;sourceID=11","98257000")</f>
        <v>98257000</v>
      </c>
      <c r="I174" s="4" t="str">
        <f>HYPERLINK("http://141.218.60.56/~jnz1568/getInfo.php?workbook=09_01.xlsx&amp;sheet=A0&amp;row=174&amp;col=9&amp;number=&amp;sourceID=11","")</f>
        <v/>
      </c>
      <c r="J174" s="4" t="str">
        <f>HYPERLINK("http://141.218.60.56/~jnz1568/getInfo.php?workbook=09_01.xlsx&amp;sheet=A0&amp;row=174&amp;col=10&amp;number=5.8508&amp;sourceID=11","5.8508")</f>
        <v>5.8508</v>
      </c>
      <c r="K174" s="4" t="str">
        <f>HYPERLINK("http://141.218.60.56/~jnz1568/getInfo.php?workbook=09_01.xlsx&amp;sheet=A0&amp;row=174&amp;col=11&amp;number=&amp;sourceID=11","")</f>
        <v/>
      </c>
      <c r="L174" s="4" t="str">
        <f>HYPERLINK("http://141.218.60.56/~jnz1568/getInfo.php?workbook=09_01.xlsx&amp;sheet=A0&amp;row=174&amp;col=12&amp;number=&amp;sourceID=11","")</f>
        <v/>
      </c>
      <c r="M174" s="4" t="str">
        <f>HYPERLINK("http://141.218.60.56/~jnz1568/getInfo.php?workbook=09_01.xlsx&amp;sheet=A0&amp;row=174&amp;col=13&amp;number=&amp;sourceID=11","")</f>
        <v/>
      </c>
      <c r="N174" s="4" t="str">
        <f>HYPERLINK("http://141.218.60.56/~jnz1568/getInfo.php?workbook=09_01.xlsx&amp;sheet=A0&amp;row=174&amp;col=14&amp;number=98260000&amp;sourceID=12","98260000")</f>
        <v>98260000</v>
      </c>
      <c r="O174" s="4" t="str">
        <f>HYPERLINK("http://141.218.60.56/~jnz1568/getInfo.php?workbook=09_01.xlsx&amp;sheet=A0&amp;row=174&amp;col=15&amp;number=98260000&amp;sourceID=12","98260000")</f>
        <v>98260000</v>
      </c>
      <c r="P174" s="4" t="str">
        <f>HYPERLINK("http://141.218.60.56/~jnz1568/getInfo.php?workbook=09_01.xlsx&amp;sheet=A0&amp;row=174&amp;col=16&amp;number=&amp;sourceID=12","")</f>
        <v/>
      </c>
      <c r="Q174" s="4" t="str">
        <f>HYPERLINK("http://141.218.60.56/~jnz1568/getInfo.php?workbook=09_01.xlsx&amp;sheet=A0&amp;row=174&amp;col=17&amp;number=5.8509&amp;sourceID=12","5.8509")</f>
        <v>5.8509</v>
      </c>
      <c r="R174" s="4" t="str">
        <f>HYPERLINK("http://141.218.60.56/~jnz1568/getInfo.php?workbook=09_01.xlsx&amp;sheet=A0&amp;row=174&amp;col=18&amp;number=&amp;sourceID=12","")</f>
        <v/>
      </c>
      <c r="S174" s="4" t="str">
        <f>HYPERLINK("http://141.218.60.56/~jnz1568/getInfo.php?workbook=09_01.xlsx&amp;sheet=A0&amp;row=174&amp;col=19&amp;number=&amp;sourceID=12","")</f>
        <v/>
      </c>
      <c r="T174" s="4" t="str">
        <f>HYPERLINK("http://141.218.60.56/~jnz1568/getInfo.php?workbook=09_01.xlsx&amp;sheet=A0&amp;row=174&amp;col=20&amp;number=&amp;sourceID=12","")</f>
        <v/>
      </c>
      <c r="U174" s="4" t="str">
        <f>HYPERLINK("http://141.218.60.56/~jnz1568/getInfo.php?workbook=09_01.xlsx&amp;sheet=A0&amp;row=174&amp;col=21&amp;number=98260000&amp;sourceID=30","98260000")</f>
        <v>98260000</v>
      </c>
      <c r="V174" s="4" t="str">
        <f>HYPERLINK("http://141.218.60.56/~jnz1568/getInfo.php?workbook=09_01.xlsx&amp;sheet=A0&amp;row=174&amp;col=22&amp;number=98260000&amp;sourceID=30","98260000")</f>
        <v>98260000</v>
      </c>
      <c r="W174" s="4" t="str">
        <f>HYPERLINK("http://141.218.60.56/~jnz1568/getInfo.php?workbook=09_01.xlsx&amp;sheet=A0&amp;row=174&amp;col=23&amp;number=&amp;sourceID=30","")</f>
        <v/>
      </c>
      <c r="X174" s="4" t="str">
        <f>HYPERLINK("http://141.218.60.56/~jnz1568/getInfo.php?workbook=09_01.xlsx&amp;sheet=A0&amp;row=174&amp;col=24&amp;number=&amp;sourceID=30","")</f>
        <v/>
      </c>
      <c r="Y174" s="4" t="str">
        <f>HYPERLINK("http://141.218.60.56/~jnz1568/getInfo.php?workbook=09_01.xlsx&amp;sheet=A0&amp;row=174&amp;col=25&amp;number=&amp;sourceID=30","")</f>
        <v/>
      </c>
      <c r="Z174" s="4" t="str">
        <f>HYPERLINK("http://141.218.60.56/~jnz1568/getInfo.php?workbook=09_01.xlsx&amp;sheet=A0&amp;row=174&amp;col=26&amp;number=&amp;sourceID=13","")</f>
        <v/>
      </c>
      <c r="AA174" s="4" t="str">
        <f>HYPERLINK("http://141.218.60.56/~jnz1568/getInfo.php?workbook=09_01.xlsx&amp;sheet=A0&amp;row=174&amp;col=27&amp;number=&amp;sourceID=13","")</f>
        <v/>
      </c>
      <c r="AB174" s="4" t="str">
        <f>HYPERLINK("http://141.218.60.56/~jnz1568/getInfo.php?workbook=09_01.xlsx&amp;sheet=A0&amp;row=174&amp;col=28&amp;number=&amp;sourceID=13","")</f>
        <v/>
      </c>
      <c r="AC174" s="4" t="str">
        <f>HYPERLINK("http://141.218.60.56/~jnz1568/getInfo.php?workbook=09_01.xlsx&amp;sheet=A0&amp;row=174&amp;col=29&amp;number=&amp;sourceID=13","")</f>
        <v/>
      </c>
      <c r="AD174" s="4" t="str">
        <f>HYPERLINK("http://141.218.60.56/~jnz1568/getInfo.php?workbook=09_01.xlsx&amp;sheet=A0&amp;row=174&amp;col=30&amp;number=&amp;sourceID=13","")</f>
        <v/>
      </c>
      <c r="AE174" s="4" t="str">
        <f>HYPERLINK("http://141.218.60.56/~jnz1568/getInfo.php?workbook=09_01.xlsx&amp;sheet=A0&amp;row=174&amp;col=31&amp;number=&amp;sourceID=13","")</f>
        <v/>
      </c>
    </row>
    <row r="175" spans="1:31">
      <c r="A175" s="3">
        <v>9</v>
      </c>
      <c r="B175" s="3">
        <v>1</v>
      </c>
      <c r="C175" s="3">
        <v>20</v>
      </c>
      <c r="D175" s="3">
        <v>8</v>
      </c>
      <c r="E175" s="3">
        <f>((1/(INDEX(E0!J$4:J$28,C175,1)-INDEX(E0!J$4:J$28,D175,1))))*100000000</f>
        <v>0</v>
      </c>
      <c r="F175" s="4" t="str">
        <f>HYPERLINK("http://141.218.60.56/~jnz1568/getInfo.php?workbook=09_01.xlsx&amp;sheet=A0&amp;row=175&amp;col=6&amp;number=&amp;sourceID=18","")</f>
        <v/>
      </c>
      <c r="G175" s="4" t="str">
        <f>HYPERLINK("http://141.218.60.56/~jnz1568/getInfo.php?workbook=09_01.xlsx&amp;sheet=A0&amp;row=175&amp;col=7&amp;number==&amp;sourceID=11","=")</f>
        <v>=</v>
      </c>
      <c r="H175" s="4" t="str">
        <f>HYPERLINK("http://141.218.60.56/~jnz1568/getInfo.php?workbook=09_01.xlsx&amp;sheet=A0&amp;row=175&amp;col=8&amp;number=&amp;sourceID=11","")</f>
        <v/>
      </c>
      <c r="I175" s="4" t="str">
        <f>HYPERLINK("http://141.218.60.56/~jnz1568/getInfo.php?workbook=09_01.xlsx&amp;sheet=A0&amp;row=175&amp;col=9&amp;number=379690&amp;sourceID=11","379690")</f>
        <v>379690</v>
      </c>
      <c r="J175" s="4" t="str">
        <f>HYPERLINK("http://141.218.60.56/~jnz1568/getInfo.php?workbook=09_01.xlsx&amp;sheet=A0&amp;row=175&amp;col=10&amp;number=&amp;sourceID=11","")</f>
        <v/>
      </c>
      <c r="K175" s="4" t="str">
        <f>HYPERLINK("http://141.218.60.56/~jnz1568/getInfo.php?workbook=09_01.xlsx&amp;sheet=A0&amp;row=175&amp;col=11&amp;number=0.19315&amp;sourceID=11","0.19315")</f>
        <v>0.19315</v>
      </c>
      <c r="L175" s="4" t="str">
        <f>HYPERLINK("http://141.218.60.56/~jnz1568/getInfo.php?workbook=09_01.xlsx&amp;sheet=A0&amp;row=175&amp;col=12&amp;number=&amp;sourceID=11","")</f>
        <v/>
      </c>
      <c r="M175" s="4" t="str">
        <f>HYPERLINK("http://141.218.60.56/~jnz1568/getInfo.php?workbook=09_01.xlsx&amp;sheet=A0&amp;row=175&amp;col=13&amp;number=0.0035749&amp;sourceID=11","0.0035749")</f>
        <v>0.0035749</v>
      </c>
      <c r="N175" s="4" t="str">
        <f>HYPERLINK("http://141.218.60.56/~jnz1568/getInfo.php?workbook=09_01.xlsx&amp;sheet=A0&amp;row=175&amp;col=14&amp;number=379700&amp;sourceID=12","379700")</f>
        <v>379700</v>
      </c>
      <c r="O175" s="4" t="str">
        <f>HYPERLINK("http://141.218.60.56/~jnz1568/getInfo.php?workbook=09_01.xlsx&amp;sheet=A0&amp;row=175&amp;col=15&amp;number=&amp;sourceID=12","")</f>
        <v/>
      </c>
      <c r="P175" s="4" t="str">
        <f>HYPERLINK("http://141.218.60.56/~jnz1568/getInfo.php?workbook=09_01.xlsx&amp;sheet=A0&amp;row=175&amp;col=16&amp;number=379700&amp;sourceID=12","379700")</f>
        <v>379700</v>
      </c>
      <c r="Q175" s="4" t="str">
        <f>HYPERLINK("http://141.218.60.56/~jnz1568/getInfo.php?workbook=09_01.xlsx&amp;sheet=A0&amp;row=175&amp;col=17&amp;number=&amp;sourceID=12","")</f>
        <v/>
      </c>
      <c r="R175" s="4" t="str">
        <f>HYPERLINK("http://141.218.60.56/~jnz1568/getInfo.php?workbook=09_01.xlsx&amp;sheet=A0&amp;row=175&amp;col=18&amp;number=0.19316&amp;sourceID=12","0.19316")</f>
        <v>0.19316</v>
      </c>
      <c r="S175" s="4" t="str">
        <f>HYPERLINK("http://141.218.60.56/~jnz1568/getInfo.php?workbook=09_01.xlsx&amp;sheet=A0&amp;row=175&amp;col=19&amp;number=&amp;sourceID=12","")</f>
        <v/>
      </c>
      <c r="T175" s="4" t="str">
        <f>HYPERLINK("http://141.218.60.56/~jnz1568/getInfo.php?workbook=09_01.xlsx&amp;sheet=A0&amp;row=175&amp;col=20&amp;number=0.003575&amp;sourceID=12","0.003575")</f>
        <v>0.003575</v>
      </c>
      <c r="U175" s="4" t="str">
        <f>HYPERLINK("http://141.218.60.56/~jnz1568/getInfo.php?workbook=09_01.xlsx&amp;sheet=A0&amp;row=175&amp;col=21&amp;number=379700.1931&amp;sourceID=30","379700.1931")</f>
        <v>379700.1931</v>
      </c>
      <c r="V175" s="4" t="str">
        <f>HYPERLINK("http://141.218.60.56/~jnz1568/getInfo.php?workbook=09_01.xlsx&amp;sheet=A0&amp;row=175&amp;col=22&amp;number=&amp;sourceID=30","")</f>
        <v/>
      </c>
      <c r="W175" s="4" t="str">
        <f>HYPERLINK("http://141.218.60.56/~jnz1568/getInfo.php?workbook=09_01.xlsx&amp;sheet=A0&amp;row=175&amp;col=23&amp;number=379700&amp;sourceID=30","379700")</f>
        <v>379700</v>
      </c>
      <c r="X175" s="4" t="str">
        <f>HYPERLINK("http://141.218.60.56/~jnz1568/getInfo.php?workbook=09_01.xlsx&amp;sheet=A0&amp;row=175&amp;col=24&amp;number=0.1931&amp;sourceID=30","0.1931")</f>
        <v>0.1931</v>
      </c>
      <c r="Y175" s="4" t="str">
        <f>HYPERLINK("http://141.218.60.56/~jnz1568/getInfo.php?workbook=09_01.xlsx&amp;sheet=A0&amp;row=175&amp;col=25&amp;number=&amp;sourceID=30","")</f>
        <v/>
      </c>
      <c r="Z175" s="4" t="str">
        <f>HYPERLINK("http://141.218.60.56/~jnz1568/getInfo.php?workbook=09_01.xlsx&amp;sheet=A0&amp;row=175&amp;col=26&amp;number=&amp;sourceID=13","")</f>
        <v/>
      </c>
      <c r="AA175" s="4" t="str">
        <f>HYPERLINK("http://141.218.60.56/~jnz1568/getInfo.php?workbook=09_01.xlsx&amp;sheet=A0&amp;row=175&amp;col=27&amp;number=&amp;sourceID=13","")</f>
        <v/>
      </c>
      <c r="AB175" s="4" t="str">
        <f>HYPERLINK("http://141.218.60.56/~jnz1568/getInfo.php?workbook=09_01.xlsx&amp;sheet=A0&amp;row=175&amp;col=28&amp;number=&amp;sourceID=13","")</f>
        <v/>
      </c>
      <c r="AC175" s="4" t="str">
        <f>HYPERLINK("http://141.218.60.56/~jnz1568/getInfo.php?workbook=09_01.xlsx&amp;sheet=A0&amp;row=175&amp;col=29&amp;number=&amp;sourceID=13","")</f>
        <v/>
      </c>
      <c r="AD175" s="4" t="str">
        <f>HYPERLINK("http://141.218.60.56/~jnz1568/getInfo.php?workbook=09_01.xlsx&amp;sheet=A0&amp;row=175&amp;col=30&amp;number=&amp;sourceID=13","")</f>
        <v/>
      </c>
      <c r="AE175" s="4" t="str">
        <f>HYPERLINK("http://141.218.60.56/~jnz1568/getInfo.php?workbook=09_01.xlsx&amp;sheet=A0&amp;row=175&amp;col=31&amp;number=&amp;sourceID=13","")</f>
        <v/>
      </c>
    </row>
    <row r="176" spans="1:31">
      <c r="A176" s="3">
        <v>9</v>
      </c>
      <c r="B176" s="3">
        <v>1</v>
      </c>
      <c r="C176" s="3">
        <v>20</v>
      </c>
      <c r="D176" s="3">
        <v>9</v>
      </c>
      <c r="E176" s="3">
        <f>((1/(INDEX(E0!J$4:J$28,C176,1)-INDEX(E0!J$4:J$28,D176,1))))*100000000</f>
        <v>0</v>
      </c>
      <c r="F176" s="4" t="str">
        <f>HYPERLINK("http://141.218.60.56/~jnz1568/getInfo.php?workbook=09_01.xlsx&amp;sheet=A0&amp;row=176&amp;col=6&amp;number=&amp;sourceID=18","")</f>
        <v/>
      </c>
      <c r="G176" s="4" t="str">
        <f>HYPERLINK("http://141.218.60.56/~jnz1568/getInfo.php?workbook=09_01.xlsx&amp;sheet=A0&amp;row=176&amp;col=7&amp;number==&amp;sourceID=11","=")</f>
        <v>=</v>
      </c>
      <c r="H176" s="4" t="str">
        <f>HYPERLINK("http://141.218.60.56/~jnz1568/getInfo.php?workbook=09_01.xlsx&amp;sheet=A0&amp;row=176&amp;col=8&amp;number=887470000&amp;sourceID=11","887470000")</f>
        <v>887470000</v>
      </c>
      <c r="I176" s="4" t="str">
        <f>HYPERLINK("http://141.218.60.56/~jnz1568/getInfo.php?workbook=09_01.xlsx&amp;sheet=A0&amp;row=176&amp;col=9&amp;number=&amp;sourceID=11","")</f>
        <v/>
      </c>
      <c r="J176" s="4" t="str">
        <f>HYPERLINK("http://141.218.60.56/~jnz1568/getInfo.php?workbook=09_01.xlsx&amp;sheet=A0&amp;row=176&amp;col=10&amp;number=3.891&amp;sourceID=11","3.891")</f>
        <v>3.891</v>
      </c>
      <c r="K176" s="4" t="str">
        <f>HYPERLINK("http://141.218.60.56/~jnz1568/getInfo.php?workbook=09_01.xlsx&amp;sheet=A0&amp;row=176&amp;col=11&amp;number=&amp;sourceID=11","")</f>
        <v/>
      </c>
      <c r="L176" s="4" t="str">
        <f>HYPERLINK("http://141.218.60.56/~jnz1568/getInfo.php?workbook=09_01.xlsx&amp;sheet=A0&amp;row=176&amp;col=12&amp;number=5.0766&amp;sourceID=11","5.0766")</f>
        <v>5.0766</v>
      </c>
      <c r="M176" s="4" t="str">
        <f>HYPERLINK("http://141.218.60.56/~jnz1568/getInfo.php?workbook=09_01.xlsx&amp;sheet=A0&amp;row=176&amp;col=13&amp;number=&amp;sourceID=11","")</f>
        <v/>
      </c>
      <c r="N176" s="4" t="str">
        <f>HYPERLINK("http://141.218.60.56/~jnz1568/getInfo.php?workbook=09_01.xlsx&amp;sheet=A0&amp;row=176&amp;col=14&amp;number=887500000&amp;sourceID=12","887500000")</f>
        <v>887500000</v>
      </c>
      <c r="O176" s="4" t="str">
        <f>HYPERLINK("http://141.218.60.56/~jnz1568/getInfo.php?workbook=09_01.xlsx&amp;sheet=A0&amp;row=176&amp;col=15&amp;number=887500000&amp;sourceID=12","887500000")</f>
        <v>887500000</v>
      </c>
      <c r="P176" s="4" t="str">
        <f>HYPERLINK("http://141.218.60.56/~jnz1568/getInfo.php?workbook=09_01.xlsx&amp;sheet=A0&amp;row=176&amp;col=16&amp;number=&amp;sourceID=12","")</f>
        <v/>
      </c>
      <c r="Q176" s="4" t="str">
        <f>HYPERLINK("http://141.218.60.56/~jnz1568/getInfo.php?workbook=09_01.xlsx&amp;sheet=A0&amp;row=176&amp;col=17&amp;number=3.8911&amp;sourceID=12","3.8911")</f>
        <v>3.8911</v>
      </c>
      <c r="R176" s="4" t="str">
        <f>HYPERLINK("http://141.218.60.56/~jnz1568/getInfo.php?workbook=09_01.xlsx&amp;sheet=A0&amp;row=176&amp;col=18&amp;number=&amp;sourceID=12","")</f>
        <v/>
      </c>
      <c r="S176" s="4" t="str">
        <f>HYPERLINK("http://141.218.60.56/~jnz1568/getInfo.php?workbook=09_01.xlsx&amp;sheet=A0&amp;row=176&amp;col=19&amp;number=5.0767&amp;sourceID=12","5.0767")</f>
        <v>5.0767</v>
      </c>
      <c r="T176" s="4" t="str">
        <f>HYPERLINK("http://141.218.60.56/~jnz1568/getInfo.php?workbook=09_01.xlsx&amp;sheet=A0&amp;row=176&amp;col=20&amp;number=&amp;sourceID=12","")</f>
        <v/>
      </c>
      <c r="U176" s="4" t="str">
        <f>HYPERLINK("http://141.218.60.56/~jnz1568/getInfo.php?workbook=09_01.xlsx&amp;sheet=A0&amp;row=176&amp;col=21&amp;number=887500005.077&amp;sourceID=30","887500005.077")</f>
        <v>887500005.077</v>
      </c>
      <c r="V176" s="4" t="str">
        <f>HYPERLINK("http://141.218.60.56/~jnz1568/getInfo.php?workbook=09_01.xlsx&amp;sheet=A0&amp;row=176&amp;col=22&amp;number=887500000&amp;sourceID=30","887500000")</f>
        <v>887500000</v>
      </c>
      <c r="W176" s="4" t="str">
        <f>HYPERLINK("http://141.218.60.56/~jnz1568/getInfo.php?workbook=09_01.xlsx&amp;sheet=A0&amp;row=176&amp;col=23&amp;number=&amp;sourceID=30","")</f>
        <v/>
      </c>
      <c r="X176" s="4" t="str">
        <f>HYPERLINK("http://141.218.60.56/~jnz1568/getInfo.php?workbook=09_01.xlsx&amp;sheet=A0&amp;row=176&amp;col=24&amp;number=&amp;sourceID=30","")</f>
        <v/>
      </c>
      <c r="Y176" s="4" t="str">
        <f>HYPERLINK("http://141.218.60.56/~jnz1568/getInfo.php?workbook=09_01.xlsx&amp;sheet=A0&amp;row=176&amp;col=25&amp;number=5.077&amp;sourceID=30","5.077")</f>
        <v>5.077</v>
      </c>
      <c r="Z176" s="4" t="str">
        <f>HYPERLINK("http://141.218.60.56/~jnz1568/getInfo.php?workbook=09_01.xlsx&amp;sheet=A0&amp;row=176&amp;col=26&amp;number=&amp;sourceID=13","")</f>
        <v/>
      </c>
      <c r="AA176" s="4" t="str">
        <f>HYPERLINK("http://141.218.60.56/~jnz1568/getInfo.php?workbook=09_01.xlsx&amp;sheet=A0&amp;row=176&amp;col=27&amp;number=&amp;sourceID=13","")</f>
        <v/>
      </c>
      <c r="AB176" s="4" t="str">
        <f>HYPERLINK("http://141.218.60.56/~jnz1568/getInfo.php?workbook=09_01.xlsx&amp;sheet=A0&amp;row=176&amp;col=28&amp;number=&amp;sourceID=13","")</f>
        <v/>
      </c>
      <c r="AC176" s="4" t="str">
        <f>HYPERLINK("http://141.218.60.56/~jnz1568/getInfo.php?workbook=09_01.xlsx&amp;sheet=A0&amp;row=176&amp;col=29&amp;number=&amp;sourceID=13","")</f>
        <v/>
      </c>
      <c r="AD176" s="4" t="str">
        <f>HYPERLINK("http://141.218.60.56/~jnz1568/getInfo.php?workbook=09_01.xlsx&amp;sheet=A0&amp;row=176&amp;col=30&amp;number=&amp;sourceID=13","")</f>
        <v/>
      </c>
      <c r="AE176" s="4" t="str">
        <f>HYPERLINK("http://141.218.60.56/~jnz1568/getInfo.php?workbook=09_01.xlsx&amp;sheet=A0&amp;row=176&amp;col=31&amp;number=&amp;sourceID=13","")</f>
        <v/>
      </c>
    </row>
    <row r="177" spans="1:31">
      <c r="A177" s="3">
        <v>9</v>
      </c>
      <c r="B177" s="3">
        <v>1</v>
      </c>
      <c r="C177" s="3">
        <v>20</v>
      </c>
      <c r="D177" s="3">
        <v>10</v>
      </c>
      <c r="E177" s="3">
        <f>((1/(INDEX(E0!J$4:J$28,C177,1)-INDEX(E0!J$4:J$28,D177,1))))*100000000</f>
        <v>0</v>
      </c>
      <c r="F177" s="4" t="str">
        <f>HYPERLINK("http://141.218.60.56/~jnz1568/getInfo.php?workbook=09_01.xlsx&amp;sheet=A0&amp;row=177&amp;col=6&amp;number=&amp;sourceID=18","")</f>
        <v/>
      </c>
      <c r="G177" s="4" t="str">
        <f>HYPERLINK("http://141.218.60.56/~jnz1568/getInfo.php?workbook=09_01.xlsx&amp;sheet=A0&amp;row=177&amp;col=7&amp;number==&amp;sourceID=11","=")</f>
        <v>=</v>
      </c>
      <c r="H177" s="4" t="str">
        <f>HYPERLINK("http://141.218.60.56/~jnz1568/getInfo.php?workbook=09_01.xlsx&amp;sheet=A0&amp;row=177&amp;col=8&amp;number=&amp;sourceID=11","")</f>
        <v/>
      </c>
      <c r="I177" s="4" t="str">
        <f>HYPERLINK("http://141.218.60.56/~jnz1568/getInfo.php?workbook=09_01.xlsx&amp;sheet=A0&amp;row=177&amp;col=9&amp;number=120940&amp;sourceID=11","120940")</f>
        <v>120940</v>
      </c>
      <c r="J177" s="4" t="str">
        <f>HYPERLINK("http://141.218.60.56/~jnz1568/getInfo.php?workbook=09_01.xlsx&amp;sheet=A0&amp;row=177&amp;col=10&amp;number=&amp;sourceID=11","")</f>
        <v/>
      </c>
      <c r="K177" s="4" t="str">
        <f>HYPERLINK("http://141.218.60.56/~jnz1568/getInfo.php?workbook=09_01.xlsx&amp;sheet=A0&amp;row=177&amp;col=11&amp;number=0.073767&amp;sourceID=11","0.073767")</f>
        <v>0.073767</v>
      </c>
      <c r="L177" s="4" t="str">
        <f>HYPERLINK("http://141.218.60.56/~jnz1568/getInfo.php?workbook=09_01.xlsx&amp;sheet=A0&amp;row=177&amp;col=12&amp;number=&amp;sourceID=11","")</f>
        <v/>
      </c>
      <c r="M177" s="4" t="str">
        <f>HYPERLINK("http://141.218.60.56/~jnz1568/getInfo.php?workbook=09_01.xlsx&amp;sheet=A0&amp;row=177&amp;col=13&amp;number=&amp;sourceID=11","")</f>
        <v/>
      </c>
      <c r="N177" s="4" t="str">
        <f>HYPERLINK("http://141.218.60.56/~jnz1568/getInfo.php?workbook=09_01.xlsx&amp;sheet=A0&amp;row=177&amp;col=14&amp;number=120940&amp;sourceID=12","120940")</f>
        <v>120940</v>
      </c>
      <c r="O177" s="4" t="str">
        <f>HYPERLINK("http://141.218.60.56/~jnz1568/getInfo.php?workbook=09_01.xlsx&amp;sheet=A0&amp;row=177&amp;col=15&amp;number=&amp;sourceID=12","")</f>
        <v/>
      </c>
      <c r="P177" s="4" t="str">
        <f>HYPERLINK("http://141.218.60.56/~jnz1568/getInfo.php?workbook=09_01.xlsx&amp;sheet=A0&amp;row=177&amp;col=16&amp;number=120940&amp;sourceID=12","120940")</f>
        <v>120940</v>
      </c>
      <c r="Q177" s="4" t="str">
        <f>HYPERLINK("http://141.218.60.56/~jnz1568/getInfo.php?workbook=09_01.xlsx&amp;sheet=A0&amp;row=177&amp;col=17&amp;number=&amp;sourceID=12","")</f>
        <v/>
      </c>
      <c r="R177" s="4" t="str">
        <f>HYPERLINK("http://141.218.60.56/~jnz1568/getInfo.php?workbook=09_01.xlsx&amp;sheet=A0&amp;row=177&amp;col=18&amp;number=0.073771&amp;sourceID=12","0.073771")</f>
        <v>0.073771</v>
      </c>
      <c r="S177" s="4" t="str">
        <f>HYPERLINK("http://141.218.60.56/~jnz1568/getInfo.php?workbook=09_01.xlsx&amp;sheet=A0&amp;row=177&amp;col=19&amp;number=&amp;sourceID=12","")</f>
        <v/>
      </c>
      <c r="T177" s="4" t="str">
        <f>HYPERLINK("http://141.218.60.56/~jnz1568/getInfo.php?workbook=09_01.xlsx&amp;sheet=A0&amp;row=177&amp;col=20&amp;number=&amp;sourceID=12","")</f>
        <v/>
      </c>
      <c r="U177" s="4" t="str">
        <f>HYPERLINK("http://141.218.60.56/~jnz1568/getInfo.php?workbook=09_01.xlsx&amp;sheet=A0&amp;row=177&amp;col=21&amp;number=120900.07379&amp;sourceID=30","120900.07379")</f>
        <v>120900.07379</v>
      </c>
      <c r="V177" s="4" t="str">
        <f>HYPERLINK("http://141.218.60.56/~jnz1568/getInfo.php?workbook=09_01.xlsx&amp;sheet=A0&amp;row=177&amp;col=22&amp;number=&amp;sourceID=30","")</f>
        <v/>
      </c>
      <c r="W177" s="4" t="str">
        <f>HYPERLINK("http://141.218.60.56/~jnz1568/getInfo.php?workbook=09_01.xlsx&amp;sheet=A0&amp;row=177&amp;col=23&amp;number=120900&amp;sourceID=30","120900")</f>
        <v>120900</v>
      </c>
      <c r="X177" s="4" t="str">
        <f>HYPERLINK("http://141.218.60.56/~jnz1568/getInfo.php?workbook=09_01.xlsx&amp;sheet=A0&amp;row=177&amp;col=24&amp;number=0.07379&amp;sourceID=30","0.07379")</f>
        <v>0.07379</v>
      </c>
      <c r="Y177" s="4" t="str">
        <f>HYPERLINK("http://141.218.60.56/~jnz1568/getInfo.php?workbook=09_01.xlsx&amp;sheet=A0&amp;row=177&amp;col=25&amp;number=&amp;sourceID=30","")</f>
        <v/>
      </c>
      <c r="Z177" s="4" t="str">
        <f>HYPERLINK("http://141.218.60.56/~jnz1568/getInfo.php?workbook=09_01.xlsx&amp;sheet=A0&amp;row=177&amp;col=26&amp;number=&amp;sourceID=13","")</f>
        <v/>
      </c>
      <c r="AA177" s="4" t="str">
        <f>HYPERLINK("http://141.218.60.56/~jnz1568/getInfo.php?workbook=09_01.xlsx&amp;sheet=A0&amp;row=177&amp;col=27&amp;number=&amp;sourceID=13","")</f>
        <v/>
      </c>
      <c r="AB177" s="4" t="str">
        <f>HYPERLINK("http://141.218.60.56/~jnz1568/getInfo.php?workbook=09_01.xlsx&amp;sheet=A0&amp;row=177&amp;col=28&amp;number=&amp;sourceID=13","")</f>
        <v/>
      </c>
      <c r="AC177" s="4" t="str">
        <f>HYPERLINK("http://141.218.60.56/~jnz1568/getInfo.php?workbook=09_01.xlsx&amp;sheet=A0&amp;row=177&amp;col=29&amp;number=&amp;sourceID=13","")</f>
        <v/>
      </c>
      <c r="AD177" s="4" t="str">
        <f>HYPERLINK("http://141.218.60.56/~jnz1568/getInfo.php?workbook=09_01.xlsx&amp;sheet=A0&amp;row=177&amp;col=30&amp;number=&amp;sourceID=13","")</f>
        <v/>
      </c>
      <c r="AE177" s="4" t="str">
        <f>HYPERLINK("http://141.218.60.56/~jnz1568/getInfo.php?workbook=09_01.xlsx&amp;sheet=A0&amp;row=177&amp;col=31&amp;number=&amp;sourceID=13","")</f>
        <v/>
      </c>
    </row>
    <row r="178" spans="1:31">
      <c r="A178" s="3">
        <v>9</v>
      </c>
      <c r="B178" s="3">
        <v>1</v>
      </c>
      <c r="C178" s="3">
        <v>20</v>
      </c>
      <c r="D178" s="3">
        <v>11</v>
      </c>
      <c r="E178" s="3">
        <f>((1/(INDEX(E0!J$4:J$28,C178,1)-INDEX(E0!J$4:J$28,D178,1))))*100000000</f>
        <v>0</v>
      </c>
      <c r="F178" s="4" t="str">
        <f>HYPERLINK("http://141.218.60.56/~jnz1568/getInfo.php?workbook=09_01.xlsx&amp;sheet=A0&amp;row=178&amp;col=6&amp;number=&amp;sourceID=18","")</f>
        <v/>
      </c>
      <c r="G178" s="4" t="str">
        <f>HYPERLINK("http://141.218.60.56/~jnz1568/getInfo.php?workbook=09_01.xlsx&amp;sheet=A0&amp;row=178&amp;col=7&amp;number==&amp;sourceID=11","=")</f>
        <v>=</v>
      </c>
      <c r="H178" s="4" t="str">
        <f>HYPERLINK("http://141.218.60.56/~jnz1568/getInfo.php?workbook=09_01.xlsx&amp;sheet=A0&amp;row=178&amp;col=8&amp;number=4824800000&amp;sourceID=11","4824800000")</f>
        <v>4824800000</v>
      </c>
      <c r="I178" s="4" t="str">
        <f>HYPERLINK("http://141.218.60.56/~jnz1568/getInfo.php?workbook=09_01.xlsx&amp;sheet=A0&amp;row=178&amp;col=9&amp;number=&amp;sourceID=11","")</f>
        <v/>
      </c>
      <c r="J178" s="4" t="str">
        <f>HYPERLINK("http://141.218.60.56/~jnz1568/getInfo.php?workbook=09_01.xlsx&amp;sheet=A0&amp;row=178&amp;col=10&amp;number=&amp;sourceID=11","")</f>
        <v/>
      </c>
      <c r="K178" s="4" t="str">
        <f>HYPERLINK("http://141.218.60.56/~jnz1568/getInfo.php?workbook=09_01.xlsx&amp;sheet=A0&amp;row=178&amp;col=11&amp;number=&amp;sourceID=11","")</f>
        <v/>
      </c>
      <c r="L178" s="4" t="str">
        <f>HYPERLINK("http://141.218.60.56/~jnz1568/getInfo.php?workbook=09_01.xlsx&amp;sheet=A0&amp;row=178&amp;col=12&amp;number=2.1385&amp;sourceID=11","2.1385")</f>
        <v>2.1385</v>
      </c>
      <c r="M178" s="4" t="str">
        <f>HYPERLINK("http://141.218.60.56/~jnz1568/getInfo.php?workbook=09_01.xlsx&amp;sheet=A0&amp;row=178&amp;col=13&amp;number=&amp;sourceID=11","")</f>
        <v/>
      </c>
      <c r="N178" s="4" t="str">
        <f>HYPERLINK("http://141.218.60.56/~jnz1568/getInfo.php?workbook=09_01.xlsx&amp;sheet=A0&amp;row=178&amp;col=14&amp;number=4825000000&amp;sourceID=12","4825000000")</f>
        <v>4825000000</v>
      </c>
      <c r="O178" s="4" t="str">
        <f>HYPERLINK("http://141.218.60.56/~jnz1568/getInfo.php?workbook=09_01.xlsx&amp;sheet=A0&amp;row=178&amp;col=15&amp;number=4825000000&amp;sourceID=12","4825000000")</f>
        <v>4825000000</v>
      </c>
      <c r="P178" s="4" t="str">
        <f>HYPERLINK("http://141.218.60.56/~jnz1568/getInfo.php?workbook=09_01.xlsx&amp;sheet=A0&amp;row=178&amp;col=16&amp;number=&amp;sourceID=12","")</f>
        <v/>
      </c>
      <c r="Q178" s="4" t="str">
        <f>HYPERLINK("http://141.218.60.56/~jnz1568/getInfo.php?workbook=09_01.xlsx&amp;sheet=A0&amp;row=178&amp;col=17&amp;number=&amp;sourceID=12","")</f>
        <v/>
      </c>
      <c r="R178" s="4" t="str">
        <f>HYPERLINK("http://141.218.60.56/~jnz1568/getInfo.php?workbook=09_01.xlsx&amp;sheet=A0&amp;row=178&amp;col=18&amp;number=&amp;sourceID=12","")</f>
        <v/>
      </c>
      <c r="S178" s="4" t="str">
        <f>HYPERLINK("http://141.218.60.56/~jnz1568/getInfo.php?workbook=09_01.xlsx&amp;sheet=A0&amp;row=178&amp;col=19&amp;number=2.1385&amp;sourceID=12","2.1385")</f>
        <v>2.1385</v>
      </c>
      <c r="T178" s="4" t="str">
        <f>HYPERLINK("http://141.218.60.56/~jnz1568/getInfo.php?workbook=09_01.xlsx&amp;sheet=A0&amp;row=178&amp;col=20&amp;number=&amp;sourceID=12","")</f>
        <v/>
      </c>
      <c r="U178" s="4" t="str">
        <f>HYPERLINK("http://141.218.60.56/~jnz1568/getInfo.php?workbook=09_01.xlsx&amp;sheet=A0&amp;row=178&amp;col=21&amp;number=4825000002.14&amp;sourceID=30","4825000002.14")</f>
        <v>4825000002.14</v>
      </c>
      <c r="V178" s="4" t="str">
        <f>HYPERLINK("http://141.218.60.56/~jnz1568/getInfo.php?workbook=09_01.xlsx&amp;sheet=A0&amp;row=178&amp;col=22&amp;number=4825000000&amp;sourceID=30","4825000000")</f>
        <v>4825000000</v>
      </c>
      <c r="W178" s="4" t="str">
        <f>HYPERLINK("http://141.218.60.56/~jnz1568/getInfo.php?workbook=09_01.xlsx&amp;sheet=A0&amp;row=178&amp;col=23&amp;number=&amp;sourceID=30","")</f>
        <v/>
      </c>
      <c r="X178" s="4" t="str">
        <f>HYPERLINK("http://141.218.60.56/~jnz1568/getInfo.php?workbook=09_01.xlsx&amp;sheet=A0&amp;row=178&amp;col=24&amp;number=&amp;sourceID=30","")</f>
        <v/>
      </c>
      <c r="Y178" s="4" t="str">
        <f>HYPERLINK("http://141.218.60.56/~jnz1568/getInfo.php?workbook=09_01.xlsx&amp;sheet=A0&amp;row=178&amp;col=25&amp;number=2.138&amp;sourceID=30","2.138")</f>
        <v>2.138</v>
      </c>
      <c r="Z178" s="4" t="str">
        <f>HYPERLINK("http://141.218.60.56/~jnz1568/getInfo.php?workbook=09_01.xlsx&amp;sheet=A0&amp;row=178&amp;col=26&amp;number=&amp;sourceID=13","")</f>
        <v/>
      </c>
      <c r="AA178" s="4" t="str">
        <f>HYPERLINK("http://141.218.60.56/~jnz1568/getInfo.php?workbook=09_01.xlsx&amp;sheet=A0&amp;row=178&amp;col=27&amp;number=&amp;sourceID=13","")</f>
        <v/>
      </c>
      <c r="AB178" s="4" t="str">
        <f>HYPERLINK("http://141.218.60.56/~jnz1568/getInfo.php?workbook=09_01.xlsx&amp;sheet=A0&amp;row=178&amp;col=28&amp;number=&amp;sourceID=13","")</f>
        <v/>
      </c>
      <c r="AC178" s="4" t="str">
        <f>HYPERLINK("http://141.218.60.56/~jnz1568/getInfo.php?workbook=09_01.xlsx&amp;sheet=A0&amp;row=178&amp;col=29&amp;number=&amp;sourceID=13","")</f>
        <v/>
      </c>
      <c r="AD178" s="4" t="str">
        <f>HYPERLINK("http://141.218.60.56/~jnz1568/getInfo.php?workbook=09_01.xlsx&amp;sheet=A0&amp;row=178&amp;col=30&amp;number=&amp;sourceID=13","")</f>
        <v/>
      </c>
      <c r="AE178" s="4" t="str">
        <f>HYPERLINK("http://141.218.60.56/~jnz1568/getInfo.php?workbook=09_01.xlsx&amp;sheet=A0&amp;row=178&amp;col=31&amp;number=&amp;sourceID=13","")</f>
        <v/>
      </c>
    </row>
    <row r="179" spans="1:31">
      <c r="A179" s="3">
        <v>9</v>
      </c>
      <c r="B179" s="3">
        <v>1</v>
      </c>
      <c r="C179" s="3">
        <v>20</v>
      </c>
      <c r="D179" s="3">
        <v>12</v>
      </c>
      <c r="E179" s="3">
        <f>((1/(INDEX(E0!J$4:J$28,C179,1)-INDEX(E0!J$4:J$28,D179,1))))*100000000</f>
        <v>0</v>
      </c>
      <c r="F179" s="4" t="str">
        <f>HYPERLINK("http://141.218.60.56/~jnz1568/getInfo.php?workbook=09_01.xlsx&amp;sheet=A0&amp;row=179&amp;col=6&amp;number=&amp;sourceID=18","")</f>
        <v/>
      </c>
      <c r="G179" s="4" t="str">
        <f>HYPERLINK("http://141.218.60.56/~jnz1568/getInfo.php?workbook=09_01.xlsx&amp;sheet=A0&amp;row=179&amp;col=7&amp;number==&amp;sourceID=11","=")</f>
        <v>=</v>
      </c>
      <c r="H179" s="4" t="str">
        <f>HYPERLINK("http://141.218.60.56/~jnz1568/getInfo.php?workbook=09_01.xlsx&amp;sheet=A0&amp;row=179&amp;col=8&amp;number=123800000&amp;sourceID=11","123800000")</f>
        <v>123800000</v>
      </c>
      <c r="I179" s="4" t="str">
        <f>HYPERLINK("http://141.218.60.56/~jnz1568/getInfo.php?workbook=09_01.xlsx&amp;sheet=A0&amp;row=179&amp;col=9&amp;number=&amp;sourceID=11","")</f>
        <v/>
      </c>
      <c r="J179" s="4" t="str">
        <f>HYPERLINK("http://141.218.60.56/~jnz1568/getInfo.php?workbook=09_01.xlsx&amp;sheet=A0&amp;row=179&amp;col=10&amp;number=1.9901&amp;sourceID=11","1.9901")</f>
        <v>1.9901</v>
      </c>
      <c r="K179" s="4" t="str">
        <f>HYPERLINK("http://141.218.60.56/~jnz1568/getInfo.php?workbook=09_01.xlsx&amp;sheet=A0&amp;row=179&amp;col=11&amp;number=&amp;sourceID=11","")</f>
        <v/>
      </c>
      <c r="L179" s="4" t="str">
        <f>HYPERLINK("http://141.218.60.56/~jnz1568/getInfo.php?workbook=09_01.xlsx&amp;sheet=A0&amp;row=179&amp;col=12&amp;number=&amp;sourceID=11","")</f>
        <v/>
      </c>
      <c r="M179" s="4" t="str">
        <f>HYPERLINK("http://141.218.60.56/~jnz1568/getInfo.php?workbook=09_01.xlsx&amp;sheet=A0&amp;row=179&amp;col=13&amp;number=&amp;sourceID=11","")</f>
        <v/>
      </c>
      <c r="N179" s="4" t="str">
        <f>HYPERLINK("http://141.218.60.56/~jnz1568/getInfo.php?workbook=09_01.xlsx&amp;sheet=A0&amp;row=179&amp;col=14&amp;number=123810000&amp;sourceID=12","123810000")</f>
        <v>123810000</v>
      </c>
      <c r="O179" s="4" t="str">
        <f>HYPERLINK("http://141.218.60.56/~jnz1568/getInfo.php?workbook=09_01.xlsx&amp;sheet=A0&amp;row=179&amp;col=15&amp;number=123810000&amp;sourceID=12","123810000")</f>
        <v>123810000</v>
      </c>
      <c r="P179" s="4" t="str">
        <f>HYPERLINK("http://141.218.60.56/~jnz1568/getInfo.php?workbook=09_01.xlsx&amp;sheet=A0&amp;row=179&amp;col=16&amp;number=&amp;sourceID=12","")</f>
        <v/>
      </c>
      <c r="Q179" s="4" t="str">
        <f>HYPERLINK("http://141.218.60.56/~jnz1568/getInfo.php?workbook=09_01.xlsx&amp;sheet=A0&amp;row=179&amp;col=17&amp;number=1.9902&amp;sourceID=12","1.9902")</f>
        <v>1.9902</v>
      </c>
      <c r="R179" s="4" t="str">
        <f>HYPERLINK("http://141.218.60.56/~jnz1568/getInfo.php?workbook=09_01.xlsx&amp;sheet=A0&amp;row=179&amp;col=18&amp;number=&amp;sourceID=12","")</f>
        <v/>
      </c>
      <c r="S179" s="4" t="str">
        <f>HYPERLINK("http://141.218.60.56/~jnz1568/getInfo.php?workbook=09_01.xlsx&amp;sheet=A0&amp;row=179&amp;col=19&amp;number=&amp;sourceID=12","")</f>
        <v/>
      </c>
      <c r="T179" s="4" t="str">
        <f>HYPERLINK("http://141.218.60.56/~jnz1568/getInfo.php?workbook=09_01.xlsx&amp;sheet=A0&amp;row=179&amp;col=20&amp;number=&amp;sourceID=12","")</f>
        <v/>
      </c>
      <c r="U179" s="4" t="str">
        <f>HYPERLINK("http://141.218.60.56/~jnz1568/getInfo.php?workbook=09_01.xlsx&amp;sheet=A0&amp;row=179&amp;col=21&amp;number=123800000&amp;sourceID=30","123800000")</f>
        <v>123800000</v>
      </c>
      <c r="V179" s="4" t="str">
        <f>HYPERLINK("http://141.218.60.56/~jnz1568/getInfo.php?workbook=09_01.xlsx&amp;sheet=A0&amp;row=179&amp;col=22&amp;number=123800000&amp;sourceID=30","123800000")</f>
        <v>123800000</v>
      </c>
      <c r="W179" s="4" t="str">
        <f>HYPERLINK("http://141.218.60.56/~jnz1568/getInfo.php?workbook=09_01.xlsx&amp;sheet=A0&amp;row=179&amp;col=23&amp;number=&amp;sourceID=30","")</f>
        <v/>
      </c>
      <c r="X179" s="4" t="str">
        <f>HYPERLINK("http://141.218.60.56/~jnz1568/getInfo.php?workbook=09_01.xlsx&amp;sheet=A0&amp;row=179&amp;col=24&amp;number=&amp;sourceID=30","")</f>
        <v/>
      </c>
      <c r="Y179" s="4" t="str">
        <f>HYPERLINK("http://141.218.60.56/~jnz1568/getInfo.php?workbook=09_01.xlsx&amp;sheet=A0&amp;row=179&amp;col=25&amp;number=&amp;sourceID=30","")</f>
        <v/>
      </c>
      <c r="Z179" s="4" t="str">
        <f>HYPERLINK("http://141.218.60.56/~jnz1568/getInfo.php?workbook=09_01.xlsx&amp;sheet=A0&amp;row=179&amp;col=26&amp;number=&amp;sourceID=13","")</f>
        <v/>
      </c>
      <c r="AA179" s="4" t="str">
        <f>HYPERLINK("http://141.218.60.56/~jnz1568/getInfo.php?workbook=09_01.xlsx&amp;sheet=A0&amp;row=179&amp;col=27&amp;number=&amp;sourceID=13","")</f>
        <v/>
      </c>
      <c r="AB179" s="4" t="str">
        <f>HYPERLINK("http://141.218.60.56/~jnz1568/getInfo.php?workbook=09_01.xlsx&amp;sheet=A0&amp;row=179&amp;col=28&amp;number=&amp;sourceID=13","")</f>
        <v/>
      </c>
      <c r="AC179" s="4" t="str">
        <f>HYPERLINK("http://141.218.60.56/~jnz1568/getInfo.php?workbook=09_01.xlsx&amp;sheet=A0&amp;row=179&amp;col=29&amp;number=&amp;sourceID=13","")</f>
        <v/>
      </c>
      <c r="AD179" s="4" t="str">
        <f>HYPERLINK("http://141.218.60.56/~jnz1568/getInfo.php?workbook=09_01.xlsx&amp;sheet=A0&amp;row=179&amp;col=30&amp;number=&amp;sourceID=13","")</f>
        <v/>
      </c>
      <c r="AE179" s="4" t="str">
        <f>HYPERLINK("http://141.218.60.56/~jnz1568/getInfo.php?workbook=09_01.xlsx&amp;sheet=A0&amp;row=179&amp;col=31&amp;number=&amp;sourceID=13","")</f>
        <v/>
      </c>
    </row>
    <row r="180" spans="1:31">
      <c r="A180" s="3">
        <v>9</v>
      </c>
      <c r="B180" s="3">
        <v>1</v>
      </c>
      <c r="C180" s="3">
        <v>20</v>
      </c>
      <c r="D180" s="3">
        <v>13</v>
      </c>
      <c r="E180" s="3">
        <f>((1/(INDEX(E0!J$4:J$28,C180,1)-INDEX(E0!J$4:J$28,D180,1))))*100000000</f>
        <v>0</v>
      </c>
      <c r="F180" s="4" t="str">
        <f>HYPERLINK("http://141.218.60.56/~jnz1568/getInfo.php?workbook=09_01.xlsx&amp;sheet=A0&amp;row=180&amp;col=6&amp;number=&amp;sourceID=18","")</f>
        <v/>
      </c>
      <c r="G180" s="4" t="str">
        <f>HYPERLINK("http://141.218.60.56/~jnz1568/getInfo.php?workbook=09_01.xlsx&amp;sheet=A0&amp;row=180&amp;col=7&amp;number==&amp;sourceID=11","=")</f>
        <v>=</v>
      </c>
      <c r="H180" s="4" t="str">
        <f>HYPERLINK("http://141.218.60.56/~jnz1568/getInfo.php?workbook=09_01.xlsx&amp;sheet=A0&amp;row=180&amp;col=8&amp;number=&amp;sourceID=11","")</f>
        <v/>
      </c>
      <c r="I180" s="4" t="str">
        <f>HYPERLINK("http://141.218.60.56/~jnz1568/getInfo.php?workbook=09_01.xlsx&amp;sheet=A0&amp;row=180&amp;col=9&amp;number=120820&amp;sourceID=11","120820")</f>
        <v>120820</v>
      </c>
      <c r="J180" s="4" t="str">
        <f>HYPERLINK("http://141.218.60.56/~jnz1568/getInfo.php?workbook=09_01.xlsx&amp;sheet=A0&amp;row=180&amp;col=10&amp;number=&amp;sourceID=11","")</f>
        <v/>
      </c>
      <c r="K180" s="4" t="str">
        <f>HYPERLINK("http://141.218.60.56/~jnz1568/getInfo.php?workbook=09_01.xlsx&amp;sheet=A0&amp;row=180&amp;col=11&amp;number=0.0061511&amp;sourceID=11","0.0061511")</f>
        <v>0.0061511</v>
      </c>
      <c r="L180" s="4" t="str">
        <f>HYPERLINK("http://141.218.60.56/~jnz1568/getInfo.php?workbook=09_01.xlsx&amp;sheet=A0&amp;row=180&amp;col=12&amp;number=&amp;sourceID=11","")</f>
        <v/>
      </c>
      <c r="M180" s="4" t="str">
        <f>HYPERLINK("http://141.218.60.56/~jnz1568/getInfo.php?workbook=09_01.xlsx&amp;sheet=A0&amp;row=180&amp;col=13&amp;number=0.00011389&amp;sourceID=11","0.00011389")</f>
        <v>0.00011389</v>
      </c>
      <c r="N180" s="4" t="str">
        <f>HYPERLINK("http://141.218.60.56/~jnz1568/getInfo.php?workbook=09_01.xlsx&amp;sheet=A0&amp;row=180&amp;col=14&amp;number=120820&amp;sourceID=12","120820")</f>
        <v>120820</v>
      </c>
      <c r="O180" s="4" t="str">
        <f>HYPERLINK("http://141.218.60.56/~jnz1568/getInfo.php?workbook=09_01.xlsx&amp;sheet=A0&amp;row=180&amp;col=15&amp;number=&amp;sourceID=12","")</f>
        <v/>
      </c>
      <c r="P180" s="4" t="str">
        <f>HYPERLINK("http://141.218.60.56/~jnz1568/getInfo.php?workbook=09_01.xlsx&amp;sheet=A0&amp;row=180&amp;col=16&amp;number=120820&amp;sourceID=12","120820")</f>
        <v>120820</v>
      </c>
      <c r="Q180" s="4" t="str">
        <f>HYPERLINK("http://141.218.60.56/~jnz1568/getInfo.php?workbook=09_01.xlsx&amp;sheet=A0&amp;row=180&amp;col=17&amp;number=&amp;sourceID=12","")</f>
        <v/>
      </c>
      <c r="R180" s="4" t="str">
        <f>HYPERLINK("http://141.218.60.56/~jnz1568/getInfo.php?workbook=09_01.xlsx&amp;sheet=A0&amp;row=180&amp;col=18&amp;number=0.0061513&amp;sourceID=12","0.0061513")</f>
        <v>0.0061513</v>
      </c>
      <c r="S180" s="4" t="str">
        <f>HYPERLINK("http://141.218.60.56/~jnz1568/getInfo.php?workbook=09_01.xlsx&amp;sheet=A0&amp;row=180&amp;col=19&amp;number=&amp;sourceID=12","")</f>
        <v/>
      </c>
      <c r="T180" s="4" t="str">
        <f>HYPERLINK("http://141.218.60.56/~jnz1568/getInfo.php?workbook=09_01.xlsx&amp;sheet=A0&amp;row=180&amp;col=20&amp;number=0.00011389&amp;sourceID=12","0.00011389")</f>
        <v>0.00011389</v>
      </c>
      <c r="U180" s="4" t="str">
        <f>HYPERLINK("http://141.218.60.56/~jnz1568/getInfo.php?workbook=09_01.xlsx&amp;sheet=A0&amp;row=180&amp;col=21&amp;number=120800.00614&amp;sourceID=30","120800.00614")</f>
        <v>120800.00614</v>
      </c>
      <c r="V180" s="4" t="str">
        <f>HYPERLINK("http://141.218.60.56/~jnz1568/getInfo.php?workbook=09_01.xlsx&amp;sheet=A0&amp;row=180&amp;col=22&amp;number=&amp;sourceID=30","")</f>
        <v/>
      </c>
      <c r="W180" s="4" t="str">
        <f>HYPERLINK("http://141.218.60.56/~jnz1568/getInfo.php?workbook=09_01.xlsx&amp;sheet=A0&amp;row=180&amp;col=23&amp;number=120800&amp;sourceID=30","120800")</f>
        <v>120800</v>
      </c>
      <c r="X180" s="4" t="str">
        <f>HYPERLINK("http://141.218.60.56/~jnz1568/getInfo.php?workbook=09_01.xlsx&amp;sheet=A0&amp;row=180&amp;col=24&amp;number=0.00614&amp;sourceID=30","0.00614")</f>
        <v>0.00614</v>
      </c>
      <c r="Y180" s="4" t="str">
        <f>HYPERLINK("http://141.218.60.56/~jnz1568/getInfo.php?workbook=09_01.xlsx&amp;sheet=A0&amp;row=180&amp;col=25&amp;number=&amp;sourceID=30","")</f>
        <v/>
      </c>
      <c r="Z180" s="4" t="str">
        <f>HYPERLINK("http://141.218.60.56/~jnz1568/getInfo.php?workbook=09_01.xlsx&amp;sheet=A0&amp;row=180&amp;col=26&amp;number=&amp;sourceID=13","")</f>
        <v/>
      </c>
      <c r="AA180" s="4" t="str">
        <f>HYPERLINK("http://141.218.60.56/~jnz1568/getInfo.php?workbook=09_01.xlsx&amp;sheet=A0&amp;row=180&amp;col=27&amp;number=&amp;sourceID=13","")</f>
        <v/>
      </c>
      <c r="AB180" s="4" t="str">
        <f>HYPERLINK("http://141.218.60.56/~jnz1568/getInfo.php?workbook=09_01.xlsx&amp;sheet=A0&amp;row=180&amp;col=28&amp;number=&amp;sourceID=13","")</f>
        <v/>
      </c>
      <c r="AC180" s="4" t="str">
        <f>HYPERLINK("http://141.218.60.56/~jnz1568/getInfo.php?workbook=09_01.xlsx&amp;sheet=A0&amp;row=180&amp;col=29&amp;number=&amp;sourceID=13","")</f>
        <v/>
      </c>
      <c r="AD180" s="4" t="str">
        <f>HYPERLINK("http://141.218.60.56/~jnz1568/getInfo.php?workbook=09_01.xlsx&amp;sheet=A0&amp;row=180&amp;col=30&amp;number=&amp;sourceID=13","")</f>
        <v/>
      </c>
      <c r="AE180" s="4" t="str">
        <f>HYPERLINK("http://141.218.60.56/~jnz1568/getInfo.php?workbook=09_01.xlsx&amp;sheet=A0&amp;row=180&amp;col=31&amp;number=&amp;sourceID=13","")</f>
        <v/>
      </c>
    </row>
    <row r="181" spans="1:31">
      <c r="A181" s="3">
        <v>9</v>
      </c>
      <c r="B181" s="3">
        <v>1</v>
      </c>
      <c r="C181" s="3">
        <v>20</v>
      </c>
      <c r="D181" s="3">
        <v>14</v>
      </c>
      <c r="E181" s="3">
        <f>((1/(INDEX(E0!J$4:J$28,C181,1)-INDEX(E0!J$4:J$28,D181,1))))*100000000</f>
        <v>0</v>
      </c>
      <c r="F181" s="4" t="str">
        <f>HYPERLINK("http://141.218.60.56/~jnz1568/getInfo.php?workbook=09_01.xlsx&amp;sheet=A0&amp;row=181&amp;col=6&amp;number=&amp;sourceID=18","")</f>
        <v/>
      </c>
      <c r="G181" s="4" t="str">
        <f>HYPERLINK("http://141.218.60.56/~jnz1568/getInfo.php?workbook=09_01.xlsx&amp;sheet=A0&amp;row=181&amp;col=7&amp;number==&amp;sourceID=11","=")</f>
        <v>=</v>
      </c>
      <c r="H181" s="4" t="str">
        <f>HYPERLINK("http://141.218.60.56/~jnz1568/getInfo.php?workbook=09_01.xlsx&amp;sheet=A0&amp;row=181&amp;col=8&amp;number=&amp;sourceID=11","")</f>
        <v/>
      </c>
      <c r="I181" s="4" t="str">
        <f>HYPERLINK("http://141.218.60.56/~jnz1568/getInfo.php?workbook=09_01.xlsx&amp;sheet=A0&amp;row=181&amp;col=9&amp;number=3581.7&amp;sourceID=11","3581.7")</f>
        <v>3581.7</v>
      </c>
      <c r="J181" s="4" t="str">
        <f>HYPERLINK("http://141.218.60.56/~jnz1568/getInfo.php?workbook=09_01.xlsx&amp;sheet=A0&amp;row=181&amp;col=10&amp;number=&amp;sourceID=11","")</f>
        <v/>
      </c>
      <c r="K181" s="4" t="str">
        <f>HYPERLINK("http://141.218.60.56/~jnz1568/getInfo.php?workbook=09_01.xlsx&amp;sheet=A0&amp;row=181&amp;col=11&amp;number=1.4626e-07&amp;sourceID=11","1.4626e-07")</f>
        <v>1.4626e-07</v>
      </c>
      <c r="L181" s="4" t="str">
        <f>HYPERLINK("http://141.218.60.56/~jnz1568/getInfo.php?workbook=09_01.xlsx&amp;sheet=A0&amp;row=181&amp;col=12&amp;number=&amp;sourceID=11","")</f>
        <v/>
      </c>
      <c r="M181" s="4" t="str">
        <f>HYPERLINK("http://141.218.60.56/~jnz1568/getInfo.php?workbook=09_01.xlsx&amp;sheet=A0&amp;row=181&amp;col=13&amp;number=2.6772e-08&amp;sourceID=11","2.6772e-08")</f>
        <v>2.6772e-08</v>
      </c>
      <c r="N181" s="4" t="str">
        <f>HYPERLINK("http://141.218.60.56/~jnz1568/getInfo.php?workbook=09_01.xlsx&amp;sheet=A0&amp;row=181&amp;col=14&amp;number=3581.9&amp;sourceID=12","3581.9")</f>
        <v>3581.9</v>
      </c>
      <c r="O181" s="4" t="str">
        <f>HYPERLINK("http://141.218.60.56/~jnz1568/getInfo.php?workbook=09_01.xlsx&amp;sheet=A0&amp;row=181&amp;col=15&amp;number=&amp;sourceID=12","")</f>
        <v/>
      </c>
      <c r="P181" s="4" t="str">
        <f>HYPERLINK("http://141.218.60.56/~jnz1568/getInfo.php?workbook=09_01.xlsx&amp;sheet=A0&amp;row=181&amp;col=16&amp;number=3581.9&amp;sourceID=12","3581.9")</f>
        <v>3581.9</v>
      </c>
      <c r="Q181" s="4" t="str">
        <f>HYPERLINK("http://141.218.60.56/~jnz1568/getInfo.php?workbook=09_01.xlsx&amp;sheet=A0&amp;row=181&amp;col=17&amp;number=&amp;sourceID=12","")</f>
        <v/>
      </c>
      <c r="R181" s="4" t="str">
        <f>HYPERLINK("http://141.218.60.56/~jnz1568/getInfo.php?workbook=09_01.xlsx&amp;sheet=A0&amp;row=181&amp;col=18&amp;number=1.4627e-07&amp;sourceID=12","1.4627e-07")</f>
        <v>1.4627e-07</v>
      </c>
      <c r="S181" s="4" t="str">
        <f>HYPERLINK("http://141.218.60.56/~jnz1568/getInfo.php?workbook=09_01.xlsx&amp;sheet=A0&amp;row=181&amp;col=19&amp;number=&amp;sourceID=12","")</f>
        <v/>
      </c>
      <c r="T181" s="4" t="str">
        <f>HYPERLINK("http://141.218.60.56/~jnz1568/getInfo.php?workbook=09_01.xlsx&amp;sheet=A0&amp;row=181&amp;col=20&amp;number=2.6772e-08&amp;sourceID=12","2.6772e-08")</f>
        <v>2.6772e-08</v>
      </c>
      <c r="U181" s="4" t="str">
        <f>HYPERLINK("http://141.218.60.56/~jnz1568/getInfo.php?workbook=09_01.xlsx&amp;sheet=A0&amp;row=181&amp;col=21&amp;number=3582.00000016&amp;sourceID=30","3582.00000016")</f>
        <v>3582.00000016</v>
      </c>
      <c r="V181" s="4" t="str">
        <f>HYPERLINK("http://141.218.60.56/~jnz1568/getInfo.php?workbook=09_01.xlsx&amp;sheet=A0&amp;row=181&amp;col=22&amp;number=&amp;sourceID=30","")</f>
        <v/>
      </c>
      <c r="W181" s="4" t="str">
        <f>HYPERLINK("http://141.218.60.56/~jnz1568/getInfo.php?workbook=09_01.xlsx&amp;sheet=A0&amp;row=181&amp;col=23&amp;number=3582&amp;sourceID=30","3582")</f>
        <v>3582</v>
      </c>
      <c r="X181" s="4" t="str">
        <f>HYPERLINK("http://141.218.60.56/~jnz1568/getInfo.php?workbook=09_01.xlsx&amp;sheet=A0&amp;row=181&amp;col=24&amp;number=1.62e-07&amp;sourceID=30","1.62e-07")</f>
        <v>1.62e-07</v>
      </c>
      <c r="Y181" s="4" t="str">
        <f>HYPERLINK("http://141.218.60.56/~jnz1568/getInfo.php?workbook=09_01.xlsx&amp;sheet=A0&amp;row=181&amp;col=25&amp;number=&amp;sourceID=30","")</f>
        <v/>
      </c>
      <c r="Z181" s="4" t="str">
        <f>HYPERLINK("http://141.218.60.56/~jnz1568/getInfo.php?workbook=09_01.xlsx&amp;sheet=A0&amp;row=181&amp;col=26&amp;number=&amp;sourceID=13","")</f>
        <v/>
      </c>
      <c r="AA181" s="4" t="str">
        <f>HYPERLINK("http://141.218.60.56/~jnz1568/getInfo.php?workbook=09_01.xlsx&amp;sheet=A0&amp;row=181&amp;col=27&amp;number=&amp;sourceID=13","")</f>
        <v/>
      </c>
      <c r="AB181" s="4" t="str">
        <f>HYPERLINK("http://141.218.60.56/~jnz1568/getInfo.php?workbook=09_01.xlsx&amp;sheet=A0&amp;row=181&amp;col=28&amp;number=&amp;sourceID=13","")</f>
        <v/>
      </c>
      <c r="AC181" s="4" t="str">
        <f>HYPERLINK("http://141.218.60.56/~jnz1568/getInfo.php?workbook=09_01.xlsx&amp;sheet=A0&amp;row=181&amp;col=29&amp;number=&amp;sourceID=13","")</f>
        <v/>
      </c>
      <c r="AD181" s="4" t="str">
        <f>HYPERLINK("http://141.218.60.56/~jnz1568/getInfo.php?workbook=09_01.xlsx&amp;sheet=A0&amp;row=181&amp;col=30&amp;number=&amp;sourceID=13","")</f>
        <v/>
      </c>
      <c r="AE181" s="4" t="str">
        <f>HYPERLINK("http://141.218.60.56/~jnz1568/getInfo.php?workbook=09_01.xlsx&amp;sheet=A0&amp;row=181&amp;col=31&amp;number=&amp;sourceID=13","")</f>
        <v/>
      </c>
    </row>
    <row r="182" spans="1:31">
      <c r="A182" s="3">
        <v>9</v>
      </c>
      <c r="B182" s="3">
        <v>1</v>
      </c>
      <c r="C182" s="3">
        <v>20</v>
      </c>
      <c r="D182" s="3">
        <v>15</v>
      </c>
      <c r="E182" s="3">
        <f>((1/(INDEX(E0!J$4:J$28,C182,1)-INDEX(E0!J$4:J$28,D182,1))))*100000000</f>
        <v>0</v>
      </c>
      <c r="F182" s="4" t="str">
        <f>HYPERLINK("http://141.218.60.56/~jnz1568/getInfo.php?workbook=09_01.xlsx&amp;sheet=A0&amp;row=182&amp;col=6&amp;number=&amp;sourceID=18","")</f>
        <v/>
      </c>
      <c r="G182" s="4" t="str">
        <f>HYPERLINK("http://141.218.60.56/~jnz1568/getInfo.php?workbook=09_01.xlsx&amp;sheet=A0&amp;row=182&amp;col=7&amp;number==&amp;sourceID=11","=")</f>
        <v>=</v>
      </c>
      <c r="H182" s="4" t="str">
        <f>HYPERLINK("http://141.218.60.56/~jnz1568/getInfo.php?workbook=09_01.xlsx&amp;sheet=A0&amp;row=182&amp;col=8&amp;number=1117900000&amp;sourceID=11","1117900000")</f>
        <v>1117900000</v>
      </c>
      <c r="I182" s="4" t="str">
        <f>HYPERLINK("http://141.218.60.56/~jnz1568/getInfo.php?workbook=09_01.xlsx&amp;sheet=A0&amp;row=182&amp;col=9&amp;number=&amp;sourceID=11","")</f>
        <v/>
      </c>
      <c r="J182" s="4" t="str">
        <f>HYPERLINK("http://141.218.60.56/~jnz1568/getInfo.php?workbook=09_01.xlsx&amp;sheet=A0&amp;row=182&amp;col=10&amp;number=1.3249&amp;sourceID=11","1.3249")</f>
        <v>1.3249</v>
      </c>
      <c r="K182" s="4" t="str">
        <f>HYPERLINK("http://141.218.60.56/~jnz1568/getInfo.php?workbook=09_01.xlsx&amp;sheet=A0&amp;row=182&amp;col=11&amp;number=&amp;sourceID=11","")</f>
        <v/>
      </c>
      <c r="L182" s="4" t="str">
        <f>HYPERLINK("http://141.218.60.56/~jnz1568/getInfo.php?workbook=09_01.xlsx&amp;sheet=A0&amp;row=182&amp;col=12&amp;number=0.63982&amp;sourceID=11","0.63982")</f>
        <v>0.63982</v>
      </c>
      <c r="M182" s="4" t="str">
        <f>HYPERLINK("http://141.218.60.56/~jnz1568/getInfo.php?workbook=09_01.xlsx&amp;sheet=A0&amp;row=182&amp;col=13&amp;number=&amp;sourceID=11","")</f>
        <v/>
      </c>
      <c r="N182" s="4" t="str">
        <f>HYPERLINK("http://141.218.60.56/~jnz1568/getInfo.php?workbook=09_01.xlsx&amp;sheet=A0&amp;row=182&amp;col=14&amp;number=1117900000&amp;sourceID=12","1117900000")</f>
        <v>1117900000</v>
      </c>
      <c r="O182" s="4" t="str">
        <f>HYPERLINK("http://141.218.60.56/~jnz1568/getInfo.php?workbook=09_01.xlsx&amp;sheet=A0&amp;row=182&amp;col=15&amp;number=1117900000&amp;sourceID=12","1117900000")</f>
        <v>1117900000</v>
      </c>
      <c r="P182" s="4" t="str">
        <f>HYPERLINK("http://141.218.60.56/~jnz1568/getInfo.php?workbook=09_01.xlsx&amp;sheet=A0&amp;row=182&amp;col=16&amp;number=&amp;sourceID=12","")</f>
        <v/>
      </c>
      <c r="Q182" s="4" t="str">
        <f>HYPERLINK("http://141.218.60.56/~jnz1568/getInfo.php?workbook=09_01.xlsx&amp;sheet=A0&amp;row=182&amp;col=17&amp;number=1.325&amp;sourceID=12","1.325")</f>
        <v>1.325</v>
      </c>
      <c r="R182" s="4" t="str">
        <f>HYPERLINK("http://141.218.60.56/~jnz1568/getInfo.php?workbook=09_01.xlsx&amp;sheet=A0&amp;row=182&amp;col=18&amp;number=&amp;sourceID=12","")</f>
        <v/>
      </c>
      <c r="S182" s="4" t="str">
        <f>HYPERLINK("http://141.218.60.56/~jnz1568/getInfo.php?workbook=09_01.xlsx&amp;sheet=A0&amp;row=182&amp;col=19&amp;number=0.63984&amp;sourceID=12","0.63984")</f>
        <v>0.63984</v>
      </c>
      <c r="T182" s="4" t="str">
        <f>HYPERLINK("http://141.218.60.56/~jnz1568/getInfo.php?workbook=09_01.xlsx&amp;sheet=A0&amp;row=182&amp;col=20&amp;number=&amp;sourceID=12","")</f>
        <v/>
      </c>
      <c r="U182" s="4" t="str">
        <f>HYPERLINK("http://141.218.60.56/~jnz1568/getInfo.php?workbook=09_01.xlsx&amp;sheet=A0&amp;row=182&amp;col=21&amp;number=1118000000.64&amp;sourceID=30","1118000000.64")</f>
        <v>1118000000.64</v>
      </c>
      <c r="V182" s="4" t="str">
        <f>HYPERLINK("http://141.218.60.56/~jnz1568/getInfo.php?workbook=09_01.xlsx&amp;sheet=A0&amp;row=182&amp;col=22&amp;number=1118000000&amp;sourceID=30","1118000000")</f>
        <v>1118000000</v>
      </c>
      <c r="W182" s="4" t="str">
        <f>HYPERLINK("http://141.218.60.56/~jnz1568/getInfo.php?workbook=09_01.xlsx&amp;sheet=A0&amp;row=182&amp;col=23&amp;number=&amp;sourceID=30","")</f>
        <v/>
      </c>
      <c r="X182" s="4" t="str">
        <f>HYPERLINK("http://141.218.60.56/~jnz1568/getInfo.php?workbook=09_01.xlsx&amp;sheet=A0&amp;row=182&amp;col=24&amp;number=&amp;sourceID=30","")</f>
        <v/>
      </c>
      <c r="Y182" s="4" t="str">
        <f>HYPERLINK("http://141.218.60.56/~jnz1568/getInfo.php?workbook=09_01.xlsx&amp;sheet=A0&amp;row=182&amp;col=25&amp;number=0.6398&amp;sourceID=30","0.6398")</f>
        <v>0.6398</v>
      </c>
      <c r="Z182" s="4" t="str">
        <f>HYPERLINK("http://141.218.60.56/~jnz1568/getInfo.php?workbook=09_01.xlsx&amp;sheet=A0&amp;row=182&amp;col=26&amp;number=&amp;sourceID=13","")</f>
        <v/>
      </c>
      <c r="AA182" s="4" t="str">
        <f>HYPERLINK("http://141.218.60.56/~jnz1568/getInfo.php?workbook=09_01.xlsx&amp;sheet=A0&amp;row=182&amp;col=27&amp;number=&amp;sourceID=13","")</f>
        <v/>
      </c>
      <c r="AB182" s="4" t="str">
        <f>HYPERLINK("http://141.218.60.56/~jnz1568/getInfo.php?workbook=09_01.xlsx&amp;sheet=A0&amp;row=182&amp;col=28&amp;number=&amp;sourceID=13","")</f>
        <v/>
      </c>
      <c r="AC182" s="4" t="str">
        <f>HYPERLINK("http://141.218.60.56/~jnz1568/getInfo.php?workbook=09_01.xlsx&amp;sheet=A0&amp;row=182&amp;col=29&amp;number=&amp;sourceID=13","")</f>
        <v/>
      </c>
      <c r="AD182" s="4" t="str">
        <f>HYPERLINK("http://141.218.60.56/~jnz1568/getInfo.php?workbook=09_01.xlsx&amp;sheet=A0&amp;row=182&amp;col=30&amp;number=&amp;sourceID=13","")</f>
        <v/>
      </c>
      <c r="AE182" s="4" t="str">
        <f>HYPERLINK("http://141.218.60.56/~jnz1568/getInfo.php?workbook=09_01.xlsx&amp;sheet=A0&amp;row=182&amp;col=31&amp;number=&amp;sourceID=13","")</f>
        <v/>
      </c>
    </row>
    <row r="183" spans="1:31">
      <c r="A183" s="3">
        <v>9</v>
      </c>
      <c r="B183" s="3">
        <v>1</v>
      </c>
      <c r="C183" s="3">
        <v>20</v>
      </c>
      <c r="D183" s="3">
        <v>16</v>
      </c>
      <c r="E183" s="3">
        <f>((1/(INDEX(E0!J$4:J$28,C183,1)-INDEX(E0!J$4:J$28,D183,1))))*100000000</f>
        <v>0</v>
      </c>
      <c r="F183" s="4" t="str">
        <f>HYPERLINK("http://141.218.60.56/~jnz1568/getInfo.php?workbook=09_01.xlsx&amp;sheet=A0&amp;row=183&amp;col=6&amp;number=&amp;sourceID=18","")</f>
        <v/>
      </c>
      <c r="G183" s="4" t="str">
        <f>HYPERLINK("http://141.218.60.56/~jnz1568/getInfo.php?workbook=09_01.xlsx&amp;sheet=A0&amp;row=183&amp;col=7&amp;number==&amp;sourceID=11","=")</f>
        <v>=</v>
      </c>
      <c r="H183" s="4" t="str">
        <f>HYPERLINK("http://141.218.60.56/~jnz1568/getInfo.php?workbook=09_01.xlsx&amp;sheet=A0&amp;row=183&amp;col=8&amp;number=&amp;sourceID=11","")</f>
        <v/>
      </c>
      <c r="I183" s="4" t="str">
        <f>HYPERLINK("http://141.218.60.56/~jnz1568/getInfo.php?workbook=09_01.xlsx&amp;sheet=A0&amp;row=183&amp;col=9&amp;number=21499&amp;sourceID=11","21499")</f>
        <v>21499</v>
      </c>
      <c r="J183" s="4" t="str">
        <f>HYPERLINK("http://141.218.60.56/~jnz1568/getInfo.php?workbook=09_01.xlsx&amp;sheet=A0&amp;row=183&amp;col=10&amp;number=&amp;sourceID=11","")</f>
        <v/>
      </c>
      <c r="K183" s="4" t="str">
        <f>HYPERLINK("http://141.218.60.56/~jnz1568/getInfo.php?workbook=09_01.xlsx&amp;sheet=A0&amp;row=183&amp;col=11&amp;number=&amp;sourceID=11","")</f>
        <v/>
      </c>
      <c r="L183" s="4" t="str">
        <f>HYPERLINK("http://141.218.60.56/~jnz1568/getInfo.php?workbook=09_01.xlsx&amp;sheet=A0&amp;row=183&amp;col=12&amp;number=&amp;sourceID=11","")</f>
        <v/>
      </c>
      <c r="M183" s="4" t="str">
        <f>HYPERLINK("http://141.218.60.56/~jnz1568/getInfo.php?workbook=09_01.xlsx&amp;sheet=A0&amp;row=183&amp;col=13&amp;number=1.0841e-05&amp;sourceID=11","1.0841e-05")</f>
        <v>1.0841e-05</v>
      </c>
      <c r="N183" s="4" t="str">
        <f>HYPERLINK("http://141.218.60.56/~jnz1568/getInfo.php?workbook=09_01.xlsx&amp;sheet=A0&amp;row=183&amp;col=14&amp;number=21500&amp;sourceID=12","21500")</f>
        <v>21500</v>
      </c>
      <c r="O183" s="4" t="str">
        <f>HYPERLINK("http://141.218.60.56/~jnz1568/getInfo.php?workbook=09_01.xlsx&amp;sheet=A0&amp;row=183&amp;col=15&amp;number=&amp;sourceID=12","")</f>
        <v/>
      </c>
      <c r="P183" s="4" t="str">
        <f>HYPERLINK("http://141.218.60.56/~jnz1568/getInfo.php?workbook=09_01.xlsx&amp;sheet=A0&amp;row=183&amp;col=16&amp;number=21500&amp;sourceID=12","21500")</f>
        <v>21500</v>
      </c>
      <c r="Q183" s="4" t="str">
        <f>HYPERLINK("http://141.218.60.56/~jnz1568/getInfo.php?workbook=09_01.xlsx&amp;sheet=A0&amp;row=183&amp;col=17&amp;number=&amp;sourceID=12","")</f>
        <v/>
      </c>
      <c r="R183" s="4" t="str">
        <f>HYPERLINK("http://141.218.60.56/~jnz1568/getInfo.php?workbook=09_01.xlsx&amp;sheet=A0&amp;row=183&amp;col=18&amp;number=&amp;sourceID=12","")</f>
        <v/>
      </c>
      <c r="S183" s="4" t="str">
        <f>HYPERLINK("http://141.218.60.56/~jnz1568/getInfo.php?workbook=09_01.xlsx&amp;sheet=A0&amp;row=183&amp;col=19&amp;number=&amp;sourceID=12","")</f>
        <v/>
      </c>
      <c r="T183" s="4" t="str">
        <f>HYPERLINK("http://141.218.60.56/~jnz1568/getInfo.php?workbook=09_01.xlsx&amp;sheet=A0&amp;row=183&amp;col=20&amp;number=1.0842e-05&amp;sourceID=12","1.0842e-05")</f>
        <v>1.0842e-05</v>
      </c>
      <c r="U183" s="4" t="str">
        <f>HYPERLINK("http://141.218.60.56/~jnz1568/getInfo.php?workbook=09_01.xlsx&amp;sheet=A0&amp;row=183&amp;col=21&amp;number=21500&amp;sourceID=30","21500")</f>
        <v>21500</v>
      </c>
      <c r="V183" s="4" t="str">
        <f>HYPERLINK("http://141.218.60.56/~jnz1568/getInfo.php?workbook=09_01.xlsx&amp;sheet=A0&amp;row=183&amp;col=22&amp;number=&amp;sourceID=30","")</f>
        <v/>
      </c>
      <c r="W183" s="4" t="str">
        <f>HYPERLINK("http://141.218.60.56/~jnz1568/getInfo.php?workbook=09_01.xlsx&amp;sheet=A0&amp;row=183&amp;col=23&amp;number=21500&amp;sourceID=30","21500")</f>
        <v>21500</v>
      </c>
      <c r="X183" s="4" t="str">
        <f>HYPERLINK("http://141.218.60.56/~jnz1568/getInfo.php?workbook=09_01.xlsx&amp;sheet=A0&amp;row=183&amp;col=24&amp;number=&amp;sourceID=30","")</f>
        <v/>
      </c>
      <c r="Y183" s="4" t="str">
        <f>HYPERLINK("http://141.218.60.56/~jnz1568/getInfo.php?workbook=09_01.xlsx&amp;sheet=A0&amp;row=183&amp;col=25&amp;number=&amp;sourceID=30","")</f>
        <v/>
      </c>
      <c r="Z183" s="4" t="str">
        <f>HYPERLINK("http://141.218.60.56/~jnz1568/getInfo.php?workbook=09_01.xlsx&amp;sheet=A0&amp;row=183&amp;col=26&amp;number=&amp;sourceID=13","")</f>
        <v/>
      </c>
      <c r="AA183" s="4" t="str">
        <f>HYPERLINK("http://141.218.60.56/~jnz1568/getInfo.php?workbook=09_01.xlsx&amp;sheet=A0&amp;row=183&amp;col=27&amp;number=&amp;sourceID=13","")</f>
        <v/>
      </c>
      <c r="AB183" s="4" t="str">
        <f>HYPERLINK("http://141.218.60.56/~jnz1568/getInfo.php?workbook=09_01.xlsx&amp;sheet=A0&amp;row=183&amp;col=28&amp;number=&amp;sourceID=13","")</f>
        <v/>
      </c>
      <c r="AC183" s="4" t="str">
        <f>HYPERLINK("http://141.218.60.56/~jnz1568/getInfo.php?workbook=09_01.xlsx&amp;sheet=A0&amp;row=183&amp;col=29&amp;number=&amp;sourceID=13","")</f>
        <v/>
      </c>
      <c r="AD183" s="4" t="str">
        <f>HYPERLINK("http://141.218.60.56/~jnz1568/getInfo.php?workbook=09_01.xlsx&amp;sheet=A0&amp;row=183&amp;col=30&amp;number=&amp;sourceID=13","")</f>
        <v/>
      </c>
      <c r="AE183" s="4" t="str">
        <f>HYPERLINK("http://141.218.60.56/~jnz1568/getInfo.php?workbook=09_01.xlsx&amp;sheet=A0&amp;row=183&amp;col=31&amp;number=&amp;sourceID=13","")</f>
        <v/>
      </c>
    </row>
    <row r="184" spans="1:31">
      <c r="A184" s="3">
        <v>9</v>
      </c>
      <c r="B184" s="3">
        <v>1</v>
      </c>
      <c r="C184" s="3">
        <v>20</v>
      </c>
      <c r="D184" s="3">
        <v>17</v>
      </c>
      <c r="E184" s="3">
        <f>((1/(INDEX(E0!J$4:J$28,C184,1)-INDEX(E0!J$4:J$28,D184,1))))*100000000</f>
        <v>0</v>
      </c>
      <c r="F184" s="4" t="str">
        <f>HYPERLINK("http://141.218.60.56/~jnz1568/getInfo.php?workbook=09_01.xlsx&amp;sheet=A0&amp;row=184&amp;col=6&amp;number=&amp;sourceID=18","")</f>
        <v/>
      </c>
      <c r="G184" s="4" t="str">
        <f>HYPERLINK("http://141.218.60.56/~jnz1568/getInfo.php?workbook=09_01.xlsx&amp;sheet=A0&amp;row=184&amp;col=7&amp;number==&amp;sourceID=11","=")</f>
        <v>=</v>
      </c>
      <c r="H184" s="4" t="str">
        <f>HYPERLINK("http://141.218.60.56/~jnz1568/getInfo.php?workbook=09_01.xlsx&amp;sheet=A0&amp;row=184&amp;col=8&amp;number=&amp;sourceID=11","")</f>
        <v/>
      </c>
      <c r="I184" s="4" t="str">
        <f>HYPERLINK("http://141.218.60.56/~jnz1568/getInfo.php?workbook=09_01.xlsx&amp;sheet=A0&amp;row=184&amp;col=9&amp;number=6.587e-10&amp;sourceID=11","6.587e-10")</f>
        <v>6.587e-10</v>
      </c>
      <c r="J184" s="4" t="str">
        <f>HYPERLINK("http://141.218.60.56/~jnz1568/getInfo.php?workbook=09_01.xlsx&amp;sheet=A0&amp;row=184&amp;col=10&amp;number=&amp;sourceID=11","")</f>
        <v/>
      </c>
      <c r="K184" s="4" t="str">
        <f>HYPERLINK("http://141.218.60.56/~jnz1568/getInfo.php?workbook=09_01.xlsx&amp;sheet=A0&amp;row=184&amp;col=11&amp;number=3.2681e-05&amp;sourceID=11","3.2681e-05")</f>
        <v>3.2681e-05</v>
      </c>
      <c r="L184" s="4" t="str">
        <f>HYPERLINK("http://141.218.60.56/~jnz1568/getInfo.php?workbook=09_01.xlsx&amp;sheet=A0&amp;row=184&amp;col=12&amp;number=&amp;sourceID=11","")</f>
        <v/>
      </c>
      <c r="M184" s="4" t="str">
        <f>HYPERLINK("http://141.218.60.56/~jnz1568/getInfo.php?workbook=09_01.xlsx&amp;sheet=A0&amp;row=184&amp;col=13&amp;number=&amp;sourceID=11","")</f>
        <v/>
      </c>
      <c r="N184" s="4" t="str">
        <f>HYPERLINK("http://141.218.60.56/~jnz1568/getInfo.php?workbook=09_01.xlsx&amp;sheet=A0&amp;row=184&amp;col=14&amp;number=3.2685e-05&amp;sourceID=12","3.2685e-05")</f>
        <v>3.2685e-05</v>
      </c>
      <c r="O184" s="4" t="str">
        <f>HYPERLINK("http://141.218.60.56/~jnz1568/getInfo.php?workbook=09_01.xlsx&amp;sheet=A0&amp;row=184&amp;col=15&amp;number=&amp;sourceID=12","")</f>
        <v/>
      </c>
      <c r="P184" s="4" t="str">
        <f>HYPERLINK("http://141.218.60.56/~jnz1568/getInfo.php?workbook=09_01.xlsx&amp;sheet=A0&amp;row=184&amp;col=16&amp;number=6.5878e-10&amp;sourceID=12","6.5878e-10")</f>
        <v>6.5878e-10</v>
      </c>
      <c r="Q184" s="4" t="str">
        <f>HYPERLINK("http://141.218.60.56/~jnz1568/getInfo.php?workbook=09_01.xlsx&amp;sheet=A0&amp;row=184&amp;col=17&amp;number=&amp;sourceID=12","")</f>
        <v/>
      </c>
      <c r="R184" s="4" t="str">
        <f>HYPERLINK("http://141.218.60.56/~jnz1568/getInfo.php?workbook=09_01.xlsx&amp;sheet=A0&amp;row=184&amp;col=18&amp;number=3.2684e-05&amp;sourceID=12","3.2684e-05")</f>
        <v>3.2684e-05</v>
      </c>
      <c r="S184" s="4" t="str">
        <f>HYPERLINK("http://141.218.60.56/~jnz1568/getInfo.php?workbook=09_01.xlsx&amp;sheet=A0&amp;row=184&amp;col=19&amp;number=&amp;sourceID=12","")</f>
        <v/>
      </c>
      <c r="T184" s="4" t="str">
        <f>HYPERLINK("http://141.218.60.56/~jnz1568/getInfo.php?workbook=09_01.xlsx&amp;sheet=A0&amp;row=184&amp;col=20&amp;number=&amp;sourceID=12","")</f>
        <v/>
      </c>
      <c r="U184" s="4" t="str">
        <f>HYPERLINK("http://141.218.60.56/~jnz1568/getInfo.php?workbook=09_01.xlsx&amp;sheet=A0&amp;row=184&amp;col=21&amp;number=3.26806588e-05&amp;sourceID=30","3.26806588e-05")</f>
        <v>3.26806588e-05</v>
      </c>
      <c r="V184" s="4" t="str">
        <f>HYPERLINK("http://141.218.60.56/~jnz1568/getInfo.php?workbook=09_01.xlsx&amp;sheet=A0&amp;row=184&amp;col=22&amp;number=&amp;sourceID=30","")</f>
        <v/>
      </c>
      <c r="W184" s="4" t="str">
        <f>HYPERLINK("http://141.218.60.56/~jnz1568/getInfo.php?workbook=09_01.xlsx&amp;sheet=A0&amp;row=184&amp;col=23&amp;number=6.588e-10&amp;sourceID=30","6.588e-10")</f>
        <v>6.588e-10</v>
      </c>
      <c r="X184" s="4" t="str">
        <f>HYPERLINK("http://141.218.60.56/~jnz1568/getInfo.php?workbook=09_01.xlsx&amp;sheet=A0&amp;row=184&amp;col=24&amp;number=3.268e-05&amp;sourceID=30","3.268e-05")</f>
        <v>3.268e-05</v>
      </c>
      <c r="Y184" s="4" t="str">
        <f>HYPERLINK("http://141.218.60.56/~jnz1568/getInfo.php?workbook=09_01.xlsx&amp;sheet=A0&amp;row=184&amp;col=25&amp;number=&amp;sourceID=30","")</f>
        <v/>
      </c>
      <c r="Z184" s="4" t="str">
        <f>HYPERLINK("http://141.218.60.56/~jnz1568/getInfo.php?workbook=09_01.xlsx&amp;sheet=A0&amp;row=184&amp;col=26&amp;number=&amp;sourceID=13","")</f>
        <v/>
      </c>
      <c r="AA184" s="4" t="str">
        <f>HYPERLINK("http://141.218.60.56/~jnz1568/getInfo.php?workbook=09_01.xlsx&amp;sheet=A0&amp;row=184&amp;col=27&amp;number=&amp;sourceID=13","")</f>
        <v/>
      </c>
      <c r="AB184" s="4" t="str">
        <f>HYPERLINK("http://141.218.60.56/~jnz1568/getInfo.php?workbook=09_01.xlsx&amp;sheet=A0&amp;row=184&amp;col=28&amp;number=&amp;sourceID=13","")</f>
        <v/>
      </c>
      <c r="AC184" s="4" t="str">
        <f>HYPERLINK("http://141.218.60.56/~jnz1568/getInfo.php?workbook=09_01.xlsx&amp;sheet=A0&amp;row=184&amp;col=29&amp;number=&amp;sourceID=13","")</f>
        <v/>
      </c>
      <c r="AD184" s="4" t="str">
        <f>HYPERLINK("http://141.218.60.56/~jnz1568/getInfo.php?workbook=09_01.xlsx&amp;sheet=A0&amp;row=184&amp;col=30&amp;number=&amp;sourceID=13","")</f>
        <v/>
      </c>
      <c r="AE184" s="4" t="str">
        <f>HYPERLINK("http://141.218.60.56/~jnz1568/getInfo.php?workbook=09_01.xlsx&amp;sheet=A0&amp;row=184&amp;col=31&amp;number=&amp;sourceID=13","")</f>
        <v/>
      </c>
    </row>
    <row r="185" spans="1:31">
      <c r="A185" s="3">
        <v>9</v>
      </c>
      <c r="B185" s="3">
        <v>1</v>
      </c>
      <c r="C185" s="3">
        <v>20</v>
      </c>
      <c r="D185" s="3">
        <v>18</v>
      </c>
      <c r="E185" s="3">
        <f>((1/(INDEX(E0!J$4:J$28,C185,1)-INDEX(E0!J$4:J$28,D185,1))))*100000000</f>
        <v>0</v>
      </c>
      <c r="F185" s="4" t="str">
        <f>HYPERLINK("http://141.218.60.56/~jnz1568/getInfo.php?workbook=09_01.xlsx&amp;sheet=A0&amp;row=185&amp;col=6&amp;number=&amp;sourceID=18","")</f>
        <v/>
      </c>
      <c r="G185" s="4" t="str">
        <f>HYPERLINK("http://141.218.60.56/~jnz1568/getInfo.php?workbook=09_01.xlsx&amp;sheet=A0&amp;row=185&amp;col=7&amp;number==&amp;sourceID=11","=")</f>
        <v>=</v>
      </c>
      <c r="H185" s="4" t="str">
        <f>HYPERLINK("http://141.218.60.56/~jnz1568/getInfo.php?workbook=09_01.xlsx&amp;sheet=A0&amp;row=185&amp;col=8&amp;number=40.886&amp;sourceID=11","40.886")</f>
        <v>40.886</v>
      </c>
      <c r="I185" s="4" t="str">
        <f>HYPERLINK("http://141.218.60.56/~jnz1568/getInfo.php?workbook=09_01.xlsx&amp;sheet=A0&amp;row=185&amp;col=9&amp;number=&amp;sourceID=11","")</f>
        <v/>
      </c>
      <c r="J185" s="4" t="str">
        <f>HYPERLINK("http://141.218.60.56/~jnz1568/getInfo.php?workbook=09_01.xlsx&amp;sheet=A0&amp;row=185&amp;col=10&amp;number=&amp;sourceID=11","")</f>
        <v/>
      </c>
      <c r="K185" s="4" t="str">
        <f>HYPERLINK("http://141.218.60.56/~jnz1568/getInfo.php?workbook=09_01.xlsx&amp;sheet=A0&amp;row=185&amp;col=11&amp;number=&amp;sourceID=11","")</f>
        <v/>
      </c>
      <c r="L185" s="4" t="str">
        <f>HYPERLINK("http://141.218.60.56/~jnz1568/getInfo.php?workbook=09_01.xlsx&amp;sheet=A0&amp;row=185&amp;col=12&amp;number=1.1e-14&amp;sourceID=11","1.1e-14")</f>
        <v>1.1e-14</v>
      </c>
      <c r="M185" s="4" t="str">
        <f>HYPERLINK("http://141.218.60.56/~jnz1568/getInfo.php?workbook=09_01.xlsx&amp;sheet=A0&amp;row=185&amp;col=13&amp;number=&amp;sourceID=11","")</f>
        <v/>
      </c>
      <c r="N185" s="4" t="str">
        <f>HYPERLINK("http://141.218.60.56/~jnz1568/getInfo.php?workbook=09_01.xlsx&amp;sheet=A0&amp;row=185&amp;col=14&amp;number=40.89&amp;sourceID=12","40.89")</f>
        <v>40.89</v>
      </c>
      <c r="O185" s="4" t="str">
        <f>HYPERLINK("http://141.218.60.56/~jnz1568/getInfo.php?workbook=09_01.xlsx&amp;sheet=A0&amp;row=185&amp;col=15&amp;number=40.89&amp;sourceID=12","40.89")</f>
        <v>40.89</v>
      </c>
      <c r="P185" s="4" t="str">
        <f>HYPERLINK("http://141.218.60.56/~jnz1568/getInfo.php?workbook=09_01.xlsx&amp;sheet=A0&amp;row=185&amp;col=16&amp;number=&amp;sourceID=12","")</f>
        <v/>
      </c>
      <c r="Q185" s="4" t="str">
        <f>HYPERLINK("http://141.218.60.56/~jnz1568/getInfo.php?workbook=09_01.xlsx&amp;sheet=A0&amp;row=185&amp;col=17&amp;number=&amp;sourceID=12","")</f>
        <v/>
      </c>
      <c r="R185" s="4" t="str">
        <f>HYPERLINK("http://141.218.60.56/~jnz1568/getInfo.php?workbook=09_01.xlsx&amp;sheet=A0&amp;row=185&amp;col=18&amp;number=&amp;sourceID=12","")</f>
        <v/>
      </c>
      <c r="S185" s="4" t="str">
        <f>HYPERLINK("http://141.218.60.56/~jnz1568/getInfo.php?workbook=09_01.xlsx&amp;sheet=A0&amp;row=185&amp;col=19&amp;number=1.1e-14&amp;sourceID=12","1.1e-14")</f>
        <v>1.1e-14</v>
      </c>
      <c r="T185" s="4" t="str">
        <f>HYPERLINK("http://141.218.60.56/~jnz1568/getInfo.php?workbook=09_01.xlsx&amp;sheet=A0&amp;row=185&amp;col=20&amp;number=&amp;sourceID=12","")</f>
        <v/>
      </c>
      <c r="U185" s="4" t="str">
        <f>HYPERLINK("http://141.218.60.56/~jnz1568/getInfo.php?workbook=09_01.xlsx&amp;sheet=A0&amp;row=185&amp;col=21&amp;number=40.89&amp;sourceID=30","40.89")</f>
        <v>40.89</v>
      </c>
      <c r="V185" s="4" t="str">
        <f>HYPERLINK("http://141.218.60.56/~jnz1568/getInfo.php?workbook=09_01.xlsx&amp;sheet=A0&amp;row=185&amp;col=22&amp;number=40.89&amp;sourceID=30","40.89")</f>
        <v>40.89</v>
      </c>
      <c r="W185" s="4" t="str">
        <f>HYPERLINK("http://141.218.60.56/~jnz1568/getInfo.php?workbook=09_01.xlsx&amp;sheet=A0&amp;row=185&amp;col=23&amp;number=&amp;sourceID=30","")</f>
        <v/>
      </c>
      <c r="X185" s="4" t="str">
        <f>HYPERLINK("http://141.218.60.56/~jnz1568/getInfo.php?workbook=09_01.xlsx&amp;sheet=A0&amp;row=185&amp;col=24&amp;number=&amp;sourceID=30","")</f>
        <v/>
      </c>
      <c r="Y185" s="4" t="str">
        <f>HYPERLINK("http://141.218.60.56/~jnz1568/getInfo.php?workbook=09_01.xlsx&amp;sheet=A0&amp;row=185&amp;col=25&amp;number=1.1e-14&amp;sourceID=30","1.1e-14")</f>
        <v>1.1e-14</v>
      </c>
      <c r="Z185" s="4" t="str">
        <f>HYPERLINK("http://141.218.60.56/~jnz1568/getInfo.php?workbook=09_01.xlsx&amp;sheet=A0&amp;row=185&amp;col=26&amp;number=&amp;sourceID=13","")</f>
        <v/>
      </c>
      <c r="AA185" s="4" t="str">
        <f>HYPERLINK("http://141.218.60.56/~jnz1568/getInfo.php?workbook=09_01.xlsx&amp;sheet=A0&amp;row=185&amp;col=27&amp;number=&amp;sourceID=13","")</f>
        <v/>
      </c>
      <c r="AB185" s="4" t="str">
        <f>HYPERLINK("http://141.218.60.56/~jnz1568/getInfo.php?workbook=09_01.xlsx&amp;sheet=A0&amp;row=185&amp;col=28&amp;number=&amp;sourceID=13","")</f>
        <v/>
      </c>
      <c r="AC185" s="4" t="str">
        <f>HYPERLINK("http://141.218.60.56/~jnz1568/getInfo.php?workbook=09_01.xlsx&amp;sheet=A0&amp;row=185&amp;col=29&amp;number=&amp;sourceID=13","")</f>
        <v/>
      </c>
      <c r="AD185" s="4" t="str">
        <f>HYPERLINK("http://141.218.60.56/~jnz1568/getInfo.php?workbook=09_01.xlsx&amp;sheet=A0&amp;row=185&amp;col=30&amp;number=&amp;sourceID=13","")</f>
        <v/>
      </c>
      <c r="AE185" s="4" t="str">
        <f>HYPERLINK("http://141.218.60.56/~jnz1568/getInfo.php?workbook=09_01.xlsx&amp;sheet=A0&amp;row=185&amp;col=31&amp;number=&amp;sourceID=13","")</f>
        <v/>
      </c>
    </row>
    <row r="186" spans="1:31">
      <c r="A186" s="3">
        <v>9</v>
      </c>
      <c r="B186" s="3">
        <v>1</v>
      </c>
      <c r="C186" s="3">
        <v>21</v>
      </c>
      <c r="D186" s="3">
        <v>1</v>
      </c>
      <c r="E186" s="3">
        <f>((1/(INDEX(E0!J$4:J$28,C186,1)-INDEX(E0!J$4:J$28,D186,1))))*100000000</f>
        <v>0</v>
      </c>
      <c r="F186" s="4" t="str">
        <f>HYPERLINK("http://141.218.60.56/~jnz1568/getInfo.php?workbook=09_01.xlsx&amp;sheet=A0&amp;row=186&amp;col=6&amp;number=&amp;sourceID=18","")</f>
        <v/>
      </c>
      <c r="G186" s="4" t="str">
        <f>HYPERLINK("http://141.218.60.56/~jnz1568/getInfo.php?workbook=09_01.xlsx&amp;sheet=A0&amp;row=186&amp;col=7&amp;number==&amp;sourceID=11","=")</f>
        <v>=</v>
      </c>
      <c r="H186" s="4" t="str">
        <f>HYPERLINK("http://141.218.60.56/~jnz1568/getInfo.php?workbook=09_01.xlsx&amp;sheet=A0&amp;row=186&amp;col=8&amp;number=&amp;sourceID=11","")</f>
        <v/>
      </c>
      <c r="I186" s="4" t="str">
        <f>HYPERLINK("http://141.218.60.56/~jnz1568/getInfo.php?workbook=09_01.xlsx&amp;sheet=A0&amp;row=186&amp;col=9&amp;number=&amp;sourceID=11","")</f>
        <v/>
      </c>
      <c r="J186" s="4" t="str">
        <f>HYPERLINK("http://141.218.60.56/~jnz1568/getInfo.php?workbook=09_01.xlsx&amp;sheet=A0&amp;row=186&amp;col=10&amp;number=11022&amp;sourceID=11","11022")</f>
        <v>11022</v>
      </c>
      <c r="K186" s="4" t="str">
        <f>HYPERLINK("http://141.218.60.56/~jnz1568/getInfo.php?workbook=09_01.xlsx&amp;sheet=A0&amp;row=186&amp;col=11&amp;number=&amp;sourceID=11","")</f>
        <v/>
      </c>
      <c r="L186" s="4" t="str">
        <f>HYPERLINK("http://141.218.60.56/~jnz1568/getInfo.php?workbook=09_01.xlsx&amp;sheet=A0&amp;row=186&amp;col=12&amp;number=0.00040137&amp;sourceID=11","0.00040137")</f>
        <v>0.00040137</v>
      </c>
      <c r="M186" s="4" t="str">
        <f>HYPERLINK("http://141.218.60.56/~jnz1568/getInfo.php?workbook=09_01.xlsx&amp;sheet=A0&amp;row=186&amp;col=13&amp;number=&amp;sourceID=11","")</f>
        <v/>
      </c>
      <c r="N186" s="4" t="str">
        <f>HYPERLINK("http://141.218.60.56/~jnz1568/getInfo.php?workbook=09_01.xlsx&amp;sheet=A0&amp;row=186&amp;col=14&amp;number=11022&amp;sourceID=12","11022")</f>
        <v>11022</v>
      </c>
      <c r="O186" s="4" t="str">
        <f>HYPERLINK("http://141.218.60.56/~jnz1568/getInfo.php?workbook=09_01.xlsx&amp;sheet=A0&amp;row=186&amp;col=15&amp;number=&amp;sourceID=12","")</f>
        <v/>
      </c>
      <c r="P186" s="4" t="str">
        <f>HYPERLINK("http://141.218.60.56/~jnz1568/getInfo.php?workbook=09_01.xlsx&amp;sheet=A0&amp;row=186&amp;col=16&amp;number=&amp;sourceID=12","")</f>
        <v/>
      </c>
      <c r="Q186" s="4" t="str">
        <f>HYPERLINK("http://141.218.60.56/~jnz1568/getInfo.php?workbook=09_01.xlsx&amp;sheet=A0&amp;row=186&amp;col=17&amp;number=11022&amp;sourceID=12","11022")</f>
        <v>11022</v>
      </c>
      <c r="R186" s="4" t="str">
        <f>HYPERLINK("http://141.218.60.56/~jnz1568/getInfo.php?workbook=09_01.xlsx&amp;sheet=A0&amp;row=186&amp;col=18&amp;number=&amp;sourceID=12","")</f>
        <v/>
      </c>
      <c r="S186" s="4" t="str">
        <f>HYPERLINK("http://141.218.60.56/~jnz1568/getInfo.php?workbook=09_01.xlsx&amp;sheet=A0&amp;row=186&amp;col=19&amp;number=0.00040278&amp;sourceID=12","0.00040278")</f>
        <v>0.00040278</v>
      </c>
      <c r="T186" s="4" t="str">
        <f>HYPERLINK("http://141.218.60.56/~jnz1568/getInfo.php?workbook=09_01.xlsx&amp;sheet=A0&amp;row=186&amp;col=20&amp;number=&amp;sourceID=12","")</f>
        <v/>
      </c>
      <c r="U186" s="4" t="str">
        <f>HYPERLINK("http://141.218.60.56/~jnz1568/getInfo.php?workbook=09_01.xlsx&amp;sheet=A0&amp;row=186&amp;col=21&amp;number=0.0004015&amp;sourceID=30","0.0004015")</f>
        <v>0.0004015</v>
      </c>
      <c r="V186" s="4" t="str">
        <f>HYPERLINK("http://141.218.60.56/~jnz1568/getInfo.php?workbook=09_01.xlsx&amp;sheet=A0&amp;row=186&amp;col=22&amp;number=&amp;sourceID=30","")</f>
        <v/>
      </c>
      <c r="W186" s="4" t="str">
        <f>HYPERLINK("http://141.218.60.56/~jnz1568/getInfo.php?workbook=09_01.xlsx&amp;sheet=A0&amp;row=186&amp;col=23&amp;number=&amp;sourceID=30","")</f>
        <v/>
      </c>
      <c r="X186" s="4" t="str">
        <f>HYPERLINK("http://141.218.60.56/~jnz1568/getInfo.php?workbook=09_01.xlsx&amp;sheet=A0&amp;row=186&amp;col=24&amp;number=&amp;sourceID=30","")</f>
        <v/>
      </c>
      <c r="Y186" s="4" t="str">
        <f>HYPERLINK("http://141.218.60.56/~jnz1568/getInfo.php?workbook=09_01.xlsx&amp;sheet=A0&amp;row=186&amp;col=25&amp;number=0.0004015&amp;sourceID=30","0.0004015")</f>
        <v>0.0004015</v>
      </c>
      <c r="Z186" s="4" t="str">
        <f>HYPERLINK("http://141.218.60.56/~jnz1568/getInfo.php?workbook=09_01.xlsx&amp;sheet=A0&amp;row=186&amp;col=26&amp;number=&amp;sourceID=13","")</f>
        <v/>
      </c>
      <c r="AA186" s="4" t="str">
        <f>HYPERLINK("http://141.218.60.56/~jnz1568/getInfo.php?workbook=09_01.xlsx&amp;sheet=A0&amp;row=186&amp;col=27&amp;number=&amp;sourceID=13","")</f>
        <v/>
      </c>
      <c r="AB186" s="4" t="str">
        <f>HYPERLINK("http://141.218.60.56/~jnz1568/getInfo.php?workbook=09_01.xlsx&amp;sheet=A0&amp;row=186&amp;col=28&amp;number=&amp;sourceID=13","")</f>
        <v/>
      </c>
      <c r="AC186" s="4" t="str">
        <f>HYPERLINK("http://141.218.60.56/~jnz1568/getInfo.php?workbook=09_01.xlsx&amp;sheet=A0&amp;row=186&amp;col=29&amp;number=&amp;sourceID=13","")</f>
        <v/>
      </c>
      <c r="AD186" s="4" t="str">
        <f>HYPERLINK("http://141.218.60.56/~jnz1568/getInfo.php?workbook=09_01.xlsx&amp;sheet=A0&amp;row=186&amp;col=30&amp;number=&amp;sourceID=13","")</f>
        <v/>
      </c>
      <c r="AE186" s="4" t="str">
        <f>HYPERLINK("http://141.218.60.56/~jnz1568/getInfo.php?workbook=09_01.xlsx&amp;sheet=A0&amp;row=186&amp;col=31&amp;number=&amp;sourceID=13","")</f>
        <v/>
      </c>
    </row>
    <row r="187" spans="1:31">
      <c r="A187" s="3">
        <v>9</v>
      </c>
      <c r="B187" s="3">
        <v>1</v>
      </c>
      <c r="C187" s="3">
        <v>21</v>
      </c>
      <c r="D187" s="3">
        <v>2</v>
      </c>
      <c r="E187" s="3">
        <f>((1/(INDEX(E0!J$4:J$28,C187,1)-INDEX(E0!J$4:J$28,D187,1))))*100000000</f>
        <v>0</v>
      </c>
      <c r="F187" s="4" t="str">
        <f>HYPERLINK("http://141.218.60.56/~jnz1568/getInfo.php?workbook=09_01.xlsx&amp;sheet=A0&amp;row=187&amp;col=6&amp;number=&amp;sourceID=18","")</f>
        <v/>
      </c>
      <c r="G187" s="4" t="str">
        <f>HYPERLINK("http://141.218.60.56/~jnz1568/getInfo.php?workbook=09_01.xlsx&amp;sheet=A0&amp;row=187&amp;col=7&amp;number==&amp;sourceID=11","=")</f>
        <v>=</v>
      </c>
      <c r="H187" s="4" t="str">
        <f>HYPERLINK("http://141.218.60.56/~jnz1568/getInfo.php?workbook=09_01.xlsx&amp;sheet=A0&amp;row=187&amp;col=8&amp;number=&amp;sourceID=11","")</f>
        <v/>
      </c>
      <c r="I187" s="4" t="str">
        <f>HYPERLINK("http://141.218.60.56/~jnz1568/getInfo.php?workbook=09_01.xlsx&amp;sheet=A0&amp;row=187&amp;col=9&amp;number=17085000&amp;sourceID=11","17085000")</f>
        <v>17085000</v>
      </c>
      <c r="J187" s="4" t="str">
        <f>HYPERLINK("http://141.218.60.56/~jnz1568/getInfo.php?workbook=09_01.xlsx&amp;sheet=A0&amp;row=187&amp;col=10&amp;number=&amp;sourceID=11","")</f>
        <v/>
      </c>
      <c r="K187" s="4" t="str">
        <f>HYPERLINK("http://141.218.60.56/~jnz1568/getInfo.php?workbook=09_01.xlsx&amp;sheet=A0&amp;row=187&amp;col=11&amp;number=&amp;sourceID=11","")</f>
        <v/>
      </c>
      <c r="L187" s="4" t="str">
        <f>HYPERLINK("http://141.218.60.56/~jnz1568/getInfo.php?workbook=09_01.xlsx&amp;sheet=A0&amp;row=187&amp;col=12&amp;number=&amp;sourceID=11","")</f>
        <v/>
      </c>
      <c r="M187" s="4" t="str">
        <f>HYPERLINK("http://141.218.60.56/~jnz1568/getInfo.php?workbook=09_01.xlsx&amp;sheet=A0&amp;row=187&amp;col=13&amp;number=0.015933&amp;sourceID=11","0.015933")</f>
        <v>0.015933</v>
      </c>
      <c r="N187" s="4" t="str">
        <f>HYPERLINK("http://141.218.60.56/~jnz1568/getInfo.php?workbook=09_01.xlsx&amp;sheet=A0&amp;row=187&amp;col=14&amp;number=17086000&amp;sourceID=12","17086000")</f>
        <v>17086000</v>
      </c>
      <c r="O187" s="4" t="str">
        <f>HYPERLINK("http://141.218.60.56/~jnz1568/getInfo.php?workbook=09_01.xlsx&amp;sheet=A0&amp;row=187&amp;col=15&amp;number=&amp;sourceID=12","")</f>
        <v/>
      </c>
      <c r="P187" s="4" t="str">
        <f>HYPERLINK("http://141.218.60.56/~jnz1568/getInfo.php?workbook=09_01.xlsx&amp;sheet=A0&amp;row=187&amp;col=16&amp;number=17086000&amp;sourceID=12","17086000")</f>
        <v>17086000</v>
      </c>
      <c r="Q187" s="4" t="str">
        <f>HYPERLINK("http://141.218.60.56/~jnz1568/getInfo.php?workbook=09_01.xlsx&amp;sheet=A0&amp;row=187&amp;col=17&amp;number=&amp;sourceID=12","")</f>
        <v/>
      </c>
      <c r="R187" s="4" t="str">
        <f>HYPERLINK("http://141.218.60.56/~jnz1568/getInfo.php?workbook=09_01.xlsx&amp;sheet=A0&amp;row=187&amp;col=18&amp;number=&amp;sourceID=12","")</f>
        <v/>
      </c>
      <c r="S187" s="4" t="str">
        <f>HYPERLINK("http://141.218.60.56/~jnz1568/getInfo.php?workbook=09_01.xlsx&amp;sheet=A0&amp;row=187&amp;col=19&amp;number=&amp;sourceID=12","")</f>
        <v/>
      </c>
      <c r="T187" s="4" t="str">
        <f>HYPERLINK("http://141.218.60.56/~jnz1568/getInfo.php?workbook=09_01.xlsx&amp;sheet=A0&amp;row=187&amp;col=20&amp;number=0.015934&amp;sourceID=12","0.015934")</f>
        <v>0.015934</v>
      </c>
      <c r="U187" s="4" t="str">
        <f>HYPERLINK("http://141.218.60.56/~jnz1568/getInfo.php?workbook=09_01.xlsx&amp;sheet=A0&amp;row=187&amp;col=21&amp;number=17090000&amp;sourceID=30","17090000")</f>
        <v>17090000</v>
      </c>
      <c r="V187" s="4" t="str">
        <f>HYPERLINK("http://141.218.60.56/~jnz1568/getInfo.php?workbook=09_01.xlsx&amp;sheet=A0&amp;row=187&amp;col=22&amp;number=&amp;sourceID=30","")</f>
        <v/>
      </c>
      <c r="W187" s="4" t="str">
        <f>HYPERLINK("http://141.218.60.56/~jnz1568/getInfo.php?workbook=09_01.xlsx&amp;sheet=A0&amp;row=187&amp;col=23&amp;number=17090000&amp;sourceID=30","17090000")</f>
        <v>17090000</v>
      </c>
      <c r="X187" s="4" t="str">
        <f>HYPERLINK("http://141.218.60.56/~jnz1568/getInfo.php?workbook=09_01.xlsx&amp;sheet=A0&amp;row=187&amp;col=24&amp;number=&amp;sourceID=30","")</f>
        <v/>
      </c>
      <c r="Y187" s="4" t="str">
        <f>HYPERLINK("http://141.218.60.56/~jnz1568/getInfo.php?workbook=09_01.xlsx&amp;sheet=A0&amp;row=187&amp;col=25&amp;number=&amp;sourceID=30","")</f>
        <v/>
      </c>
      <c r="Z187" s="4" t="str">
        <f>HYPERLINK("http://141.218.60.56/~jnz1568/getInfo.php?workbook=09_01.xlsx&amp;sheet=A0&amp;row=187&amp;col=26&amp;number=&amp;sourceID=13","")</f>
        <v/>
      </c>
      <c r="AA187" s="4" t="str">
        <f>HYPERLINK("http://141.218.60.56/~jnz1568/getInfo.php?workbook=09_01.xlsx&amp;sheet=A0&amp;row=187&amp;col=27&amp;number=&amp;sourceID=13","")</f>
        <v/>
      </c>
      <c r="AB187" s="4" t="str">
        <f>HYPERLINK("http://141.218.60.56/~jnz1568/getInfo.php?workbook=09_01.xlsx&amp;sheet=A0&amp;row=187&amp;col=28&amp;number=&amp;sourceID=13","")</f>
        <v/>
      </c>
      <c r="AC187" s="4" t="str">
        <f>HYPERLINK("http://141.218.60.56/~jnz1568/getInfo.php?workbook=09_01.xlsx&amp;sheet=A0&amp;row=187&amp;col=29&amp;number=&amp;sourceID=13","")</f>
        <v/>
      </c>
      <c r="AD187" s="4" t="str">
        <f>HYPERLINK("http://141.218.60.56/~jnz1568/getInfo.php?workbook=09_01.xlsx&amp;sheet=A0&amp;row=187&amp;col=30&amp;number=&amp;sourceID=13","")</f>
        <v/>
      </c>
      <c r="AE187" s="4" t="str">
        <f>HYPERLINK("http://141.218.60.56/~jnz1568/getInfo.php?workbook=09_01.xlsx&amp;sheet=A0&amp;row=187&amp;col=31&amp;number=&amp;sourceID=13","")</f>
        <v/>
      </c>
    </row>
    <row r="188" spans="1:31">
      <c r="A188" s="3">
        <v>9</v>
      </c>
      <c r="B188" s="3">
        <v>1</v>
      </c>
      <c r="C188" s="3">
        <v>21</v>
      </c>
      <c r="D188" s="3">
        <v>3</v>
      </c>
      <c r="E188" s="3">
        <f>((1/(INDEX(E0!J$4:J$28,C188,1)-INDEX(E0!J$4:J$28,D188,1))))*100000000</f>
        <v>0</v>
      </c>
      <c r="F188" s="4" t="str">
        <f>HYPERLINK("http://141.218.60.56/~jnz1568/getInfo.php?workbook=09_01.xlsx&amp;sheet=A0&amp;row=188&amp;col=6&amp;number=&amp;sourceID=18","")</f>
        <v/>
      </c>
      <c r="G188" s="4" t="str">
        <f>HYPERLINK("http://141.218.60.56/~jnz1568/getInfo.php?workbook=09_01.xlsx&amp;sheet=A0&amp;row=188&amp;col=7&amp;number==&amp;sourceID=11","=")</f>
        <v>=</v>
      </c>
      <c r="H188" s="4" t="str">
        <f>HYPERLINK("http://141.218.60.56/~jnz1568/getInfo.php?workbook=09_01.xlsx&amp;sheet=A0&amp;row=188&amp;col=8&amp;number=&amp;sourceID=11","")</f>
        <v/>
      </c>
      <c r="I188" s="4" t="str">
        <f>HYPERLINK("http://141.218.60.56/~jnz1568/getInfo.php?workbook=09_01.xlsx&amp;sheet=A0&amp;row=188&amp;col=9&amp;number=&amp;sourceID=11","")</f>
        <v/>
      </c>
      <c r="J188" s="4" t="str">
        <f>HYPERLINK("http://141.218.60.56/~jnz1568/getInfo.php?workbook=09_01.xlsx&amp;sheet=A0&amp;row=188&amp;col=10&amp;number=3045.3&amp;sourceID=11","3045.3")</f>
        <v>3045.3</v>
      </c>
      <c r="K188" s="4" t="str">
        <f>HYPERLINK("http://141.218.60.56/~jnz1568/getInfo.php?workbook=09_01.xlsx&amp;sheet=A0&amp;row=188&amp;col=11&amp;number=&amp;sourceID=11","")</f>
        <v/>
      </c>
      <c r="L188" s="4" t="str">
        <f>HYPERLINK("http://141.218.60.56/~jnz1568/getInfo.php?workbook=09_01.xlsx&amp;sheet=A0&amp;row=188&amp;col=12&amp;number=2.0401e-05&amp;sourceID=11","2.0401e-05")</f>
        <v>2.0401e-05</v>
      </c>
      <c r="M188" s="4" t="str">
        <f>HYPERLINK("http://141.218.60.56/~jnz1568/getInfo.php?workbook=09_01.xlsx&amp;sheet=A0&amp;row=188&amp;col=13&amp;number=&amp;sourceID=11","")</f>
        <v/>
      </c>
      <c r="N188" s="4" t="str">
        <f>HYPERLINK("http://141.218.60.56/~jnz1568/getInfo.php?workbook=09_01.xlsx&amp;sheet=A0&amp;row=188&amp;col=14&amp;number=3045.4&amp;sourceID=12","3045.4")</f>
        <v>3045.4</v>
      </c>
      <c r="O188" s="4" t="str">
        <f>HYPERLINK("http://141.218.60.56/~jnz1568/getInfo.php?workbook=09_01.xlsx&amp;sheet=A0&amp;row=188&amp;col=15&amp;number=&amp;sourceID=12","")</f>
        <v/>
      </c>
      <c r="P188" s="4" t="str">
        <f>HYPERLINK("http://141.218.60.56/~jnz1568/getInfo.php?workbook=09_01.xlsx&amp;sheet=A0&amp;row=188&amp;col=16&amp;number=&amp;sourceID=12","")</f>
        <v/>
      </c>
      <c r="Q188" s="4" t="str">
        <f>HYPERLINK("http://141.218.60.56/~jnz1568/getInfo.php?workbook=09_01.xlsx&amp;sheet=A0&amp;row=188&amp;col=17&amp;number=3045.4&amp;sourceID=12","3045.4")</f>
        <v>3045.4</v>
      </c>
      <c r="R188" s="4" t="str">
        <f>HYPERLINK("http://141.218.60.56/~jnz1568/getInfo.php?workbook=09_01.xlsx&amp;sheet=A0&amp;row=188&amp;col=18&amp;number=&amp;sourceID=12","")</f>
        <v/>
      </c>
      <c r="S188" s="4" t="str">
        <f>HYPERLINK("http://141.218.60.56/~jnz1568/getInfo.php?workbook=09_01.xlsx&amp;sheet=A0&amp;row=188&amp;col=19&amp;number=2.0431e-05&amp;sourceID=12","2.0431e-05")</f>
        <v>2.0431e-05</v>
      </c>
      <c r="T188" s="4" t="str">
        <f>HYPERLINK("http://141.218.60.56/~jnz1568/getInfo.php?workbook=09_01.xlsx&amp;sheet=A0&amp;row=188&amp;col=20&amp;number=&amp;sourceID=12","")</f>
        <v/>
      </c>
      <c r="U188" s="4" t="str">
        <f>HYPERLINK("http://141.218.60.56/~jnz1568/getInfo.php?workbook=09_01.xlsx&amp;sheet=A0&amp;row=188&amp;col=21&amp;number=2.039e-05&amp;sourceID=30","2.039e-05")</f>
        <v>2.039e-05</v>
      </c>
      <c r="V188" s="4" t="str">
        <f>HYPERLINK("http://141.218.60.56/~jnz1568/getInfo.php?workbook=09_01.xlsx&amp;sheet=A0&amp;row=188&amp;col=22&amp;number=&amp;sourceID=30","")</f>
        <v/>
      </c>
      <c r="W188" s="4" t="str">
        <f>HYPERLINK("http://141.218.60.56/~jnz1568/getInfo.php?workbook=09_01.xlsx&amp;sheet=A0&amp;row=188&amp;col=23&amp;number=&amp;sourceID=30","")</f>
        <v/>
      </c>
      <c r="X188" s="4" t="str">
        <f>HYPERLINK("http://141.218.60.56/~jnz1568/getInfo.php?workbook=09_01.xlsx&amp;sheet=A0&amp;row=188&amp;col=24&amp;number=&amp;sourceID=30","")</f>
        <v/>
      </c>
      <c r="Y188" s="4" t="str">
        <f>HYPERLINK("http://141.218.60.56/~jnz1568/getInfo.php?workbook=09_01.xlsx&amp;sheet=A0&amp;row=188&amp;col=25&amp;number=2.039e-05&amp;sourceID=30","2.039e-05")</f>
        <v>2.039e-05</v>
      </c>
      <c r="Z188" s="4" t="str">
        <f>HYPERLINK("http://141.218.60.56/~jnz1568/getInfo.php?workbook=09_01.xlsx&amp;sheet=A0&amp;row=188&amp;col=26&amp;number=&amp;sourceID=13","")</f>
        <v/>
      </c>
      <c r="AA188" s="4" t="str">
        <f>HYPERLINK("http://141.218.60.56/~jnz1568/getInfo.php?workbook=09_01.xlsx&amp;sheet=A0&amp;row=188&amp;col=27&amp;number=&amp;sourceID=13","")</f>
        <v/>
      </c>
      <c r="AB188" s="4" t="str">
        <f>HYPERLINK("http://141.218.60.56/~jnz1568/getInfo.php?workbook=09_01.xlsx&amp;sheet=A0&amp;row=188&amp;col=28&amp;number=&amp;sourceID=13","")</f>
        <v/>
      </c>
      <c r="AC188" s="4" t="str">
        <f>HYPERLINK("http://141.218.60.56/~jnz1568/getInfo.php?workbook=09_01.xlsx&amp;sheet=A0&amp;row=188&amp;col=29&amp;number=&amp;sourceID=13","")</f>
        <v/>
      </c>
      <c r="AD188" s="4" t="str">
        <f>HYPERLINK("http://141.218.60.56/~jnz1568/getInfo.php?workbook=09_01.xlsx&amp;sheet=A0&amp;row=188&amp;col=30&amp;number=&amp;sourceID=13","")</f>
        <v/>
      </c>
      <c r="AE188" s="4" t="str">
        <f>HYPERLINK("http://141.218.60.56/~jnz1568/getInfo.php?workbook=09_01.xlsx&amp;sheet=A0&amp;row=188&amp;col=31&amp;number=&amp;sourceID=13","")</f>
        <v/>
      </c>
    </row>
    <row r="189" spans="1:31">
      <c r="A189" s="3">
        <v>9</v>
      </c>
      <c r="B189" s="3">
        <v>1</v>
      </c>
      <c r="C189" s="3">
        <v>21</v>
      </c>
      <c r="D189" s="3">
        <v>4</v>
      </c>
      <c r="E189" s="3">
        <f>((1/(INDEX(E0!J$4:J$28,C189,1)-INDEX(E0!J$4:J$28,D189,1))))*100000000</f>
        <v>0</v>
      </c>
      <c r="F189" s="4" t="str">
        <f>HYPERLINK("http://141.218.60.56/~jnz1568/getInfo.php?workbook=09_01.xlsx&amp;sheet=A0&amp;row=189&amp;col=6&amp;number=&amp;sourceID=18","")</f>
        <v/>
      </c>
      <c r="G189" s="4" t="str">
        <f>HYPERLINK("http://141.218.60.56/~jnz1568/getInfo.php?workbook=09_01.xlsx&amp;sheet=A0&amp;row=189&amp;col=7&amp;number==&amp;sourceID=11","=")</f>
        <v>=</v>
      </c>
      <c r="H189" s="4" t="str">
        <f>HYPERLINK("http://141.218.60.56/~jnz1568/getInfo.php?workbook=09_01.xlsx&amp;sheet=A0&amp;row=189&amp;col=8&amp;number=&amp;sourceID=11","")</f>
        <v/>
      </c>
      <c r="I189" s="4" t="str">
        <f>HYPERLINK("http://141.218.60.56/~jnz1568/getInfo.php?workbook=09_01.xlsx&amp;sheet=A0&amp;row=189&amp;col=9&amp;number=4877600&amp;sourceID=11","4877600")</f>
        <v>4877600</v>
      </c>
      <c r="J189" s="4" t="str">
        <f>HYPERLINK("http://141.218.60.56/~jnz1568/getInfo.php?workbook=09_01.xlsx&amp;sheet=A0&amp;row=189&amp;col=10&amp;number=&amp;sourceID=11","")</f>
        <v/>
      </c>
      <c r="K189" s="4" t="str">
        <f>HYPERLINK("http://141.218.60.56/~jnz1568/getInfo.php?workbook=09_01.xlsx&amp;sheet=A0&amp;row=189&amp;col=11&amp;number=0.13488&amp;sourceID=11","0.13488")</f>
        <v>0.13488</v>
      </c>
      <c r="L189" s="4" t="str">
        <f>HYPERLINK("http://141.218.60.56/~jnz1568/getInfo.php?workbook=09_01.xlsx&amp;sheet=A0&amp;row=189&amp;col=12&amp;number=&amp;sourceID=11","")</f>
        <v/>
      </c>
      <c r="M189" s="4" t="str">
        <f>HYPERLINK("http://141.218.60.56/~jnz1568/getInfo.php?workbook=09_01.xlsx&amp;sheet=A0&amp;row=189&amp;col=13&amp;number=0.0031789&amp;sourceID=11","0.0031789")</f>
        <v>0.0031789</v>
      </c>
      <c r="N189" s="4" t="str">
        <f>HYPERLINK("http://141.218.60.56/~jnz1568/getInfo.php?workbook=09_01.xlsx&amp;sheet=A0&amp;row=189&amp;col=14&amp;number=4877800&amp;sourceID=12","4877800")</f>
        <v>4877800</v>
      </c>
      <c r="O189" s="4" t="str">
        <f>HYPERLINK("http://141.218.60.56/~jnz1568/getInfo.php?workbook=09_01.xlsx&amp;sheet=A0&amp;row=189&amp;col=15&amp;number=&amp;sourceID=12","")</f>
        <v/>
      </c>
      <c r="P189" s="4" t="str">
        <f>HYPERLINK("http://141.218.60.56/~jnz1568/getInfo.php?workbook=09_01.xlsx&amp;sheet=A0&amp;row=189&amp;col=16&amp;number=4877800&amp;sourceID=12","4877800")</f>
        <v>4877800</v>
      </c>
      <c r="Q189" s="4" t="str">
        <f>HYPERLINK("http://141.218.60.56/~jnz1568/getInfo.php?workbook=09_01.xlsx&amp;sheet=A0&amp;row=189&amp;col=17&amp;number=&amp;sourceID=12","")</f>
        <v/>
      </c>
      <c r="R189" s="4" t="str">
        <f>HYPERLINK("http://141.218.60.56/~jnz1568/getInfo.php?workbook=09_01.xlsx&amp;sheet=A0&amp;row=189&amp;col=18&amp;number=0.13493&amp;sourceID=12","0.13493")</f>
        <v>0.13493</v>
      </c>
      <c r="S189" s="4" t="str">
        <f>HYPERLINK("http://141.218.60.56/~jnz1568/getInfo.php?workbook=09_01.xlsx&amp;sheet=A0&amp;row=189&amp;col=19&amp;number=&amp;sourceID=12","")</f>
        <v/>
      </c>
      <c r="T189" s="4" t="str">
        <f>HYPERLINK("http://141.218.60.56/~jnz1568/getInfo.php?workbook=09_01.xlsx&amp;sheet=A0&amp;row=189&amp;col=20&amp;number=0.003179&amp;sourceID=12","0.003179")</f>
        <v>0.003179</v>
      </c>
      <c r="U189" s="4" t="str">
        <f>HYPERLINK("http://141.218.60.56/~jnz1568/getInfo.php?workbook=09_01.xlsx&amp;sheet=A0&amp;row=189&amp;col=21&amp;number=4878000.1349&amp;sourceID=30","4878000.1349")</f>
        <v>4878000.1349</v>
      </c>
      <c r="V189" s="4" t="str">
        <f>HYPERLINK("http://141.218.60.56/~jnz1568/getInfo.php?workbook=09_01.xlsx&amp;sheet=A0&amp;row=189&amp;col=22&amp;number=&amp;sourceID=30","")</f>
        <v/>
      </c>
      <c r="W189" s="4" t="str">
        <f>HYPERLINK("http://141.218.60.56/~jnz1568/getInfo.php?workbook=09_01.xlsx&amp;sheet=A0&amp;row=189&amp;col=23&amp;number=4878000&amp;sourceID=30","4878000")</f>
        <v>4878000</v>
      </c>
      <c r="X189" s="4" t="str">
        <f>HYPERLINK("http://141.218.60.56/~jnz1568/getInfo.php?workbook=09_01.xlsx&amp;sheet=A0&amp;row=189&amp;col=24&amp;number=0.1349&amp;sourceID=30","0.1349")</f>
        <v>0.1349</v>
      </c>
      <c r="Y189" s="4" t="str">
        <f>HYPERLINK("http://141.218.60.56/~jnz1568/getInfo.php?workbook=09_01.xlsx&amp;sheet=A0&amp;row=189&amp;col=25&amp;number=&amp;sourceID=30","")</f>
        <v/>
      </c>
      <c r="Z189" s="4" t="str">
        <f>HYPERLINK("http://141.218.60.56/~jnz1568/getInfo.php?workbook=09_01.xlsx&amp;sheet=A0&amp;row=189&amp;col=26&amp;number=&amp;sourceID=13","")</f>
        <v/>
      </c>
      <c r="AA189" s="4" t="str">
        <f>HYPERLINK("http://141.218.60.56/~jnz1568/getInfo.php?workbook=09_01.xlsx&amp;sheet=A0&amp;row=189&amp;col=27&amp;number=&amp;sourceID=13","")</f>
        <v/>
      </c>
      <c r="AB189" s="4" t="str">
        <f>HYPERLINK("http://141.218.60.56/~jnz1568/getInfo.php?workbook=09_01.xlsx&amp;sheet=A0&amp;row=189&amp;col=28&amp;number=&amp;sourceID=13","")</f>
        <v/>
      </c>
      <c r="AC189" s="4" t="str">
        <f>HYPERLINK("http://141.218.60.56/~jnz1568/getInfo.php?workbook=09_01.xlsx&amp;sheet=A0&amp;row=189&amp;col=29&amp;number=&amp;sourceID=13","")</f>
        <v/>
      </c>
      <c r="AD189" s="4" t="str">
        <f>HYPERLINK("http://141.218.60.56/~jnz1568/getInfo.php?workbook=09_01.xlsx&amp;sheet=A0&amp;row=189&amp;col=30&amp;number=&amp;sourceID=13","")</f>
        <v/>
      </c>
      <c r="AE189" s="4" t="str">
        <f>HYPERLINK("http://141.218.60.56/~jnz1568/getInfo.php?workbook=09_01.xlsx&amp;sheet=A0&amp;row=189&amp;col=31&amp;number=&amp;sourceID=13","")</f>
        <v/>
      </c>
    </row>
    <row r="190" spans="1:31">
      <c r="A190" s="3">
        <v>9</v>
      </c>
      <c r="B190" s="3">
        <v>1</v>
      </c>
      <c r="C190" s="3">
        <v>21</v>
      </c>
      <c r="D190" s="3">
        <v>5</v>
      </c>
      <c r="E190" s="3">
        <f>((1/(INDEX(E0!J$4:J$28,C190,1)-INDEX(E0!J$4:J$28,D190,1))))*100000000</f>
        <v>0</v>
      </c>
      <c r="F190" s="4" t="str">
        <f>HYPERLINK("http://141.218.60.56/~jnz1568/getInfo.php?workbook=09_01.xlsx&amp;sheet=A0&amp;row=190&amp;col=6&amp;number=&amp;sourceID=18","")</f>
        <v/>
      </c>
      <c r="G190" s="4" t="str">
        <f>HYPERLINK("http://141.218.60.56/~jnz1568/getInfo.php?workbook=09_01.xlsx&amp;sheet=A0&amp;row=190&amp;col=7&amp;number==&amp;sourceID=11","=")</f>
        <v>=</v>
      </c>
      <c r="H190" s="4" t="str">
        <f>HYPERLINK("http://141.218.60.56/~jnz1568/getInfo.php?workbook=09_01.xlsx&amp;sheet=A0&amp;row=190&amp;col=8&amp;number=&amp;sourceID=11","")</f>
        <v/>
      </c>
      <c r="I190" s="4" t="str">
        <f>HYPERLINK("http://141.218.60.56/~jnz1568/getInfo.php?workbook=09_01.xlsx&amp;sheet=A0&amp;row=190&amp;col=9&amp;number=11656&amp;sourceID=11","11656")</f>
        <v>11656</v>
      </c>
      <c r="J190" s="4" t="str">
        <f>HYPERLINK("http://141.218.60.56/~jnz1568/getInfo.php?workbook=09_01.xlsx&amp;sheet=A0&amp;row=190&amp;col=10&amp;number=&amp;sourceID=11","")</f>
        <v/>
      </c>
      <c r="K190" s="4" t="str">
        <f>HYPERLINK("http://141.218.60.56/~jnz1568/getInfo.php?workbook=09_01.xlsx&amp;sheet=A0&amp;row=190&amp;col=11&amp;number=&amp;sourceID=11","")</f>
        <v/>
      </c>
      <c r="L190" s="4" t="str">
        <f>HYPERLINK("http://141.218.60.56/~jnz1568/getInfo.php?workbook=09_01.xlsx&amp;sheet=A0&amp;row=190&amp;col=12&amp;number=&amp;sourceID=11","")</f>
        <v/>
      </c>
      <c r="M190" s="4" t="str">
        <f>HYPERLINK("http://141.218.60.56/~jnz1568/getInfo.php?workbook=09_01.xlsx&amp;sheet=A0&amp;row=190&amp;col=13&amp;number=1.2433e-06&amp;sourceID=11","1.2433e-06")</f>
        <v>1.2433e-06</v>
      </c>
      <c r="N190" s="4" t="str">
        <f>HYPERLINK("http://141.218.60.56/~jnz1568/getInfo.php?workbook=09_01.xlsx&amp;sheet=A0&amp;row=190&amp;col=14&amp;number=11656&amp;sourceID=12","11656")</f>
        <v>11656</v>
      </c>
      <c r="O190" s="4" t="str">
        <f>HYPERLINK("http://141.218.60.56/~jnz1568/getInfo.php?workbook=09_01.xlsx&amp;sheet=A0&amp;row=190&amp;col=15&amp;number=&amp;sourceID=12","")</f>
        <v/>
      </c>
      <c r="P190" s="4" t="str">
        <f>HYPERLINK("http://141.218.60.56/~jnz1568/getInfo.php?workbook=09_01.xlsx&amp;sheet=A0&amp;row=190&amp;col=16&amp;number=11656&amp;sourceID=12","11656")</f>
        <v>11656</v>
      </c>
      <c r="Q190" s="4" t="str">
        <f>HYPERLINK("http://141.218.60.56/~jnz1568/getInfo.php?workbook=09_01.xlsx&amp;sheet=A0&amp;row=190&amp;col=17&amp;number=&amp;sourceID=12","")</f>
        <v/>
      </c>
      <c r="R190" s="4" t="str">
        <f>HYPERLINK("http://141.218.60.56/~jnz1568/getInfo.php?workbook=09_01.xlsx&amp;sheet=A0&amp;row=190&amp;col=18&amp;number=&amp;sourceID=12","")</f>
        <v/>
      </c>
      <c r="S190" s="4" t="str">
        <f>HYPERLINK("http://141.218.60.56/~jnz1568/getInfo.php?workbook=09_01.xlsx&amp;sheet=A0&amp;row=190&amp;col=19&amp;number=&amp;sourceID=12","")</f>
        <v/>
      </c>
      <c r="T190" s="4" t="str">
        <f>HYPERLINK("http://141.218.60.56/~jnz1568/getInfo.php?workbook=09_01.xlsx&amp;sheet=A0&amp;row=190&amp;col=20&amp;number=1.2433e-06&amp;sourceID=12","1.2433e-06")</f>
        <v>1.2433e-06</v>
      </c>
      <c r="U190" s="4" t="str">
        <f>HYPERLINK("http://141.218.60.56/~jnz1568/getInfo.php?workbook=09_01.xlsx&amp;sheet=A0&amp;row=190&amp;col=21&amp;number=11660&amp;sourceID=30","11660")</f>
        <v>11660</v>
      </c>
      <c r="V190" s="4" t="str">
        <f>HYPERLINK("http://141.218.60.56/~jnz1568/getInfo.php?workbook=09_01.xlsx&amp;sheet=A0&amp;row=190&amp;col=22&amp;number=&amp;sourceID=30","")</f>
        <v/>
      </c>
      <c r="W190" s="4" t="str">
        <f>HYPERLINK("http://141.218.60.56/~jnz1568/getInfo.php?workbook=09_01.xlsx&amp;sheet=A0&amp;row=190&amp;col=23&amp;number=11660&amp;sourceID=30","11660")</f>
        <v>11660</v>
      </c>
      <c r="X190" s="4" t="str">
        <f>HYPERLINK("http://141.218.60.56/~jnz1568/getInfo.php?workbook=09_01.xlsx&amp;sheet=A0&amp;row=190&amp;col=24&amp;number=&amp;sourceID=30","")</f>
        <v/>
      </c>
      <c r="Y190" s="4" t="str">
        <f>HYPERLINK("http://141.218.60.56/~jnz1568/getInfo.php?workbook=09_01.xlsx&amp;sheet=A0&amp;row=190&amp;col=25&amp;number=&amp;sourceID=30","")</f>
        <v/>
      </c>
      <c r="Z190" s="4" t="str">
        <f>HYPERLINK("http://141.218.60.56/~jnz1568/getInfo.php?workbook=09_01.xlsx&amp;sheet=A0&amp;row=190&amp;col=26&amp;number=&amp;sourceID=13","")</f>
        <v/>
      </c>
      <c r="AA190" s="4" t="str">
        <f>HYPERLINK("http://141.218.60.56/~jnz1568/getInfo.php?workbook=09_01.xlsx&amp;sheet=A0&amp;row=190&amp;col=27&amp;number=&amp;sourceID=13","")</f>
        <v/>
      </c>
      <c r="AB190" s="4" t="str">
        <f>HYPERLINK("http://141.218.60.56/~jnz1568/getInfo.php?workbook=09_01.xlsx&amp;sheet=A0&amp;row=190&amp;col=28&amp;number=&amp;sourceID=13","")</f>
        <v/>
      </c>
      <c r="AC190" s="4" t="str">
        <f>HYPERLINK("http://141.218.60.56/~jnz1568/getInfo.php?workbook=09_01.xlsx&amp;sheet=A0&amp;row=190&amp;col=29&amp;number=&amp;sourceID=13","")</f>
        <v/>
      </c>
      <c r="AD190" s="4" t="str">
        <f>HYPERLINK("http://141.218.60.56/~jnz1568/getInfo.php?workbook=09_01.xlsx&amp;sheet=A0&amp;row=190&amp;col=30&amp;number=&amp;sourceID=13","")</f>
        <v/>
      </c>
      <c r="AE190" s="4" t="str">
        <f>HYPERLINK("http://141.218.60.56/~jnz1568/getInfo.php?workbook=09_01.xlsx&amp;sheet=A0&amp;row=190&amp;col=31&amp;number=&amp;sourceID=13","")</f>
        <v/>
      </c>
    </row>
    <row r="191" spans="1:31">
      <c r="A191" s="3">
        <v>9</v>
      </c>
      <c r="B191" s="3">
        <v>1</v>
      </c>
      <c r="C191" s="3">
        <v>21</v>
      </c>
      <c r="D191" s="3">
        <v>6</v>
      </c>
      <c r="E191" s="3">
        <f>((1/(INDEX(E0!J$4:J$28,C191,1)-INDEX(E0!J$4:J$28,D191,1))))*100000000</f>
        <v>0</v>
      </c>
      <c r="F191" s="4" t="str">
        <f>HYPERLINK("http://141.218.60.56/~jnz1568/getInfo.php?workbook=09_01.xlsx&amp;sheet=A0&amp;row=191&amp;col=6&amp;number=&amp;sourceID=18","")</f>
        <v/>
      </c>
      <c r="G191" s="4" t="str">
        <f>HYPERLINK("http://141.218.60.56/~jnz1568/getInfo.php?workbook=09_01.xlsx&amp;sheet=A0&amp;row=191&amp;col=7&amp;number==&amp;sourceID=11","=")</f>
        <v>=</v>
      </c>
      <c r="H191" s="4" t="str">
        <f>HYPERLINK("http://141.218.60.56/~jnz1568/getInfo.php?workbook=09_01.xlsx&amp;sheet=A0&amp;row=191&amp;col=8&amp;number=&amp;sourceID=11","")</f>
        <v/>
      </c>
      <c r="I191" s="4" t="str">
        <f>HYPERLINK("http://141.218.60.56/~jnz1568/getInfo.php?workbook=09_01.xlsx&amp;sheet=A0&amp;row=191&amp;col=9&amp;number=&amp;sourceID=11","")</f>
        <v/>
      </c>
      <c r="J191" s="4" t="str">
        <f>HYPERLINK("http://141.218.60.56/~jnz1568/getInfo.php?workbook=09_01.xlsx&amp;sheet=A0&amp;row=191&amp;col=10&amp;number=45.604&amp;sourceID=11","45.604")</f>
        <v>45.604</v>
      </c>
      <c r="K191" s="4" t="str">
        <f>HYPERLINK("http://141.218.60.56/~jnz1568/getInfo.php?workbook=09_01.xlsx&amp;sheet=A0&amp;row=191&amp;col=11&amp;number=&amp;sourceID=11","")</f>
        <v/>
      </c>
      <c r="L191" s="4" t="str">
        <f>HYPERLINK("http://141.218.60.56/~jnz1568/getInfo.php?workbook=09_01.xlsx&amp;sheet=A0&amp;row=191&amp;col=12&amp;number=2.351e-08&amp;sourceID=11","2.351e-08")</f>
        <v>2.351e-08</v>
      </c>
      <c r="M191" s="4" t="str">
        <f>HYPERLINK("http://141.218.60.56/~jnz1568/getInfo.php?workbook=09_01.xlsx&amp;sheet=A0&amp;row=191&amp;col=13&amp;number=&amp;sourceID=11","")</f>
        <v/>
      </c>
      <c r="N191" s="4" t="str">
        <f>HYPERLINK("http://141.218.60.56/~jnz1568/getInfo.php?workbook=09_01.xlsx&amp;sheet=A0&amp;row=191&amp;col=14&amp;number=45.605&amp;sourceID=12","45.605")</f>
        <v>45.605</v>
      </c>
      <c r="O191" s="4" t="str">
        <f>HYPERLINK("http://141.218.60.56/~jnz1568/getInfo.php?workbook=09_01.xlsx&amp;sheet=A0&amp;row=191&amp;col=15&amp;number=&amp;sourceID=12","")</f>
        <v/>
      </c>
      <c r="P191" s="4" t="str">
        <f>HYPERLINK("http://141.218.60.56/~jnz1568/getInfo.php?workbook=09_01.xlsx&amp;sheet=A0&amp;row=191&amp;col=16&amp;number=&amp;sourceID=12","")</f>
        <v/>
      </c>
      <c r="Q191" s="4" t="str">
        <f>HYPERLINK("http://141.218.60.56/~jnz1568/getInfo.php?workbook=09_01.xlsx&amp;sheet=A0&amp;row=191&amp;col=17&amp;number=45.605&amp;sourceID=12","45.605")</f>
        <v>45.605</v>
      </c>
      <c r="R191" s="4" t="str">
        <f>HYPERLINK("http://141.218.60.56/~jnz1568/getInfo.php?workbook=09_01.xlsx&amp;sheet=A0&amp;row=191&amp;col=18&amp;number=&amp;sourceID=12","")</f>
        <v/>
      </c>
      <c r="S191" s="4" t="str">
        <f>HYPERLINK("http://141.218.60.56/~jnz1568/getInfo.php?workbook=09_01.xlsx&amp;sheet=A0&amp;row=191&amp;col=19&amp;number=2.3515e-08&amp;sourceID=12","2.3515e-08")</f>
        <v>2.3515e-08</v>
      </c>
      <c r="T191" s="4" t="str">
        <f>HYPERLINK("http://141.218.60.56/~jnz1568/getInfo.php?workbook=09_01.xlsx&amp;sheet=A0&amp;row=191&amp;col=20&amp;number=&amp;sourceID=12","")</f>
        <v/>
      </c>
      <c r="U191" s="4" t="str">
        <f>HYPERLINK("http://141.218.60.56/~jnz1568/getInfo.php?workbook=09_01.xlsx&amp;sheet=A0&amp;row=191&amp;col=21&amp;number=2.367e-08&amp;sourceID=30","2.367e-08")</f>
        <v>2.367e-08</v>
      </c>
      <c r="V191" s="4" t="str">
        <f>HYPERLINK("http://141.218.60.56/~jnz1568/getInfo.php?workbook=09_01.xlsx&amp;sheet=A0&amp;row=191&amp;col=22&amp;number=&amp;sourceID=30","")</f>
        <v/>
      </c>
      <c r="W191" s="4" t="str">
        <f>HYPERLINK("http://141.218.60.56/~jnz1568/getInfo.php?workbook=09_01.xlsx&amp;sheet=A0&amp;row=191&amp;col=23&amp;number=&amp;sourceID=30","")</f>
        <v/>
      </c>
      <c r="X191" s="4" t="str">
        <f>HYPERLINK("http://141.218.60.56/~jnz1568/getInfo.php?workbook=09_01.xlsx&amp;sheet=A0&amp;row=191&amp;col=24&amp;number=&amp;sourceID=30","")</f>
        <v/>
      </c>
      <c r="Y191" s="4" t="str">
        <f>HYPERLINK("http://141.218.60.56/~jnz1568/getInfo.php?workbook=09_01.xlsx&amp;sheet=A0&amp;row=191&amp;col=25&amp;number=2.367e-08&amp;sourceID=30","2.367e-08")</f>
        <v>2.367e-08</v>
      </c>
      <c r="Z191" s="4" t="str">
        <f>HYPERLINK("http://141.218.60.56/~jnz1568/getInfo.php?workbook=09_01.xlsx&amp;sheet=A0&amp;row=191&amp;col=26&amp;number=&amp;sourceID=13","")</f>
        <v/>
      </c>
      <c r="AA191" s="4" t="str">
        <f>HYPERLINK("http://141.218.60.56/~jnz1568/getInfo.php?workbook=09_01.xlsx&amp;sheet=A0&amp;row=191&amp;col=27&amp;number=&amp;sourceID=13","")</f>
        <v/>
      </c>
      <c r="AB191" s="4" t="str">
        <f>HYPERLINK("http://141.218.60.56/~jnz1568/getInfo.php?workbook=09_01.xlsx&amp;sheet=A0&amp;row=191&amp;col=28&amp;number=&amp;sourceID=13","")</f>
        <v/>
      </c>
      <c r="AC191" s="4" t="str">
        <f>HYPERLINK("http://141.218.60.56/~jnz1568/getInfo.php?workbook=09_01.xlsx&amp;sheet=A0&amp;row=191&amp;col=29&amp;number=&amp;sourceID=13","")</f>
        <v/>
      </c>
      <c r="AD191" s="4" t="str">
        <f>HYPERLINK("http://141.218.60.56/~jnz1568/getInfo.php?workbook=09_01.xlsx&amp;sheet=A0&amp;row=191&amp;col=30&amp;number=&amp;sourceID=13","")</f>
        <v/>
      </c>
      <c r="AE191" s="4" t="str">
        <f>HYPERLINK("http://141.218.60.56/~jnz1568/getInfo.php?workbook=09_01.xlsx&amp;sheet=A0&amp;row=191&amp;col=31&amp;number=&amp;sourceID=13","")</f>
        <v/>
      </c>
    </row>
    <row r="192" spans="1:31">
      <c r="A192" s="3">
        <v>9</v>
      </c>
      <c r="B192" s="3">
        <v>1</v>
      </c>
      <c r="C192" s="3">
        <v>21</v>
      </c>
      <c r="D192" s="3">
        <v>7</v>
      </c>
      <c r="E192" s="3">
        <f>((1/(INDEX(E0!J$4:J$28,C192,1)-INDEX(E0!J$4:J$28,D192,1))))*100000000</f>
        <v>0</v>
      </c>
      <c r="F192" s="4" t="str">
        <f>HYPERLINK("http://141.218.60.56/~jnz1568/getInfo.php?workbook=09_01.xlsx&amp;sheet=A0&amp;row=192&amp;col=6&amp;number=&amp;sourceID=18","")</f>
        <v/>
      </c>
      <c r="G192" s="4" t="str">
        <f>HYPERLINK("http://141.218.60.56/~jnz1568/getInfo.php?workbook=09_01.xlsx&amp;sheet=A0&amp;row=192&amp;col=7&amp;number==&amp;sourceID=11","=")</f>
        <v>=</v>
      </c>
      <c r="H192" s="4" t="str">
        <f>HYPERLINK("http://141.218.60.56/~jnz1568/getInfo.php?workbook=09_01.xlsx&amp;sheet=A0&amp;row=192&amp;col=8&amp;number=27853000000&amp;sourceID=11","27853000000")</f>
        <v>27853000000</v>
      </c>
      <c r="I192" s="4" t="str">
        <f>HYPERLINK("http://141.218.60.56/~jnz1568/getInfo.php?workbook=09_01.xlsx&amp;sheet=A0&amp;row=192&amp;col=9&amp;number=&amp;sourceID=11","")</f>
        <v/>
      </c>
      <c r="J192" s="4" t="str">
        <f>HYPERLINK("http://141.218.60.56/~jnz1568/getInfo.php?workbook=09_01.xlsx&amp;sheet=A0&amp;row=192&amp;col=10&amp;number=1.1983&amp;sourceID=11","1.1983")</f>
        <v>1.1983</v>
      </c>
      <c r="K192" s="4" t="str">
        <f>HYPERLINK("http://141.218.60.56/~jnz1568/getInfo.php?workbook=09_01.xlsx&amp;sheet=A0&amp;row=192&amp;col=11&amp;number=&amp;sourceID=11","")</f>
        <v/>
      </c>
      <c r="L192" s="4" t="str">
        <f>HYPERLINK("http://141.218.60.56/~jnz1568/getInfo.php?workbook=09_01.xlsx&amp;sheet=A0&amp;row=192&amp;col=12&amp;number=29.258&amp;sourceID=11","29.258")</f>
        <v>29.258</v>
      </c>
      <c r="M192" s="4" t="str">
        <f>HYPERLINK("http://141.218.60.56/~jnz1568/getInfo.php?workbook=09_01.xlsx&amp;sheet=A0&amp;row=192&amp;col=13&amp;number=&amp;sourceID=11","")</f>
        <v/>
      </c>
      <c r="N192" s="4" t="str">
        <f>HYPERLINK("http://141.218.60.56/~jnz1568/getInfo.php?workbook=09_01.xlsx&amp;sheet=A0&amp;row=192&amp;col=14&amp;number=27854000000&amp;sourceID=12","27854000000")</f>
        <v>27854000000</v>
      </c>
      <c r="O192" s="4" t="str">
        <f>HYPERLINK("http://141.218.60.56/~jnz1568/getInfo.php?workbook=09_01.xlsx&amp;sheet=A0&amp;row=192&amp;col=15&amp;number=27854000000&amp;sourceID=12","27854000000")</f>
        <v>27854000000</v>
      </c>
      <c r="P192" s="4" t="str">
        <f>HYPERLINK("http://141.218.60.56/~jnz1568/getInfo.php?workbook=09_01.xlsx&amp;sheet=A0&amp;row=192&amp;col=16&amp;number=&amp;sourceID=12","")</f>
        <v/>
      </c>
      <c r="Q192" s="4" t="str">
        <f>HYPERLINK("http://141.218.60.56/~jnz1568/getInfo.php?workbook=09_01.xlsx&amp;sheet=A0&amp;row=192&amp;col=17&amp;number=1.1984&amp;sourceID=12","1.1984")</f>
        <v>1.1984</v>
      </c>
      <c r="R192" s="4" t="str">
        <f>HYPERLINK("http://141.218.60.56/~jnz1568/getInfo.php?workbook=09_01.xlsx&amp;sheet=A0&amp;row=192&amp;col=18&amp;number=&amp;sourceID=12","")</f>
        <v/>
      </c>
      <c r="S192" s="4" t="str">
        <f>HYPERLINK("http://141.218.60.56/~jnz1568/getInfo.php?workbook=09_01.xlsx&amp;sheet=A0&amp;row=192&amp;col=19&amp;number=29.259&amp;sourceID=12","29.259")</f>
        <v>29.259</v>
      </c>
      <c r="T192" s="4" t="str">
        <f>HYPERLINK("http://141.218.60.56/~jnz1568/getInfo.php?workbook=09_01.xlsx&amp;sheet=A0&amp;row=192&amp;col=20&amp;number=&amp;sourceID=12","")</f>
        <v/>
      </c>
      <c r="U192" s="4" t="str">
        <f>HYPERLINK("http://141.218.60.56/~jnz1568/getInfo.php?workbook=09_01.xlsx&amp;sheet=A0&amp;row=192&amp;col=21&amp;number=27850000029.3&amp;sourceID=30","27850000029.3")</f>
        <v>27850000029.3</v>
      </c>
      <c r="V192" s="4" t="str">
        <f>HYPERLINK("http://141.218.60.56/~jnz1568/getInfo.php?workbook=09_01.xlsx&amp;sheet=A0&amp;row=192&amp;col=22&amp;number=27850000000&amp;sourceID=30","27850000000")</f>
        <v>27850000000</v>
      </c>
      <c r="W192" s="4" t="str">
        <f>HYPERLINK("http://141.218.60.56/~jnz1568/getInfo.php?workbook=09_01.xlsx&amp;sheet=A0&amp;row=192&amp;col=23&amp;number=&amp;sourceID=30","")</f>
        <v/>
      </c>
      <c r="X192" s="4" t="str">
        <f>HYPERLINK("http://141.218.60.56/~jnz1568/getInfo.php?workbook=09_01.xlsx&amp;sheet=A0&amp;row=192&amp;col=24&amp;number=&amp;sourceID=30","")</f>
        <v/>
      </c>
      <c r="Y192" s="4" t="str">
        <f>HYPERLINK("http://141.218.60.56/~jnz1568/getInfo.php?workbook=09_01.xlsx&amp;sheet=A0&amp;row=192&amp;col=25&amp;number=29.26&amp;sourceID=30","29.26")</f>
        <v>29.26</v>
      </c>
      <c r="Z192" s="4" t="str">
        <f>HYPERLINK("http://141.218.60.56/~jnz1568/getInfo.php?workbook=09_01.xlsx&amp;sheet=A0&amp;row=192&amp;col=26&amp;number=&amp;sourceID=13","")</f>
        <v/>
      </c>
      <c r="AA192" s="4" t="str">
        <f>HYPERLINK("http://141.218.60.56/~jnz1568/getInfo.php?workbook=09_01.xlsx&amp;sheet=A0&amp;row=192&amp;col=27&amp;number=&amp;sourceID=13","")</f>
        <v/>
      </c>
      <c r="AB192" s="4" t="str">
        <f>HYPERLINK("http://141.218.60.56/~jnz1568/getInfo.php?workbook=09_01.xlsx&amp;sheet=A0&amp;row=192&amp;col=28&amp;number=&amp;sourceID=13","")</f>
        <v/>
      </c>
      <c r="AC192" s="4" t="str">
        <f>HYPERLINK("http://141.218.60.56/~jnz1568/getInfo.php?workbook=09_01.xlsx&amp;sheet=A0&amp;row=192&amp;col=29&amp;number=&amp;sourceID=13","")</f>
        <v/>
      </c>
      <c r="AD192" s="4" t="str">
        <f>HYPERLINK("http://141.218.60.56/~jnz1568/getInfo.php?workbook=09_01.xlsx&amp;sheet=A0&amp;row=192&amp;col=30&amp;number=&amp;sourceID=13","")</f>
        <v/>
      </c>
      <c r="AE192" s="4" t="str">
        <f>HYPERLINK("http://141.218.60.56/~jnz1568/getInfo.php?workbook=09_01.xlsx&amp;sheet=A0&amp;row=192&amp;col=31&amp;number=&amp;sourceID=13","")</f>
        <v/>
      </c>
    </row>
    <row r="193" spans="1:31">
      <c r="A193" s="3">
        <v>9</v>
      </c>
      <c r="B193" s="3">
        <v>1</v>
      </c>
      <c r="C193" s="3">
        <v>21</v>
      </c>
      <c r="D193" s="3">
        <v>8</v>
      </c>
      <c r="E193" s="3">
        <f>((1/(INDEX(E0!J$4:J$28,C193,1)-INDEX(E0!J$4:J$28,D193,1))))*100000000</f>
        <v>0</v>
      </c>
      <c r="F193" s="4" t="str">
        <f>HYPERLINK("http://141.218.60.56/~jnz1568/getInfo.php?workbook=09_01.xlsx&amp;sheet=A0&amp;row=193&amp;col=6&amp;number=&amp;sourceID=18","")</f>
        <v/>
      </c>
      <c r="G193" s="4" t="str">
        <f>HYPERLINK("http://141.218.60.56/~jnz1568/getInfo.php?workbook=09_01.xlsx&amp;sheet=A0&amp;row=193&amp;col=7&amp;number==&amp;sourceID=11","=")</f>
        <v>=</v>
      </c>
      <c r="H193" s="4" t="str">
        <f>HYPERLINK("http://141.218.60.56/~jnz1568/getInfo.php?workbook=09_01.xlsx&amp;sheet=A0&amp;row=193&amp;col=8&amp;number=&amp;sourceID=11","")</f>
        <v/>
      </c>
      <c r="I193" s="4" t="str">
        <f>HYPERLINK("http://141.218.60.56/~jnz1568/getInfo.php?workbook=09_01.xlsx&amp;sheet=A0&amp;row=193&amp;col=9&amp;number=3088.5&amp;sourceID=11","3088.5")</f>
        <v>3088.5</v>
      </c>
      <c r="J193" s="4" t="str">
        <f>HYPERLINK("http://141.218.60.56/~jnz1568/getInfo.php?workbook=09_01.xlsx&amp;sheet=A0&amp;row=193&amp;col=10&amp;number=&amp;sourceID=11","")</f>
        <v/>
      </c>
      <c r="K193" s="4" t="str">
        <f>HYPERLINK("http://141.218.60.56/~jnz1568/getInfo.php?workbook=09_01.xlsx&amp;sheet=A0&amp;row=193&amp;col=11&amp;number=0.0023741&amp;sourceID=11","0.0023741")</f>
        <v>0.0023741</v>
      </c>
      <c r="L193" s="4" t="str">
        <f>HYPERLINK("http://141.218.60.56/~jnz1568/getInfo.php?workbook=09_01.xlsx&amp;sheet=A0&amp;row=193&amp;col=12&amp;number=&amp;sourceID=11","")</f>
        <v/>
      </c>
      <c r="M193" s="4" t="str">
        <f>HYPERLINK("http://141.218.60.56/~jnz1568/getInfo.php?workbook=09_01.xlsx&amp;sheet=A0&amp;row=193&amp;col=13&amp;number=2.3044e-07&amp;sourceID=11","2.3044e-07")</f>
        <v>2.3044e-07</v>
      </c>
      <c r="N193" s="4" t="str">
        <f>HYPERLINK("http://141.218.60.56/~jnz1568/getInfo.php?workbook=09_01.xlsx&amp;sheet=A0&amp;row=193&amp;col=14&amp;number=3088.6&amp;sourceID=12","3088.6")</f>
        <v>3088.6</v>
      </c>
      <c r="O193" s="4" t="str">
        <f>HYPERLINK("http://141.218.60.56/~jnz1568/getInfo.php?workbook=09_01.xlsx&amp;sheet=A0&amp;row=193&amp;col=15&amp;number=&amp;sourceID=12","")</f>
        <v/>
      </c>
      <c r="P193" s="4" t="str">
        <f>HYPERLINK("http://141.218.60.56/~jnz1568/getInfo.php?workbook=09_01.xlsx&amp;sheet=A0&amp;row=193&amp;col=16&amp;number=3088.6&amp;sourceID=12","3088.6")</f>
        <v>3088.6</v>
      </c>
      <c r="Q193" s="4" t="str">
        <f>HYPERLINK("http://141.218.60.56/~jnz1568/getInfo.php?workbook=09_01.xlsx&amp;sheet=A0&amp;row=193&amp;col=17&amp;number=&amp;sourceID=12","")</f>
        <v/>
      </c>
      <c r="R193" s="4" t="str">
        <f>HYPERLINK("http://141.218.60.56/~jnz1568/getInfo.php?workbook=09_01.xlsx&amp;sheet=A0&amp;row=193&amp;col=18&amp;number=0.0023742&amp;sourceID=12","0.0023742")</f>
        <v>0.0023742</v>
      </c>
      <c r="S193" s="4" t="str">
        <f>HYPERLINK("http://141.218.60.56/~jnz1568/getInfo.php?workbook=09_01.xlsx&amp;sheet=A0&amp;row=193&amp;col=19&amp;number=&amp;sourceID=12","")</f>
        <v/>
      </c>
      <c r="T193" s="4" t="str">
        <f>HYPERLINK("http://141.218.60.56/~jnz1568/getInfo.php?workbook=09_01.xlsx&amp;sheet=A0&amp;row=193&amp;col=20&amp;number=2.3044e-07&amp;sourceID=12","2.3044e-07")</f>
        <v>2.3044e-07</v>
      </c>
      <c r="U193" s="4" t="str">
        <f>HYPERLINK("http://141.218.60.56/~jnz1568/getInfo.php?workbook=09_01.xlsx&amp;sheet=A0&amp;row=193&amp;col=21&amp;number=3088.002376&amp;sourceID=30","3088.002376")</f>
        <v>3088.002376</v>
      </c>
      <c r="V193" s="4" t="str">
        <f>HYPERLINK("http://141.218.60.56/~jnz1568/getInfo.php?workbook=09_01.xlsx&amp;sheet=A0&amp;row=193&amp;col=22&amp;number=&amp;sourceID=30","")</f>
        <v/>
      </c>
      <c r="W193" s="4" t="str">
        <f>HYPERLINK("http://141.218.60.56/~jnz1568/getInfo.php?workbook=09_01.xlsx&amp;sheet=A0&amp;row=193&amp;col=23&amp;number=3088&amp;sourceID=30","3088")</f>
        <v>3088</v>
      </c>
      <c r="X193" s="4" t="str">
        <f>HYPERLINK("http://141.218.60.56/~jnz1568/getInfo.php?workbook=09_01.xlsx&amp;sheet=A0&amp;row=193&amp;col=24&amp;number=0.002376&amp;sourceID=30","0.002376")</f>
        <v>0.002376</v>
      </c>
      <c r="Y193" s="4" t="str">
        <f>HYPERLINK("http://141.218.60.56/~jnz1568/getInfo.php?workbook=09_01.xlsx&amp;sheet=A0&amp;row=193&amp;col=25&amp;number=&amp;sourceID=30","")</f>
        <v/>
      </c>
      <c r="Z193" s="4" t="str">
        <f>HYPERLINK("http://141.218.60.56/~jnz1568/getInfo.php?workbook=09_01.xlsx&amp;sheet=A0&amp;row=193&amp;col=26&amp;number=&amp;sourceID=13","")</f>
        <v/>
      </c>
      <c r="AA193" s="4" t="str">
        <f>HYPERLINK("http://141.218.60.56/~jnz1568/getInfo.php?workbook=09_01.xlsx&amp;sheet=A0&amp;row=193&amp;col=27&amp;number=&amp;sourceID=13","")</f>
        <v/>
      </c>
      <c r="AB193" s="4" t="str">
        <f>HYPERLINK("http://141.218.60.56/~jnz1568/getInfo.php?workbook=09_01.xlsx&amp;sheet=A0&amp;row=193&amp;col=28&amp;number=&amp;sourceID=13","")</f>
        <v/>
      </c>
      <c r="AC193" s="4" t="str">
        <f>HYPERLINK("http://141.218.60.56/~jnz1568/getInfo.php?workbook=09_01.xlsx&amp;sheet=A0&amp;row=193&amp;col=29&amp;number=&amp;sourceID=13","")</f>
        <v/>
      </c>
      <c r="AD193" s="4" t="str">
        <f>HYPERLINK("http://141.218.60.56/~jnz1568/getInfo.php?workbook=09_01.xlsx&amp;sheet=A0&amp;row=193&amp;col=30&amp;number=&amp;sourceID=13","")</f>
        <v/>
      </c>
      <c r="AE193" s="4" t="str">
        <f>HYPERLINK("http://141.218.60.56/~jnz1568/getInfo.php?workbook=09_01.xlsx&amp;sheet=A0&amp;row=193&amp;col=31&amp;number=&amp;sourceID=13","")</f>
        <v/>
      </c>
    </row>
    <row r="194" spans="1:31">
      <c r="A194" s="3">
        <v>9</v>
      </c>
      <c r="B194" s="3">
        <v>1</v>
      </c>
      <c r="C194" s="3">
        <v>21</v>
      </c>
      <c r="D194" s="3">
        <v>9</v>
      </c>
      <c r="E194" s="3">
        <f>((1/(INDEX(E0!J$4:J$28,C194,1)-INDEX(E0!J$4:J$28,D194,1))))*100000000</f>
        <v>0</v>
      </c>
      <c r="F194" s="4" t="str">
        <f>HYPERLINK("http://141.218.60.56/~jnz1568/getInfo.php?workbook=09_01.xlsx&amp;sheet=A0&amp;row=194&amp;col=6&amp;number=&amp;sourceID=18","")</f>
        <v/>
      </c>
      <c r="G194" s="4" t="str">
        <f>HYPERLINK("http://141.218.60.56/~jnz1568/getInfo.php?workbook=09_01.xlsx&amp;sheet=A0&amp;row=194&amp;col=7&amp;number==&amp;sourceID=11","=")</f>
        <v>=</v>
      </c>
      <c r="H194" s="4" t="str">
        <f>HYPERLINK("http://141.218.60.56/~jnz1568/getInfo.php?workbook=09_01.xlsx&amp;sheet=A0&amp;row=194&amp;col=8&amp;number=1986600000&amp;sourceID=11","1986600000")</f>
        <v>1986600000</v>
      </c>
      <c r="I194" s="4" t="str">
        <f>HYPERLINK("http://141.218.60.56/~jnz1568/getInfo.php?workbook=09_01.xlsx&amp;sheet=A0&amp;row=194&amp;col=9&amp;number=&amp;sourceID=11","")</f>
        <v/>
      </c>
      <c r="J194" s="4" t="str">
        <f>HYPERLINK("http://141.218.60.56/~jnz1568/getInfo.php?workbook=09_01.xlsx&amp;sheet=A0&amp;row=194&amp;col=10&amp;number=0.80467&amp;sourceID=11","0.80467")</f>
        <v>0.80467</v>
      </c>
      <c r="K194" s="4" t="str">
        <f>HYPERLINK("http://141.218.60.56/~jnz1568/getInfo.php?workbook=09_01.xlsx&amp;sheet=A0&amp;row=194&amp;col=11&amp;number=&amp;sourceID=11","")</f>
        <v/>
      </c>
      <c r="L194" s="4" t="str">
        <f>HYPERLINK("http://141.218.60.56/~jnz1568/getInfo.php?workbook=09_01.xlsx&amp;sheet=A0&amp;row=194&amp;col=12&amp;number=&amp;sourceID=11","")</f>
        <v/>
      </c>
      <c r="M194" s="4" t="str">
        <f>HYPERLINK("http://141.218.60.56/~jnz1568/getInfo.php?workbook=09_01.xlsx&amp;sheet=A0&amp;row=194&amp;col=13&amp;number=&amp;sourceID=11","")</f>
        <v/>
      </c>
      <c r="N194" s="4" t="str">
        <f>HYPERLINK("http://141.218.60.56/~jnz1568/getInfo.php?workbook=09_01.xlsx&amp;sheet=A0&amp;row=194&amp;col=14&amp;number=1986600000&amp;sourceID=12","1986600000")</f>
        <v>1986600000</v>
      </c>
      <c r="O194" s="4" t="str">
        <f>HYPERLINK("http://141.218.60.56/~jnz1568/getInfo.php?workbook=09_01.xlsx&amp;sheet=A0&amp;row=194&amp;col=15&amp;number=1986600000&amp;sourceID=12","1986600000")</f>
        <v>1986600000</v>
      </c>
      <c r="P194" s="4" t="str">
        <f>HYPERLINK("http://141.218.60.56/~jnz1568/getInfo.php?workbook=09_01.xlsx&amp;sheet=A0&amp;row=194&amp;col=16&amp;number=&amp;sourceID=12","")</f>
        <v/>
      </c>
      <c r="Q194" s="4" t="str">
        <f>HYPERLINK("http://141.218.60.56/~jnz1568/getInfo.php?workbook=09_01.xlsx&amp;sheet=A0&amp;row=194&amp;col=17&amp;number=0.80469&amp;sourceID=12","0.80469")</f>
        <v>0.80469</v>
      </c>
      <c r="R194" s="4" t="str">
        <f>HYPERLINK("http://141.218.60.56/~jnz1568/getInfo.php?workbook=09_01.xlsx&amp;sheet=A0&amp;row=194&amp;col=18&amp;number=&amp;sourceID=12","")</f>
        <v/>
      </c>
      <c r="S194" s="4" t="str">
        <f>HYPERLINK("http://141.218.60.56/~jnz1568/getInfo.php?workbook=09_01.xlsx&amp;sheet=A0&amp;row=194&amp;col=19&amp;number=&amp;sourceID=12","")</f>
        <v/>
      </c>
      <c r="T194" s="4" t="str">
        <f>HYPERLINK("http://141.218.60.56/~jnz1568/getInfo.php?workbook=09_01.xlsx&amp;sheet=A0&amp;row=194&amp;col=20&amp;number=&amp;sourceID=12","")</f>
        <v/>
      </c>
      <c r="U194" s="4" t="str">
        <f>HYPERLINK("http://141.218.60.56/~jnz1568/getInfo.php?workbook=09_01.xlsx&amp;sheet=A0&amp;row=194&amp;col=21&amp;number=1987000000&amp;sourceID=30","1987000000")</f>
        <v>1987000000</v>
      </c>
      <c r="V194" s="4" t="str">
        <f>HYPERLINK("http://141.218.60.56/~jnz1568/getInfo.php?workbook=09_01.xlsx&amp;sheet=A0&amp;row=194&amp;col=22&amp;number=1987000000&amp;sourceID=30","1987000000")</f>
        <v>1987000000</v>
      </c>
      <c r="W194" s="4" t="str">
        <f>HYPERLINK("http://141.218.60.56/~jnz1568/getInfo.php?workbook=09_01.xlsx&amp;sheet=A0&amp;row=194&amp;col=23&amp;number=&amp;sourceID=30","")</f>
        <v/>
      </c>
      <c r="X194" s="4" t="str">
        <f>HYPERLINK("http://141.218.60.56/~jnz1568/getInfo.php?workbook=09_01.xlsx&amp;sheet=A0&amp;row=194&amp;col=24&amp;number=&amp;sourceID=30","")</f>
        <v/>
      </c>
      <c r="Y194" s="4" t="str">
        <f>HYPERLINK("http://141.218.60.56/~jnz1568/getInfo.php?workbook=09_01.xlsx&amp;sheet=A0&amp;row=194&amp;col=25&amp;number=&amp;sourceID=30","")</f>
        <v/>
      </c>
      <c r="Z194" s="4" t="str">
        <f>HYPERLINK("http://141.218.60.56/~jnz1568/getInfo.php?workbook=09_01.xlsx&amp;sheet=A0&amp;row=194&amp;col=26&amp;number=&amp;sourceID=13","")</f>
        <v/>
      </c>
      <c r="AA194" s="4" t="str">
        <f>HYPERLINK("http://141.218.60.56/~jnz1568/getInfo.php?workbook=09_01.xlsx&amp;sheet=A0&amp;row=194&amp;col=27&amp;number=&amp;sourceID=13","")</f>
        <v/>
      </c>
      <c r="AB194" s="4" t="str">
        <f>HYPERLINK("http://141.218.60.56/~jnz1568/getInfo.php?workbook=09_01.xlsx&amp;sheet=A0&amp;row=194&amp;col=28&amp;number=&amp;sourceID=13","")</f>
        <v/>
      </c>
      <c r="AC194" s="4" t="str">
        <f>HYPERLINK("http://141.218.60.56/~jnz1568/getInfo.php?workbook=09_01.xlsx&amp;sheet=A0&amp;row=194&amp;col=29&amp;number=&amp;sourceID=13","")</f>
        <v/>
      </c>
      <c r="AD194" s="4" t="str">
        <f>HYPERLINK("http://141.218.60.56/~jnz1568/getInfo.php?workbook=09_01.xlsx&amp;sheet=A0&amp;row=194&amp;col=30&amp;number=&amp;sourceID=13","")</f>
        <v/>
      </c>
      <c r="AE194" s="4" t="str">
        <f>HYPERLINK("http://141.218.60.56/~jnz1568/getInfo.php?workbook=09_01.xlsx&amp;sheet=A0&amp;row=194&amp;col=31&amp;number=&amp;sourceID=13","")</f>
        <v/>
      </c>
    </row>
    <row r="195" spans="1:31">
      <c r="A195" s="3">
        <v>9</v>
      </c>
      <c r="B195" s="3">
        <v>1</v>
      </c>
      <c r="C195" s="3">
        <v>21</v>
      </c>
      <c r="D195" s="3">
        <v>10</v>
      </c>
      <c r="E195" s="3">
        <f>((1/(INDEX(E0!J$4:J$28,C195,1)-INDEX(E0!J$4:J$28,D195,1))))*100000000</f>
        <v>0</v>
      </c>
      <c r="F195" s="4" t="str">
        <f>HYPERLINK("http://141.218.60.56/~jnz1568/getInfo.php?workbook=09_01.xlsx&amp;sheet=A0&amp;row=195&amp;col=6&amp;number=&amp;sourceID=18","")</f>
        <v/>
      </c>
      <c r="G195" s="4" t="str">
        <f>HYPERLINK("http://141.218.60.56/~jnz1568/getInfo.php?workbook=09_01.xlsx&amp;sheet=A0&amp;row=195&amp;col=7&amp;number==&amp;sourceID=11","=")</f>
        <v>=</v>
      </c>
      <c r="H195" s="4" t="str">
        <f>HYPERLINK("http://141.218.60.56/~jnz1568/getInfo.php?workbook=09_01.xlsx&amp;sheet=A0&amp;row=195&amp;col=8&amp;number=&amp;sourceID=11","")</f>
        <v/>
      </c>
      <c r="I195" s="4" t="str">
        <f>HYPERLINK("http://141.218.60.56/~jnz1568/getInfo.php?workbook=09_01.xlsx&amp;sheet=A0&amp;row=195&amp;col=9&amp;number=389540&amp;sourceID=11","389540")</f>
        <v>389540</v>
      </c>
      <c r="J195" s="4" t="str">
        <f>HYPERLINK("http://141.218.60.56/~jnz1568/getInfo.php?workbook=09_01.xlsx&amp;sheet=A0&amp;row=195&amp;col=10&amp;number=&amp;sourceID=11","")</f>
        <v/>
      </c>
      <c r="K195" s="4" t="str">
        <f>HYPERLINK("http://141.218.60.56/~jnz1568/getInfo.php?workbook=09_01.xlsx&amp;sheet=A0&amp;row=195&amp;col=11&amp;number=&amp;sourceID=11","")</f>
        <v/>
      </c>
      <c r="L195" s="4" t="str">
        <f>HYPERLINK("http://141.218.60.56/~jnz1568/getInfo.php?workbook=09_01.xlsx&amp;sheet=A0&amp;row=195&amp;col=12&amp;number=&amp;sourceID=11","")</f>
        <v/>
      </c>
      <c r="M195" s="4" t="str">
        <f>HYPERLINK("http://141.218.60.56/~jnz1568/getInfo.php?workbook=09_01.xlsx&amp;sheet=A0&amp;row=195&amp;col=13&amp;number=4.177e-06&amp;sourceID=11","4.177e-06")</f>
        <v>4.177e-06</v>
      </c>
      <c r="N195" s="4" t="str">
        <f>HYPERLINK("http://141.218.60.56/~jnz1568/getInfo.php?workbook=09_01.xlsx&amp;sheet=A0&amp;row=195&amp;col=14&amp;number=389550&amp;sourceID=12","389550")</f>
        <v>389550</v>
      </c>
      <c r="O195" s="4" t="str">
        <f>HYPERLINK("http://141.218.60.56/~jnz1568/getInfo.php?workbook=09_01.xlsx&amp;sheet=A0&amp;row=195&amp;col=15&amp;number=&amp;sourceID=12","")</f>
        <v/>
      </c>
      <c r="P195" s="4" t="str">
        <f>HYPERLINK("http://141.218.60.56/~jnz1568/getInfo.php?workbook=09_01.xlsx&amp;sheet=A0&amp;row=195&amp;col=16&amp;number=389550&amp;sourceID=12","389550")</f>
        <v>389550</v>
      </c>
      <c r="Q195" s="4" t="str">
        <f>HYPERLINK("http://141.218.60.56/~jnz1568/getInfo.php?workbook=09_01.xlsx&amp;sheet=A0&amp;row=195&amp;col=17&amp;number=&amp;sourceID=12","")</f>
        <v/>
      </c>
      <c r="R195" s="4" t="str">
        <f>HYPERLINK("http://141.218.60.56/~jnz1568/getInfo.php?workbook=09_01.xlsx&amp;sheet=A0&amp;row=195&amp;col=18&amp;number=&amp;sourceID=12","")</f>
        <v/>
      </c>
      <c r="S195" s="4" t="str">
        <f>HYPERLINK("http://141.218.60.56/~jnz1568/getInfo.php?workbook=09_01.xlsx&amp;sheet=A0&amp;row=195&amp;col=19&amp;number=&amp;sourceID=12","")</f>
        <v/>
      </c>
      <c r="T195" s="4" t="str">
        <f>HYPERLINK("http://141.218.60.56/~jnz1568/getInfo.php?workbook=09_01.xlsx&amp;sheet=A0&amp;row=195&amp;col=20&amp;number=4.1772e-06&amp;sourceID=12","4.1772e-06")</f>
        <v>4.1772e-06</v>
      </c>
      <c r="U195" s="4" t="str">
        <f>HYPERLINK("http://141.218.60.56/~jnz1568/getInfo.php?workbook=09_01.xlsx&amp;sheet=A0&amp;row=195&amp;col=21&amp;number=389600&amp;sourceID=30","389600")</f>
        <v>389600</v>
      </c>
      <c r="V195" s="4" t="str">
        <f>HYPERLINK("http://141.218.60.56/~jnz1568/getInfo.php?workbook=09_01.xlsx&amp;sheet=A0&amp;row=195&amp;col=22&amp;number=&amp;sourceID=30","")</f>
        <v/>
      </c>
      <c r="W195" s="4" t="str">
        <f>HYPERLINK("http://141.218.60.56/~jnz1568/getInfo.php?workbook=09_01.xlsx&amp;sheet=A0&amp;row=195&amp;col=23&amp;number=389600&amp;sourceID=30","389600")</f>
        <v>389600</v>
      </c>
      <c r="X195" s="4" t="str">
        <f>HYPERLINK("http://141.218.60.56/~jnz1568/getInfo.php?workbook=09_01.xlsx&amp;sheet=A0&amp;row=195&amp;col=24&amp;number=&amp;sourceID=30","")</f>
        <v/>
      </c>
      <c r="Y195" s="4" t="str">
        <f>HYPERLINK("http://141.218.60.56/~jnz1568/getInfo.php?workbook=09_01.xlsx&amp;sheet=A0&amp;row=195&amp;col=25&amp;number=&amp;sourceID=30","")</f>
        <v/>
      </c>
      <c r="Z195" s="4" t="str">
        <f>HYPERLINK("http://141.218.60.56/~jnz1568/getInfo.php?workbook=09_01.xlsx&amp;sheet=A0&amp;row=195&amp;col=26&amp;number=&amp;sourceID=13","")</f>
        <v/>
      </c>
      <c r="AA195" s="4" t="str">
        <f>HYPERLINK("http://141.218.60.56/~jnz1568/getInfo.php?workbook=09_01.xlsx&amp;sheet=A0&amp;row=195&amp;col=27&amp;number=&amp;sourceID=13","")</f>
        <v/>
      </c>
      <c r="AB195" s="4" t="str">
        <f>HYPERLINK("http://141.218.60.56/~jnz1568/getInfo.php?workbook=09_01.xlsx&amp;sheet=A0&amp;row=195&amp;col=28&amp;number=&amp;sourceID=13","")</f>
        <v/>
      </c>
      <c r="AC195" s="4" t="str">
        <f>HYPERLINK("http://141.218.60.56/~jnz1568/getInfo.php?workbook=09_01.xlsx&amp;sheet=A0&amp;row=195&amp;col=29&amp;number=&amp;sourceID=13","")</f>
        <v/>
      </c>
      <c r="AD195" s="4" t="str">
        <f>HYPERLINK("http://141.218.60.56/~jnz1568/getInfo.php?workbook=09_01.xlsx&amp;sheet=A0&amp;row=195&amp;col=30&amp;number=&amp;sourceID=13","")</f>
        <v/>
      </c>
      <c r="AE195" s="4" t="str">
        <f>HYPERLINK("http://141.218.60.56/~jnz1568/getInfo.php?workbook=09_01.xlsx&amp;sheet=A0&amp;row=195&amp;col=31&amp;number=&amp;sourceID=13","")</f>
        <v/>
      </c>
    </row>
    <row r="196" spans="1:31">
      <c r="A196" s="3">
        <v>9</v>
      </c>
      <c r="B196" s="3">
        <v>1</v>
      </c>
      <c r="C196" s="3">
        <v>21</v>
      </c>
      <c r="D196" s="3">
        <v>11</v>
      </c>
      <c r="E196" s="3">
        <f>((1/(INDEX(E0!J$4:J$28,C196,1)-INDEX(E0!J$4:J$28,D196,1))))*100000000</f>
        <v>0</v>
      </c>
      <c r="F196" s="4" t="str">
        <f>HYPERLINK("http://141.218.60.56/~jnz1568/getInfo.php?workbook=09_01.xlsx&amp;sheet=A0&amp;row=196&amp;col=6&amp;number=&amp;sourceID=18","")</f>
        <v/>
      </c>
      <c r="G196" s="4" t="str">
        <f>HYPERLINK("http://141.218.60.56/~jnz1568/getInfo.php?workbook=09_01.xlsx&amp;sheet=A0&amp;row=196&amp;col=7&amp;number==SUM(H196:M196)&amp;sourceID=11","=SUM(H196:M196)")</f>
        <v>=SUM(H196:M196)</v>
      </c>
      <c r="H196" s="4" t="str">
        <f>HYPERLINK("http://141.218.60.56/~jnz1568/getInfo.php?workbook=09_01.xlsx&amp;sheet=A0&amp;row=196&amp;col=8&amp;number=&amp;sourceID=11","")</f>
        <v/>
      </c>
      <c r="I196" s="4" t="str">
        <f>HYPERLINK("http://141.218.60.56/~jnz1568/getInfo.php?workbook=09_01.xlsx&amp;sheet=A0&amp;row=196&amp;col=9&amp;number=&amp;sourceID=11","")</f>
        <v/>
      </c>
      <c r="J196" s="4" t="str">
        <f>HYPERLINK("http://141.218.60.56/~jnz1568/getInfo.php?workbook=09_01.xlsx&amp;sheet=A0&amp;row=196&amp;col=10&amp;number=5.3991&amp;sourceID=11","5.3991")</f>
        <v>5.3991</v>
      </c>
      <c r="K196" s="4" t="str">
        <f>HYPERLINK("http://141.218.60.56/~jnz1568/getInfo.php?workbook=09_01.xlsx&amp;sheet=A0&amp;row=196&amp;col=11&amp;number=&amp;sourceID=11","")</f>
        <v/>
      </c>
      <c r="L196" s="4" t="str">
        <f>HYPERLINK("http://141.218.60.56/~jnz1568/getInfo.php?workbook=09_01.xlsx&amp;sheet=A0&amp;row=196&amp;col=12&amp;number=1.8371e-09&amp;sourceID=11","1.8371e-09")</f>
        <v>1.8371e-09</v>
      </c>
      <c r="M196" s="4" t="str">
        <f>HYPERLINK("http://141.218.60.56/~jnz1568/getInfo.php?workbook=09_01.xlsx&amp;sheet=A0&amp;row=196&amp;col=13&amp;number=&amp;sourceID=11","")</f>
        <v/>
      </c>
      <c r="N196" s="4" t="str">
        <f>HYPERLINK("http://141.218.60.56/~jnz1568/getInfo.php?workbook=09_01.xlsx&amp;sheet=A0&amp;row=196&amp;col=14&amp;number=5.3993&amp;sourceID=12","5.3993")</f>
        <v>5.3993</v>
      </c>
      <c r="O196" s="4" t="str">
        <f>HYPERLINK("http://141.218.60.56/~jnz1568/getInfo.php?workbook=09_01.xlsx&amp;sheet=A0&amp;row=196&amp;col=15&amp;number=&amp;sourceID=12","")</f>
        <v/>
      </c>
      <c r="P196" s="4" t="str">
        <f>HYPERLINK("http://141.218.60.56/~jnz1568/getInfo.php?workbook=09_01.xlsx&amp;sheet=A0&amp;row=196&amp;col=16&amp;number=&amp;sourceID=12","")</f>
        <v/>
      </c>
      <c r="Q196" s="4" t="str">
        <f>HYPERLINK("http://141.218.60.56/~jnz1568/getInfo.php?workbook=09_01.xlsx&amp;sheet=A0&amp;row=196&amp;col=17&amp;number=5.3993&amp;sourceID=12","5.3993")</f>
        <v>5.3993</v>
      </c>
      <c r="R196" s="4" t="str">
        <f>HYPERLINK("http://141.218.60.56/~jnz1568/getInfo.php?workbook=09_01.xlsx&amp;sheet=A0&amp;row=196&amp;col=18&amp;number=&amp;sourceID=12","")</f>
        <v/>
      </c>
      <c r="S196" s="4" t="str">
        <f>HYPERLINK("http://141.218.60.56/~jnz1568/getInfo.php?workbook=09_01.xlsx&amp;sheet=A0&amp;row=196&amp;col=19&amp;number=1.8372e-09&amp;sourceID=12","1.8372e-09")</f>
        <v>1.8372e-09</v>
      </c>
      <c r="T196" s="4" t="str">
        <f>HYPERLINK("http://141.218.60.56/~jnz1568/getInfo.php?workbook=09_01.xlsx&amp;sheet=A0&amp;row=196&amp;col=20&amp;number=&amp;sourceID=12","")</f>
        <v/>
      </c>
      <c r="U196" s="4" t="str">
        <f>HYPERLINK("http://141.218.60.56/~jnz1568/getInfo.php?workbook=09_01.xlsx&amp;sheet=A0&amp;row=196&amp;col=21&amp;number=1.836e-09&amp;sourceID=30","1.836e-09")</f>
        <v>1.836e-09</v>
      </c>
      <c r="V196" s="4" t="str">
        <f>HYPERLINK("http://141.218.60.56/~jnz1568/getInfo.php?workbook=09_01.xlsx&amp;sheet=A0&amp;row=196&amp;col=22&amp;number=&amp;sourceID=30","")</f>
        <v/>
      </c>
      <c r="W196" s="4" t="str">
        <f>HYPERLINK("http://141.218.60.56/~jnz1568/getInfo.php?workbook=09_01.xlsx&amp;sheet=A0&amp;row=196&amp;col=23&amp;number=&amp;sourceID=30","")</f>
        <v/>
      </c>
      <c r="X196" s="4" t="str">
        <f>HYPERLINK("http://141.218.60.56/~jnz1568/getInfo.php?workbook=09_01.xlsx&amp;sheet=A0&amp;row=196&amp;col=24&amp;number=&amp;sourceID=30","")</f>
        <v/>
      </c>
      <c r="Y196" s="4" t="str">
        <f>HYPERLINK("http://141.218.60.56/~jnz1568/getInfo.php?workbook=09_01.xlsx&amp;sheet=A0&amp;row=196&amp;col=25&amp;number=1.836e-09&amp;sourceID=30","1.836e-09")</f>
        <v>1.836e-09</v>
      </c>
      <c r="Z196" s="4" t="str">
        <f>HYPERLINK("http://141.218.60.56/~jnz1568/getInfo.php?workbook=09_01.xlsx&amp;sheet=A0&amp;row=196&amp;col=26&amp;number=&amp;sourceID=13","")</f>
        <v/>
      </c>
      <c r="AA196" s="4" t="str">
        <f>HYPERLINK("http://141.218.60.56/~jnz1568/getInfo.php?workbook=09_01.xlsx&amp;sheet=A0&amp;row=196&amp;col=27&amp;number=&amp;sourceID=13","")</f>
        <v/>
      </c>
      <c r="AB196" s="4" t="str">
        <f>HYPERLINK("http://141.218.60.56/~jnz1568/getInfo.php?workbook=09_01.xlsx&amp;sheet=A0&amp;row=196&amp;col=28&amp;number=&amp;sourceID=13","")</f>
        <v/>
      </c>
      <c r="AC196" s="4" t="str">
        <f>HYPERLINK("http://141.218.60.56/~jnz1568/getInfo.php?workbook=09_01.xlsx&amp;sheet=A0&amp;row=196&amp;col=29&amp;number=&amp;sourceID=13","")</f>
        <v/>
      </c>
      <c r="AD196" s="4" t="str">
        <f>HYPERLINK("http://141.218.60.56/~jnz1568/getInfo.php?workbook=09_01.xlsx&amp;sheet=A0&amp;row=196&amp;col=30&amp;number=&amp;sourceID=13","")</f>
        <v/>
      </c>
      <c r="AE196" s="4" t="str">
        <f>HYPERLINK("http://141.218.60.56/~jnz1568/getInfo.php?workbook=09_01.xlsx&amp;sheet=A0&amp;row=196&amp;col=31&amp;number=&amp;sourceID=13","")</f>
        <v/>
      </c>
    </row>
    <row r="197" spans="1:31">
      <c r="A197" s="3">
        <v>9</v>
      </c>
      <c r="B197" s="3">
        <v>1</v>
      </c>
      <c r="C197" s="3">
        <v>21</v>
      </c>
      <c r="D197" s="3">
        <v>12</v>
      </c>
      <c r="E197" s="3">
        <f>((1/(INDEX(E0!J$4:J$28,C197,1)-INDEX(E0!J$4:J$28,D197,1))))*100000000</f>
        <v>0</v>
      </c>
      <c r="F197" s="4" t="str">
        <f>HYPERLINK("http://141.218.60.56/~jnz1568/getInfo.php?workbook=09_01.xlsx&amp;sheet=A0&amp;row=197&amp;col=6&amp;number=&amp;sourceID=18","")</f>
        <v/>
      </c>
      <c r="G197" s="4" t="str">
        <f>HYPERLINK("http://141.218.60.56/~jnz1568/getInfo.php?workbook=09_01.xlsx&amp;sheet=A0&amp;row=197&amp;col=7&amp;number==&amp;sourceID=11","=")</f>
        <v>=</v>
      </c>
      <c r="H197" s="4" t="str">
        <f>HYPERLINK("http://141.218.60.56/~jnz1568/getInfo.php?workbook=09_01.xlsx&amp;sheet=A0&amp;row=197&amp;col=8&amp;number=15837000000&amp;sourceID=11","15837000000")</f>
        <v>15837000000</v>
      </c>
      <c r="I197" s="4" t="str">
        <f>HYPERLINK("http://141.218.60.56/~jnz1568/getInfo.php?workbook=09_01.xlsx&amp;sheet=A0&amp;row=197&amp;col=9&amp;number=&amp;sourceID=11","")</f>
        <v/>
      </c>
      <c r="J197" s="4" t="str">
        <f>HYPERLINK("http://141.218.60.56/~jnz1568/getInfo.php?workbook=09_01.xlsx&amp;sheet=A0&amp;row=197&amp;col=10&amp;number=2.062&amp;sourceID=11","2.062")</f>
        <v>2.062</v>
      </c>
      <c r="K197" s="4" t="str">
        <f>HYPERLINK("http://141.218.60.56/~jnz1568/getInfo.php?workbook=09_01.xlsx&amp;sheet=A0&amp;row=197&amp;col=11&amp;number=&amp;sourceID=11","")</f>
        <v/>
      </c>
      <c r="L197" s="4" t="str">
        <f>HYPERLINK("http://141.218.60.56/~jnz1568/getInfo.php?workbook=09_01.xlsx&amp;sheet=A0&amp;row=197&amp;col=12&amp;number=1.6668&amp;sourceID=11","1.6668")</f>
        <v>1.6668</v>
      </c>
      <c r="M197" s="4" t="str">
        <f>HYPERLINK("http://141.218.60.56/~jnz1568/getInfo.php?workbook=09_01.xlsx&amp;sheet=A0&amp;row=197&amp;col=13&amp;number=&amp;sourceID=11","")</f>
        <v/>
      </c>
      <c r="N197" s="4" t="str">
        <f>HYPERLINK("http://141.218.60.56/~jnz1568/getInfo.php?workbook=09_01.xlsx&amp;sheet=A0&amp;row=197&amp;col=14&amp;number=15838000000&amp;sourceID=12","15838000000")</f>
        <v>15838000000</v>
      </c>
      <c r="O197" s="4" t="str">
        <f>HYPERLINK("http://141.218.60.56/~jnz1568/getInfo.php?workbook=09_01.xlsx&amp;sheet=A0&amp;row=197&amp;col=15&amp;number=15838000000&amp;sourceID=12","15838000000")</f>
        <v>15838000000</v>
      </c>
      <c r="P197" s="4" t="str">
        <f>HYPERLINK("http://141.218.60.56/~jnz1568/getInfo.php?workbook=09_01.xlsx&amp;sheet=A0&amp;row=197&amp;col=16&amp;number=&amp;sourceID=12","")</f>
        <v/>
      </c>
      <c r="Q197" s="4" t="str">
        <f>HYPERLINK("http://141.218.60.56/~jnz1568/getInfo.php?workbook=09_01.xlsx&amp;sheet=A0&amp;row=197&amp;col=17&amp;number=2.062&amp;sourceID=12","2.062")</f>
        <v>2.062</v>
      </c>
      <c r="R197" s="4" t="str">
        <f>HYPERLINK("http://141.218.60.56/~jnz1568/getInfo.php?workbook=09_01.xlsx&amp;sheet=A0&amp;row=197&amp;col=18&amp;number=&amp;sourceID=12","")</f>
        <v/>
      </c>
      <c r="S197" s="4" t="str">
        <f>HYPERLINK("http://141.218.60.56/~jnz1568/getInfo.php?workbook=09_01.xlsx&amp;sheet=A0&amp;row=197&amp;col=19&amp;number=1.6669&amp;sourceID=12","1.6669")</f>
        <v>1.6669</v>
      </c>
      <c r="T197" s="4" t="str">
        <f>HYPERLINK("http://141.218.60.56/~jnz1568/getInfo.php?workbook=09_01.xlsx&amp;sheet=A0&amp;row=197&amp;col=20&amp;number=&amp;sourceID=12","")</f>
        <v/>
      </c>
      <c r="U197" s="4" t="str">
        <f>HYPERLINK("http://141.218.60.56/~jnz1568/getInfo.php?workbook=09_01.xlsx&amp;sheet=A0&amp;row=197&amp;col=21&amp;number=15840000001.7&amp;sourceID=30","15840000001.7")</f>
        <v>15840000001.7</v>
      </c>
      <c r="V197" s="4" t="str">
        <f>HYPERLINK("http://141.218.60.56/~jnz1568/getInfo.php?workbook=09_01.xlsx&amp;sheet=A0&amp;row=197&amp;col=22&amp;number=15840000000&amp;sourceID=30","15840000000")</f>
        <v>15840000000</v>
      </c>
      <c r="W197" s="4" t="str">
        <f>HYPERLINK("http://141.218.60.56/~jnz1568/getInfo.php?workbook=09_01.xlsx&amp;sheet=A0&amp;row=197&amp;col=23&amp;number=&amp;sourceID=30","")</f>
        <v/>
      </c>
      <c r="X197" s="4" t="str">
        <f>HYPERLINK("http://141.218.60.56/~jnz1568/getInfo.php?workbook=09_01.xlsx&amp;sheet=A0&amp;row=197&amp;col=24&amp;number=&amp;sourceID=30","")</f>
        <v/>
      </c>
      <c r="Y197" s="4" t="str">
        <f>HYPERLINK("http://141.218.60.56/~jnz1568/getInfo.php?workbook=09_01.xlsx&amp;sheet=A0&amp;row=197&amp;col=25&amp;number=1.667&amp;sourceID=30","1.667")</f>
        <v>1.667</v>
      </c>
      <c r="Z197" s="4" t="str">
        <f>HYPERLINK("http://141.218.60.56/~jnz1568/getInfo.php?workbook=09_01.xlsx&amp;sheet=A0&amp;row=197&amp;col=26&amp;number=&amp;sourceID=13","")</f>
        <v/>
      </c>
      <c r="AA197" s="4" t="str">
        <f>HYPERLINK("http://141.218.60.56/~jnz1568/getInfo.php?workbook=09_01.xlsx&amp;sheet=A0&amp;row=197&amp;col=27&amp;number=&amp;sourceID=13","")</f>
        <v/>
      </c>
      <c r="AB197" s="4" t="str">
        <f>HYPERLINK("http://141.218.60.56/~jnz1568/getInfo.php?workbook=09_01.xlsx&amp;sheet=A0&amp;row=197&amp;col=28&amp;number=&amp;sourceID=13","")</f>
        <v/>
      </c>
      <c r="AC197" s="4" t="str">
        <f>HYPERLINK("http://141.218.60.56/~jnz1568/getInfo.php?workbook=09_01.xlsx&amp;sheet=A0&amp;row=197&amp;col=29&amp;number=&amp;sourceID=13","")</f>
        <v/>
      </c>
      <c r="AD197" s="4" t="str">
        <f>HYPERLINK("http://141.218.60.56/~jnz1568/getInfo.php?workbook=09_01.xlsx&amp;sheet=A0&amp;row=197&amp;col=30&amp;number=&amp;sourceID=13","")</f>
        <v/>
      </c>
      <c r="AE197" s="4" t="str">
        <f>HYPERLINK("http://141.218.60.56/~jnz1568/getInfo.php?workbook=09_01.xlsx&amp;sheet=A0&amp;row=197&amp;col=31&amp;number=&amp;sourceID=13","")</f>
        <v/>
      </c>
    </row>
    <row r="198" spans="1:31">
      <c r="A198" s="3">
        <v>9</v>
      </c>
      <c r="B198" s="3">
        <v>1</v>
      </c>
      <c r="C198" s="3">
        <v>21</v>
      </c>
      <c r="D198" s="3">
        <v>13</v>
      </c>
      <c r="E198" s="3">
        <f>((1/(INDEX(E0!J$4:J$28,C198,1)-INDEX(E0!J$4:J$28,D198,1))))*100000000</f>
        <v>0</v>
      </c>
      <c r="F198" s="4" t="str">
        <f>HYPERLINK("http://141.218.60.56/~jnz1568/getInfo.php?workbook=09_01.xlsx&amp;sheet=A0&amp;row=198&amp;col=6&amp;number=&amp;sourceID=18","")</f>
        <v/>
      </c>
      <c r="G198" s="4" t="str">
        <f>HYPERLINK("http://141.218.60.56/~jnz1568/getInfo.php?workbook=09_01.xlsx&amp;sheet=A0&amp;row=198&amp;col=7&amp;number==&amp;sourceID=11","=")</f>
        <v>=</v>
      </c>
      <c r="H198" s="4" t="str">
        <f>HYPERLINK("http://141.218.60.56/~jnz1568/getInfo.php?workbook=09_01.xlsx&amp;sheet=A0&amp;row=198&amp;col=8&amp;number=&amp;sourceID=11","")</f>
        <v/>
      </c>
      <c r="I198" s="4" t="str">
        <f>HYPERLINK("http://141.218.60.56/~jnz1568/getInfo.php?workbook=09_01.xlsx&amp;sheet=A0&amp;row=198&amp;col=9&amp;number=110840&amp;sourceID=11","110840")</f>
        <v>110840</v>
      </c>
      <c r="J198" s="4" t="str">
        <f>HYPERLINK("http://141.218.60.56/~jnz1568/getInfo.php?workbook=09_01.xlsx&amp;sheet=A0&amp;row=198&amp;col=10&amp;number=&amp;sourceID=11","")</f>
        <v/>
      </c>
      <c r="K198" s="4" t="str">
        <f>HYPERLINK("http://141.218.60.56/~jnz1568/getInfo.php?workbook=09_01.xlsx&amp;sheet=A0&amp;row=198&amp;col=11&amp;number=0.00012974&amp;sourceID=11","0.00012974")</f>
        <v>0.00012974</v>
      </c>
      <c r="L198" s="4" t="str">
        <f>HYPERLINK("http://141.218.60.56/~jnz1568/getInfo.php?workbook=09_01.xlsx&amp;sheet=A0&amp;row=198&amp;col=12&amp;number=&amp;sourceID=11","")</f>
        <v/>
      </c>
      <c r="M198" s="4" t="str">
        <f>HYPERLINK("http://141.218.60.56/~jnz1568/getInfo.php?workbook=09_01.xlsx&amp;sheet=A0&amp;row=198&amp;col=13&amp;number=8.2969e-07&amp;sourceID=11","8.2969e-07")</f>
        <v>8.2969e-07</v>
      </c>
      <c r="N198" s="4" t="str">
        <f>HYPERLINK("http://141.218.60.56/~jnz1568/getInfo.php?workbook=09_01.xlsx&amp;sheet=A0&amp;row=198&amp;col=14&amp;number=110840&amp;sourceID=12","110840")</f>
        <v>110840</v>
      </c>
      <c r="O198" s="4" t="str">
        <f>HYPERLINK("http://141.218.60.56/~jnz1568/getInfo.php?workbook=09_01.xlsx&amp;sheet=A0&amp;row=198&amp;col=15&amp;number=&amp;sourceID=12","")</f>
        <v/>
      </c>
      <c r="P198" s="4" t="str">
        <f>HYPERLINK("http://141.218.60.56/~jnz1568/getInfo.php?workbook=09_01.xlsx&amp;sheet=A0&amp;row=198&amp;col=16&amp;number=110840&amp;sourceID=12","110840")</f>
        <v>110840</v>
      </c>
      <c r="Q198" s="4" t="str">
        <f>HYPERLINK("http://141.218.60.56/~jnz1568/getInfo.php?workbook=09_01.xlsx&amp;sheet=A0&amp;row=198&amp;col=17&amp;number=&amp;sourceID=12","")</f>
        <v/>
      </c>
      <c r="R198" s="4" t="str">
        <f>HYPERLINK("http://141.218.60.56/~jnz1568/getInfo.php?workbook=09_01.xlsx&amp;sheet=A0&amp;row=198&amp;col=18&amp;number=0.00012974&amp;sourceID=12","0.00012974")</f>
        <v>0.00012974</v>
      </c>
      <c r="S198" s="4" t="str">
        <f>HYPERLINK("http://141.218.60.56/~jnz1568/getInfo.php?workbook=09_01.xlsx&amp;sheet=A0&amp;row=198&amp;col=19&amp;number=&amp;sourceID=12","")</f>
        <v/>
      </c>
      <c r="T198" s="4" t="str">
        <f>HYPERLINK("http://141.218.60.56/~jnz1568/getInfo.php?workbook=09_01.xlsx&amp;sheet=A0&amp;row=198&amp;col=20&amp;number=8.2971e-07&amp;sourceID=12","8.2971e-07")</f>
        <v>8.2971e-07</v>
      </c>
      <c r="U198" s="4" t="str">
        <f>HYPERLINK("http://141.218.60.56/~jnz1568/getInfo.php?workbook=09_01.xlsx&amp;sheet=A0&amp;row=198&amp;col=21&amp;number=110800.00013&amp;sourceID=30","110800.00013")</f>
        <v>110800.00013</v>
      </c>
      <c r="V198" s="4" t="str">
        <f>HYPERLINK("http://141.218.60.56/~jnz1568/getInfo.php?workbook=09_01.xlsx&amp;sheet=A0&amp;row=198&amp;col=22&amp;number=&amp;sourceID=30","")</f>
        <v/>
      </c>
      <c r="W198" s="4" t="str">
        <f>HYPERLINK("http://141.218.60.56/~jnz1568/getInfo.php?workbook=09_01.xlsx&amp;sheet=A0&amp;row=198&amp;col=23&amp;number=110800&amp;sourceID=30","110800")</f>
        <v>110800</v>
      </c>
      <c r="X198" s="4" t="str">
        <f>HYPERLINK("http://141.218.60.56/~jnz1568/getInfo.php?workbook=09_01.xlsx&amp;sheet=A0&amp;row=198&amp;col=24&amp;number=0.0001297&amp;sourceID=30","0.0001297")</f>
        <v>0.0001297</v>
      </c>
      <c r="Y198" s="4" t="str">
        <f>HYPERLINK("http://141.218.60.56/~jnz1568/getInfo.php?workbook=09_01.xlsx&amp;sheet=A0&amp;row=198&amp;col=25&amp;number=&amp;sourceID=30","")</f>
        <v/>
      </c>
      <c r="Z198" s="4" t="str">
        <f>HYPERLINK("http://141.218.60.56/~jnz1568/getInfo.php?workbook=09_01.xlsx&amp;sheet=A0&amp;row=198&amp;col=26&amp;number=&amp;sourceID=13","")</f>
        <v/>
      </c>
      <c r="AA198" s="4" t="str">
        <f>HYPERLINK("http://141.218.60.56/~jnz1568/getInfo.php?workbook=09_01.xlsx&amp;sheet=A0&amp;row=198&amp;col=27&amp;number=&amp;sourceID=13","")</f>
        <v/>
      </c>
      <c r="AB198" s="4" t="str">
        <f>HYPERLINK("http://141.218.60.56/~jnz1568/getInfo.php?workbook=09_01.xlsx&amp;sheet=A0&amp;row=198&amp;col=28&amp;number=&amp;sourceID=13","")</f>
        <v/>
      </c>
      <c r="AC198" s="4" t="str">
        <f>HYPERLINK("http://141.218.60.56/~jnz1568/getInfo.php?workbook=09_01.xlsx&amp;sheet=A0&amp;row=198&amp;col=29&amp;number=&amp;sourceID=13","")</f>
        <v/>
      </c>
      <c r="AD198" s="4" t="str">
        <f>HYPERLINK("http://141.218.60.56/~jnz1568/getInfo.php?workbook=09_01.xlsx&amp;sheet=A0&amp;row=198&amp;col=30&amp;number=&amp;sourceID=13","")</f>
        <v/>
      </c>
      <c r="AE198" s="4" t="str">
        <f>HYPERLINK("http://141.218.60.56/~jnz1568/getInfo.php?workbook=09_01.xlsx&amp;sheet=A0&amp;row=198&amp;col=31&amp;number=&amp;sourceID=13","")</f>
        <v/>
      </c>
    </row>
    <row r="199" spans="1:31">
      <c r="A199" s="3">
        <v>9</v>
      </c>
      <c r="B199" s="3">
        <v>1</v>
      </c>
      <c r="C199" s="3">
        <v>21</v>
      </c>
      <c r="D199" s="3">
        <v>14</v>
      </c>
      <c r="E199" s="3">
        <f>((1/(INDEX(E0!J$4:J$28,C199,1)-INDEX(E0!J$4:J$28,D199,1))))*100000000</f>
        <v>0</v>
      </c>
      <c r="F199" s="4" t="str">
        <f>HYPERLINK("http://141.218.60.56/~jnz1568/getInfo.php?workbook=09_01.xlsx&amp;sheet=A0&amp;row=199&amp;col=6&amp;number=&amp;sourceID=18","")</f>
        <v/>
      </c>
      <c r="G199" s="4" t="str">
        <f>HYPERLINK("http://141.218.60.56/~jnz1568/getInfo.php?workbook=09_01.xlsx&amp;sheet=A0&amp;row=199&amp;col=7&amp;number==&amp;sourceID=11","=")</f>
        <v>=</v>
      </c>
      <c r="H199" s="4" t="str">
        <f>HYPERLINK("http://141.218.60.56/~jnz1568/getInfo.php?workbook=09_01.xlsx&amp;sheet=A0&amp;row=199&amp;col=8&amp;number=&amp;sourceID=11","")</f>
        <v/>
      </c>
      <c r="I199" s="4" t="str">
        <f>HYPERLINK("http://141.218.60.56/~jnz1568/getInfo.php?workbook=09_01.xlsx&amp;sheet=A0&amp;row=199&amp;col=9&amp;number=69697&amp;sourceID=11","69697")</f>
        <v>69697</v>
      </c>
      <c r="J199" s="4" t="str">
        <f>HYPERLINK("http://141.218.60.56/~jnz1568/getInfo.php?workbook=09_01.xlsx&amp;sheet=A0&amp;row=199&amp;col=10&amp;number=&amp;sourceID=11","")</f>
        <v/>
      </c>
      <c r="K199" s="4" t="str">
        <f>HYPERLINK("http://141.218.60.56/~jnz1568/getInfo.php?workbook=09_01.xlsx&amp;sheet=A0&amp;row=199&amp;col=11&amp;number=0.0044707&amp;sourceID=11","0.0044707")</f>
        <v>0.0044707</v>
      </c>
      <c r="L199" s="4" t="str">
        <f>HYPERLINK("http://141.218.60.56/~jnz1568/getInfo.php?workbook=09_01.xlsx&amp;sheet=A0&amp;row=199&amp;col=12&amp;number=&amp;sourceID=11","")</f>
        <v/>
      </c>
      <c r="M199" s="4" t="str">
        <f>HYPERLINK("http://141.218.60.56/~jnz1568/getInfo.php?workbook=09_01.xlsx&amp;sheet=A0&amp;row=199&amp;col=13&amp;number=7.0354e-06&amp;sourceID=11","7.0354e-06")</f>
        <v>7.0354e-06</v>
      </c>
      <c r="N199" s="4" t="str">
        <f>HYPERLINK("http://141.218.60.56/~jnz1568/getInfo.php?workbook=09_01.xlsx&amp;sheet=A0&amp;row=199&amp;col=14&amp;number=69699&amp;sourceID=12","69699")</f>
        <v>69699</v>
      </c>
      <c r="O199" s="4" t="str">
        <f>HYPERLINK("http://141.218.60.56/~jnz1568/getInfo.php?workbook=09_01.xlsx&amp;sheet=A0&amp;row=199&amp;col=15&amp;number=&amp;sourceID=12","")</f>
        <v/>
      </c>
      <c r="P199" s="4" t="str">
        <f>HYPERLINK("http://141.218.60.56/~jnz1568/getInfo.php?workbook=09_01.xlsx&amp;sheet=A0&amp;row=199&amp;col=16&amp;number=69699&amp;sourceID=12","69699")</f>
        <v>69699</v>
      </c>
      <c r="Q199" s="4" t="str">
        <f>HYPERLINK("http://141.218.60.56/~jnz1568/getInfo.php?workbook=09_01.xlsx&amp;sheet=A0&amp;row=199&amp;col=17&amp;number=&amp;sourceID=12","")</f>
        <v/>
      </c>
      <c r="R199" s="4" t="str">
        <f>HYPERLINK("http://141.218.60.56/~jnz1568/getInfo.php?workbook=09_01.xlsx&amp;sheet=A0&amp;row=199&amp;col=18&amp;number=0.0044708&amp;sourceID=12","0.0044708")</f>
        <v>0.0044708</v>
      </c>
      <c r="S199" s="4" t="str">
        <f>HYPERLINK("http://141.218.60.56/~jnz1568/getInfo.php?workbook=09_01.xlsx&amp;sheet=A0&amp;row=199&amp;col=19&amp;number=&amp;sourceID=12","")</f>
        <v/>
      </c>
      <c r="T199" s="4" t="str">
        <f>HYPERLINK("http://141.218.60.56/~jnz1568/getInfo.php?workbook=09_01.xlsx&amp;sheet=A0&amp;row=199&amp;col=20&amp;number=7.0356e-06&amp;sourceID=12","7.0356e-06")</f>
        <v>7.0356e-06</v>
      </c>
      <c r="U199" s="4" t="str">
        <f>HYPERLINK("http://141.218.60.56/~jnz1568/getInfo.php?workbook=09_01.xlsx&amp;sheet=A0&amp;row=199&amp;col=21&amp;number=69700.004473&amp;sourceID=30","69700.004473")</f>
        <v>69700.004473</v>
      </c>
      <c r="V199" s="4" t="str">
        <f>HYPERLINK("http://141.218.60.56/~jnz1568/getInfo.php?workbook=09_01.xlsx&amp;sheet=A0&amp;row=199&amp;col=22&amp;number=&amp;sourceID=30","")</f>
        <v/>
      </c>
      <c r="W199" s="4" t="str">
        <f>HYPERLINK("http://141.218.60.56/~jnz1568/getInfo.php?workbook=09_01.xlsx&amp;sheet=A0&amp;row=199&amp;col=23&amp;number=69700&amp;sourceID=30","69700")</f>
        <v>69700</v>
      </c>
      <c r="X199" s="4" t="str">
        <f>HYPERLINK("http://141.218.60.56/~jnz1568/getInfo.php?workbook=09_01.xlsx&amp;sheet=A0&amp;row=199&amp;col=24&amp;number=0.004473&amp;sourceID=30","0.004473")</f>
        <v>0.004473</v>
      </c>
      <c r="Y199" s="4" t="str">
        <f>HYPERLINK("http://141.218.60.56/~jnz1568/getInfo.php?workbook=09_01.xlsx&amp;sheet=A0&amp;row=199&amp;col=25&amp;number=&amp;sourceID=30","")</f>
        <v/>
      </c>
      <c r="Z199" s="4" t="str">
        <f>HYPERLINK("http://141.218.60.56/~jnz1568/getInfo.php?workbook=09_01.xlsx&amp;sheet=A0&amp;row=199&amp;col=26&amp;number=&amp;sourceID=13","")</f>
        <v/>
      </c>
      <c r="AA199" s="4" t="str">
        <f>HYPERLINK("http://141.218.60.56/~jnz1568/getInfo.php?workbook=09_01.xlsx&amp;sheet=A0&amp;row=199&amp;col=27&amp;number=&amp;sourceID=13","")</f>
        <v/>
      </c>
      <c r="AB199" s="4" t="str">
        <f>HYPERLINK("http://141.218.60.56/~jnz1568/getInfo.php?workbook=09_01.xlsx&amp;sheet=A0&amp;row=199&amp;col=28&amp;number=&amp;sourceID=13","")</f>
        <v/>
      </c>
      <c r="AC199" s="4" t="str">
        <f>HYPERLINK("http://141.218.60.56/~jnz1568/getInfo.php?workbook=09_01.xlsx&amp;sheet=A0&amp;row=199&amp;col=29&amp;number=&amp;sourceID=13","")</f>
        <v/>
      </c>
      <c r="AD199" s="4" t="str">
        <f>HYPERLINK("http://141.218.60.56/~jnz1568/getInfo.php?workbook=09_01.xlsx&amp;sheet=A0&amp;row=199&amp;col=30&amp;number=&amp;sourceID=13","")</f>
        <v/>
      </c>
      <c r="AE199" s="4" t="str">
        <f>HYPERLINK("http://141.218.60.56/~jnz1568/getInfo.php?workbook=09_01.xlsx&amp;sheet=A0&amp;row=199&amp;col=31&amp;number=&amp;sourceID=13","")</f>
        <v/>
      </c>
    </row>
    <row r="200" spans="1:31">
      <c r="A200" s="3">
        <v>9</v>
      </c>
      <c r="B200" s="3">
        <v>1</v>
      </c>
      <c r="C200" s="3">
        <v>21</v>
      </c>
      <c r="D200" s="3">
        <v>15</v>
      </c>
      <c r="E200" s="3">
        <f>((1/(INDEX(E0!J$4:J$28,C200,1)-INDEX(E0!J$4:J$28,D200,1))))*100000000</f>
        <v>0</v>
      </c>
      <c r="F200" s="4" t="str">
        <f>HYPERLINK("http://141.218.60.56/~jnz1568/getInfo.php?workbook=09_01.xlsx&amp;sheet=A0&amp;row=200&amp;col=6&amp;number=&amp;sourceID=18","")</f>
        <v/>
      </c>
      <c r="G200" s="4" t="str">
        <f>HYPERLINK("http://141.218.60.56/~jnz1568/getInfo.php?workbook=09_01.xlsx&amp;sheet=A0&amp;row=200&amp;col=7&amp;number==&amp;sourceID=11","=")</f>
        <v>=</v>
      </c>
      <c r="H200" s="4" t="str">
        <f>HYPERLINK("http://141.218.60.56/~jnz1568/getInfo.php?workbook=09_01.xlsx&amp;sheet=A0&amp;row=200&amp;col=8&amp;number=1131200000&amp;sourceID=11","1131200000")</f>
        <v>1131200000</v>
      </c>
      <c r="I200" s="4" t="str">
        <f>HYPERLINK("http://141.218.60.56/~jnz1568/getInfo.php?workbook=09_01.xlsx&amp;sheet=A0&amp;row=200&amp;col=9&amp;number=&amp;sourceID=11","")</f>
        <v/>
      </c>
      <c r="J200" s="4" t="str">
        <f>HYPERLINK("http://141.218.60.56/~jnz1568/getInfo.php?workbook=09_01.xlsx&amp;sheet=A0&amp;row=200&amp;col=10&amp;number=1.3718&amp;sourceID=11","1.3718")</f>
        <v>1.3718</v>
      </c>
      <c r="K200" s="4" t="str">
        <f>HYPERLINK("http://141.218.60.56/~jnz1568/getInfo.php?workbook=09_01.xlsx&amp;sheet=A0&amp;row=200&amp;col=11&amp;number=&amp;sourceID=11","")</f>
        <v/>
      </c>
      <c r="L200" s="4" t="str">
        <f>HYPERLINK("http://141.218.60.56/~jnz1568/getInfo.php?workbook=09_01.xlsx&amp;sheet=A0&amp;row=200&amp;col=12&amp;number=&amp;sourceID=11","")</f>
        <v/>
      </c>
      <c r="M200" s="4" t="str">
        <f>HYPERLINK("http://141.218.60.56/~jnz1568/getInfo.php?workbook=09_01.xlsx&amp;sheet=A0&amp;row=200&amp;col=13&amp;number=&amp;sourceID=11","")</f>
        <v/>
      </c>
      <c r="N200" s="4" t="str">
        <f>HYPERLINK("http://141.218.60.56/~jnz1568/getInfo.php?workbook=09_01.xlsx&amp;sheet=A0&amp;row=200&amp;col=14&amp;number=1131200000&amp;sourceID=12","1131200000")</f>
        <v>1131200000</v>
      </c>
      <c r="O200" s="4" t="str">
        <f>HYPERLINK("http://141.218.60.56/~jnz1568/getInfo.php?workbook=09_01.xlsx&amp;sheet=A0&amp;row=200&amp;col=15&amp;number=1131200000&amp;sourceID=12","1131200000")</f>
        <v>1131200000</v>
      </c>
      <c r="P200" s="4" t="str">
        <f>HYPERLINK("http://141.218.60.56/~jnz1568/getInfo.php?workbook=09_01.xlsx&amp;sheet=A0&amp;row=200&amp;col=16&amp;number=&amp;sourceID=12","")</f>
        <v/>
      </c>
      <c r="Q200" s="4" t="str">
        <f>HYPERLINK("http://141.218.60.56/~jnz1568/getInfo.php?workbook=09_01.xlsx&amp;sheet=A0&amp;row=200&amp;col=17&amp;number=1.3718&amp;sourceID=12","1.3718")</f>
        <v>1.3718</v>
      </c>
      <c r="R200" s="4" t="str">
        <f>HYPERLINK("http://141.218.60.56/~jnz1568/getInfo.php?workbook=09_01.xlsx&amp;sheet=A0&amp;row=200&amp;col=18&amp;number=&amp;sourceID=12","")</f>
        <v/>
      </c>
      <c r="S200" s="4" t="str">
        <f>HYPERLINK("http://141.218.60.56/~jnz1568/getInfo.php?workbook=09_01.xlsx&amp;sheet=A0&amp;row=200&amp;col=19&amp;number=&amp;sourceID=12","")</f>
        <v/>
      </c>
      <c r="T200" s="4" t="str">
        <f>HYPERLINK("http://141.218.60.56/~jnz1568/getInfo.php?workbook=09_01.xlsx&amp;sheet=A0&amp;row=200&amp;col=20&amp;number=&amp;sourceID=12","")</f>
        <v/>
      </c>
      <c r="U200" s="4" t="str">
        <f>HYPERLINK("http://141.218.60.56/~jnz1568/getInfo.php?workbook=09_01.xlsx&amp;sheet=A0&amp;row=200&amp;col=21&amp;number=1131000000&amp;sourceID=30","1131000000")</f>
        <v>1131000000</v>
      </c>
      <c r="V200" s="4" t="str">
        <f>HYPERLINK("http://141.218.60.56/~jnz1568/getInfo.php?workbook=09_01.xlsx&amp;sheet=A0&amp;row=200&amp;col=22&amp;number=1131000000&amp;sourceID=30","1131000000")</f>
        <v>1131000000</v>
      </c>
      <c r="W200" s="4" t="str">
        <f>HYPERLINK("http://141.218.60.56/~jnz1568/getInfo.php?workbook=09_01.xlsx&amp;sheet=A0&amp;row=200&amp;col=23&amp;number=&amp;sourceID=30","")</f>
        <v/>
      </c>
      <c r="X200" s="4" t="str">
        <f>HYPERLINK("http://141.218.60.56/~jnz1568/getInfo.php?workbook=09_01.xlsx&amp;sheet=A0&amp;row=200&amp;col=24&amp;number=&amp;sourceID=30","")</f>
        <v/>
      </c>
      <c r="Y200" s="4" t="str">
        <f>HYPERLINK("http://141.218.60.56/~jnz1568/getInfo.php?workbook=09_01.xlsx&amp;sheet=A0&amp;row=200&amp;col=25&amp;number=&amp;sourceID=30","")</f>
        <v/>
      </c>
      <c r="Z200" s="4" t="str">
        <f>HYPERLINK("http://141.218.60.56/~jnz1568/getInfo.php?workbook=09_01.xlsx&amp;sheet=A0&amp;row=200&amp;col=26&amp;number=&amp;sourceID=13","")</f>
        <v/>
      </c>
      <c r="AA200" s="4" t="str">
        <f>HYPERLINK("http://141.218.60.56/~jnz1568/getInfo.php?workbook=09_01.xlsx&amp;sheet=A0&amp;row=200&amp;col=27&amp;number=&amp;sourceID=13","")</f>
        <v/>
      </c>
      <c r="AB200" s="4" t="str">
        <f>HYPERLINK("http://141.218.60.56/~jnz1568/getInfo.php?workbook=09_01.xlsx&amp;sheet=A0&amp;row=200&amp;col=28&amp;number=&amp;sourceID=13","")</f>
        <v/>
      </c>
      <c r="AC200" s="4" t="str">
        <f>HYPERLINK("http://141.218.60.56/~jnz1568/getInfo.php?workbook=09_01.xlsx&amp;sheet=A0&amp;row=200&amp;col=29&amp;number=&amp;sourceID=13","")</f>
        <v/>
      </c>
      <c r="AD200" s="4" t="str">
        <f>HYPERLINK("http://141.218.60.56/~jnz1568/getInfo.php?workbook=09_01.xlsx&amp;sheet=A0&amp;row=200&amp;col=30&amp;number=&amp;sourceID=13","")</f>
        <v/>
      </c>
      <c r="AE200" s="4" t="str">
        <f>HYPERLINK("http://141.218.60.56/~jnz1568/getInfo.php?workbook=09_01.xlsx&amp;sheet=A0&amp;row=200&amp;col=31&amp;number=&amp;sourceID=13","")</f>
        <v/>
      </c>
    </row>
    <row r="201" spans="1:31">
      <c r="A201" s="3">
        <v>9</v>
      </c>
      <c r="B201" s="3">
        <v>1</v>
      </c>
      <c r="C201" s="3">
        <v>21</v>
      </c>
      <c r="D201" s="3">
        <v>16</v>
      </c>
      <c r="E201" s="3">
        <f>((1/(INDEX(E0!J$4:J$28,C201,1)-INDEX(E0!J$4:J$28,D201,1))))*100000000</f>
        <v>0</v>
      </c>
      <c r="F201" s="4" t="str">
        <f>HYPERLINK("http://141.218.60.56/~jnz1568/getInfo.php?workbook=09_01.xlsx&amp;sheet=A0&amp;row=201&amp;col=6&amp;number=&amp;sourceID=18","")</f>
        <v/>
      </c>
      <c r="G201" s="4" t="str">
        <f>HYPERLINK("http://141.218.60.56/~jnz1568/getInfo.php?workbook=09_01.xlsx&amp;sheet=A0&amp;row=201&amp;col=7&amp;number==&amp;sourceID=11","=")</f>
        <v>=</v>
      </c>
      <c r="H201" s="4" t="str">
        <f>HYPERLINK("http://141.218.60.56/~jnz1568/getInfo.php?workbook=09_01.xlsx&amp;sheet=A0&amp;row=201&amp;col=8&amp;number=&amp;sourceID=11","")</f>
        <v/>
      </c>
      <c r="I201" s="4" t="str">
        <f>HYPERLINK("http://141.218.60.56/~jnz1568/getInfo.php?workbook=09_01.xlsx&amp;sheet=A0&amp;row=201&amp;col=9&amp;number=11613&amp;sourceID=11","11613")</f>
        <v>11613</v>
      </c>
      <c r="J201" s="4" t="str">
        <f>HYPERLINK("http://141.218.60.56/~jnz1568/getInfo.php?workbook=09_01.xlsx&amp;sheet=A0&amp;row=201&amp;col=10&amp;number=&amp;sourceID=11","")</f>
        <v/>
      </c>
      <c r="K201" s="4" t="str">
        <f>HYPERLINK("http://141.218.60.56/~jnz1568/getInfo.php?workbook=09_01.xlsx&amp;sheet=A0&amp;row=201&amp;col=11&amp;number=0.0041669&amp;sourceID=11","0.0041669")</f>
        <v>0.0041669</v>
      </c>
      <c r="L201" s="4" t="str">
        <f>HYPERLINK("http://141.218.60.56/~jnz1568/getInfo.php?workbook=09_01.xlsx&amp;sheet=A0&amp;row=201&amp;col=12&amp;number=&amp;sourceID=11","")</f>
        <v/>
      </c>
      <c r="M201" s="4" t="str">
        <f>HYPERLINK("http://141.218.60.56/~jnz1568/getInfo.php?workbook=09_01.xlsx&amp;sheet=A0&amp;row=201&amp;col=13&amp;number=8.6794e-07&amp;sourceID=11","8.6794e-07")</f>
        <v>8.6794e-07</v>
      </c>
      <c r="N201" s="4" t="str">
        <f>HYPERLINK("http://141.218.60.56/~jnz1568/getInfo.php?workbook=09_01.xlsx&amp;sheet=A0&amp;row=201&amp;col=14&amp;number=11613&amp;sourceID=12","11613")</f>
        <v>11613</v>
      </c>
      <c r="O201" s="4" t="str">
        <f>HYPERLINK("http://141.218.60.56/~jnz1568/getInfo.php?workbook=09_01.xlsx&amp;sheet=A0&amp;row=201&amp;col=15&amp;number=&amp;sourceID=12","")</f>
        <v/>
      </c>
      <c r="P201" s="4" t="str">
        <f>HYPERLINK("http://141.218.60.56/~jnz1568/getInfo.php?workbook=09_01.xlsx&amp;sheet=A0&amp;row=201&amp;col=16&amp;number=11613&amp;sourceID=12","11613")</f>
        <v>11613</v>
      </c>
      <c r="Q201" s="4" t="str">
        <f>HYPERLINK("http://141.218.60.56/~jnz1568/getInfo.php?workbook=09_01.xlsx&amp;sheet=A0&amp;row=201&amp;col=17&amp;number=&amp;sourceID=12","")</f>
        <v/>
      </c>
      <c r="R201" s="4" t="str">
        <f>HYPERLINK("http://141.218.60.56/~jnz1568/getInfo.php?workbook=09_01.xlsx&amp;sheet=A0&amp;row=201&amp;col=18&amp;number=0.0041671&amp;sourceID=12","0.0041671")</f>
        <v>0.0041671</v>
      </c>
      <c r="S201" s="4" t="str">
        <f>HYPERLINK("http://141.218.60.56/~jnz1568/getInfo.php?workbook=09_01.xlsx&amp;sheet=A0&amp;row=201&amp;col=19&amp;number=&amp;sourceID=12","")</f>
        <v/>
      </c>
      <c r="T201" s="4" t="str">
        <f>HYPERLINK("http://141.218.60.56/~jnz1568/getInfo.php?workbook=09_01.xlsx&amp;sheet=A0&amp;row=201&amp;col=20&amp;number=8.6797e-07&amp;sourceID=12","8.6797e-07")</f>
        <v>8.6797e-07</v>
      </c>
      <c r="U201" s="4" t="str">
        <f>HYPERLINK("http://141.218.60.56/~jnz1568/getInfo.php?workbook=09_01.xlsx&amp;sheet=A0&amp;row=201&amp;col=21&amp;number=11610.004166&amp;sourceID=30","11610.004166")</f>
        <v>11610.004166</v>
      </c>
      <c r="V201" s="4" t="str">
        <f>HYPERLINK("http://141.218.60.56/~jnz1568/getInfo.php?workbook=09_01.xlsx&amp;sheet=A0&amp;row=201&amp;col=22&amp;number=&amp;sourceID=30","")</f>
        <v/>
      </c>
      <c r="W201" s="4" t="str">
        <f>HYPERLINK("http://141.218.60.56/~jnz1568/getInfo.php?workbook=09_01.xlsx&amp;sheet=A0&amp;row=201&amp;col=23&amp;number=11610&amp;sourceID=30","11610")</f>
        <v>11610</v>
      </c>
      <c r="X201" s="4" t="str">
        <f>HYPERLINK("http://141.218.60.56/~jnz1568/getInfo.php?workbook=09_01.xlsx&amp;sheet=A0&amp;row=201&amp;col=24&amp;number=0.004166&amp;sourceID=30","0.004166")</f>
        <v>0.004166</v>
      </c>
      <c r="Y201" s="4" t="str">
        <f>HYPERLINK("http://141.218.60.56/~jnz1568/getInfo.php?workbook=09_01.xlsx&amp;sheet=A0&amp;row=201&amp;col=25&amp;number=&amp;sourceID=30","")</f>
        <v/>
      </c>
      <c r="Z201" s="4" t="str">
        <f>HYPERLINK("http://141.218.60.56/~jnz1568/getInfo.php?workbook=09_01.xlsx&amp;sheet=A0&amp;row=201&amp;col=26&amp;number=&amp;sourceID=13","")</f>
        <v/>
      </c>
      <c r="AA201" s="4" t="str">
        <f>HYPERLINK("http://141.218.60.56/~jnz1568/getInfo.php?workbook=09_01.xlsx&amp;sheet=A0&amp;row=201&amp;col=27&amp;number=&amp;sourceID=13","")</f>
        <v/>
      </c>
      <c r="AB201" s="4" t="str">
        <f>HYPERLINK("http://141.218.60.56/~jnz1568/getInfo.php?workbook=09_01.xlsx&amp;sheet=A0&amp;row=201&amp;col=28&amp;number=&amp;sourceID=13","")</f>
        <v/>
      </c>
      <c r="AC201" s="4" t="str">
        <f>HYPERLINK("http://141.218.60.56/~jnz1568/getInfo.php?workbook=09_01.xlsx&amp;sheet=A0&amp;row=201&amp;col=29&amp;number=&amp;sourceID=13","")</f>
        <v/>
      </c>
      <c r="AD201" s="4" t="str">
        <f>HYPERLINK("http://141.218.60.56/~jnz1568/getInfo.php?workbook=09_01.xlsx&amp;sheet=A0&amp;row=201&amp;col=30&amp;number=&amp;sourceID=13","")</f>
        <v/>
      </c>
      <c r="AE201" s="4" t="str">
        <f>HYPERLINK("http://141.218.60.56/~jnz1568/getInfo.php?workbook=09_01.xlsx&amp;sheet=A0&amp;row=201&amp;col=31&amp;number=&amp;sourceID=13","")</f>
        <v/>
      </c>
    </row>
    <row r="202" spans="1:31">
      <c r="A202" s="3">
        <v>9</v>
      </c>
      <c r="B202" s="3">
        <v>1</v>
      </c>
      <c r="C202" s="3">
        <v>21</v>
      </c>
      <c r="D202" s="3">
        <v>17</v>
      </c>
      <c r="E202" s="3">
        <f>((1/(INDEX(E0!J$4:J$28,C202,1)-INDEX(E0!J$4:J$28,D202,1))))*100000000</f>
        <v>0</v>
      </c>
      <c r="F202" s="4" t="str">
        <f>HYPERLINK("http://141.218.60.56/~jnz1568/getInfo.php?workbook=09_01.xlsx&amp;sheet=A0&amp;row=202&amp;col=6&amp;number=&amp;sourceID=18","")</f>
        <v/>
      </c>
      <c r="G202" s="4" t="str">
        <f>HYPERLINK("http://141.218.60.56/~jnz1568/getInfo.php?workbook=09_01.xlsx&amp;sheet=A0&amp;row=202&amp;col=7&amp;number==&amp;sourceID=11","=")</f>
        <v>=</v>
      </c>
      <c r="H202" s="4" t="str">
        <f>HYPERLINK("http://141.218.60.56/~jnz1568/getInfo.php?workbook=09_01.xlsx&amp;sheet=A0&amp;row=202&amp;col=8&amp;number=&amp;sourceID=11","")</f>
        <v/>
      </c>
      <c r="I202" s="4" t="str">
        <f>HYPERLINK("http://141.218.60.56/~jnz1568/getInfo.php?workbook=09_01.xlsx&amp;sheet=A0&amp;row=202&amp;col=9&amp;number=1.6188e-09&amp;sourceID=11","1.6188e-09")</f>
        <v>1.6188e-09</v>
      </c>
      <c r="J202" s="4" t="str">
        <f>HYPERLINK("http://141.218.60.56/~jnz1568/getInfo.php?workbook=09_01.xlsx&amp;sheet=A0&amp;row=202&amp;col=10&amp;number=&amp;sourceID=11","")</f>
        <v/>
      </c>
      <c r="K202" s="4" t="str">
        <f>HYPERLINK("http://141.218.60.56/~jnz1568/getInfo.php?workbook=09_01.xlsx&amp;sheet=A0&amp;row=202&amp;col=11&amp;number=&amp;sourceID=11","")</f>
        <v/>
      </c>
      <c r="L202" s="4" t="str">
        <f>HYPERLINK("http://141.218.60.56/~jnz1568/getInfo.php?workbook=09_01.xlsx&amp;sheet=A0&amp;row=202&amp;col=12&amp;number=&amp;sourceID=11","")</f>
        <v/>
      </c>
      <c r="M202" s="4" t="str">
        <f>HYPERLINK("http://141.218.60.56/~jnz1568/getInfo.php?workbook=09_01.xlsx&amp;sheet=A0&amp;row=202&amp;col=13&amp;number=0&amp;sourceID=11","0")</f>
        <v>0</v>
      </c>
      <c r="N202" s="4" t="str">
        <f>HYPERLINK("http://141.218.60.56/~jnz1568/getInfo.php?workbook=09_01.xlsx&amp;sheet=A0&amp;row=202&amp;col=14&amp;number=1.619e-09&amp;sourceID=12","1.619e-09")</f>
        <v>1.619e-09</v>
      </c>
      <c r="O202" s="4" t="str">
        <f>HYPERLINK("http://141.218.60.56/~jnz1568/getInfo.php?workbook=09_01.xlsx&amp;sheet=A0&amp;row=202&amp;col=15&amp;number=&amp;sourceID=12","")</f>
        <v/>
      </c>
      <c r="P202" s="4" t="str">
        <f>HYPERLINK("http://141.218.60.56/~jnz1568/getInfo.php?workbook=09_01.xlsx&amp;sheet=A0&amp;row=202&amp;col=16&amp;number=1.619e-09&amp;sourceID=12","1.619e-09")</f>
        <v>1.619e-09</v>
      </c>
      <c r="Q202" s="4" t="str">
        <f>HYPERLINK("http://141.218.60.56/~jnz1568/getInfo.php?workbook=09_01.xlsx&amp;sheet=A0&amp;row=202&amp;col=17&amp;number=&amp;sourceID=12","")</f>
        <v/>
      </c>
      <c r="R202" s="4" t="str">
        <f>HYPERLINK("http://141.218.60.56/~jnz1568/getInfo.php?workbook=09_01.xlsx&amp;sheet=A0&amp;row=202&amp;col=18&amp;number=&amp;sourceID=12","")</f>
        <v/>
      </c>
      <c r="S202" s="4" t="str">
        <f>HYPERLINK("http://141.218.60.56/~jnz1568/getInfo.php?workbook=09_01.xlsx&amp;sheet=A0&amp;row=202&amp;col=19&amp;number=&amp;sourceID=12","")</f>
        <v/>
      </c>
      <c r="T202" s="4" t="str">
        <f>HYPERLINK("http://141.218.60.56/~jnz1568/getInfo.php?workbook=09_01.xlsx&amp;sheet=A0&amp;row=202&amp;col=20&amp;number=0&amp;sourceID=12","0")</f>
        <v>0</v>
      </c>
      <c r="U202" s="4" t="str">
        <f>HYPERLINK("http://141.218.60.56/~jnz1568/getInfo.php?workbook=09_01.xlsx&amp;sheet=A0&amp;row=202&amp;col=21&amp;number=1.619e-09&amp;sourceID=30","1.619e-09")</f>
        <v>1.619e-09</v>
      </c>
      <c r="V202" s="4" t="str">
        <f>HYPERLINK("http://141.218.60.56/~jnz1568/getInfo.php?workbook=09_01.xlsx&amp;sheet=A0&amp;row=202&amp;col=22&amp;number=&amp;sourceID=30","")</f>
        <v/>
      </c>
      <c r="W202" s="4" t="str">
        <f>HYPERLINK("http://141.218.60.56/~jnz1568/getInfo.php?workbook=09_01.xlsx&amp;sheet=A0&amp;row=202&amp;col=23&amp;number=1.619e-09&amp;sourceID=30","1.619e-09")</f>
        <v>1.619e-09</v>
      </c>
      <c r="X202" s="4" t="str">
        <f>HYPERLINK("http://141.218.60.56/~jnz1568/getInfo.php?workbook=09_01.xlsx&amp;sheet=A0&amp;row=202&amp;col=24&amp;number=&amp;sourceID=30","")</f>
        <v/>
      </c>
      <c r="Y202" s="4" t="str">
        <f>HYPERLINK("http://141.218.60.56/~jnz1568/getInfo.php?workbook=09_01.xlsx&amp;sheet=A0&amp;row=202&amp;col=25&amp;number=&amp;sourceID=30","")</f>
        <v/>
      </c>
      <c r="Z202" s="4" t="str">
        <f>HYPERLINK("http://141.218.60.56/~jnz1568/getInfo.php?workbook=09_01.xlsx&amp;sheet=A0&amp;row=202&amp;col=26&amp;number=&amp;sourceID=13","")</f>
        <v/>
      </c>
      <c r="AA202" s="4" t="str">
        <f>HYPERLINK("http://141.218.60.56/~jnz1568/getInfo.php?workbook=09_01.xlsx&amp;sheet=A0&amp;row=202&amp;col=27&amp;number=&amp;sourceID=13","")</f>
        <v/>
      </c>
      <c r="AB202" s="4" t="str">
        <f>HYPERLINK("http://141.218.60.56/~jnz1568/getInfo.php?workbook=09_01.xlsx&amp;sheet=A0&amp;row=202&amp;col=28&amp;number=&amp;sourceID=13","")</f>
        <v/>
      </c>
      <c r="AC202" s="4" t="str">
        <f>HYPERLINK("http://141.218.60.56/~jnz1568/getInfo.php?workbook=09_01.xlsx&amp;sheet=A0&amp;row=202&amp;col=29&amp;number=&amp;sourceID=13","")</f>
        <v/>
      </c>
      <c r="AD202" s="4" t="str">
        <f>HYPERLINK("http://141.218.60.56/~jnz1568/getInfo.php?workbook=09_01.xlsx&amp;sheet=A0&amp;row=202&amp;col=30&amp;number=&amp;sourceID=13","")</f>
        <v/>
      </c>
      <c r="AE202" s="4" t="str">
        <f>HYPERLINK("http://141.218.60.56/~jnz1568/getInfo.php?workbook=09_01.xlsx&amp;sheet=A0&amp;row=202&amp;col=31&amp;number=&amp;sourceID=13","")</f>
        <v/>
      </c>
    </row>
    <row r="203" spans="1:31">
      <c r="A203" s="3">
        <v>9</v>
      </c>
      <c r="B203" s="3">
        <v>1</v>
      </c>
      <c r="C203" s="3">
        <v>21</v>
      </c>
      <c r="D203" s="3">
        <v>18</v>
      </c>
      <c r="E203" s="3">
        <f>((1/(INDEX(E0!J$4:J$28,C203,1)-INDEX(E0!J$4:J$28,D203,1))))*100000000</f>
        <v>0</v>
      </c>
      <c r="F203" s="4" t="str">
        <f>HYPERLINK("http://141.218.60.56/~jnz1568/getInfo.php?workbook=09_01.xlsx&amp;sheet=A0&amp;row=203&amp;col=6&amp;number=&amp;sourceID=18","")</f>
        <v/>
      </c>
      <c r="G203" s="4" t="str">
        <f>HYPERLINK("http://141.218.60.56/~jnz1568/getInfo.php?workbook=09_01.xlsx&amp;sheet=A0&amp;row=203&amp;col=7&amp;number==&amp;sourceID=11","=")</f>
        <v>=</v>
      </c>
      <c r="H203" s="4" t="str">
        <f>HYPERLINK("http://141.218.60.56/~jnz1568/getInfo.php?workbook=09_01.xlsx&amp;sheet=A0&amp;row=203&amp;col=8&amp;number=&amp;sourceID=11","")</f>
        <v/>
      </c>
      <c r="I203" s="4" t="str">
        <f>HYPERLINK("http://141.218.60.56/~jnz1568/getInfo.php?workbook=09_01.xlsx&amp;sheet=A0&amp;row=203&amp;col=9&amp;number=&amp;sourceID=11","")</f>
        <v/>
      </c>
      <c r="J203" s="4" t="str">
        <f>HYPERLINK("http://141.218.60.56/~jnz1568/getInfo.php?workbook=09_01.xlsx&amp;sheet=A0&amp;row=203&amp;col=10&amp;number=0&amp;sourceID=11","0")</f>
        <v>0</v>
      </c>
      <c r="K203" s="4" t="str">
        <f>HYPERLINK("http://141.218.60.56/~jnz1568/getInfo.php?workbook=09_01.xlsx&amp;sheet=A0&amp;row=203&amp;col=11&amp;number=&amp;sourceID=11","")</f>
        <v/>
      </c>
      <c r="L203" s="4" t="str">
        <f>HYPERLINK("http://141.218.60.56/~jnz1568/getInfo.php?workbook=09_01.xlsx&amp;sheet=A0&amp;row=203&amp;col=12&amp;number=0&amp;sourceID=11","0")</f>
        <v>0</v>
      </c>
      <c r="M203" s="4" t="str">
        <f>HYPERLINK("http://141.218.60.56/~jnz1568/getInfo.php?workbook=09_01.xlsx&amp;sheet=A0&amp;row=203&amp;col=13&amp;number=&amp;sourceID=11","")</f>
        <v/>
      </c>
      <c r="N203" s="4" t="str">
        <f>HYPERLINK("http://141.218.60.56/~jnz1568/getInfo.php?workbook=09_01.xlsx&amp;sheet=A0&amp;row=203&amp;col=14&amp;number=0&amp;sourceID=12","0")</f>
        <v>0</v>
      </c>
      <c r="O203" s="4" t="str">
        <f>HYPERLINK("http://141.218.60.56/~jnz1568/getInfo.php?workbook=09_01.xlsx&amp;sheet=A0&amp;row=203&amp;col=15&amp;number=&amp;sourceID=12","")</f>
        <v/>
      </c>
      <c r="P203" s="4" t="str">
        <f>HYPERLINK("http://141.218.60.56/~jnz1568/getInfo.php?workbook=09_01.xlsx&amp;sheet=A0&amp;row=203&amp;col=16&amp;number=&amp;sourceID=12","")</f>
        <v/>
      </c>
      <c r="Q203" s="4" t="str">
        <f>HYPERLINK("http://141.218.60.56/~jnz1568/getInfo.php?workbook=09_01.xlsx&amp;sheet=A0&amp;row=203&amp;col=17&amp;number=0&amp;sourceID=12","0")</f>
        <v>0</v>
      </c>
      <c r="R203" s="4" t="str">
        <f>HYPERLINK("http://141.218.60.56/~jnz1568/getInfo.php?workbook=09_01.xlsx&amp;sheet=A0&amp;row=203&amp;col=18&amp;number=&amp;sourceID=12","")</f>
        <v/>
      </c>
      <c r="S203" s="4" t="str">
        <f>HYPERLINK("http://141.218.60.56/~jnz1568/getInfo.php?workbook=09_01.xlsx&amp;sheet=A0&amp;row=203&amp;col=19&amp;number=0&amp;sourceID=12","0")</f>
        <v>0</v>
      </c>
      <c r="T203" s="4" t="str">
        <f>HYPERLINK("http://141.218.60.56/~jnz1568/getInfo.php?workbook=09_01.xlsx&amp;sheet=A0&amp;row=203&amp;col=20&amp;number=&amp;sourceID=12","")</f>
        <v/>
      </c>
      <c r="U203" s="4" t="str">
        <f>HYPERLINK("http://141.218.60.56/~jnz1568/getInfo.php?workbook=09_01.xlsx&amp;sheet=A0&amp;row=203&amp;col=21&amp;number=0&amp;sourceID=30","0")</f>
        <v>0</v>
      </c>
      <c r="V203" s="4" t="str">
        <f>HYPERLINK("http://141.218.60.56/~jnz1568/getInfo.php?workbook=09_01.xlsx&amp;sheet=A0&amp;row=203&amp;col=22&amp;number=&amp;sourceID=30","")</f>
        <v/>
      </c>
      <c r="W203" s="4" t="str">
        <f>HYPERLINK("http://141.218.60.56/~jnz1568/getInfo.php?workbook=09_01.xlsx&amp;sheet=A0&amp;row=203&amp;col=23&amp;number=&amp;sourceID=30","")</f>
        <v/>
      </c>
      <c r="X203" s="4" t="str">
        <f>HYPERLINK("http://141.218.60.56/~jnz1568/getInfo.php?workbook=09_01.xlsx&amp;sheet=A0&amp;row=203&amp;col=24&amp;number=&amp;sourceID=30","")</f>
        <v/>
      </c>
      <c r="Y203" s="4" t="str">
        <f>HYPERLINK("http://141.218.60.56/~jnz1568/getInfo.php?workbook=09_01.xlsx&amp;sheet=A0&amp;row=203&amp;col=25&amp;number=0&amp;sourceID=30","0")</f>
        <v>0</v>
      </c>
      <c r="Z203" s="4" t="str">
        <f>HYPERLINK("http://141.218.60.56/~jnz1568/getInfo.php?workbook=09_01.xlsx&amp;sheet=A0&amp;row=203&amp;col=26&amp;number=&amp;sourceID=13","")</f>
        <v/>
      </c>
      <c r="AA203" s="4" t="str">
        <f>HYPERLINK("http://141.218.60.56/~jnz1568/getInfo.php?workbook=09_01.xlsx&amp;sheet=A0&amp;row=203&amp;col=27&amp;number=&amp;sourceID=13","")</f>
        <v/>
      </c>
      <c r="AB203" s="4" t="str">
        <f>HYPERLINK("http://141.218.60.56/~jnz1568/getInfo.php?workbook=09_01.xlsx&amp;sheet=A0&amp;row=203&amp;col=28&amp;number=&amp;sourceID=13","")</f>
        <v/>
      </c>
      <c r="AC203" s="4" t="str">
        <f>HYPERLINK("http://141.218.60.56/~jnz1568/getInfo.php?workbook=09_01.xlsx&amp;sheet=A0&amp;row=203&amp;col=29&amp;number=&amp;sourceID=13","")</f>
        <v/>
      </c>
      <c r="AD203" s="4" t="str">
        <f>HYPERLINK("http://141.218.60.56/~jnz1568/getInfo.php?workbook=09_01.xlsx&amp;sheet=A0&amp;row=203&amp;col=30&amp;number=&amp;sourceID=13","")</f>
        <v/>
      </c>
      <c r="AE203" s="4" t="str">
        <f>HYPERLINK("http://141.218.60.56/~jnz1568/getInfo.php?workbook=09_01.xlsx&amp;sheet=A0&amp;row=203&amp;col=31&amp;number=&amp;sourceID=13","")</f>
        <v/>
      </c>
    </row>
    <row r="204" spans="1:31">
      <c r="A204" s="3">
        <v>9</v>
      </c>
      <c r="B204" s="3">
        <v>1</v>
      </c>
      <c r="C204" s="3">
        <v>21</v>
      </c>
      <c r="D204" s="3">
        <v>19</v>
      </c>
      <c r="E204" s="3">
        <f>((1/(INDEX(E0!J$4:J$28,C204,1)-INDEX(E0!J$4:J$28,D204,1))))*100000000</f>
        <v>0</v>
      </c>
      <c r="F204" s="4" t="str">
        <f>HYPERLINK("http://141.218.60.56/~jnz1568/getInfo.php?workbook=09_01.xlsx&amp;sheet=A0&amp;row=204&amp;col=6&amp;number=&amp;sourceID=18","")</f>
        <v/>
      </c>
      <c r="G204" s="4" t="str">
        <f>HYPERLINK("http://141.218.60.56/~jnz1568/getInfo.php?workbook=09_01.xlsx&amp;sheet=A0&amp;row=204&amp;col=7&amp;number==&amp;sourceID=11","=")</f>
        <v>=</v>
      </c>
      <c r="H204" s="4" t="str">
        <f>HYPERLINK("http://141.218.60.56/~jnz1568/getInfo.php?workbook=09_01.xlsx&amp;sheet=A0&amp;row=204&amp;col=8&amp;number=1.2058&amp;sourceID=11","1.2058")</f>
        <v>1.2058</v>
      </c>
      <c r="I204" s="4" t="str">
        <f>HYPERLINK("http://141.218.60.56/~jnz1568/getInfo.php?workbook=09_01.xlsx&amp;sheet=A0&amp;row=204&amp;col=9&amp;number=&amp;sourceID=11","")</f>
        <v/>
      </c>
      <c r="J204" s="4" t="str">
        <f>HYPERLINK("http://141.218.60.56/~jnz1568/getInfo.php?workbook=09_01.xlsx&amp;sheet=A0&amp;row=204&amp;col=10&amp;number=0&amp;sourceID=11","0")</f>
        <v>0</v>
      </c>
      <c r="K204" s="4" t="str">
        <f>HYPERLINK("http://141.218.60.56/~jnz1568/getInfo.php?workbook=09_01.xlsx&amp;sheet=A0&amp;row=204&amp;col=11&amp;number=&amp;sourceID=11","")</f>
        <v/>
      </c>
      <c r="L204" s="4" t="str">
        <f>HYPERLINK("http://141.218.60.56/~jnz1568/getInfo.php?workbook=09_01.xlsx&amp;sheet=A0&amp;row=204&amp;col=12&amp;number=0&amp;sourceID=11","0")</f>
        <v>0</v>
      </c>
      <c r="M204" s="4" t="str">
        <f>HYPERLINK("http://141.218.60.56/~jnz1568/getInfo.php?workbook=09_01.xlsx&amp;sheet=A0&amp;row=204&amp;col=13&amp;number=&amp;sourceID=11","")</f>
        <v/>
      </c>
      <c r="N204" s="4" t="str">
        <f>HYPERLINK("http://141.218.60.56/~jnz1568/getInfo.php?workbook=09_01.xlsx&amp;sheet=A0&amp;row=204&amp;col=14&amp;number=1.206&amp;sourceID=12","1.206")</f>
        <v>1.206</v>
      </c>
      <c r="O204" s="4" t="str">
        <f>HYPERLINK("http://141.218.60.56/~jnz1568/getInfo.php?workbook=09_01.xlsx&amp;sheet=A0&amp;row=204&amp;col=15&amp;number=1.206&amp;sourceID=12","1.206")</f>
        <v>1.206</v>
      </c>
      <c r="P204" s="4" t="str">
        <f>HYPERLINK("http://141.218.60.56/~jnz1568/getInfo.php?workbook=09_01.xlsx&amp;sheet=A0&amp;row=204&amp;col=16&amp;number=&amp;sourceID=12","")</f>
        <v/>
      </c>
      <c r="Q204" s="4" t="str">
        <f>HYPERLINK("http://141.218.60.56/~jnz1568/getInfo.php?workbook=09_01.xlsx&amp;sheet=A0&amp;row=204&amp;col=17&amp;number=0&amp;sourceID=12","0")</f>
        <v>0</v>
      </c>
      <c r="R204" s="4" t="str">
        <f>HYPERLINK("http://141.218.60.56/~jnz1568/getInfo.php?workbook=09_01.xlsx&amp;sheet=A0&amp;row=204&amp;col=18&amp;number=&amp;sourceID=12","")</f>
        <v/>
      </c>
      <c r="S204" s="4" t="str">
        <f>HYPERLINK("http://141.218.60.56/~jnz1568/getInfo.php?workbook=09_01.xlsx&amp;sheet=A0&amp;row=204&amp;col=19&amp;number=0&amp;sourceID=12","0")</f>
        <v>0</v>
      </c>
      <c r="T204" s="4" t="str">
        <f>HYPERLINK("http://141.218.60.56/~jnz1568/getInfo.php?workbook=09_01.xlsx&amp;sheet=A0&amp;row=204&amp;col=20&amp;number=&amp;sourceID=12","")</f>
        <v/>
      </c>
      <c r="U204" s="4" t="str">
        <f>HYPERLINK("http://141.218.60.56/~jnz1568/getInfo.php?workbook=09_01.xlsx&amp;sheet=A0&amp;row=204&amp;col=21&amp;number=1.206&amp;sourceID=30","1.206")</f>
        <v>1.206</v>
      </c>
      <c r="V204" s="4" t="str">
        <f>HYPERLINK("http://141.218.60.56/~jnz1568/getInfo.php?workbook=09_01.xlsx&amp;sheet=A0&amp;row=204&amp;col=22&amp;number=1.206&amp;sourceID=30","1.206")</f>
        <v>1.206</v>
      </c>
      <c r="W204" s="4" t="str">
        <f>HYPERLINK("http://141.218.60.56/~jnz1568/getInfo.php?workbook=09_01.xlsx&amp;sheet=A0&amp;row=204&amp;col=23&amp;number=&amp;sourceID=30","")</f>
        <v/>
      </c>
      <c r="X204" s="4" t="str">
        <f>HYPERLINK("http://141.218.60.56/~jnz1568/getInfo.php?workbook=09_01.xlsx&amp;sheet=A0&amp;row=204&amp;col=24&amp;number=&amp;sourceID=30","")</f>
        <v/>
      </c>
      <c r="Y204" s="4" t="str">
        <f>HYPERLINK("http://141.218.60.56/~jnz1568/getInfo.php?workbook=09_01.xlsx&amp;sheet=A0&amp;row=204&amp;col=25&amp;number=0&amp;sourceID=30","0")</f>
        <v>0</v>
      </c>
      <c r="Z204" s="4" t="str">
        <f>HYPERLINK("http://141.218.60.56/~jnz1568/getInfo.php?workbook=09_01.xlsx&amp;sheet=A0&amp;row=204&amp;col=26&amp;number=&amp;sourceID=13","")</f>
        <v/>
      </c>
      <c r="AA204" s="4" t="str">
        <f>HYPERLINK("http://141.218.60.56/~jnz1568/getInfo.php?workbook=09_01.xlsx&amp;sheet=A0&amp;row=204&amp;col=27&amp;number=&amp;sourceID=13","")</f>
        <v/>
      </c>
      <c r="AB204" s="4" t="str">
        <f>HYPERLINK("http://141.218.60.56/~jnz1568/getInfo.php?workbook=09_01.xlsx&amp;sheet=A0&amp;row=204&amp;col=28&amp;number=&amp;sourceID=13","")</f>
        <v/>
      </c>
      <c r="AC204" s="4" t="str">
        <f>HYPERLINK("http://141.218.60.56/~jnz1568/getInfo.php?workbook=09_01.xlsx&amp;sheet=A0&amp;row=204&amp;col=29&amp;number=&amp;sourceID=13","")</f>
        <v/>
      </c>
      <c r="AD204" s="4" t="str">
        <f>HYPERLINK("http://141.218.60.56/~jnz1568/getInfo.php?workbook=09_01.xlsx&amp;sheet=A0&amp;row=204&amp;col=30&amp;number=&amp;sourceID=13","")</f>
        <v/>
      </c>
      <c r="AE204" s="4" t="str">
        <f>HYPERLINK("http://141.218.60.56/~jnz1568/getInfo.php?workbook=09_01.xlsx&amp;sheet=A0&amp;row=204&amp;col=31&amp;number=&amp;sourceID=13","")</f>
        <v/>
      </c>
    </row>
    <row r="205" spans="1:31">
      <c r="A205" s="3">
        <v>9</v>
      </c>
      <c r="B205" s="3">
        <v>1</v>
      </c>
      <c r="C205" s="3">
        <v>21</v>
      </c>
      <c r="D205" s="3">
        <v>20</v>
      </c>
      <c r="E205" s="3">
        <f>((1/(INDEX(E0!J$4:J$28,C205,1)-INDEX(E0!J$4:J$28,D205,1))))*100000000</f>
        <v>0</v>
      </c>
      <c r="F205" s="4" t="str">
        <f>HYPERLINK("http://141.218.60.56/~jnz1568/getInfo.php?workbook=09_01.xlsx&amp;sheet=A0&amp;row=205&amp;col=6&amp;number=&amp;sourceID=18","")</f>
        <v/>
      </c>
      <c r="G205" s="4" t="str">
        <f>HYPERLINK("http://141.218.60.56/~jnz1568/getInfo.php?workbook=09_01.xlsx&amp;sheet=A0&amp;row=205&amp;col=7&amp;number==&amp;sourceID=11","=")</f>
        <v>=</v>
      </c>
      <c r="H205" s="4" t="str">
        <f>HYPERLINK("http://141.218.60.56/~jnz1568/getInfo.php?workbook=09_01.xlsx&amp;sheet=A0&amp;row=205&amp;col=8&amp;number=&amp;sourceID=11","")</f>
        <v/>
      </c>
      <c r="I205" s="4" t="str">
        <f>HYPERLINK("http://141.218.60.56/~jnz1568/getInfo.php?workbook=09_01.xlsx&amp;sheet=A0&amp;row=205&amp;col=9&amp;number=4.49e-13&amp;sourceID=11","4.49e-13")</f>
        <v>4.49e-13</v>
      </c>
      <c r="J205" s="4" t="str">
        <f>HYPERLINK("http://141.218.60.56/~jnz1568/getInfo.php?workbook=09_01.xlsx&amp;sheet=A0&amp;row=205&amp;col=10&amp;number=&amp;sourceID=11","")</f>
        <v/>
      </c>
      <c r="K205" s="4" t="str">
        <f>HYPERLINK("http://141.218.60.56/~jnz1568/getInfo.php?workbook=09_01.xlsx&amp;sheet=A0&amp;row=205&amp;col=11&amp;number=0&amp;sourceID=11","0")</f>
        <v>0</v>
      </c>
      <c r="L205" s="4" t="str">
        <f>HYPERLINK("http://141.218.60.56/~jnz1568/getInfo.php?workbook=09_01.xlsx&amp;sheet=A0&amp;row=205&amp;col=12&amp;number=&amp;sourceID=11","")</f>
        <v/>
      </c>
      <c r="M205" s="4" t="str">
        <f>HYPERLINK("http://141.218.60.56/~jnz1568/getInfo.php?workbook=09_01.xlsx&amp;sheet=A0&amp;row=205&amp;col=13&amp;number=0&amp;sourceID=11","0")</f>
        <v>0</v>
      </c>
      <c r="N205" s="4" t="str">
        <f>HYPERLINK("http://141.218.60.56/~jnz1568/getInfo.php?workbook=09_01.xlsx&amp;sheet=A0&amp;row=205&amp;col=14&amp;number=4.49e-13&amp;sourceID=12","4.49e-13")</f>
        <v>4.49e-13</v>
      </c>
      <c r="O205" s="4" t="str">
        <f>HYPERLINK("http://141.218.60.56/~jnz1568/getInfo.php?workbook=09_01.xlsx&amp;sheet=A0&amp;row=205&amp;col=15&amp;number=&amp;sourceID=12","")</f>
        <v/>
      </c>
      <c r="P205" s="4" t="str">
        <f>HYPERLINK("http://141.218.60.56/~jnz1568/getInfo.php?workbook=09_01.xlsx&amp;sheet=A0&amp;row=205&amp;col=16&amp;number=4.49e-13&amp;sourceID=12","4.49e-13")</f>
        <v>4.49e-13</v>
      </c>
      <c r="Q205" s="4" t="str">
        <f>HYPERLINK("http://141.218.60.56/~jnz1568/getInfo.php?workbook=09_01.xlsx&amp;sheet=A0&amp;row=205&amp;col=17&amp;number=&amp;sourceID=12","")</f>
        <v/>
      </c>
      <c r="R205" s="4" t="str">
        <f>HYPERLINK("http://141.218.60.56/~jnz1568/getInfo.php?workbook=09_01.xlsx&amp;sheet=A0&amp;row=205&amp;col=18&amp;number=0&amp;sourceID=12","0")</f>
        <v>0</v>
      </c>
      <c r="S205" s="4" t="str">
        <f>HYPERLINK("http://141.218.60.56/~jnz1568/getInfo.php?workbook=09_01.xlsx&amp;sheet=A0&amp;row=205&amp;col=19&amp;number=&amp;sourceID=12","")</f>
        <v/>
      </c>
      <c r="T205" s="4" t="str">
        <f>HYPERLINK("http://141.218.60.56/~jnz1568/getInfo.php?workbook=09_01.xlsx&amp;sheet=A0&amp;row=205&amp;col=20&amp;number=0&amp;sourceID=12","0")</f>
        <v>0</v>
      </c>
      <c r="U205" s="4" t="str">
        <f>HYPERLINK("http://141.218.60.56/~jnz1568/getInfo.php?workbook=09_01.xlsx&amp;sheet=A0&amp;row=205&amp;col=21&amp;number=4.49e-13&amp;sourceID=30","4.49e-13")</f>
        <v>4.49e-13</v>
      </c>
      <c r="V205" s="4" t="str">
        <f>HYPERLINK("http://141.218.60.56/~jnz1568/getInfo.php?workbook=09_01.xlsx&amp;sheet=A0&amp;row=205&amp;col=22&amp;number=&amp;sourceID=30","")</f>
        <v/>
      </c>
      <c r="W205" s="4" t="str">
        <f>HYPERLINK("http://141.218.60.56/~jnz1568/getInfo.php?workbook=09_01.xlsx&amp;sheet=A0&amp;row=205&amp;col=23&amp;number=4.49e-13&amp;sourceID=30","4.49e-13")</f>
        <v>4.49e-13</v>
      </c>
      <c r="X205" s="4" t="str">
        <f>HYPERLINK("http://141.218.60.56/~jnz1568/getInfo.php?workbook=09_01.xlsx&amp;sheet=A0&amp;row=205&amp;col=24&amp;number=0&amp;sourceID=30","0")</f>
        <v>0</v>
      </c>
      <c r="Y205" s="4" t="str">
        <f>HYPERLINK("http://141.218.60.56/~jnz1568/getInfo.php?workbook=09_01.xlsx&amp;sheet=A0&amp;row=205&amp;col=25&amp;number=&amp;sourceID=30","")</f>
        <v/>
      </c>
      <c r="Z205" s="4" t="str">
        <f>HYPERLINK("http://141.218.60.56/~jnz1568/getInfo.php?workbook=09_01.xlsx&amp;sheet=A0&amp;row=205&amp;col=26&amp;number=&amp;sourceID=13","")</f>
        <v/>
      </c>
      <c r="AA205" s="4" t="str">
        <f>HYPERLINK("http://141.218.60.56/~jnz1568/getInfo.php?workbook=09_01.xlsx&amp;sheet=A0&amp;row=205&amp;col=27&amp;number=&amp;sourceID=13","")</f>
        <v/>
      </c>
      <c r="AB205" s="4" t="str">
        <f>HYPERLINK("http://141.218.60.56/~jnz1568/getInfo.php?workbook=09_01.xlsx&amp;sheet=A0&amp;row=205&amp;col=28&amp;number=&amp;sourceID=13","")</f>
        <v/>
      </c>
      <c r="AC205" s="4" t="str">
        <f>HYPERLINK("http://141.218.60.56/~jnz1568/getInfo.php?workbook=09_01.xlsx&amp;sheet=A0&amp;row=205&amp;col=29&amp;number=&amp;sourceID=13","")</f>
        <v/>
      </c>
      <c r="AD205" s="4" t="str">
        <f>HYPERLINK("http://141.218.60.56/~jnz1568/getInfo.php?workbook=09_01.xlsx&amp;sheet=A0&amp;row=205&amp;col=30&amp;number=&amp;sourceID=13","")</f>
        <v/>
      </c>
      <c r="AE205" s="4" t="str">
        <f>HYPERLINK("http://141.218.60.56/~jnz1568/getInfo.php?workbook=09_01.xlsx&amp;sheet=A0&amp;row=205&amp;col=31&amp;number=&amp;sourceID=13","")</f>
        <v/>
      </c>
    </row>
    <row r="206" spans="1:31">
      <c r="A206" s="3">
        <v>9</v>
      </c>
      <c r="B206" s="3">
        <v>1</v>
      </c>
      <c r="C206" s="3">
        <v>22</v>
      </c>
      <c r="D206" s="3">
        <v>1</v>
      </c>
      <c r="E206" s="3">
        <f>((1/(INDEX(E0!J$4:J$28,C206,1)-INDEX(E0!J$4:J$28,D206,1))))*100000000</f>
        <v>0</v>
      </c>
      <c r="F206" s="4" t="str">
        <f>HYPERLINK("http://141.218.60.56/~jnz1568/getInfo.php?workbook=09_01.xlsx&amp;sheet=A0&amp;row=206&amp;col=6&amp;number=&amp;sourceID=18","")</f>
        <v/>
      </c>
      <c r="G206" s="4" t="str">
        <f>HYPERLINK("http://141.218.60.56/~jnz1568/getInfo.php?workbook=09_01.xlsx&amp;sheet=A0&amp;row=206&amp;col=7&amp;number==&amp;sourceID=11","=")</f>
        <v>=</v>
      </c>
      <c r="H206" s="4" t="str">
        <f>HYPERLINK("http://141.218.60.56/~jnz1568/getInfo.php?workbook=09_01.xlsx&amp;sheet=A0&amp;row=206&amp;col=8&amp;number=&amp;sourceID=11","")</f>
        <v/>
      </c>
      <c r="I206" s="4" t="str">
        <f>HYPERLINK("http://141.218.60.56/~jnz1568/getInfo.php?workbook=09_01.xlsx&amp;sheet=A0&amp;row=206&amp;col=9&amp;number=97796000&amp;sourceID=11","97796000")</f>
        <v>97796000</v>
      </c>
      <c r="J206" s="4" t="str">
        <f>HYPERLINK("http://141.218.60.56/~jnz1568/getInfo.php?workbook=09_01.xlsx&amp;sheet=A0&amp;row=206&amp;col=10&amp;number=&amp;sourceID=11","")</f>
        <v/>
      </c>
      <c r="K206" s="4" t="str">
        <f>HYPERLINK("http://141.218.60.56/~jnz1568/getInfo.php?workbook=09_01.xlsx&amp;sheet=A0&amp;row=206&amp;col=11&amp;number=&amp;sourceID=11","")</f>
        <v/>
      </c>
      <c r="L206" s="4" t="str">
        <f>HYPERLINK("http://141.218.60.56/~jnz1568/getInfo.php?workbook=09_01.xlsx&amp;sheet=A0&amp;row=206&amp;col=12&amp;number=&amp;sourceID=11","")</f>
        <v/>
      </c>
      <c r="M206" s="4" t="str">
        <f>HYPERLINK("http://141.218.60.56/~jnz1568/getInfo.php?workbook=09_01.xlsx&amp;sheet=A0&amp;row=206&amp;col=13&amp;number=93.395&amp;sourceID=11","93.395")</f>
        <v>93.395</v>
      </c>
      <c r="N206" s="4" t="str">
        <f>HYPERLINK("http://141.218.60.56/~jnz1568/getInfo.php?workbook=09_01.xlsx&amp;sheet=A0&amp;row=206&amp;col=14&amp;number=97799000&amp;sourceID=12","97799000")</f>
        <v>97799000</v>
      </c>
      <c r="O206" s="4" t="str">
        <f>HYPERLINK("http://141.218.60.56/~jnz1568/getInfo.php?workbook=09_01.xlsx&amp;sheet=A0&amp;row=206&amp;col=15&amp;number=&amp;sourceID=12","")</f>
        <v/>
      </c>
      <c r="P206" s="4" t="str">
        <f>HYPERLINK("http://141.218.60.56/~jnz1568/getInfo.php?workbook=09_01.xlsx&amp;sheet=A0&amp;row=206&amp;col=16&amp;number=97799000&amp;sourceID=12","97799000")</f>
        <v>97799000</v>
      </c>
      <c r="Q206" s="4" t="str">
        <f>HYPERLINK("http://141.218.60.56/~jnz1568/getInfo.php?workbook=09_01.xlsx&amp;sheet=A0&amp;row=206&amp;col=17&amp;number=&amp;sourceID=12","")</f>
        <v/>
      </c>
      <c r="R206" s="4" t="str">
        <f>HYPERLINK("http://141.218.60.56/~jnz1568/getInfo.php?workbook=09_01.xlsx&amp;sheet=A0&amp;row=206&amp;col=18&amp;number=&amp;sourceID=12","")</f>
        <v/>
      </c>
      <c r="S206" s="4" t="str">
        <f>HYPERLINK("http://141.218.60.56/~jnz1568/getInfo.php?workbook=09_01.xlsx&amp;sheet=A0&amp;row=206&amp;col=19&amp;number=&amp;sourceID=12","")</f>
        <v/>
      </c>
      <c r="T206" s="4" t="str">
        <f>HYPERLINK("http://141.218.60.56/~jnz1568/getInfo.php?workbook=09_01.xlsx&amp;sheet=A0&amp;row=206&amp;col=20&amp;number=93.398&amp;sourceID=12","93.398")</f>
        <v>93.398</v>
      </c>
      <c r="U206" s="4" t="str">
        <f>HYPERLINK("http://141.218.60.56/~jnz1568/getInfo.php?workbook=09_01.xlsx&amp;sheet=A0&amp;row=206&amp;col=21&amp;number=97800000&amp;sourceID=30","97800000")</f>
        <v>97800000</v>
      </c>
      <c r="V206" s="4" t="str">
        <f>HYPERLINK("http://141.218.60.56/~jnz1568/getInfo.php?workbook=09_01.xlsx&amp;sheet=A0&amp;row=206&amp;col=22&amp;number=&amp;sourceID=30","")</f>
        <v/>
      </c>
      <c r="W206" s="4" t="str">
        <f>HYPERLINK("http://141.218.60.56/~jnz1568/getInfo.php?workbook=09_01.xlsx&amp;sheet=A0&amp;row=206&amp;col=23&amp;number=97800000&amp;sourceID=30","97800000")</f>
        <v>97800000</v>
      </c>
      <c r="X206" s="4" t="str">
        <f>HYPERLINK("http://141.218.60.56/~jnz1568/getInfo.php?workbook=09_01.xlsx&amp;sheet=A0&amp;row=206&amp;col=24&amp;number=&amp;sourceID=30","")</f>
        <v/>
      </c>
      <c r="Y206" s="4" t="str">
        <f>HYPERLINK("http://141.218.60.56/~jnz1568/getInfo.php?workbook=09_01.xlsx&amp;sheet=A0&amp;row=206&amp;col=25&amp;number=&amp;sourceID=30","")</f>
        <v/>
      </c>
      <c r="Z206" s="4" t="str">
        <f>HYPERLINK("http://141.218.60.56/~jnz1568/getInfo.php?workbook=09_01.xlsx&amp;sheet=A0&amp;row=206&amp;col=26&amp;number=&amp;sourceID=13","")</f>
        <v/>
      </c>
      <c r="AA206" s="4" t="str">
        <f>HYPERLINK("http://141.218.60.56/~jnz1568/getInfo.php?workbook=09_01.xlsx&amp;sheet=A0&amp;row=206&amp;col=27&amp;number=&amp;sourceID=13","")</f>
        <v/>
      </c>
      <c r="AB206" s="4" t="str">
        <f>HYPERLINK("http://141.218.60.56/~jnz1568/getInfo.php?workbook=09_01.xlsx&amp;sheet=A0&amp;row=206&amp;col=28&amp;number=&amp;sourceID=13","")</f>
        <v/>
      </c>
      <c r="AC206" s="4" t="str">
        <f>HYPERLINK("http://141.218.60.56/~jnz1568/getInfo.php?workbook=09_01.xlsx&amp;sheet=A0&amp;row=206&amp;col=29&amp;number=&amp;sourceID=13","")</f>
        <v/>
      </c>
      <c r="AD206" s="4" t="str">
        <f>HYPERLINK("http://141.218.60.56/~jnz1568/getInfo.php?workbook=09_01.xlsx&amp;sheet=A0&amp;row=206&amp;col=30&amp;number=&amp;sourceID=13","")</f>
        <v/>
      </c>
      <c r="AE206" s="4" t="str">
        <f>HYPERLINK("http://141.218.60.56/~jnz1568/getInfo.php?workbook=09_01.xlsx&amp;sheet=A0&amp;row=206&amp;col=31&amp;number=&amp;sourceID=13","")</f>
        <v/>
      </c>
    </row>
    <row r="207" spans="1:31">
      <c r="A207" s="3">
        <v>9</v>
      </c>
      <c r="B207" s="3">
        <v>1</v>
      </c>
      <c r="C207" s="3">
        <v>22</v>
      </c>
      <c r="D207" s="3">
        <v>2</v>
      </c>
      <c r="E207" s="3">
        <f>((1/(INDEX(E0!J$4:J$28,C207,1)-INDEX(E0!J$4:J$28,D207,1))))*100000000</f>
        <v>0</v>
      </c>
      <c r="F207" s="4" t="str">
        <f>HYPERLINK("http://141.218.60.56/~jnz1568/getInfo.php?workbook=09_01.xlsx&amp;sheet=A0&amp;row=207&amp;col=6&amp;number=&amp;sourceID=18","")</f>
        <v/>
      </c>
      <c r="G207" s="4" t="str">
        <f>HYPERLINK("http://141.218.60.56/~jnz1568/getInfo.php?workbook=09_01.xlsx&amp;sheet=A0&amp;row=207&amp;col=7&amp;number==&amp;sourceID=11","=")</f>
        <v>=</v>
      </c>
      <c r="H207" s="4" t="str">
        <f>HYPERLINK("http://141.218.60.56/~jnz1568/getInfo.php?workbook=09_01.xlsx&amp;sheet=A0&amp;row=207&amp;col=8&amp;number=&amp;sourceID=11","")</f>
        <v/>
      </c>
      <c r="I207" s="4" t="str">
        <f>HYPERLINK("http://141.218.60.56/~jnz1568/getInfo.php?workbook=09_01.xlsx&amp;sheet=A0&amp;row=207&amp;col=9&amp;number=&amp;sourceID=11","")</f>
        <v/>
      </c>
      <c r="J207" s="4" t="str">
        <f>HYPERLINK("http://141.218.60.56/~jnz1568/getInfo.php?workbook=09_01.xlsx&amp;sheet=A0&amp;row=207&amp;col=10&amp;number=16.506&amp;sourceID=11","16.506")</f>
        <v>16.506</v>
      </c>
      <c r="K207" s="4" t="str">
        <f>HYPERLINK("http://141.218.60.56/~jnz1568/getInfo.php?workbook=09_01.xlsx&amp;sheet=A0&amp;row=207&amp;col=11&amp;number=&amp;sourceID=11","")</f>
        <v/>
      </c>
      <c r="L207" s="4" t="str">
        <f>HYPERLINK("http://141.218.60.56/~jnz1568/getInfo.php?workbook=09_01.xlsx&amp;sheet=A0&amp;row=207&amp;col=12&amp;number=567.81&amp;sourceID=11","567.81")</f>
        <v>567.81</v>
      </c>
      <c r="M207" s="4" t="str">
        <f>HYPERLINK("http://141.218.60.56/~jnz1568/getInfo.php?workbook=09_01.xlsx&amp;sheet=A0&amp;row=207&amp;col=13&amp;number=&amp;sourceID=11","")</f>
        <v/>
      </c>
      <c r="N207" s="4" t="str">
        <f>HYPERLINK("http://141.218.60.56/~jnz1568/getInfo.php?workbook=09_01.xlsx&amp;sheet=A0&amp;row=207&amp;col=14&amp;number=584.33&amp;sourceID=12","584.33")</f>
        <v>584.33</v>
      </c>
      <c r="O207" s="4" t="str">
        <f>HYPERLINK("http://141.218.60.56/~jnz1568/getInfo.php?workbook=09_01.xlsx&amp;sheet=A0&amp;row=207&amp;col=15&amp;number=&amp;sourceID=12","")</f>
        <v/>
      </c>
      <c r="P207" s="4" t="str">
        <f>HYPERLINK("http://141.218.60.56/~jnz1568/getInfo.php?workbook=09_01.xlsx&amp;sheet=A0&amp;row=207&amp;col=16&amp;number=&amp;sourceID=12","")</f>
        <v/>
      </c>
      <c r="Q207" s="4" t="str">
        <f>HYPERLINK("http://141.218.60.56/~jnz1568/getInfo.php?workbook=09_01.xlsx&amp;sheet=A0&amp;row=207&amp;col=17&amp;number=16.506&amp;sourceID=12","16.506")</f>
        <v>16.506</v>
      </c>
      <c r="R207" s="4" t="str">
        <f>HYPERLINK("http://141.218.60.56/~jnz1568/getInfo.php?workbook=09_01.xlsx&amp;sheet=A0&amp;row=207&amp;col=18&amp;number=&amp;sourceID=12","")</f>
        <v/>
      </c>
      <c r="S207" s="4" t="str">
        <f>HYPERLINK("http://141.218.60.56/~jnz1568/getInfo.php?workbook=09_01.xlsx&amp;sheet=A0&amp;row=207&amp;col=19&amp;number=567.82&amp;sourceID=12","567.82")</f>
        <v>567.82</v>
      </c>
      <c r="T207" s="4" t="str">
        <f>HYPERLINK("http://141.218.60.56/~jnz1568/getInfo.php?workbook=09_01.xlsx&amp;sheet=A0&amp;row=207&amp;col=20&amp;number=&amp;sourceID=12","")</f>
        <v/>
      </c>
      <c r="U207" s="4" t="str">
        <f>HYPERLINK("http://141.218.60.56/~jnz1568/getInfo.php?workbook=09_01.xlsx&amp;sheet=A0&amp;row=207&amp;col=21&amp;number=567.8&amp;sourceID=30","567.8")</f>
        <v>567.8</v>
      </c>
      <c r="V207" s="4" t="str">
        <f>HYPERLINK("http://141.218.60.56/~jnz1568/getInfo.php?workbook=09_01.xlsx&amp;sheet=A0&amp;row=207&amp;col=22&amp;number=&amp;sourceID=30","")</f>
        <v/>
      </c>
      <c r="W207" s="4" t="str">
        <f>HYPERLINK("http://141.218.60.56/~jnz1568/getInfo.php?workbook=09_01.xlsx&amp;sheet=A0&amp;row=207&amp;col=23&amp;number=&amp;sourceID=30","")</f>
        <v/>
      </c>
      <c r="X207" s="4" t="str">
        <f>HYPERLINK("http://141.218.60.56/~jnz1568/getInfo.php?workbook=09_01.xlsx&amp;sheet=A0&amp;row=207&amp;col=24&amp;number=&amp;sourceID=30","")</f>
        <v/>
      </c>
      <c r="Y207" s="4" t="str">
        <f>HYPERLINK("http://141.218.60.56/~jnz1568/getInfo.php?workbook=09_01.xlsx&amp;sheet=A0&amp;row=207&amp;col=25&amp;number=567.8&amp;sourceID=30","567.8")</f>
        <v>567.8</v>
      </c>
      <c r="Z207" s="4" t="str">
        <f>HYPERLINK("http://141.218.60.56/~jnz1568/getInfo.php?workbook=09_01.xlsx&amp;sheet=A0&amp;row=207&amp;col=26&amp;number=&amp;sourceID=13","")</f>
        <v/>
      </c>
      <c r="AA207" s="4" t="str">
        <f>HYPERLINK("http://141.218.60.56/~jnz1568/getInfo.php?workbook=09_01.xlsx&amp;sheet=A0&amp;row=207&amp;col=27&amp;number=&amp;sourceID=13","")</f>
        <v/>
      </c>
      <c r="AB207" s="4" t="str">
        <f>HYPERLINK("http://141.218.60.56/~jnz1568/getInfo.php?workbook=09_01.xlsx&amp;sheet=A0&amp;row=207&amp;col=28&amp;number=&amp;sourceID=13","")</f>
        <v/>
      </c>
      <c r="AC207" s="4" t="str">
        <f>HYPERLINK("http://141.218.60.56/~jnz1568/getInfo.php?workbook=09_01.xlsx&amp;sheet=A0&amp;row=207&amp;col=29&amp;number=&amp;sourceID=13","")</f>
        <v/>
      </c>
      <c r="AD207" s="4" t="str">
        <f>HYPERLINK("http://141.218.60.56/~jnz1568/getInfo.php?workbook=09_01.xlsx&amp;sheet=A0&amp;row=207&amp;col=30&amp;number=&amp;sourceID=13","")</f>
        <v/>
      </c>
      <c r="AE207" s="4" t="str">
        <f>HYPERLINK("http://141.218.60.56/~jnz1568/getInfo.php?workbook=09_01.xlsx&amp;sheet=A0&amp;row=207&amp;col=31&amp;number=&amp;sourceID=13","")</f>
        <v/>
      </c>
    </row>
    <row r="208" spans="1:31">
      <c r="A208" s="3">
        <v>9</v>
      </c>
      <c r="B208" s="3">
        <v>1</v>
      </c>
      <c r="C208" s="3">
        <v>22</v>
      </c>
      <c r="D208" s="3">
        <v>3</v>
      </c>
      <c r="E208" s="3">
        <f>((1/(INDEX(E0!J$4:J$28,C208,1)-INDEX(E0!J$4:J$28,D208,1))))*100000000</f>
        <v>0</v>
      </c>
      <c r="F208" s="4" t="str">
        <f>HYPERLINK("http://141.218.60.56/~jnz1568/getInfo.php?workbook=09_01.xlsx&amp;sheet=A0&amp;row=208&amp;col=6&amp;number=&amp;sourceID=18","")</f>
        <v/>
      </c>
      <c r="G208" s="4" t="str">
        <f>HYPERLINK("http://141.218.60.56/~jnz1568/getInfo.php?workbook=09_01.xlsx&amp;sheet=A0&amp;row=208&amp;col=7&amp;number==&amp;sourceID=11","=")</f>
        <v>=</v>
      </c>
      <c r="H208" s="4" t="str">
        <f>HYPERLINK("http://141.218.60.56/~jnz1568/getInfo.php?workbook=09_01.xlsx&amp;sheet=A0&amp;row=208&amp;col=8&amp;number=&amp;sourceID=11","")</f>
        <v/>
      </c>
      <c r="I208" s="4" t="str">
        <f>HYPERLINK("http://141.218.60.56/~jnz1568/getInfo.php?workbook=09_01.xlsx&amp;sheet=A0&amp;row=208&amp;col=9&amp;number=525640&amp;sourceID=11","525640")</f>
        <v>525640</v>
      </c>
      <c r="J208" s="4" t="str">
        <f>HYPERLINK("http://141.218.60.56/~jnz1568/getInfo.php?workbook=09_01.xlsx&amp;sheet=A0&amp;row=208&amp;col=10&amp;number=&amp;sourceID=11","")</f>
        <v/>
      </c>
      <c r="K208" s="4" t="str">
        <f>HYPERLINK("http://141.218.60.56/~jnz1568/getInfo.php?workbook=09_01.xlsx&amp;sheet=A0&amp;row=208&amp;col=11&amp;number=&amp;sourceID=11","")</f>
        <v/>
      </c>
      <c r="L208" s="4" t="str">
        <f>HYPERLINK("http://141.218.60.56/~jnz1568/getInfo.php?workbook=09_01.xlsx&amp;sheet=A0&amp;row=208&amp;col=12&amp;number=&amp;sourceID=11","")</f>
        <v/>
      </c>
      <c r="M208" s="4" t="str">
        <f>HYPERLINK("http://141.218.60.56/~jnz1568/getInfo.php?workbook=09_01.xlsx&amp;sheet=A0&amp;row=208&amp;col=13&amp;number=0.024&amp;sourceID=11","0.024")</f>
        <v>0.024</v>
      </c>
      <c r="N208" s="4" t="str">
        <f>HYPERLINK("http://141.218.60.56/~jnz1568/getInfo.php?workbook=09_01.xlsx&amp;sheet=A0&amp;row=208&amp;col=14&amp;number=525650&amp;sourceID=12","525650")</f>
        <v>525650</v>
      </c>
      <c r="O208" s="4" t="str">
        <f>HYPERLINK("http://141.218.60.56/~jnz1568/getInfo.php?workbook=09_01.xlsx&amp;sheet=A0&amp;row=208&amp;col=15&amp;number=&amp;sourceID=12","")</f>
        <v/>
      </c>
      <c r="P208" s="4" t="str">
        <f>HYPERLINK("http://141.218.60.56/~jnz1568/getInfo.php?workbook=09_01.xlsx&amp;sheet=A0&amp;row=208&amp;col=16&amp;number=525650&amp;sourceID=12","525650")</f>
        <v>525650</v>
      </c>
      <c r="Q208" s="4" t="str">
        <f>HYPERLINK("http://141.218.60.56/~jnz1568/getInfo.php?workbook=09_01.xlsx&amp;sheet=A0&amp;row=208&amp;col=17&amp;number=&amp;sourceID=12","")</f>
        <v/>
      </c>
      <c r="R208" s="4" t="str">
        <f>HYPERLINK("http://141.218.60.56/~jnz1568/getInfo.php?workbook=09_01.xlsx&amp;sheet=A0&amp;row=208&amp;col=18&amp;number=&amp;sourceID=12","")</f>
        <v/>
      </c>
      <c r="S208" s="4" t="str">
        <f>HYPERLINK("http://141.218.60.56/~jnz1568/getInfo.php?workbook=09_01.xlsx&amp;sheet=A0&amp;row=208&amp;col=19&amp;number=&amp;sourceID=12","")</f>
        <v/>
      </c>
      <c r="T208" s="4" t="str">
        <f>HYPERLINK("http://141.218.60.56/~jnz1568/getInfo.php?workbook=09_01.xlsx&amp;sheet=A0&amp;row=208&amp;col=20&amp;number=0.024001&amp;sourceID=12","0.024001")</f>
        <v>0.024001</v>
      </c>
      <c r="U208" s="4" t="str">
        <f>HYPERLINK("http://141.218.60.56/~jnz1568/getInfo.php?workbook=09_01.xlsx&amp;sheet=A0&amp;row=208&amp;col=21&amp;number=525600&amp;sourceID=30","525600")</f>
        <v>525600</v>
      </c>
      <c r="V208" s="4" t="str">
        <f>HYPERLINK("http://141.218.60.56/~jnz1568/getInfo.php?workbook=09_01.xlsx&amp;sheet=A0&amp;row=208&amp;col=22&amp;number=&amp;sourceID=30","")</f>
        <v/>
      </c>
      <c r="W208" s="4" t="str">
        <f>HYPERLINK("http://141.218.60.56/~jnz1568/getInfo.php?workbook=09_01.xlsx&amp;sheet=A0&amp;row=208&amp;col=23&amp;number=525600&amp;sourceID=30","525600")</f>
        <v>525600</v>
      </c>
      <c r="X208" s="4" t="str">
        <f>HYPERLINK("http://141.218.60.56/~jnz1568/getInfo.php?workbook=09_01.xlsx&amp;sheet=A0&amp;row=208&amp;col=24&amp;number=&amp;sourceID=30","")</f>
        <v/>
      </c>
      <c r="Y208" s="4" t="str">
        <f>HYPERLINK("http://141.218.60.56/~jnz1568/getInfo.php?workbook=09_01.xlsx&amp;sheet=A0&amp;row=208&amp;col=25&amp;number=&amp;sourceID=30","")</f>
        <v/>
      </c>
      <c r="Z208" s="4" t="str">
        <f>HYPERLINK("http://141.218.60.56/~jnz1568/getInfo.php?workbook=09_01.xlsx&amp;sheet=A0&amp;row=208&amp;col=26&amp;number=&amp;sourceID=13","")</f>
        <v/>
      </c>
      <c r="AA208" s="4" t="str">
        <f>HYPERLINK("http://141.218.60.56/~jnz1568/getInfo.php?workbook=09_01.xlsx&amp;sheet=A0&amp;row=208&amp;col=27&amp;number=&amp;sourceID=13","")</f>
        <v/>
      </c>
      <c r="AB208" s="4" t="str">
        <f>HYPERLINK("http://141.218.60.56/~jnz1568/getInfo.php?workbook=09_01.xlsx&amp;sheet=A0&amp;row=208&amp;col=28&amp;number=&amp;sourceID=13","")</f>
        <v/>
      </c>
      <c r="AC208" s="4" t="str">
        <f>HYPERLINK("http://141.218.60.56/~jnz1568/getInfo.php?workbook=09_01.xlsx&amp;sheet=A0&amp;row=208&amp;col=29&amp;number=&amp;sourceID=13","")</f>
        <v/>
      </c>
      <c r="AD208" s="4" t="str">
        <f>HYPERLINK("http://141.218.60.56/~jnz1568/getInfo.php?workbook=09_01.xlsx&amp;sheet=A0&amp;row=208&amp;col=30&amp;number=&amp;sourceID=13","")</f>
        <v/>
      </c>
      <c r="AE208" s="4" t="str">
        <f>HYPERLINK("http://141.218.60.56/~jnz1568/getInfo.php?workbook=09_01.xlsx&amp;sheet=A0&amp;row=208&amp;col=31&amp;number=&amp;sourceID=13","")</f>
        <v/>
      </c>
    </row>
    <row r="209" spans="1:31">
      <c r="A209" s="3">
        <v>9</v>
      </c>
      <c r="B209" s="3">
        <v>1</v>
      </c>
      <c r="C209" s="3">
        <v>22</v>
      </c>
      <c r="D209" s="3">
        <v>4</v>
      </c>
      <c r="E209" s="3">
        <f>((1/(INDEX(E0!J$4:J$28,C209,1)-INDEX(E0!J$4:J$28,D209,1))))*100000000</f>
        <v>0</v>
      </c>
      <c r="F209" s="4" t="str">
        <f>HYPERLINK("http://141.218.60.56/~jnz1568/getInfo.php?workbook=09_01.xlsx&amp;sheet=A0&amp;row=209&amp;col=6&amp;number=&amp;sourceID=18","")</f>
        <v/>
      </c>
      <c r="G209" s="4" t="str">
        <f>HYPERLINK("http://141.218.60.56/~jnz1568/getInfo.php?workbook=09_01.xlsx&amp;sheet=A0&amp;row=209&amp;col=7&amp;number==&amp;sourceID=11","=")</f>
        <v>=</v>
      </c>
      <c r="H209" s="4" t="str">
        <f>HYPERLINK("http://141.218.60.56/~jnz1568/getInfo.php?workbook=09_01.xlsx&amp;sheet=A0&amp;row=209&amp;col=8&amp;number=61872000000&amp;sourceID=11","61872000000")</f>
        <v>61872000000</v>
      </c>
      <c r="I209" s="4" t="str">
        <f>HYPERLINK("http://141.218.60.56/~jnz1568/getInfo.php?workbook=09_01.xlsx&amp;sheet=A0&amp;row=209&amp;col=9&amp;number=&amp;sourceID=11","")</f>
        <v/>
      </c>
      <c r="J209" s="4" t="str">
        <f>HYPERLINK("http://141.218.60.56/~jnz1568/getInfo.php?workbook=09_01.xlsx&amp;sheet=A0&amp;row=209&amp;col=10&amp;number=13.496&amp;sourceID=11","13.496")</f>
        <v>13.496</v>
      </c>
      <c r="K209" s="4" t="str">
        <f>HYPERLINK("http://141.218.60.56/~jnz1568/getInfo.php?workbook=09_01.xlsx&amp;sheet=A0&amp;row=209&amp;col=11&amp;number=&amp;sourceID=11","")</f>
        <v/>
      </c>
      <c r="L209" s="4" t="str">
        <f>HYPERLINK("http://141.218.60.56/~jnz1568/getInfo.php?workbook=09_01.xlsx&amp;sheet=A0&amp;row=209&amp;col=12&amp;number=3084.1&amp;sourceID=11","3084.1")</f>
        <v>3084.1</v>
      </c>
      <c r="M209" s="4" t="str">
        <f>HYPERLINK("http://141.218.60.56/~jnz1568/getInfo.php?workbook=09_01.xlsx&amp;sheet=A0&amp;row=209&amp;col=13&amp;number=&amp;sourceID=11","")</f>
        <v/>
      </c>
      <c r="N209" s="4" t="str">
        <f>HYPERLINK("http://141.218.60.56/~jnz1568/getInfo.php?workbook=09_01.xlsx&amp;sheet=A0&amp;row=209&amp;col=14&amp;number=61874000000&amp;sourceID=12","61874000000")</f>
        <v>61874000000</v>
      </c>
      <c r="O209" s="4" t="str">
        <f>HYPERLINK("http://141.218.60.56/~jnz1568/getInfo.php?workbook=09_01.xlsx&amp;sheet=A0&amp;row=209&amp;col=15&amp;number=61874000000&amp;sourceID=12","61874000000")</f>
        <v>61874000000</v>
      </c>
      <c r="P209" s="4" t="str">
        <f>HYPERLINK("http://141.218.60.56/~jnz1568/getInfo.php?workbook=09_01.xlsx&amp;sheet=A0&amp;row=209&amp;col=16&amp;number=&amp;sourceID=12","")</f>
        <v/>
      </c>
      <c r="Q209" s="4" t="str">
        <f>HYPERLINK("http://141.218.60.56/~jnz1568/getInfo.php?workbook=09_01.xlsx&amp;sheet=A0&amp;row=209&amp;col=17&amp;number=13.497&amp;sourceID=12","13.497")</f>
        <v>13.497</v>
      </c>
      <c r="R209" s="4" t="str">
        <f>HYPERLINK("http://141.218.60.56/~jnz1568/getInfo.php?workbook=09_01.xlsx&amp;sheet=A0&amp;row=209&amp;col=18&amp;number=&amp;sourceID=12","")</f>
        <v/>
      </c>
      <c r="S209" s="4" t="str">
        <f>HYPERLINK("http://141.218.60.56/~jnz1568/getInfo.php?workbook=09_01.xlsx&amp;sheet=A0&amp;row=209&amp;col=19&amp;number=3084.2&amp;sourceID=12","3084.2")</f>
        <v>3084.2</v>
      </c>
      <c r="T209" s="4" t="str">
        <f>HYPERLINK("http://141.218.60.56/~jnz1568/getInfo.php?workbook=09_01.xlsx&amp;sheet=A0&amp;row=209&amp;col=20&amp;number=&amp;sourceID=12","")</f>
        <v/>
      </c>
      <c r="U209" s="4" t="str">
        <f>HYPERLINK("http://141.218.60.56/~jnz1568/getInfo.php?workbook=09_01.xlsx&amp;sheet=A0&amp;row=209&amp;col=21&amp;number=61870003084&amp;sourceID=30","61870003084")</f>
        <v>61870003084</v>
      </c>
      <c r="V209" s="4" t="str">
        <f>HYPERLINK("http://141.218.60.56/~jnz1568/getInfo.php?workbook=09_01.xlsx&amp;sheet=A0&amp;row=209&amp;col=22&amp;number=61870000000&amp;sourceID=30","61870000000")</f>
        <v>61870000000</v>
      </c>
      <c r="W209" s="4" t="str">
        <f>HYPERLINK("http://141.218.60.56/~jnz1568/getInfo.php?workbook=09_01.xlsx&amp;sheet=A0&amp;row=209&amp;col=23&amp;number=&amp;sourceID=30","")</f>
        <v/>
      </c>
      <c r="X209" s="4" t="str">
        <f>HYPERLINK("http://141.218.60.56/~jnz1568/getInfo.php?workbook=09_01.xlsx&amp;sheet=A0&amp;row=209&amp;col=24&amp;number=&amp;sourceID=30","")</f>
        <v/>
      </c>
      <c r="Y209" s="4" t="str">
        <f>HYPERLINK("http://141.218.60.56/~jnz1568/getInfo.php?workbook=09_01.xlsx&amp;sheet=A0&amp;row=209&amp;col=25&amp;number=3084&amp;sourceID=30","3084")</f>
        <v>3084</v>
      </c>
      <c r="Z209" s="4" t="str">
        <f>HYPERLINK("http://141.218.60.56/~jnz1568/getInfo.php?workbook=09_01.xlsx&amp;sheet=A0&amp;row=209&amp;col=26&amp;number=&amp;sourceID=13","")</f>
        <v/>
      </c>
      <c r="AA209" s="4" t="str">
        <f>HYPERLINK("http://141.218.60.56/~jnz1568/getInfo.php?workbook=09_01.xlsx&amp;sheet=A0&amp;row=209&amp;col=27&amp;number=&amp;sourceID=13","")</f>
        <v/>
      </c>
      <c r="AB209" s="4" t="str">
        <f>HYPERLINK("http://141.218.60.56/~jnz1568/getInfo.php?workbook=09_01.xlsx&amp;sheet=A0&amp;row=209&amp;col=28&amp;number=&amp;sourceID=13","")</f>
        <v/>
      </c>
      <c r="AC209" s="4" t="str">
        <f>HYPERLINK("http://141.218.60.56/~jnz1568/getInfo.php?workbook=09_01.xlsx&amp;sheet=A0&amp;row=209&amp;col=29&amp;number=&amp;sourceID=13","")</f>
        <v/>
      </c>
      <c r="AD209" s="4" t="str">
        <f>HYPERLINK("http://141.218.60.56/~jnz1568/getInfo.php?workbook=09_01.xlsx&amp;sheet=A0&amp;row=209&amp;col=30&amp;number=&amp;sourceID=13","")</f>
        <v/>
      </c>
      <c r="AE209" s="4" t="str">
        <f>HYPERLINK("http://141.218.60.56/~jnz1568/getInfo.php?workbook=09_01.xlsx&amp;sheet=A0&amp;row=209&amp;col=31&amp;number=&amp;sourceID=13","")</f>
        <v/>
      </c>
    </row>
    <row r="210" spans="1:31">
      <c r="A210" s="3">
        <v>9</v>
      </c>
      <c r="B210" s="3">
        <v>1</v>
      </c>
      <c r="C210" s="3">
        <v>22</v>
      </c>
      <c r="D210" s="3">
        <v>5</v>
      </c>
      <c r="E210" s="3">
        <f>((1/(INDEX(E0!J$4:J$28,C210,1)-INDEX(E0!J$4:J$28,D210,1))))*100000000</f>
        <v>0</v>
      </c>
      <c r="F210" s="4" t="str">
        <f>HYPERLINK("http://141.218.60.56/~jnz1568/getInfo.php?workbook=09_01.xlsx&amp;sheet=A0&amp;row=210&amp;col=6&amp;number=&amp;sourceID=18","")</f>
        <v/>
      </c>
      <c r="G210" s="4" t="str">
        <f>HYPERLINK("http://141.218.60.56/~jnz1568/getInfo.php?workbook=09_01.xlsx&amp;sheet=A0&amp;row=210&amp;col=7&amp;number==&amp;sourceID=11","=")</f>
        <v>=</v>
      </c>
      <c r="H210" s="4" t="str">
        <f>HYPERLINK("http://141.218.60.56/~jnz1568/getInfo.php?workbook=09_01.xlsx&amp;sheet=A0&amp;row=210&amp;col=8&amp;number=&amp;sourceID=11","")</f>
        <v/>
      </c>
      <c r="I210" s="4" t="str">
        <f>HYPERLINK("http://141.218.60.56/~jnz1568/getInfo.php?workbook=09_01.xlsx&amp;sheet=A0&amp;row=210&amp;col=9&amp;number=&amp;sourceID=11","")</f>
        <v/>
      </c>
      <c r="J210" s="4" t="str">
        <f>HYPERLINK("http://141.218.60.56/~jnz1568/getInfo.php?workbook=09_01.xlsx&amp;sheet=A0&amp;row=210&amp;col=10&amp;number=1.857&amp;sourceID=11","1.857")</f>
        <v>1.857</v>
      </c>
      <c r="K210" s="4" t="str">
        <f>HYPERLINK("http://141.218.60.56/~jnz1568/getInfo.php?workbook=09_01.xlsx&amp;sheet=A0&amp;row=210&amp;col=11&amp;number=&amp;sourceID=11","")</f>
        <v/>
      </c>
      <c r="L210" s="4" t="str">
        <f>HYPERLINK("http://141.218.60.56/~jnz1568/getInfo.php?workbook=09_01.xlsx&amp;sheet=A0&amp;row=210&amp;col=12&amp;number=23.37&amp;sourceID=11","23.37")</f>
        <v>23.37</v>
      </c>
      <c r="M210" s="4" t="str">
        <f>HYPERLINK("http://141.218.60.56/~jnz1568/getInfo.php?workbook=09_01.xlsx&amp;sheet=A0&amp;row=210&amp;col=13&amp;number=&amp;sourceID=11","")</f>
        <v/>
      </c>
      <c r="N210" s="4" t="str">
        <f>HYPERLINK("http://141.218.60.56/~jnz1568/getInfo.php?workbook=09_01.xlsx&amp;sheet=A0&amp;row=210&amp;col=14&amp;number=25.228&amp;sourceID=12","25.228")</f>
        <v>25.228</v>
      </c>
      <c r="O210" s="4" t="str">
        <f>HYPERLINK("http://141.218.60.56/~jnz1568/getInfo.php?workbook=09_01.xlsx&amp;sheet=A0&amp;row=210&amp;col=15&amp;number=&amp;sourceID=12","")</f>
        <v/>
      </c>
      <c r="P210" s="4" t="str">
        <f>HYPERLINK("http://141.218.60.56/~jnz1568/getInfo.php?workbook=09_01.xlsx&amp;sheet=A0&amp;row=210&amp;col=16&amp;number=&amp;sourceID=12","")</f>
        <v/>
      </c>
      <c r="Q210" s="4" t="str">
        <f>HYPERLINK("http://141.218.60.56/~jnz1568/getInfo.php?workbook=09_01.xlsx&amp;sheet=A0&amp;row=210&amp;col=17&amp;number=1.857&amp;sourceID=12","1.857")</f>
        <v>1.857</v>
      </c>
      <c r="R210" s="4" t="str">
        <f>HYPERLINK("http://141.218.60.56/~jnz1568/getInfo.php?workbook=09_01.xlsx&amp;sheet=A0&amp;row=210&amp;col=18&amp;number=&amp;sourceID=12","")</f>
        <v/>
      </c>
      <c r="S210" s="4" t="str">
        <f>HYPERLINK("http://141.218.60.56/~jnz1568/getInfo.php?workbook=09_01.xlsx&amp;sheet=A0&amp;row=210&amp;col=19&amp;number=23.371&amp;sourceID=12","23.371")</f>
        <v>23.371</v>
      </c>
      <c r="T210" s="4" t="str">
        <f>HYPERLINK("http://141.218.60.56/~jnz1568/getInfo.php?workbook=09_01.xlsx&amp;sheet=A0&amp;row=210&amp;col=20&amp;number=&amp;sourceID=12","")</f>
        <v/>
      </c>
      <c r="U210" s="4" t="str">
        <f>HYPERLINK("http://141.218.60.56/~jnz1568/getInfo.php?workbook=09_01.xlsx&amp;sheet=A0&amp;row=210&amp;col=21&amp;number=23.37&amp;sourceID=30","23.37")</f>
        <v>23.37</v>
      </c>
      <c r="V210" s="4" t="str">
        <f>HYPERLINK("http://141.218.60.56/~jnz1568/getInfo.php?workbook=09_01.xlsx&amp;sheet=A0&amp;row=210&amp;col=22&amp;number=&amp;sourceID=30","")</f>
        <v/>
      </c>
      <c r="W210" s="4" t="str">
        <f>HYPERLINK("http://141.218.60.56/~jnz1568/getInfo.php?workbook=09_01.xlsx&amp;sheet=A0&amp;row=210&amp;col=23&amp;number=&amp;sourceID=30","")</f>
        <v/>
      </c>
      <c r="X210" s="4" t="str">
        <f>HYPERLINK("http://141.218.60.56/~jnz1568/getInfo.php?workbook=09_01.xlsx&amp;sheet=A0&amp;row=210&amp;col=24&amp;number=&amp;sourceID=30","")</f>
        <v/>
      </c>
      <c r="Y210" s="4" t="str">
        <f>HYPERLINK("http://141.218.60.56/~jnz1568/getInfo.php?workbook=09_01.xlsx&amp;sheet=A0&amp;row=210&amp;col=25&amp;number=23.37&amp;sourceID=30","23.37")</f>
        <v>23.37</v>
      </c>
      <c r="Z210" s="4" t="str">
        <f>HYPERLINK("http://141.218.60.56/~jnz1568/getInfo.php?workbook=09_01.xlsx&amp;sheet=A0&amp;row=210&amp;col=26&amp;number=&amp;sourceID=13","")</f>
        <v/>
      </c>
      <c r="AA210" s="4" t="str">
        <f>HYPERLINK("http://141.218.60.56/~jnz1568/getInfo.php?workbook=09_01.xlsx&amp;sheet=A0&amp;row=210&amp;col=27&amp;number=&amp;sourceID=13","")</f>
        <v/>
      </c>
      <c r="AB210" s="4" t="str">
        <f>HYPERLINK("http://141.218.60.56/~jnz1568/getInfo.php?workbook=09_01.xlsx&amp;sheet=A0&amp;row=210&amp;col=28&amp;number=&amp;sourceID=13","")</f>
        <v/>
      </c>
      <c r="AC210" s="4" t="str">
        <f>HYPERLINK("http://141.218.60.56/~jnz1568/getInfo.php?workbook=09_01.xlsx&amp;sheet=A0&amp;row=210&amp;col=29&amp;number=&amp;sourceID=13","")</f>
        <v/>
      </c>
      <c r="AD210" s="4" t="str">
        <f>HYPERLINK("http://141.218.60.56/~jnz1568/getInfo.php?workbook=09_01.xlsx&amp;sheet=A0&amp;row=210&amp;col=30&amp;number=&amp;sourceID=13","")</f>
        <v/>
      </c>
      <c r="AE210" s="4" t="str">
        <f>HYPERLINK("http://141.218.60.56/~jnz1568/getInfo.php?workbook=09_01.xlsx&amp;sheet=A0&amp;row=210&amp;col=31&amp;number=&amp;sourceID=13","")</f>
        <v/>
      </c>
    </row>
    <row r="211" spans="1:31">
      <c r="A211" s="3">
        <v>9</v>
      </c>
      <c r="B211" s="3">
        <v>1</v>
      </c>
      <c r="C211" s="3">
        <v>22</v>
      </c>
      <c r="D211" s="3">
        <v>6</v>
      </c>
      <c r="E211" s="3">
        <f>((1/(INDEX(E0!J$4:J$28,C211,1)-INDEX(E0!J$4:J$28,D211,1))))*100000000</f>
        <v>0</v>
      </c>
      <c r="F211" s="4" t="str">
        <f>HYPERLINK("http://141.218.60.56/~jnz1568/getInfo.php?workbook=09_01.xlsx&amp;sheet=A0&amp;row=211&amp;col=6&amp;number=&amp;sourceID=18","")</f>
        <v/>
      </c>
      <c r="G211" s="4" t="str">
        <f>HYPERLINK("http://141.218.60.56/~jnz1568/getInfo.php?workbook=09_01.xlsx&amp;sheet=A0&amp;row=211&amp;col=7&amp;number==&amp;sourceID=11","=")</f>
        <v>=</v>
      </c>
      <c r="H211" s="4" t="str">
        <f>HYPERLINK("http://141.218.60.56/~jnz1568/getInfo.php?workbook=09_01.xlsx&amp;sheet=A0&amp;row=211&amp;col=8&amp;number=&amp;sourceID=11","")</f>
        <v/>
      </c>
      <c r="I211" s="4" t="str">
        <f>HYPERLINK("http://141.218.60.56/~jnz1568/getInfo.php?workbook=09_01.xlsx&amp;sheet=A0&amp;row=211&amp;col=9&amp;number=582800&amp;sourceID=11","582800")</f>
        <v>582800</v>
      </c>
      <c r="J211" s="4" t="str">
        <f>HYPERLINK("http://141.218.60.56/~jnz1568/getInfo.php?workbook=09_01.xlsx&amp;sheet=A0&amp;row=211&amp;col=10&amp;number=&amp;sourceID=11","")</f>
        <v/>
      </c>
      <c r="K211" s="4" t="str">
        <f>HYPERLINK("http://141.218.60.56/~jnz1568/getInfo.php?workbook=09_01.xlsx&amp;sheet=A0&amp;row=211&amp;col=11&amp;number=&amp;sourceID=11","")</f>
        <v/>
      </c>
      <c r="L211" s="4" t="str">
        <f>HYPERLINK("http://141.218.60.56/~jnz1568/getInfo.php?workbook=09_01.xlsx&amp;sheet=A0&amp;row=211&amp;col=12&amp;number=&amp;sourceID=11","")</f>
        <v/>
      </c>
      <c r="M211" s="4" t="str">
        <f>HYPERLINK("http://141.218.60.56/~jnz1568/getInfo.php?workbook=09_01.xlsx&amp;sheet=A0&amp;row=211&amp;col=13&amp;number=0.0030552&amp;sourceID=11","0.0030552")</f>
        <v>0.0030552</v>
      </c>
      <c r="N211" s="4" t="str">
        <f>HYPERLINK("http://141.218.60.56/~jnz1568/getInfo.php?workbook=09_01.xlsx&amp;sheet=A0&amp;row=211&amp;col=14&amp;number=582810&amp;sourceID=12","582810")</f>
        <v>582810</v>
      </c>
      <c r="O211" s="4" t="str">
        <f>HYPERLINK("http://141.218.60.56/~jnz1568/getInfo.php?workbook=09_01.xlsx&amp;sheet=A0&amp;row=211&amp;col=15&amp;number=&amp;sourceID=12","")</f>
        <v/>
      </c>
      <c r="P211" s="4" t="str">
        <f>HYPERLINK("http://141.218.60.56/~jnz1568/getInfo.php?workbook=09_01.xlsx&amp;sheet=A0&amp;row=211&amp;col=16&amp;number=582810&amp;sourceID=12","582810")</f>
        <v>582810</v>
      </c>
      <c r="Q211" s="4" t="str">
        <f>HYPERLINK("http://141.218.60.56/~jnz1568/getInfo.php?workbook=09_01.xlsx&amp;sheet=A0&amp;row=211&amp;col=17&amp;number=&amp;sourceID=12","")</f>
        <v/>
      </c>
      <c r="R211" s="4" t="str">
        <f>HYPERLINK("http://141.218.60.56/~jnz1568/getInfo.php?workbook=09_01.xlsx&amp;sheet=A0&amp;row=211&amp;col=18&amp;number=&amp;sourceID=12","")</f>
        <v/>
      </c>
      <c r="S211" s="4" t="str">
        <f>HYPERLINK("http://141.218.60.56/~jnz1568/getInfo.php?workbook=09_01.xlsx&amp;sheet=A0&amp;row=211&amp;col=19&amp;number=&amp;sourceID=12","")</f>
        <v/>
      </c>
      <c r="T211" s="4" t="str">
        <f>HYPERLINK("http://141.218.60.56/~jnz1568/getInfo.php?workbook=09_01.xlsx&amp;sheet=A0&amp;row=211&amp;col=20&amp;number=0.0030553&amp;sourceID=12","0.0030553")</f>
        <v>0.0030553</v>
      </c>
      <c r="U211" s="4" t="str">
        <f>HYPERLINK("http://141.218.60.56/~jnz1568/getInfo.php?workbook=09_01.xlsx&amp;sheet=A0&amp;row=211&amp;col=21&amp;number=582800&amp;sourceID=30","582800")</f>
        <v>582800</v>
      </c>
      <c r="V211" s="4" t="str">
        <f>HYPERLINK("http://141.218.60.56/~jnz1568/getInfo.php?workbook=09_01.xlsx&amp;sheet=A0&amp;row=211&amp;col=22&amp;number=&amp;sourceID=30","")</f>
        <v/>
      </c>
      <c r="W211" s="4" t="str">
        <f>HYPERLINK("http://141.218.60.56/~jnz1568/getInfo.php?workbook=09_01.xlsx&amp;sheet=A0&amp;row=211&amp;col=23&amp;number=582800&amp;sourceID=30","582800")</f>
        <v>582800</v>
      </c>
      <c r="X211" s="4" t="str">
        <f>HYPERLINK("http://141.218.60.56/~jnz1568/getInfo.php?workbook=09_01.xlsx&amp;sheet=A0&amp;row=211&amp;col=24&amp;number=&amp;sourceID=30","")</f>
        <v/>
      </c>
      <c r="Y211" s="4" t="str">
        <f>HYPERLINK("http://141.218.60.56/~jnz1568/getInfo.php?workbook=09_01.xlsx&amp;sheet=A0&amp;row=211&amp;col=25&amp;number=&amp;sourceID=30","")</f>
        <v/>
      </c>
      <c r="Z211" s="4" t="str">
        <f>HYPERLINK("http://141.218.60.56/~jnz1568/getInfo.php?workbook=09_01.xlsx&amp;sheet=A0&amp;row=211&amp;col=26&amp;number=&amp;sourceID=13","")</f>
        <v/>
      </c>
      <c r="AA211" s="4" t="str">
        <f>HYPERLINK("http://141.218.60.56/~jnz1568/getInfo.php?workbook=09_01.xlsx&amp;sheet=A0&amp;row=211&amp;col=27&amp;number=&amp;sourceID=13","")</f>
        <v/>
      </c>
      <c r="AB211" s="4" t="str">
        <f>HYPERLINK("http://141.218.60.56/~jnz1568/getInfo.php?workbook=09_01.xlsx&amp;sheet=A0&amp;row=211&amp;col=28&amp;number=&amp;sourceID=13","")</f>
        <v/>
      </c>
      <c r="AC211" s="4" t="str">
        <f>HYPERLINK("http://141.218.60.56/~jnz1568/getInfo.php?workbook=09_01.xlsx&amp;sheet=A0&amp;row=211&amp;col=29&amp;number=&amp;sourceID=13","")</f>
        <v/>
      </c>
      <c r="AD211" s="4" t="str">
        <f>HYPERLINK("http://141.218.60.56/~jnz1568/getInfo.php?workbook=09_01.xlsx&amp;sheet=A0&amp;row=211&amp;col=30&amp;number=&amp;sourceID=13","")</f>
        <v/>
      </c>
      <c r="AE211" s="4" t="str">
        <f>HYPERLINK("http://141.218.60.56/~jnz1568/getInfo.php?workbook=09_01.xlsx&amp;sheet=A0&amp;row=211&amp;col=31&amp;number=&amp;sourceID=13","")</f>
        <v/>
      </c>
    </row>
    <row r="212" spans="1:31">
      <c r="A212" s="3">
        <v>9</v>
      </c>
      <c r="B212" s="3">
        <v>1</v>
      </c>
      <c r="C212" s="3">
        <v>22</v>
      </c>
      <c r="D212" s="3">
        <v>7</v>
      </c>
      <c r="E212" s="3">
        <f>((1/(INDEX(E0!J$4:J$28,C212,1)-INDEX(E0!J$4:J$28,D212,1))))*100000000</f>
        <v>0</v>
      </c>
      <c r="F212" s="4" t="str">
        <f>HYPERLINK("http://141.218.60.56/~jnz1568/getInfo.php?workbook=09_01.xlsx&amp;sheet=A0&amp;row=212&amp;col=6&amp;number=&amp;sourceID=18","")</f>
        <v/>
      </c>
      <c r="G212" s="4" t="str">
        <f>HYPERLINK("http://141.218.60.56/~jnz1568/getInfo.php?workbook=09_01.xlsx&amp;sheet=A0&amp;row=212&amp;col=7&amp;number==&amp;sourceID=11","=")</f>
        <v>=</v>
      </c>
      <c r="H212" s="4" t="str">
        <f>HYPERLINK("http://141.218.60.56/~jnz1568/getInfo.php?workbook=09_01.xlsx&amp;sheet=A0&amp;row=212&amp;col=8&amp;number=&amp;sourceID=11","")</f>
        <v/>
      </c>
      <c r="I212" s="4" t="str">
        <f>HYPERLINK("http://141.218.60.56/~jnz1568/getInfo.php?workbook=09_01.xlsx&amp;sheet=A0&amp;row=212&amp;col=9&amp;number=61008&amp;sourceID=11","61008")</f>
        <v>61008</v>
      </c>
      <c r="J212" s="4" t="str">
        <f>HYPERLINK("http://141.218.60.56/~jnz1568/getInfo.php?workbook=09_01.xlsx&amp;sheet=A0&amp;row=212&amp;col=10&amp;number=&amp;sourceID=11","")</f>
        <v/>
      </c>
      <c r="K212" s="4" t="str">
        <f>HYPERLINK("http://141.218.60.56/~jnz1568/getInfo.php?workbook=09_01.xlsx&amp;sheet=A0&amp;row=212&amp;col=11&amp;number=0.029931&amp;sourceID=11","0.029931")</f>
        <v>0.029931</v>
      </c>
      <c r="L212" s="4" t="str">
        <f>HYPERLINK("http://141.218.60.56/~jnz1568/getInfo.php?workbook=09_01.xlsx&amp;sheet=A0&amp;row=212&amp;col=12&amp;number=&amp;sourceID=11","")</f>
        <v/>
      </c>
      <c r="M212" s="4" t="str">
        <f>HYPERLINK("http://141.218.60.56/~jnz1568/getInfo.php?workbook=09_01.xlsx&amp;sheet=A0&amp;row=212&amp;col=13&amp;number=1.8237e-05&amp;sourceID=11","1.8237e-05")</f>
        <v>1.8237e-05</v>
      </c>
      <c r="N212" s="4" t="str">
        <f>HYPERLINK("http://141.218.60.56/~jnz1568/getInfo.php?workbook=09_01.xlsx&amp;sheet=A0&amp;row=212&amp;col=14&amp;number=61010&amp;sourceID=12","61010")</f>
        <v>61010</v>
      </c>
      <c r="O212" s="4" t="str">
        <f>HYPERLINK("http://141.218.60.56/~jnz1568/getInfo.php?workbook=09_01.xlsx&amp;sheet=A0&amp;row=212&amp;col=15&amp;number=&amp;sourceID=12","")</f>
        <v/>
      </c>
      <c r="P212" s="4" t="str">
        <f>HYPERLINK("http://141.218.60.56/~jnz1568/getInfo.php?workbook=09_01.xlsx&amp;sheet=A0&amp;row=212&amp;col=16&amp;number=61010&amp;sourceID=12","61010")</f>
        <v>61010</v>
      </c>
      <c r="Q212" s="4" t="str">
        <f>HYPERLINK("http://141.218.60.56/~jnz1568/getInfo.php?workbook=09_01.xlsx&amp;sheet=A0&amp;row=212&amp;col=17&amp;number=&amp;sourceID=12","")</f>
        <v/>
      </c>
      <c r="R212" s="4" t="str">
        <f>HYPERLINK("http://141.218.60.56/~jnz1568/getInfo.php?workbook=09_01.xlsx&amp;sheet=A0&amp;row=212&amp;col=18&amp;number=0.029932&amp;sourceID=12","0.029932")</f>
        <v>0.029932</v>
      </c>
      <c r="S212" s="4" t="str">
        <f>HYPERLINK("http://141.218.60.56/~jnz1568/getInfo.php?workbook=09_01.xlsx&amp;sheet=A0&amp;row=212&amp;col=19&amp;number=&amp;sourceID=12","")</f>
        <v/>
      </c>
      <c r="T212" s="4" t="str">
        <f>HYPERLINK("http://141.218.60.56/~jnz1568/getInfo.php?workbook=09_01.xlsx&amp;sheet=A0&amp;row=212&amp;col=20&amp;number=1.8238e-05&amp;sourceID=12","1.8238e-05")</f>
        <v>1.8238e-05</v>
      </c>
      <c r="U212" s="4" t="str">
        <f>HYPERLINK("http://141.218.60.56/~jnz1568/getInfo.php?workbook=09_01.xlsx&amp;sheet=A0&amp;row=212&amp;col=21&amp;number=61010.02994&amp;sourceID=30","61010.02994")</f>
        <v>61010.02994</v>
      </c>
      <c r="V212" s="4" t="str">
        <f>HYPERLINK("http://141.218.60.56/~jnz1568/getInfo.php?workbook=09_01.xlsx&amp;sheet=A0&amp;row=212&amp;col=22&amp;number=&amp;sourceID=30","")</f>
        <v/>
      </c>
      <c r="W212" s="4" t="str">
        <f>HYPERLINK("http://141.218.60.56/~jnz1568/getInfo.php?workbook=09_01.xlsx&amp;sheet=A0&amp;row=212&amp;col=23&amp;number=61010&amp;sourceID=30","61010")</f>
        <v>61010</v>
      </c>
      <c r="X212" s="4" t="str">
        <f>HYPERLINK("http://141.218.60.56/~jnz1568/getInfo.php?workbook=09_01.xlsx&amp;sheet=A0&amp;row=212&amp;col=24&amp;number=0.02994&amp;sourceID=30","0.02994")</f>
        <v>0.02994</v>
      </c>
      <c r="Y212" s="4" t="str">
        <f>HYPERLINK("http://141.218.60.56/~jnz1568/getInfo.php?workbook=09_01.xlsx&amp;sheet=A0&amp;row=212&amp;col=25&amp;number=&amp;sourceID=30","")</f>
        <v/>
      </c>
      <c r="Z212" s="4" t="str">
        <f>HYPERLINK("http://141.218.60.56/~jnz1568/getInfo.php?workbook=09_01.xlsx&amp;sheet=A0&amp;row=212&amp;col=26&amp;number=&amp;sourceID=13","")</f>
        <v/>
      </c>
      <c r="AA212" s="4" t="str">
        <f>HYPERLINK("http://141.218.60.56/~jnz1568/getInfo.php?workbook=09_01.xlsx&amp;sheet=A0&amp;row=212&amp;col=27&amp;number=&amp;sourceID=13","")</f>
        <v/>
      </c>
      <c r="AB212" s="4" t="str">
        <f>HYPERLINK("http://141.218.60.56/~jnz1568/getInfo.php?workbook=09_01.xlsx&amp;sheet=A0&amp;row=212&amp;col=28&amp;number=&amp;sourceID=13","")</f>
        <v/>
      </c>
      <c r="AC212" s="4" t="str">
        <f>HYPERLINK("http://141.218.60.56/~jnz1568/getInfo.php?workbook=09_01.xlsx&amp;sheet=A0&amp;row=212&amp;col=29&amp;number=&amp;sourceID=13","")</f>
        <v/>
      </c>
      <c r="AD212" s="4" t="str">
        <f>HYPERLINK("http://141.218.60.56/~jnz1568/getInfo.php?workbook=09_01.xlsx&amp;sheet=A0&amp;row=212&amp;col=30&amp;number=&amp;sourceID=13","")</f>
        <v/>
      </c>
      <c r="AE212" s="4" t="str">
        <f>HYPERLINK("http://141.218.60.56/~jnz1568/getInfo.php?workbook=09_01.xlsx&amp;sheet=A0&amp;row=212&amp;col=31&amp;number=&amp;sourceID=13","")</f>
        <v/>
      </c>
    </row>
    <row r="213" spans="1:31">
      <c r="A213" s="3">
        <v>9</v>
      </c>
      <c r="B213" s="3">
        <v>1</v>
      </c>
      <c r="C213" s="3">
        <v>22</v>
      </c>
      <c r="D213" s="3">
        <v>8</v>
      </c>
      <c r="E213" s="3">
        <f>((1/(INDEX(E0!J$4:J$28,C213,1)-INDEX(E0!J$4:J$28,D213,1))))*100000000</f>
        <v>0</v>
      </c>
      <c r="F213" s="4" t="str">
        <f>HYPERLINK("http://141.218.60.56/~jnz1568/getInfo.php?workbook=09_01.xlsx&amp;sheet=A0&amp;row=213&amp;col=6&amp;number=&amp;sourceID=18","")</f>
        <v/>
      </c>
      <c r="G213" s="4" t="str">
        <f>HYPERLINK("http://141.218.60.56/~jnz1568/getInfo.php?workbook=09_01.xlsx&amp;sheet=A0&amp;row=213&amp;col=7&amp;number==&amp;sourceID=11","=")</f>
        <v>=</v>
      </c>
      <c r="H213" s="4" t="str">
        <f>HYPERLINK("http://141.218.60.56/~jnz1568/getInfo.php?workbook=09_01.xlsx&amp;sheet=A0&amp;row=213&amp;col=8&amp;number=22268000000&amp;sourceID=11","22268000000")</f>
        <v>22268000000</v>
      </c>
      <c r="I213" s="4" t="str">
        <f>HYPERLINK("http://141.218.60.56/~jnz1568/getInfo.php?workbook=09_01.xlsx&amp;sheet=A0&amp;row=213&amp;col=9&amp;number=&amp;sourceID=11","")</f>
        <v/>
      </c>
      <c r="J213" s="4" t="str">
        <f>HYPERLINK("http://141.218.60.56/~jnz1568/getInfo.php?workbook=09_01.xlsx&amp;sheet=A0&amp;row=213&amp;col=10&amp;number=1.4448&amp;sourceID=11","1.4448")</f>
        <v>1.4448</v>
      </c>
      <c r="K213" s="4" t="str">
        <f>HYPERLINK("http://141.218.60.56/~jnz1568/getInfo.php?workbook=09_01.xlsx&amp;sheet=A0&amp;row=213&amp;col=11&amp;number=&amp;sourceID=11","")</f>
        <v/>
      </c>
      <c r="L213" s="4" t="str">
        <f>HYPERLINK("http://141.218.60.56/~jnz1568/getInfo.php?workbook=09_01.xlsx&amp;sheet=A0&amp;row=213&amp;col=12&amp;number=127.4&amp;sourceID=11","127.4")</f>
        <v>127.4</v>
      </c>
      <c r="M213" s="4" t="str">
        <f>HYPERLINK("http://141.218.60.56/~jnz1568/getInfo.php?workbook=09_01.xlsx&amp;sheet=A0&amp;row=213&amp;col=13&amp;number=&amp;sourceID=11","")</f>
        <v/>
      </c>
      <c r="N213" s="4" t="str">
        <f>HYPERLINK("http://141.218.60.56/~jnz1568/getInfo.php?workbook=09_01.xlsx&amp;sheet=A0&amp;row=213&amp;col=14&amp;number=22269000000&amp;sourceID=12","22269000000")</f>
        <v>22269000000</v>
      </c>
      <c r="O213" s="4" t="str">
        <f>HYPERLINK("http://141.218.60.56/~jnz1568/getInfo.php?workbook=09_01.xlsx&amp;sheet=A0&amp;row=213&amp;col=15&amp;number=22269000000&amp;sourceID=12","22269000000")</f>
        <v>22269000000</v>
      </c>
      <c r="P213" s="4" t="str">
        <f>HYPERLINK("http://141.218.60.56/~jnz1568/getInfo.php?workbook=09_01.xlsx&amp;sheet=A0&amp;row=213&amp;col=16&amp;number=&amp;sourceID=12","")</f>
        <v/>
      </c>
      <c r="Q213" s="4" t="str">
        <f>HYPERLINK("http://141.218.60.56/~jnz1568/getInfo.php?workbook=09_01.xlsx&amp;sheet=A0&amp;row=213&amp;col=17&amp;number=1.4449&amp;sourceID=12","1.4449")</f>
        <v>1.4449</v>
      </c>
      <c r="R213" s="4" t="str">
        <f>HYPERLINK("http://141.218.60.56/~jnz1568/getInfo.php?workbook=09_01.xlsx&amp;sheet=A0&amp;row=213&amp;col=18&amp;number=&amp;sourceID=12","")</f>
        <v/>
      </c>
      <c r="S213" s="4" t="str">
        <f>HYPERLINK("http://141.218.60.56/~jnz1568/getInfo.php?workbook=09_01.xlsx&amp;sheet=A0&amp;row=213&amp;col=19&amp;number=127.4&amp;sourceID=12","127.4")</f>
        <v>127.4</v>
      </c>
      <c r="T213" s="4" t="str">
        <f>HYPERLINK("http://141.218.60.56/~jnz1568/getInfo.php?workbook=09_01.xlsx&amp;sheet=A0&amp;row=213&amp;col=20&amp;number=&amp;sourceID=12","")</f>
        <v/>
      </c>
      <c r="U213" s="4" t="str">
        <f>HYPERLINK("http://141.218.60.56/~jnz1568/getInfo.php?workbook=09_01.xlsx&amp;sheet=A0&amp;row=213&amp;col=21&amp;number=22270000127.4&amp;sourceID=30","22270000127.4")</f>
        <v>22270000127.4</v>
      </c>
      <c r="V213" s="4" t="str">
        <f>HYPERLINK("http://141.218.60.56/~jnz1568/getInfo.php?workbook=09_01.xlsx&amp;sheet=A0&amp;row=213&amp;col=22&amp;number=22270000000&amp;sourceID=30","22270000000")</f>
        <v>22270000000</v>
      </c>
      <c r="W213" s="4" t="str">
        <f>HYPERLINK("http://141.218.60.56/~jnz1568/getInfo.php?workbook=09_01.xlsx&amp;sheet=A0&amp;row=213&amp;col=23&amp;number=&amp;sourceID=30","")</f>
        <v/>
      </c>
      <c r="X213" s="4" t="str">
        <f>HYPERLINK("http://141.218.60.56/~jnz1568/getInfo.php?workbook=09_01.xlsx&amp;sheet=A0&amp;row=213&amp;col=24&amp;number=&amp;sourceID=30","")</f>
        <v/>
      </c>
      <c r="Y213" s="4" t="str">
        <f>HYPERLINK("http://141.218.60.56/~jnz1568/getInfo.php?workbook=09_01.xlsx&amp;sheet=A0&amp;row=213&amp;col=25&amp;number=127.4&amp;sourceID=30","127.4")</f>
        <v>127.4</v>
      </c>
      <c r="Z213" s="4" t="str">
        <f>HYPERLINK("http://141.218.60.56/~jnz1568/getInfo.php?workbook=09_01.xlsx&amp;sheet=A0&amp;row=213&amp;col=26&amp;number=&amp;sourceID=13","")</f>
        <v/>
      </c>
      <c r="AA213" s="4" t="str">
        <f>HYPERLINK("http://141.218.60.56/~jnz1568/getInfo.php?workbook=09_01.xlsx&amp;sheet=A0&amp;row=213&amp;col=27&amp;number=&amp;sourceID=13","")</f>
        <v/>
      </c>
      <c r="AB213" s="4" t="str">
        <f>HYPERLINK("http://141.218.60.56/~jnz1568/getInfo.php?workbook=09_01.xlsx&amp;sheet=A0&amp;row=213&amp;col=28&amp;number=&amp;sourceID=13","")</f>
        <v/>
      </c>
      <c r="AC213" s="4" t="str">
        <f>HYPERLINK("http://141.218.60.56/~jnz1568/getInfo.php?workbook=09_01.xlsx&amp;sheet=A0&amp;row=213&amp;col=29&amp;number=&amp;sourceID=13","")</f>
        <v/>
      </c>
      <c r="AD213" s="4" t="str">
        <f>HYPERLINK("http://141.218.60.56/~jnz1568/getInfo.php?workbook=09_01.xlsx&amp;sheet=A0&amp;row=213&amp;col=30&amp;number=&amp;sourceID=13","")</f>
        <v/>
      </c>
      <c r="AE213" s="4" t="str">
        <f>HYPERLINK("http://141.218.60.56/~jnz1568/getInfo.php?workbook=09_01.xlsx&amp;sheet=A0&amp;row=213&amp;col=31&amp;number=&amp;sourceID=13","")</f>
        <v/>
      </c>
    </row>
    <row r="214" spans="1:31">
      <c r="A214" s="3">
        <v>9</v>
      </c>
      <c r="B214" s="3">
        <v>1</v>
      </c>
      <c r="C214" s="3">
        <v>22</v>
      </c>
      <c r="D214" s="3">
        <v>9</v>
      </c>
      <c r="E214" s="3">
        <f>((1/(INDEX(E0!J$4:J$28,C214,1)-INDEX(E0!J$4:J$28,D214,1))))*100000000</f>
        <v>0</v>
      </c>
      <c r="F214" s="4" t="str">
        <f>HYPERLINK("http://141.218.60.56/~jnz1568/getInfo.php?workbook=09_01.xlsx&amp;sheet=A0&amp;row=214&amp;col=6&amp;number=&amp;sourceID=18","")</f>
        <v/>
      </c>
      <c r="G214" s="4" t="str">
        <f>HYPERLINK("http://141.218.60.56/~jnz1568/getInfo.php?workbook=09_01.xlsx&amp;sheet=A0&amp;row=214&amp;col=7&amp;number==&amp;sourceID=11","=")</f>
        <v>=</v>
      </c>
      <c r="H214" s="4" t="str">
        <f>HYPERLINK("http://141.218.60.56/~jnz1568/getInfo.php?workbook=09_01.xlsx&amp;sheet=A0&amp;row=214&amp;col=8&amp;number=&amp;sourceID=11","")</f>
        <v/>
      </c>
      <c r="I214" s="4" t="str">
        <f>HYPERLINK("http://141.218.60.56/~jnz1568/getInfo.php?workbook=09_01.xlsx&amp;sheet=A0&amp;row=214&amp;col=9&amp;number=243730&amp;sourceID=11","243730")</f>
        <v>243730</v>
      </c>
      <c r="J214" s="4" t="str">
        <f>HYPERLINK("http://141.218.60.56/~jnz1568/getInfo.php?workbook=09_01.xlsx&amp;sheet=A0&amp;row=214&amp;col=10&amp;number=&amp;sourceID=11","")</f>
        <v/>
      </c>
      <c r="K214" s="4" t="str">
        <f>HYPERLINK("http://141.218.60.56/~jnz1568/getInfo.php?workbook=09_01.xlsx&amp;sheet=A0&amp;row=214&amp;col=11&amp;number=0.21817&amp;sourceID=11","0.21817")</f>
        <v>0.21817</v>
      </c>
      <c r="L214" s="4" t="str">
        <f>HYPERLINK("http://141.218.60.56/~jnz1568/getInfo.php?workbook=09_01.xlsx&amp;sheet=A0&amp;row=214&amp;col=12&amp;number=&amp;sourceID=11","")</f>
        <v/>
      </c>
      <c r="M214" s="4" t="str">
        <f>HYPERLINK("http://141.218.60.56/~jnz1568/getInfo.php?workbook=09_01.xlsx&amp;sheet=A0&amp;row=214&amp;col=13&amp;number=0.0022114&amp;sourceID=11","0.0022114")</f>
        <v>0.0022114</v>
      </c>
      <c r="N214" s="4" t="str">
        <f>HYPERLINK("http://141.218.60.56/~jnz1568/getInfo.php?workbook=09_01.xlsx&amp;sheet=A0&amp;row=214&amp;col=14&amp;number=243730&amp;sourceID=12","243730")</f>
        <v>243730</v>
      </c>
      <c r="O214" s="4" t="str">
        <f>HYPERLINK("http://141.218.60.56/~jnz1568/getInfo.php?workbook=09_01.xlsx&amp;sheet=A0&amp;row=214&amp;col=15&amp;number=&amp;sourceID=12","")</f>
        <v/>
      </c>
      <c r="P214" s="4" t="str">
        <f>HYPERLINK("http://141.218.60.56/~jnz1568/getInfo.php?workbook=09_01.xlsx&amp;sheet=A0&amp;row=214&amp;col=16&amp;number=243730&amp;sourceID=12","243730")</f>
        <v>243730</v>
      </c>
      <c r="Q214" s="4" t="str">
        <f>HYPERLINK("http://141.218.60.56/~jnz1568/getInfo.php?workbook=09_01.xlsx&amp;sheet=A0&amp;row=214&amp;col=17&amp;number=&amp;sourceID=12","")</f>
        <v/>
      </c>
      <c r="R214" s="4" t="str">
        <f>HYPERLINK("http://141.218.60.56/~jnz1568/getInfo.php?workbook=09_01.xlsx&amp;sheet=A0&amp;row=214&amp;col=18&amp;number=0.21818&amp;sourceID=12","0.21818")</f>
        <v>0.21818</v>
      </c>
      <c r="S214" s="4" t="str">
        <f>HYPERLINK("http://141.218.60.56/~jnz1568/getInfo.php?workbook=09_01.xlsx&amp;sheet=A0&amp;row=214&amp;col=19&amp;number=&amp;sourceID=12","")</f>
        <v/>
      </c>
      <c r="T214" s="4" t="str">
        <f>HYPERLINK("http://141.218.60.56/~jnz1568/getInfo.php?workbook=09_01.xlsx&amp;sheet=A0&amp;row=214&amp;col=20&amp;number=0.0022115&amp;sourceID=12","0.0022115")</f>
        <v>0.0022115</v>
      </c>
      <c r="U214" s="4" t="str">
        <f>HYPERLINK("http://141.218.60.56/~jnz1568/getInfo.php?workbook=09_01.xlsx&amp;sheet=A0&amp;row=214&amp;col=21&amp;number=243700.2181&amp;sourceID=30","243700.2181")</f>
        <v>243700.2181</v>
      </c>
      <c r="V214" s="4" t="str">
        <f>HYPERLINK("http://141.218.60.56/~jnz1568/getInfo.php?workbook=09_01.xlsx&amp;sheet=A0&amp;row=214&amp;col=22&amp;number=&amp;sourceID=30","")</f>
        <v/>
      </c>
      <c r="W214" s="4" t="str">
        <f>HYPERLINK("http://141.218.60.56/~jnz1568/getInfo.php?workbook=09_01.xlsx&amp;sheet=A0&amp;row=214&amp;col=23&amp;number=243700&amp;sourceID=30","243700")</f>
        <v>243700</v>
      </c>
      <c r="X214" s="4" t="str">
        <f>HYPERLINK("http://141.218.60.56/~jnz1568/getInfo.php?workbook=09_01.xlsx&amp;sheet=A0&amp;row=214&amp;col=24&amp;number=0.2181&amp;sourceID=30","0.2181")</f>
        <v>0.2181</v>
      </c>
      <c r="Y214" s="4" t="str">
        <f>HYPERLINK("http://141.218.60.56/~jnz1568/getInfo.php?workbook=09_01.xlsx&amp;sheet=A0&amp;row=214&amp;col=25&amp;number=&amp;sourceID=30","")</f>
        <v/>
      </c>
      <c r="Z214" s="4" t="str">
        <f>HYPERLINK("http://141.218.60.56/~jnz1568/getInfo.php?workbook=09_01.xlsx&amp;sheet=A0&amp;row=214&amp;col=26&amp;number=&amp;sourceID=13","")</f>
        <v/>
      </c>
      <c r="AA214" s="4" t="str">
        <f>HYPERLINK("http://141.218.60.56/~jnz1568/getInfo.php?workbook=09_01.xlsx&amp;sheet=A0&amp;row=214&amp;col=27&amp;number=&amp;sourceID=13","")</f>
        <v/>
      </c>
      <c r="AB214" s="4" t="str">
        <f>HYPERLINK("http://141.218.60.56/~jnz1568/getInfo.php?workbook=09_01.xlsx&amp;sheet=A0&amp;row=214&amp;col=28&amp;number=&amp;sourceID=13","")</f>
        <v/>
      </c>
      <c r="AC214" s="4" t="str">
        <f>HYPERLINK("http://141.218.60.56/~jnz1568/getInfo.php?workbook=09_01.xlsx&amp;sheet=A0&amp;row=214&amp;col=29&amp;number=&amp;sourceID=13","")</f>
        <v/>
      </c>
      <c r="AD214" s="4" t="str">
        <f>HYPERLINK("http://141.218.60.56/~jnz1568/getInfo.php?workbook=09_01.xlsx&amp;sheet=A0&amp;row=214&amp;col=30&amp;number=&amp;sourceID=13","")</f>
        <v/>
      </c>
      <c r="AE214" s="4" t="str">
        <f>HYPERLINK("http://141.218.60.56/~jnz1568/getInfo.php?workbook=09_01.xlsx&amp;sheet=A0&amp;row=214&amp;col=31&amp;number=&amp;sourceID=13","")</f>
        <v/>
      </c>
    </row>
    <row r="215" spans="1:31">
      <c r="A215" s="3">
        <v>9</v>
      </c>
      <c r="B215" s="3">
        <v>1</v>
      </c>
      <c r="C215" s="3">
        <v>22</v>
      </c>
      <c r="D215" s="3">
        <v>10</v>
      </c>
      <c r="E215" s="3">
        <f>((1/(INDEX(E0!J$4:J$28,C215,1)-INDEX(E0!J$4:J$28,D215,1))))*100000000</f>
        <v>0</v>
      </c>
      <c r="F215" s="4" t="str">
        <f>HYPERLINK("http://141.218.60.56/~jnz1568/getInfo.php?workbook=09_01.xlsx&amp;sheet=A0&amp;row=215&amp;col=6&amp;number=&amp;sourceID=18","")</f>
        <v/>
      </c>
      <c r="G215" s="4" t="str">
        <f>HYPERLINK("http://141.218.60.56/~jnz1568/getInfo.php?workbook=09_01.xlsx&amp;sheet=A0&amp;row=215&amp;col=7&amp;number==&amp;sourceID=11","=")</f>
        <v>=</v>
      </c>
      <c r="H215" s="4" t="str">
        <f>HYPERLINK("http://141.218.60.56/~jnz1568/getInfo.php?workbook=09_01.xlsx&amp;sheet=A0&amp;row=215&amp;col=8&amp;number=&amp;sourceID=11","")</f>
        <v/>
      </c>
      <c r="I215" s="4" t="str">
        <f>HYPERLINK("http://141.218.60.56/~jnz1568/getInfo.php?workbook=09_01.xlsx&amp;sheet=A0&amp;row=215&amp;col=9&amp;number=&amp;sourceID=11","")</f>
        <v/>
      </c>
      <c r="J215" s="4" t="str">
        <f>HYPERLINK("http://141.218.60.56/~jnz1568/getInfo.php?workbook=09_01.xlsx&amp;sheet=A0&amp;row=215&amp;col=10&amp;number=3.1534&amp;sourceID=11","3.1534")</f>
        <v>3.1534</v>
      </c>
      <c r="K215" s="4" t="str">
        <f>HYPERLINK("http://141.218.60.56/~jnz1568/getInfo.php?workbook=09_01.xlsx&amp;sheet=A0&amp;row=215&amp;col=11&amp;number=&amp;sourceID=11","")</f>
        <v/>
      </c>
      <c r="L215" s="4" t="str">
        <f>HYPERLINK("http://141.218.60.56/~jnz1568/getInfo.php?workbook=09_01.xlsx&amp;sheet=A0&amp;row=215&amp;col=12&amp;number=1.0228&amp;sourceID=11","1.0228")</f>
        <v>1.0228</v>
      </c>
      <c r="M215" s="4" t="str">
        <f>HYPERLINK("http://141.218.60.56/~jnz1568/getInfo.php?workbook=09_01.xlsx&amp;sheet=A0&amp;row=215&amp;col=13&amp;number=&amp;sourceID=11","")</f>
        <v/>
      </c>
      <c r="N215" s="4" t="str">
        <f>HYPERLINK("http://141.218.60.56/~jnz1568/getInfo.php?workbook=09_01.xlsx&amp;sheet=A0&amp;row=215&amp;col=14&amp;number=4.1764&amp;sourceID=12","4.1764")</f>
        <v>4.1764</v>
      </c>
      <c r="O215" s="4" t="str">
        <f>HYPERLINK("http://141.218.60.56/~jnz1568/getInfo.php?workbook=09_01.xlsx&amp;sheet=A0&amp;row=215&amp;col=15&amp;number=&amp;sourceID=12","")</f>
        <v/>
      </c>
      <c r="P215" s="4" t="str">
        <f>HYPERLINK("http://141.218.60.56/~jnz1568/getInfo.php?workbook=09_01.xlsx&amp;sheet=A0&amp;row=215&amp;col=16&amp;number=&amp;sourceID=12","")</f>
        <v/>
      </c>
      <c r="Q215" s="4" t="str">
        <f>HYPERLINK("http://141.218.60.56/~jnz1568/getInfo.php?workbook=09_01.xlsx&amp;sheet=A0&amp;row=215&amp;col=17&amp;number=3.1535&amp;sourceID=12","3.1535")</f>
        <v>3.1535</v>
      </c>
      <c r="R215" s="4" t="str">
        <f>HYPERLINK("http://141.218.60.56/~jnz1568/getInfo.php?workbook=09_01.xlsx&amp;sheet=A0&amp;row=215&amp;col=18&amp;number=&amp;sourceID=12","")</f>
        <v/>
      </c>
      <c r="S215" s="4" t="str">
        <f>HYPERLINK("http://141.218.60.56/~jnz1568/getInfo.php?workbook=09_01.xlsx&amp;sheet=A0&amp;row=215&amp;col=19&amp;number=1.0229&amp;sourceID=12","1.0229")</f>
        <v>1.0229</v>
      </c>
      <c r="T215" s="4" t="str">
        <f>HYPERLINK("http://141.218.60.56/~jnz1568/getInfo.php?workbook=09_01.xlsx&amp;sheet=A0&amp;row=215&amp;col=20&amp;number=&amp;sourceID=12","")</f>
        <v/>
      </c>
      <c r="U215" s="4" t="str">
        <f>HYPERLINK("http://141.218.60.56/~jnz1568/getInfo.php?workbook=09_01.xlsx&amp;sheet=A0&amp;row=215&amp;col=21&amp;number=1.023&amp;sourceID=30","1.023")</f>
        <v>1.023</v>
      </c>
      <c r="V215" s="4" t="str">
        <f>HYPERLINK("http://141.218.60.56/~jnz1568/getInfo.php?workbook=09_01.xlsx&amp;sheet=A0&amp;row=215&amp;col=22&amp;number=&amp;sourceID=30","")</f>
        <v/>
      </c>
      <c r="W215" s="4" t="str">
        <f>HYPERLINK("http://141.218.60.56/~jnz1568/getInfo.php?workbook=09_01.xlsx&amp;sheet=A0&amp;row=215&amp;col=23&amp;number=&amp;sourceID=30","")</f>
        <v/>
      </c>
      <c r="X215" s="4" t="str">
        <f>HYPERLINK("http://141.218.60.56/~jnz1568/getInfo.php?workbook=09_01.xlsx&amp;sheet=A0&amp;row=215&amp;col=24&amp;number=&amp;sourceID=30","")</f>
        <v/>
      </c>
      <c r="Y215" s="4" t="str">
        <f>HYPERLINK("http://141.218.60.56/~jnz1568/getInfo.php?workbook=09_01.xlsx&amp;sheet=A0&amp;row=215&amp;col=25&amp;number=1.023&amp;sourceID=30","1.023")</f>
        <v>1.023</v>
      </c>
      <c r="Z215" s="4" t="str">
        <f>HYPERLINK("http://141.218.60.56/~jnz1568/getInfo.php?workbook=09_01.xlsx&amp;sheet=A0&amp;row=215&amp;col=26&amp;number=&amp;sourceID=13","")</f>
        <v/>
      </c>
      <c r="AA215" s="4" t="str">
        <f>HYPERLINK("http://141.218.60.56/~jnz1568/getInfo.php?workbook=09_01.xlsx&amp;sheet=A0&amp;row=215&amp;col=27&amp;number=&amp;sourceID=13","")</f>
        <v/>
      </c>
      <c r="AB215" s="4" t="str">
        <f>HYPERLINK("http://141.218.60.56/~jnz1568/getInfo.php?workbook=09_01.xlsx&amp;sheet=A0&amp;row=215&amp;col=28&amp;number=&amp;sourceID=13","")</f>
        <v/>
      </c>
      <c r="AC215" s="4" t="str">
        <f>HYPERLINK("http://141.218.60.56/~jnz1568/getInfo.php?workbook=09_01.xlsx&amp;sheet=A0&amp;row=215&amp;col=29&amp;number=&amp;sourceID=13","")</f>
        <v/>
      </c>
      <c r="AD215" s="4" t="str">
        <f>HYPERLINK("http://141.218.60.56/~jnz1568/getInfo.php?workbook=09_01.xlsx&amp;sheet=A0&amp;row=215&amp;col=30&amp;number=&amp;sourceID=13","")</f>
        <v/>
      </c>
      <c r="AE215" s="4" t="str">
        <f>HYPERLINK("http://141.218.60.56/~jnz1568/getInfo.php?workbook=09_01.xlsx&amp;sheet=A0&amp;row=215&amp;col=31&amp;number=&amp;sourceID=13","")</f>
        <v/>
      </c>
    </row>
    <row r="216" spans="1:31">
      <c r="A216" s="3">
        <v>9</v>
      </c>
      <c r="B216" s="3">
        <v>1</v>
      </c>
      <c r="C216" s="3">
        <v>22</v>
      </c>
      <c r="D216" s="3">
        <v>11</v>
      </c>
      <c r="E216" s="3">
        <f>((1/(INDEX(E0!J$4:J$28,C216,1)-INDEX(E0!J$4:J$28,D216,1))))*100000000</f>
        <v>0</v>
      </c>
      <c r="F216" s="4" t="str">
        <f>HYPERLINK("http://141.218.60.56/~jnz1568/getInfo.php?workbook=09_01.xlsx&amp;sheet=A0&amp;row=216&amp;col=6&amp;number=&amp;sourceID=18","")</f>
        <v/>
      </c>
      <c r="G216" s="4" t="str">
        <f>HYPERLINK("http://141.218.60.56/~jnz1568/getInfo.php?workbook=09_01.xlsx&amp;sheet=A0&amp;row=216&amp;col=7&amp;number==&amp;sourceID=11","=")</f>
        <v>=</v>
      </c>
      <c r="H216" s="4" t="str">
        <f>HYPERLINK("http://141.218.60.56/~jnz1568/getInfo.php?workbook=09_01.xlsx&amp;sheet=A0&amp;row=216&amp;col=8&amp;number=&amp;sourceID=11","")</f>
        <v/>
      </c>
      <c r="I216" s="4" t="str">
        <f>HYPERLINK("http://141.218.60.56/~jnz1568/getInfo.php?workbook=09_01.xlsx&amp;sheet=A0&amp;row=216&amp;col=9&amp;number=287820&amp;sourceID=11","287820")</f>
        <v>287820</v>
      </c>
      <c r="J216" s="4" t="str">
        <f>HYPERLINK("http://141.218.60.56/~jnz1568/getInfo.php?workbook=09_01.xlsx&amp;sheet=A0&amp;row=216&amp;col=10&amp;number=&amp;sourceID=11","")</f>
        <v/>
      </c>
      <c r="K216" s="4" t="str">
        <f>HYPERLINK("http://141.218.60.56/~jnz1568/getInfo.php?workbook=09_01.xlsx&amp;sheet=A0&amp;row=216&amp;col=11&amp;number=&amp;sourceID=11","")</f>
        <v/>
      </c>
      <c r="L216" s="4" t="str">
        <f>HYPERLINK("http://141.218.60.56/~jnz1568/getInfo.php?workbook=09_01.xlsx&amp;sheet=A0&amp;row=216&amp;col=12&amp;number=&amp;sourceID=11","")</f>
        <v/>
      </c>
      <c r="M216" s="4" t="str">
        <f>HYPERLINK("http://141.218.60.56/~jnz1568/getInfo.php?workbook=09_01.xlsx&amp;sheet=A0&amp;row=216&amp;col=13&amp;number=0.00015126&amp;sourceID=11","0.00015126")</f>
        <v>0.00015126</v>
      </c>
      <c r="N216" s="4" t="str">
        <f>HYPERLINK("http://141.218.60.56/~jnz1568/getInfo.php?workbook=09_01.xlsx&amp;sheet=A0&amp;row=216&amp;col=14&amp;number=287830&amp;sourceID=12","287830")</f>
        <v>287830</v>
      </c>
      <c r="O216" s="4" t="str">
        <f>HYPERLINK("http://141.218.60.56/~jnz1568/getInfo.php?workbook=09_01.xlsx&amp;sheet=A0&amp;row=216&amp;col=15&amp;number=&amp;sourceID=12","")</f>
        <v/>
      </c>
      <c r="P216" s="4" t="str">
        <f>HYPERLINK("http://141.218.60.56/~jnz1568/getInfo.php?workbook=09_01.xlsx&amp;sheet=A0&amp;row=216&amp;col=16&amp;number=287830&amp;sourceID=12","287830")</f>
        <v>287830</v>
      </c>
      <c r="Q216" s="4" t="str">
        <f>HYPERLINK("http://141.218.60.56/~jnz1568/getInfo.php?workbook=09_01.xlsx&amp;sheet=A0&amp;row=216&amp;col=17&amp;number=&amp;sourceID=12","")</f>
        <v/>
      </c>
      <c r="R216" s="4" t="str">
        <f>HYPERLINK("http://141.218.60.56/~jnz1568/getInfo.php?workbook=09_01.xlsx&amp;sheet=A0&amp;row=216&amp;col=18&amp;number=&amp;sourceID=12","")</f>
        <v/>
      </c>
      <c r="S216" s="4" t="str">
        <f>HYPERLINK("http://141.218.60.56/~jnz1568/getInfo.php?workbook=09_01.xlsx&amp;sheet=A0&amp;row=216&amp;col=19&amp;number=&amp;sourceID=12","")</f>
        <v/>
      </c>
      <c r="T216" s="4" t="str">
        <f>HYPERLINK("http://141.218.60.56/~jnz1568/getInfo.php?workbook=09_01.xlsx&amp;sheet=A0&amp;row=216&amp;col=20&amp;number=0.00015126&amp;sourceID=12","0.00015126")</f>
        <v>0.00015126</v>
      </c>
      <c r="U216" s="4" t="str">
        <f>HYPERLINK("http://141.218.60.56/~jnz1568/getInfo.php?workbook=09_01.xlsx&amp;sheet=A0&amp;row=216&amp;col=21&amp;number=287800&amp;sourceID=30","287800")</f>
        <v>287800</v>
      </c>
      <c r="V216" s="4" t="str">
        <f>HYPERLINK("http://141.218.60.56/~jnz1568/getInfo.php?workbook=09_01.xlsx&amp;sheet=A0&amp;row=216&amp;col=22&amp;number=&amp;sourceID=30","")</f>
        <v/>
      </c>
      <c r="W216" s="4" t="str">
        <f>HYPERLINK("http://141.218.60.56/~jnz1568/getInfo.php?workbook=09_01.xlsx&amp;sheet=A0&amp;row=216&amp;col=23&amp;number=287800&amp;sourceID=30","287800")</f>
        <v>287800</v>
      </c>
      <c r="X216" s="4" t="str">
        <f>HYPERLINK("http://141.218.60.56/~jnz1568/getInfo.php?workbook=09_01.xlsx&amp;sheet=A0&amp;row=216&amp;col=24&amp;number=&amp;sourceID=30","")</f>
        <v/>
      </c>
      <c r="Y216" s="4" t="str">
        <f>HYPERLINK("http://141.218.60.56/~jnz1568/getInfo.php?workbook=09_01.xlsx&amp;sheet=A0&amp;row=216&amp;col=25&amp;number=&amp;sourceID=30","")</f>
        <v/>
      </c>
      <c r="Z216" s="4" t="str">
        <f>HYPERLINK("http://141.218.60.56/~jnz1568/getInfo.php?workbook=09_01.xlsx&amp;sheet=A0&amp;row=216&amp;col=26&amp;number=&amp;sourceID=13","")</f>
        <v/>
      </c>
      <c r="AA216" s="4" t="str">
        <f>HYPERLINK("http://141.218.60.56/~jnz1568/getInfo.php?workbook=09_01.xlsx&amp;sheet=A0&amp;row=216&amp;col=27&amp;number=&amp;sourceID=13","")</f>
        <v/>
      </c>
      <c r="AB216" s="4" t="str">
        <f>HYPERLINK("http://141.218.60.56/~jnz1568/getInfo.php?workbook=09_01.xlsx&amp;sheet=A0&amp;row=216&amp;col=28&amp;number=&amp;sourceID=13","")</f>
        <v/>
      </c>
      <c r="AC216" s="4" t="str">
        <f>HYPERLINK("http://141.218.60.56/~jnz1568/getInfo.php?workbook=09_01.xlsx&amp;sheet=A0&amp;row=216&amp;col=29&amp;number=&amp;sourceID=13","")</f>
        <v/>
      </c>
      <c r="AD216" s="4" t="str">
        <f>HYPERLINK("http://141.218.60.56/~jnz1568/getInfo.php?workbook=09_01.xlsx&amp;sheet=A0&amp;row=216&amp;col=30&amp;number=&amp;sourceID=13","")</f>
        <v/>
      </c>
      <c r="AE216" s="4" t="str">
        <f>HYPERLINK("http://141.218.60.56/~jnz1568/getInfo.php?workbook=09_01.xlsx&amp;sheet=A0&amp;row=216&amp;col=31&amp;number=&amp;sourceID=13","")</f>
        <v/>
      </c>
    </row>
    <row r="217" spans="1:31">
      <c r="A217" s="3">
        <v>9</v>
      </c>
      <c r="B217" s="3">
        <v>1</v>
      </c>
      <c r="C217" s="3">
        <v>22</v>
      </c>
      <c r="D217" s="3">
        <v>12</v>
      </c>
      <c r="E217" s="3">
        <f>((1/(INDEX(E0!J$4:J$28,C217,1)-INDEX(E0!J$4:J$28,D217,1))))*100000000</f>
        <v>0</v>
      </c>
      <c r="F217" s="4" t="str">
        <f>HYPERLINK("http://141.218.60.56/~jnz1568/getInfo.php?workbook=09_01.xlsx&amp;sheet=A0&amp;row=217&amp;col=6&amp;number=&amp;sourceID=18","")</f>
        <v/>
      </c>
      <c r="G217" s="4" t="str">
        <f>HYPERLINK("http://141.218.60.56/~jnz1568/getInfo.php?workbook=09_01.xlsx&amp;sheet=A0&amp;row=217&amp;col=7&amp;number==&amp;sourceID=11","=")</f>
        <v>=</v>
      </c>
      <c r="H217" s="4" t="str">
        <f>HYPERLINK("http://141.218.60.56/~jnz1568/getInfo.php?workbook=09_01.xlsx&amp;sheet=A0&amp;row=217&amp;col=8&amp;number=&amp;sourceID=11","")</f>
        <v/>
      </c>
      <c r="I217" s="4" t="str">
        <f>HYPERLINK("http://141.218.60.56/~jnz1568/getInfo.php?workbook=09_01.xlsx&amp;sheet=A0&amp;row=217&amp;col=9&amp;number=28263&amp;sourceID=11","28263")</f>
        <v>28263</v>
      </c>
      <c r="J217" s="4" t="str">
        <f>HYPERLINK("http://141.218.60.56/~jnz1568/getInfo.php?workbook=09_01.xlsx&amp;sheet=A0&amp;row=217&amp;col=10&amp;number=&amp;sourceID=11","")</f>
        <v/>
      </c>
      <c r="K217" s="4" t="str">
        <f>HYPERLINK("http://141.218.60.56/~jnz1568/getInfo.php?workbook=09_01.xlsx&amp;sheet=A0&amp;row=217&amp;col=11&amp;number=0.0073232&amp;sourceID=11","0.0073232")</f>
        <v>0.0073232</v>
      </c>
      <c r="L217" s="4" t="str">
        <f>HYPERLINK("http://141.218.60.56/~jnz1568/getInfo.php?workbook=09_01.xlsx&amp;sheet=A0&amp;row=217&amp;col=12&amp;number=&amp;sourceID=11","")</f>
        <v/>
      </c>
      <c r="M217" s="4" t="str">
        <f>HYPERLINK("http://141.218.60.56/~jnz1568/getInfo.php?workbook=09_01.xlsx&amp;sheet=A0&amp;row=217&amp;col=13&amp;number=8.4623e-07&amp;sourceID=11","8.4623e-07")</f>
        <v>8.4623e-07</v>
      </c>
      <c r="N217" s="4" t="str">
        <f>HYPERLINK("http://141.218.60.56/~jnz1568/getInfo.php?workbook=09_01.xlsx&amp;sheet=A0&amp;row=217&amp;col=14&amp;number=28264&amp;sourceID=12","28264")</f>
        <v>28264</v>
      </c>
      <c r="O217" s="4" t="str">
        <f>HYPERLINK("http://141.218.60.56/~jnz1568/getInfo.php?workbook=09_01.xlsx&amp;sheet=A0&amp;row=217&amp;col=15&amp;number=&amp;sourceID=12","")</f>
        <v/>
      </c>
      <c r="P217" s="4" t="str">
        <f>HYPERLINK("http://141.218.60.56/~jnz1568/getInfo.php?workbook=09_01.xlsx&amp;sheet=A0&amp;row=217&amp;col=16&amp;number=28264&amp;sourceID=12","28264")</f>
        <v>28264</v>
      </c>
      <c r="Q217" s="4" t="str">
        <f>HYPERLINK("http://141.218.60.56/~jnz1568/getInfo.php?workbook=09_01.xlsx&amp;sheet=A0&amp;row=217&amp;col=17&amp;number=&amp;sourceID=12","")</f>
        <v/>
      </c>
      <c r="R217" s="4" t="str">
        <f>HYPERLINK("http://141.218.60.56/~jnz1568/getInfo.php?workbook=09_01.xlsx&amp;sheet=A0&amp;row=217&amp;col=18&amp;number=0.0073237&amp;sourceID=12","0.0073237")</f>
        <v>0.0073237</v>
      </c>
      <c r="S217" s="4" t="str">
        <f>HYPERLINK("http://141.218.60.56/~jnz1568/getInfo.php?workbook=09_01.xlsx&amp;sheet=A0&amp;row=217&amp;col=19&amp;number=&amp;sourceID=12","")</f>
        <v/>
      </c>
      <c r="T217" s="4" t="str">
        <f>HYPERLINK("http://141.218.60.56/~jnz1568/getInfo.php?workbook=09_01.xlsx&amp;sheet=A0&amp;row=217&amp;col=20&amp;number=8.4625e-07&amp;sourceID=12","8.4625e-07")</f>
        <v>8.4625e-07</v>
      </c>
      <c r="U217" s="4" t="str">
        <f>HYPERLINK("http://141.218.60.56/~jnz1568/getInfo.php?workbook=09_01.xlsx&amp;sheet=A0&amp;row=217&amp;col=21&amp;number=28260.007328&amp;sourceID=30","28260.007328")</f>
        <v>28260.007328</v>
      </c>
      <c r="V217" s="4" t="str">
        <f>HYPERLINK("http://141.218.60.56/~jnz1568/getInfo.php?workbook=09_01.xlsx&amp;sheet=A0&amp;row=217&amp;col=22&amp;number=&amp;sourceID=30","")</f>
        <v/>
      </c>
      <c r="W217" s="4" t="str">
        <f>HYPERLINK("http://141.218.60.56/~jnz1568/getInfo.php?workbook=09_01.xlsx&amp;sheet=A0&amp;row=217&amp;col=23&amp;number=28260&amp;sourceID=30","28260")</f>
        <v>28260</v>
      </c>
      <c r="X217" s="4" t="str">
        <f>HYPERLINK("http://141.218.60.56/~jnz1568/getInfo.php?workbook=09_01.xlsx&amp;sheet=A0&amp;row=217&amp;col=24&amp;number=0.007328&amp;sourceID=30","0.007328")</f>
        <v>0.007328</v>
      </c>
      <c r="Y217" s="4" t="str">
        <f>HYPERLINK("http://141.218.60.56/~jnz1568/getInfo.php?workbook=09_01.xlsx&amp;sheet=A0&amp;row=217&amp;col=25&amp;number=&amp;sourceID=30","")</f>
        <v/>
      </c>
      <c r="Z217" s="4" t="str">
        <f>HYPERLINK("http://141.218.60.56/~jnz1568/getInfo.php?workbook=09_01.xlsx&amp;sheet=A0&amp;row=217&amp;col=26&amp;number=&amp;sourceID=13","")</f>
        <v/>
      </c>
      <c r="AA217" s="4" t="str">
        <f>HYPERLINK("http://141.218.60.56/~jnz1568/getInfo.php?workbook=09_01.xlsx&amp;sheet=A0&amp;row=217&amp;col=27&amp;number=&amp;sourceID=13","")</f>
        <v/>
      </c>
      <c r="AB217" s="4" t="str">
        <f>HYPERLINK("http://141.218.60.56/~jnz1568/getInfo.php?workbook=09_01.xlsx&amp;sheet=A0&amp;row=217&amp;col=28&amp;number=&amp;sourceID=13","")</f>
        <v/>
      </c>
      <c r="AC217" s="4" t="str">
        <f>HYPERLINK("http://141.218.60.56/~jnz1568/getInfo.php?workbook=09_01.xlsx&amp;sheet=A0&amp;row=217&amp;col=29&amp;number=&amp;sourceID=13","")</f>
        <v/>
      </c>
      <c r="AD217" s="4" t="str">
        <f>HYPERLINK("http://141.218.60.56/~jnz1568/getInfo.php?workbook=09_01.xlsx&amp;sheet=A0&amp;row=217&amp;col=30&amp;number=&amp;sourceID=13","")</f>
        <v/>
      </c>
      <c r="AE217" s="4" t="str">
        <f>HYPERLINK("http://141.218.60.56/~jnz1568/getInfo.php?workbook=09_01.xlsx&amp;sheet=A0&amp;row=217&amp;col=31&amp;number=&amp;sourceID=13","")</f>
        <v/>
      </c>
    </row>
    <row r="218" spans="1:31">
      <c r="A218" s="3">
        <v>9</v>
      </c>
      <c r="B218" s="3">
        <v>1</v>
      </c>
      <c r="C218" s="3">
        <v>22</v>
      </c>
      <c r="D218" s="3">
        <v>13</v>
      </c>
      <c r="E218" s="3">
        <f>((1/(INDEX(E0!J$4:J$28,C218,1)-INDEX(E0!J$4:J$28,D218,1))))*100000000</f>
        <v>0</v>
      </c>
      <c r="F218" s="4" t="str">
        <f>HYPERLINK("http://141.218.60.56/~jnz1568/getInfo.php?workbook=09_01.xlsx&amp;sheet=A0&amp;row=218&amp;col=6&amp;number=&amp;sourceID=18","")</f>
        <v/>
      </c>
      <c r="G218" s="4" t="str">
        <f>HYPERLINK("http://141.218.60.56/~jnz1568/getInfo.php?workbook=09_01.xlsx&amp;sheet=A0&amp;row=218&amp;col=7&amp;number==&amp;sourceID=11","=")</f>
        <v>=</v>
      </c>
      <c r="H218" s="4" t="str">
        <f>HYPERLINK("http://141.218.60.56/~jnz1568/getInfo.php?workbook=09_01.xlsx&amp;sheet=A0&amp;row=218&amp;col=8&amp;number=9750100000&amp;sourceID=11","9750100000")</f>
        <v>9750100000</v>
      </c>
      <c r="I218" s="4" t="str">
        <f>HYPERLINK("http://141.218.60.56/~jnz1568/getInfo.php?workbook=09_01.xlsx&amp;sheet=A0&amp;row=218&amp;col=9&amp;number=&amp;sourceID=11","")</f>
        <v/>
      </c>
      <c r="J218" s="4" t="str">
        <f>HYPERLINK("http://141.218.60.56/~jnz1568/getInfo.php?workbook=09_01.xlsx&amp;sheet=A0&amp;row=218&amp;col=10&amp;number=2.5085&amp;sourceID=11","2.5085")</f>
        <v>2.5085</v>
      </c>
      <c r="K218" s="4" t="str">
        <f>HYPERLINK("http://141.218.60.56/~jnz1568/getInfo.php?workbook=09_01.xlsx&amp;sheet=A0&amp;row=218&amp;col=11&amp;number=&amp;sourceID=11","")</f>
        <v/>
      </c>
      <c r="L218" s="4" t="str">
        <f>HYPERLINK("http://141.218.60.56/~jnz1568/getInfo.php?workbook=09_01.xlsx&amp;sheet=A0&amp;row=218&amp;col=12&amp;number=5.5876&amp;sourceID=11","5.5876")</f>
        <v>5.5876</v>
      </c>
      <c r="M218" s="4" t="str">
        <f>HYPERLINK("http://141.218.60.56/~jnz1568/getInfo.php?workbook=09_01.xlsx&amp;sheet=A0&amp;row=218&amp;col=13&amp;number=&amp;sourceID=11","")</f>
        <v/>
      </c>
      <c r="N218" s="4" t="str">
        <f>HYPERLINK("http://141.218.60.56/~jnz1568/getInfo.php?workbook=09_01.xlsx&amp;sheet=A0&amp;row=218&amp;col=14&amp;number=9750400000&amp;sourceID=12","9750400000")</f>
        <v>9750400000</v>
      </c>
      <c r="O218" s="4" t="str">
        <f>HYPERLINK("http://141.218.60.56/~jnz1568/getInfo.php?workbook=09_01.xlsx&amp;sheet=A0&amp;row=218&amp;col=15&amp;number=9750400000&amp;sourceID=12","9750400000")</f>
        <v>9750400000</v>
      </c>
      <c r="P218" s="4" t="str">
        <f>HYPERLINK("http://141.218.60.56/~jnz1568/getInfo.php?workbook=09_01.xlsx&amp;sheet=A0&amp;row=218&amp;col=16&amp;number=&amp;sourceID=12","")</f>
        <v/>
      </c>
      <c r="Q218" s="4" t="str">
        <f>HYPERLINK("http://141.218.60.56/~jnz1568/getInfo.php?workbook=09_01.xlsx&amp;sheet=A0&amp;row=218&amp;col=17&amp;number=2.5085&amp;sourceID=12","2.5085")</f>
        <v>2.5085</v>
      </c>
      <c r="R218" s="4" t="str">
        <f>HYPERLINK("http://141.218.60.56/~jnz1568/getInfo.php?workbook=09_01.xlsx&amp;sheet=A0&amp;row=218&amp;col=18&amp;number=&amp;sourceID=12","")</f>
        <v/>
      </c>
      <c r="S218" s="4" t="str">
        <f>HYPERLINK("http://141.218.60.56/~jnz1568/getInfo.php?workbook=09_01.xlsx&amp;sheet=A0&amp;row=218&amp;col=19&amp;number=5.5878&amp;sourceID=12","5.5878")</f>
        <v>5.5878</v>
      </c>
      <c r="T218" s="4" t="str">
        <f>HYPERLINK("http://141.218.60.56/~jnz1568/getInfo.php?workbook=09_01.xlsx&amp;sheet=A0&amp;row=218&amp;col=20&amp;number=&amp;sourceID=12","")</f>
        <v/>
      </c>
      <c r="U218" s="4" t="str">
        <f>HYPERLINK("http://141.218.60.56/~jnz1568/getInfo.php?workbook=09_01.xlsx&amp;sheet=A0&amp;row=218&amp;col=21&amp;number=9750000005.59&amp;sourceID=30","9750000005.59")</f>
        <v>9750000005.59</v>
      </c>
      <c r="V218" s="4" t="str">
        <f>HYPERLINK("http://141.218.60.56/~jnz1568/getInfo.php?workbook=09_01.xlsx&amp;sheet=A0&amp;row=218&amp;col=22&amp;number=9750000000&amp;sourceID=30","9750000000")</f>
        <v>9750000000</v>
      </c>
      <c r="W218" s="4" t="str">
        <f>HYPERLINK("http://141.218.60.56/~jnz1568/getInfo.php?workbook=09_01.xlsx&amp;sheet=A0&amp;row=218&amp;col=23&amp;number=&amp;sourceID=30","")</f>
        <v/>
      </c>
      <c r="X218" s="4" t="str">
        <f>HYPERLINK("http://141.218.60.56/~jnz1568/getInfo.php?workbook=09_01.xlsx&amp;sheet=A0&amp;row=218&amp;col=24&amp;number=&amp;sourceID=30","")</f>
        <v/>
      </c>
      <c r="Y218" s="4" t="str">
        <f>HYPERLINK("http://141.218.60.56/~jnz1568/getInfo.php?workbook=09_01.xlsx&amp;sheet=A0&amp;row=218&amp;col=25&amp;number=5.588&amp;sourceID=30","5.588")</f>
        <v>5.588</v>
      </c>
      <c r="Z218" s="4" t="str">
        <f>HYPERLINK("http://141.218.60.56/~jnz1568/getInfo.php?workbook=09_01.xlsx&amp;sheet=A0&amp;row=218&amp;col=26&amp;number=&amp;sourceID=13","")</f>
        <v/>
      </c>
      <c r="AA218" s="4" t="str">
        <f>HYPERLINK("http://141.218.60.56/~jnz1568/getInfo.php?workbook=09_01.xlsx&amp;sheet=A0&amp;row=218&amp;col=27&amp;number=&amp;sourceID=13","")</f>
        <v/>
      </c>
      <c r="AB218" s="4" t="str">
        <f>HYPERLINK("http://141.218.60.56/~jnz1568/getInfo.php?workbook=09_01.xlsx&amp;sheet=A0&amp;row=218&amp;col=28&amp;number=&amp;sourceID=13","")</f>
        <v/>
      </c>
      <c r="AC218" s="4" t="str">
        <f>HYPERLINK("http://141.218.60.56/~jnz1568/getInfo.php?workbook=09_01.xlsx&amp;sheet=A0&amp;row=218&amp;col=29&amp;number=&amp;sourceID=13","")</f>
        <v/>
      </c>
      <c r="AD218" s="4" t="str">
        <f>HYPERLINK("http://141.218.60.56/~jnz1568/getInfo.php?workbook=09_01.xlsx&amp;sheet=A0&amp;row=218&amp;col=30&amp;number=&amp;sourceID=13","")</f>
        <v/>
      </c>
      <c r="AE218" s="4" t="str">
        <f>HYPERLINK("http://141.218.60.56/~jnz1568/getInfo.php?workbook=09_01.xlsx&amp;sheet=A0&amp;row=218&amp;col=31&amp;number=&amp;sourceID=13","")</f>
        <v/>
      </c>
    </row>
    <row r="219" spans="1:31">
      <c r="A219" s="3">
        <v>9</v>
      </c>
      <c r="B219" s="3">
        <v>1</v>
      </c>
      <c r="C219" s="3">
        <v>22</v>
      </c>
      <c r="D219" s="3">
        <v>14</v>
      </c>
      <c r="E219" s="3">
        <f>((1/(INDEX(E0!J$4:J$28,C219,1)-INDEX(E0!J$4:J$28,D219,1))))*100000000</f>
        <v>0</v>
      </c>
      <c r="F219" s="4" t="str">
        <f>HYPERLINK("http://141.218.60.56/~jnz1568/getInfo.php?workbook=09_01.xlsx&amp;sheet=A0&amp;row=219&amp;col=6&amp;number=&amp;sourceID=18","")</f>
        <v/>
      </c>
      <c r="G219" s="4" t="str">
        <f>HYPERLINK("http://141.218.60.56/~jnz1568/getInfo.php?workbook=09_01.xlsx&amp;sheet=A0&amp;row=219&amp;col=7&amp;number==&amp;sourceID=11","=")</f>
        <v>=</v>
      </c>
      <c r="H219" s="4" t="str">
        <f>HYPERLINK("http://141.218.60.56/~jnz1568/getInfo.php?workbook=09_01.xlsx&amp;sheet=A0&amp;row=219&amp;col=8&amp;number=15786000&amp;sourceID=11","15786000")</f>
        <v>15786000</v>
      </c>
      <c r="I219" s="4" t="str">
        <f>HYPERLINK("http://141.218.60.56/~jnz1568/getInfo.php?workbook=09_01.xlsx&amp;sheet=A0&amp;row=219&amp;col=9&amp;number=&amp;sourceID=11","")</f>
        <v/>
      </c>
      <c r="J219" s="4" t="str">
        <f>HYPERLINK("http://141.218.60.56/~jnz1568/getInfo.php?workbook=09_01.xlsx&amp;sheet=A0&amp;row=219&amp;col=10&amp;number=0.22547&amp;sourceID=11","0.22547")</f>
        <v>0.22547</v>
      </c>
      <c r="K219" s="4" t="str">
        <f>HYPERLINK("http://141.218.60.56/~jnz1568/getInfo.php?workbook=09_01.xlsx&amp;sheet=A0&amp;row=219&amp;col=11&amp;number=&amp;sourceID=11","")</f>
        <v/>
      </c>
      <c r="L219" s="4" t="str">
        <f>HYPERLINK("http://141.218.60.56/~jnz1568/getInfo.php?workbook=09_01.xlsx&amp;sheet=A0&amp;row=219&amp;col=12&amp;number=&amp;sourceID=11","")</f>
        <v/>
      </c>
      <c r="M219" s="4" t="str">
        <f>HYPERLINK("http://141.218.60.56/~jnz1568/getInfo.php?workbook=09_01.xlsx&amp;sheet=A0&amp;row=219&amp;col=13&amp;number=&amp;sourceID=11","")</f>
        <v/>
      </c>
      <c r="N219" s="4" t="str">
        <f>HYPERLINK("http://141.218.60.56/~jnz1568/getInfo.php?workbook=09_01.xlsx&amp;sheet=A0&amp;row=219&amp;col=14&amp;number=15786000&amp;sourceID=12","15786000")</f>
        <v>15786000</v>
      </c>
      <c r="O219" s="4" t="str">
        <f>HYPERLINK("http://141.218.60.56/~jnz1568/getInfo.php?workbook=09_01.xlsx&amp;sheet=A0&amp;row=219&amp;col=15&amp;number=15786000&amp;sourceID=12","15786000")</f>
        <v>15786000</v>
      </c>
      <c r="P219" s="4" t="str">
        <f>HYPERLINK("http://141.218.60.56/~jnz1568/getInfo.php?workbook=09_01.xlsx&amp;sheet=A0&amp;row=219&amp;col=16&amp;number=&amp;sourceID=12","")</f>
        <v/>
      </c>
      <c r="Q219" s="4" t="str">
        <f>HYPERLINK("http://141.218.60.56/~jnz1568/getInfo.php?workbook=09_01.xlsx&amp;sheet=A0&amp;row=219&amp;col=17&amp;number=0.22547&amp;sourceID=12","0.22547")</f>
        <v>0.22547</v>
      </c>
      <c r="R219" s="4" t="str">
        <f>HYPERLINK("http://141.218.60.56/~jnz1568/getInfo.php?workbook=09_01.xlsx&amp;sheet=A0&amp;row=219&amp;col=18&amp;number=&amp;sourceID=12","")</f>
        <v/>
      </c>
      <c r="S219" s="4" t="str">
        <f>HYPERLINK("http://141.218.60.56/~jnz1568/getInfo.php?workbook=09_01.xlsx&amp;sheet=A0&amp;row=219&amp;col=19&amp;number=&amp;sourceID=12","")</f>
        <v/>
      </c>
      <c r="T219" s="4" t="str">
        <f>HYPERLINK("http://141.218.60.56/~jnz1568/getInfo.php?workbook=09_01.xlsx&amp;sheet=A0&amp;row=219&amp;col=20&amp;number=&amp;sourceID=12","")</f>
        <v/>
      </c>
      <c r="U219" s="4" t="str">
        <f>HYPERLINK("http://141.218.60.56/~jnz1568/getInfo.php?workbook=09_01.xlsx&amp;sheet=A0&amp;row=219&amp;col=21&amp;number=15790000&amp;sourceID=30","15790000")</f>
        <v>15790000</v>
      </c>
      <c r="V219" s="4" t="str">
        <f>HYPERLINK("http://141.218.60.56/~jnz1568/getInfo.php?workbook=09_01.xlsx&amp;sheet=A0&amp;row=219&amp;col=22&amp;number=15790000&amp;sourceID=30","15790000")</f>
        <v>15790000</v>
      </c>
      <c r="W219" s="4" t="str">
        <f>HYPERLINK("http://141.218.60.56/~jnz1568/getInfo.php?workbook=09_01.xlsx&amp;sheet=A0&amp;row=219&amp;col=23&amp;number=&amp;sourceID=30","")</f>
        <v/>
      </c>
      <c r="X219" s="4" t="str">
        <f>HYPERLINK("http://141.218.60.56/~jnz1568/getInfo.php?workbook=09_01.xlsx&amp;sheet=A0&amp;row=219&amp;col=24&amp;number=&amp;sourceID=30","")</f>
        <v/>
      </c>
      <c r="Y219" s="4" t="str">
        <f>HYPERLINK("http://141.218.60.56/~jnz1568/getInfo.php?workbook=09_01.xlsx&amp;sheet=A0&amp;row=219&amp;col=25&amp;number=&amp;sourceID=30","")</f>
        <v/>
      </c>
      <c r="Z219" s="4" t="str">
        <f>HYPERLINK("http://141.218.60.56/~jnz1568/getInfo.php?workbook=09_01.xlsx&amp;sheet=A0&amp;row=219&amp;col=26&amp;number=&amp;sourceID=13","")</f>
        <v/>
      </c>
      <c r="AA219" s="4" t="str">
        <f>HYPERLINK("http://141.218.60.56/~jnz1568/getInfo.php?workbook=09_01.xlsx&amp;sheet=A0&amp;row=219&amp;col=27&amp;number=&amp;sourceID=13","")</f>
        <v/>
      </c>
      <c r="AB219" s="4" t="str">
        <f>HYPERLINK("http://141.218.60.56/~jnz1568/getInfo.php?workbook=09_01.xlsx&amp;sheet=A0&amp;row=219&amp;col=28&amp;number=&amp;sourceID=13","")</f>
        <v/>
      </c>
      <c r="AC219" s="4" t="str">
        <f>HYPERLINK("http://141.218.60.56/~jnz1568/getInfo.php?workbook=09_01.xlsx&amp;sheet=A0&amp;row=219&amp;col=29&amp;number=&amp;sourceID=13","")</f>
        <v/>
      </c>
      <c r="AD219" s="4" t="str">
        <f>HYPERLINK("http://141.218.60.56/~jnz1568/getInfo.php?workbook=09_01.xlsx&amp;sheet=A0&amp;row=219&amp;col=30&amp;number=&amp;sourceID=13","")</f>
        <v/>
      </c>
      <c r="AE219" s="4" t="str">
        <f>HYPERLINK("http://141.218.60.56/~jnz1568/getInfo.php?workbook=09_01.xlsx&amp;sheet=A0&amp;row=219&amp;col=31&amp;number=&amp;sourceID=13","")</f>
        <v/>
      </c>
    </row>
    <row r="220" spans="1:31">
      <c r="A220" s="3">
        <v>9</v>
      </c>
      <c r="B220" s="3">
        <v>1</v>
      </c>
      <c r="C220" s="3">
        <v>22</v>
      </c>
      <c r="D220" s="3">
        <v>15</v>
      </c>
      <c r="E220" s="3">
        <f>((1/(INDEX(E0!J$4:J$28,C220,1)-INDEX(E0!J$4:J$28,D220,1))))*100000000</f>
        <v>0</v>
      </c>
      <c r="F220" s="4" t="str">
        <f>HYPERLINK("http://141.218.60.56/~jnz1568/getInfo.php?workbook=09_01.xlsx&amp;sheet=A0&amp;row=220&amp;col=6&amp;number=&amp;sourceID=18","")</f>
        <v/>
      </c>
      <c r="G220" s="4" t="str">
        <f>HYPERLINK("http://141.218.60.56/~jnz1568/getInfo.php?workbook=09_01.xlsx&amp;sheet=A0&amp;row=220&amp;col=7&amp;number==&amp;sourceID=11","=")</f>
        <v>=</v>
      </c>
      <c r="H220" s="4" t="str">
        <f>HYPERLINK("http://141.218.60.56/~jnz1568/getInfo.php?workbook=09_01.xlsx&amp;sheet=A0&amp;row=220&amp;col=8&amp;number=&amp;sourceID=11","")</f>
        <v/>
      </c>
      <c r="I220" s="4" t="str">
        <f>HYPERLINK("http://141.218.60.56/~jnz1568/getInfo.php?workbook=09_01.xlsx&amp;sheet=A0&amp;row=220&amp;col=9&amp;number=113000&amp;sourceID=11","113000")</f>
        <v>113000</v>
      </c>
      <c r="J220" s="4" t="str">
        <f>HYPERLINK("http://141.218.60.56/~jnz1568/getInfo.php?workbook=09_01.xlsx&amp;sheet=A0&amp;row=220&amp;col=10&amp;number=&amp;sourceID=11","")</f>
        <v/>
      </c>
      <c r="K220" s="4" t="str">
        <f>HYPERLINK("http://141.218.60.56/~jnz1568/getInfo.php?workbook=09_01.xlsx&amp;sheet=A0&amp;row=220&amp;col=11&amp;number=0.010123&amp;sourceID=11","0.010123")</f>
        <v>0.010123</v>
      </c>
      <c r="L220" s="4" t="str">
        <f>HYPERLINK("http://141.218.60.56/~jnz1568/getInfo.php?workbook=09_01.xlsx&amp;sheet=A0&amp;row=220&amp;col=12&amp;number=&amp;sourceID=11","")</f>
        <v/>
      </c>
      <c r="M220" s="4" t="str">
        <f>HYPERLINK("http://141.218.60.56/~jnz1568/getInfo.php?workbook=09_01.xlsx&amp;sheet=A0&amp;row=220&amp;col=13&amp;number=0.00010267&amp;sourceID=11","0.00010267")</f>
        <v>0.00010267</v>
      </c>
      <c r="N220" s="4" t="str">
        <f>HYPERLINK("http://141.218.60.56/~jnz1568/getInfo.php?workbook=09_01.xlsx&amp;sheet=A0&amp;row=220&amp;col=14&amp;number=113010&amp;sourceID=12","113010")</f>
        <v>113010</v>
      </c>
      <c r="O220" s="4" t="str">
        <f>HYPERLINK("http://141.218.60.56/~jnz1568/getInfo.php?workbook=09_01.xlsx&amp;sheet=A0&amp;row=220&amp;col=15&amp;number=&amp;sourceID=12","")</f>
        <v/>
      </c>
      <c r="P220" s="4" t="str">
        <f>HYPERLINK("http://141.218.60.56/~jnz1568/getInfo.php?workbook=09_01.xlsx&amp;sheet=A0&amp;row=220&amp;col=16&amp;number=113010&amp;sourceID=12","113010")</f>
        <v>113010</v>
      </c>
      <c r="Q220" s="4" t="str">
        <f>HYPERLINK("http://141.218.60.56/~jnz1568/getInfo.php?workbook=09_01.xlsx&amp;sheet=A0&amp;row=220&amp;col=17&amp;number=&amp;sourceID=12","")</f>
        <v/>
      </c>
      <c r="R220" s="4" t="str">
        <f>HYPERLINK("http://141.218.60.56/~jnz1568/getInfo.php?workbook=09_01.xlsx&amp;sheet=A0&amp;row=220&amp;col=18&amp;number=0.010124&amp;sourceID=12","0.010124")</f>
        <v>0.010124</v>
      </c>
      <c r="S220" s="4" t="str">
        <f>HYPERLINK("http://141.218.60.56/~jnz1568/getInfo.php?workbook=09_01.xlsx&amp;sheet=A0&amp;row=220&amp;col=19&amp;number=&amp;sourceID=12","")</f>
        <v/>
      </c>
      <c r="T220" s="4" t="str">
        <f>HYPERLINK("http://141.218.60.56/~jnz1568/getInfo.php?workbook=09_01.xlsx&amp;sheet=A0&amp;row=220&amp;col=20&amp;number=0.00010267&amp;sourceID=12","0.00010267")</f>
        <v>0.00010267</v>
      </c>
      <c r="U220" s="4" t="str">
        <f>HYPERLINK("http://141.218.60.56/~jnz1568/getInfo.php?workbook=09_01.xlsx&amp;sheet=A0&amp;row=220&amp;col=21&amp;number=113000.01012&amp;sourceID=30","113000.01012")</f>
        <v>113000.01012</v>
      </c>
      <c r="V220" s="4" t="str">
        <f>HYPERLINK("http://141.218.60.56/~jnz1568/getInfo.php?workbook=09_01.xlsx&amp;sheet=A0&amp;row=220&amp;col=22&amp;number=&amp;sourceID=30","")</f>
        <v/>
      </c>
      <c r="W220" s="4" t="str">
        <f>HYPERLINK("http://141.218.60.56/~jnz1568/getInfo.php?workbook=09_01.xlsx&amp;sheet=A0&amp;row=220&amp;col=23&amp;number=113000&amp;sourceID=30","113000")</f>
        <v>113000</v>
      </c>
      <c r="X220" s="4" t="str">
        <f>HYPERLINK("http://141.218.60.56/~jnz1568/getInfo.php?workbook=09_01.xlsx&amp;sheet=A0&amp;row=220&amp;col=24&amp;number=0.01012&amp;sourceID=30","0.01012")</f>
        <v>0.01012</v>
      </c>
      <c r="Y220" s="4" t="str">
        <f>HYPERLINK("http://141.218.60.56/~jnz1568/getInfo.php?workbook=09_01.xlsx&amp;sheet=A0&amp;row=220&amp;col=25&amp;number=&amp;sourceID=30","")</f>
        <v/>
      </c>
      <c r="Z220" s="4" t="str">
        <f>HYPERLINK("http://141.218.60.56/~jnz1568/getInfo.php?workbook=09_01.xlsx&amp;sheet=A0&amp;row=220&amp;col=26&amp;number=&amp;sourceID=13","")</f>
        <v/>
      </c>
      <c r="AA220" s="4" t="str">
        <f>HYPERLINK("http://141.218.60.56/~jnz1568/getInfo.php?workbook=09_01.xlsx&amp;sheet=A0&amp;row=220&amp;col=27&amp;number=&amp;sourceID=13","")</f>
        <v/>
      </c>
      <c r="AB220" s="4" t="str">
        <f>HYPERLINK("http://141.218.60.56/~jnz1568/getInfo.php?workbook=09_01.xlsx&amp;sheet=A0&amp;row=220&amp;col=28&amp;number=&amp;sourceID=13","")</f>
        <v/>
      </c>
      <c r="AC220" s="4" t="str">
        <f>HYPERLINK("http://141.218.60.56/~jnz1568/getInfo.php?workbook=09_01.xlsx&amp;sheet=A0&amp;row=220&amp;col=29&amp;number=&amp;sourceID=13","")</f>
        <v/>
      </c>
      <c r="AD220" s="4" t="str">
        <f>HYPERLINK("http://141.218.60.56/~jnz1568/getInfo.php?workbook=09_01.xlsx&amp;sheet=A0&amp;row=220&amp;col=30&amp;number=&amp;sourceID=13","")</f>
        <v/>
      </c>
      <c r="AE220" s="4" t="str">
        <f>HYPERLINK("http://141.218.60.56/~jnz1568/getInfo.php?workbook=09_01.xlsx&amp;sheet=A0&amp;row=220&amp;col=31&amp;number=&amp;sourceID=13","")</f>
        <v/>
      </c>
    </row>
    <row r="221" spans="1:31">
      <c r="A221" s="3">
        <v>9</v>
      </c>
      <c r="B221" s="3">
        <v>1</v>
      </c>
      <c r="C221" s="3">
        <v>22</v>
      </c>
      <c r="D221" s="3">
        <v>16</v>
      </c>
      <c r="E221" s="3">
        <f>((1/(INDEX(E0!J$4:J$28,C221,1)-INDEX(E0!J$4:J$28,D221,1))))*100000000</f>
        <v>0</v>
      </c>
      <c r="F221" s="4" t="str">
        <f>HYPERLINK("http://141.218.60.56/~jnz1568/getInfo.php?workbook=09_01.xlsx&amp;sheet=A0&amp;row=221&amp;col=6&amp;number=&amp;sourceID=18","")</f>
        <v/>
      </c>
      <c r="G221" s="4" t="str">
        <f>HYPERLINK("http://141.218.60.56/~jnz1568/getInfo.php?workbook=09_01.xlsx&amp;sheet=A0&amp;row=221&amp;col=7&amp;number==&amp;sourceID=11","=")</f>
        <v>=</v>
      </c>
      <c r="H221" s="4" t="str">
        <f>HYPERLINK("http://141.218.60.56/~jnz1568/getInfo.php?workbook=09_01.xlsx&amp;sheet=A0&amp;row=221&amp;col=8&amp;number=316340000&amp;sourceID=11","316340000")</f>
        <v>316340000</v>
      </c>
      <c r="I221" s="4" t="str">
        <f>HYPERLINK("http://141.218.60.56/~jnz1568/getInfo.php?workbook=09_01.xlsx&amp;sheet=A0&amp;row=221&amp;col=9&amp;number=&amp;sourceID=11","")</f>
        <v/>
      </c>
      <c r="J221" s="4" t="str">
        <f>HYPERLINK("http://141.218.60.56/~jnz1568/getInfo.php?workbook=09_01.xlsx&amp;sheet=A0&amp;row=221&amp;col=10&amp;number=0.56331&amp;sourceID=11","0.56331")</f>
        <v>0.56331</v>
      </c>
      <c r="K221" s="4" t="str">
        <f>HYPERLINK("http://141.218.60.56/~jnz1568/getInfo.php?workbook=09_01.xlsx&amp;sheet=A0&amp;row=221&amp;col=11&amp;number=&amp;sourceID=11","")</f>
        <v/>
      </c>
      <c r="L221" s="4" t="str">
        <f>HYPERLINK("http://141.218.60.56/~jnz1568/getInfo.php?workbook=09_01.xlsx&amp;sheet=A0&amp;row=221&amp;col=12&amp;number=0.27378&amp;sourceID=11","0.27378")</f>
        <v>0.27378</v>
      </c>
      <c r="M221" s="4" t="str">
        <f>HYPERLINK("http://141.218.60.56/~jnz1568/getInfo.php?workbook=09_01.xlsx&amp;sheet=A0&amp;row=221&amp;col=13&amp;number=&amp;sourceID=11","")</f>
        <v/>
      </c>
      <c r="N221" s="4" t="str">
        <f>HYPERLINK("http://141.218.60.56/~jnz1568/getInfo.php?workbook=09_01.xlsx&amp;sheet=A0&amp;row=221&amp;col=14&amp;number=316350000&amp;sourceID=12","316350000")</f>
        <v>316350000</v>
      </c>
      <c r="O221" s="4" t="str">
        <f>HYPERLINK("http://141.218.60.56/~jnz1568/getInfo.php?workbook=09_01.xlsx&amp;sheet=A0&amp;row=221&amp;col=15&amp;number=316350000&amp;sourceID=12","316350000")</f>
        <v>316350000</v>
      </c>
      <c r="P221" s="4" t="str">
        <f>HYPERLINK("http://141.218.60.56/~jnz1568/getInfo.php?workbook=09_01.xlsx&amp;sheet=A0&amp;row=221&amp;col=16&amp;number=&amp;sourceID=12","")</f>
        <v/>
      </c>
      <c r="Q221" s="4" t="str">
        <f>HYPERLINK("http://141.218.60.56/~jnz1568/getInfo.php?workbook=09_01.xlsx&amp;sheet=A0&amp;row=221&amp;col=17&amp;number=0.56332&amp;sourceID=12","0.56332")</f>
        <v>0.56332</v>
      </c>
      <c r="R221" s="4" t="str">
        <f>HYPERLINK("http://141.218.60.56/~jnz1568/getInfo.php?workbook=09_01.xlsx&amp;sheet=A0&amp;row=221&amp;col=18&amp;number=&amp;sourceID=12","")</f>
        <v/>
      </c>
      <c r="S221" s="4" t="str">
        <f>HYPERLINK("http://141.218.60.56/~jnz1568/getInfo.php?workbook=09_01.xlsx&amp;sheet=A0&amp;row=221&amp;col=19&amp;number=0.27379&amp;sourceID=12","0.27379")</f>
        <v>0.27379</v>
      </c>
      <c r="T221" s="4" t="str">
        <f>HYPERLINK("http://141.218.60.56/~jnz1568/getInfo.php?workbook=09_01.xlsx&amp;sheet=A0&amp;row=221&amp;col=20&amp;number=&amp;sourceID=12","")</f>
        <v/>
      </c>
      <c r="U221" s="4" t="str">
        <f>HYPERLINK("http://141.218.60.56/~jnz1568/getInfo.php?workbook=09_01.xlsx&amp;sheet=A0&amp;row=221&amp;col=21&amp;number=316400000.274&amp;sourceID=30","316400000.274")</f>
        <v>316400000.274</v>
      </c>
      <c r="V221" s="4" t="str">
        <f>HYPERLINK("http://141.218.60.56/~jnz1568/getInfo.php?workbook=09_01.xlsx&amp;sheet=A0&amp;row=221&amp;col=22&amp;number=316400000&amp;sourceID=30","316400000")</f>
        <v>316400000</v>
      </c>
      <c r="W221" s="4" t="str">
        <f>HYPERLINK("http://141.218.60.56/~jnz1568/getInfo.php?workbook=09_01.xlsx&amp;sheet=A0&amp;row=221&amp;col=23&amp;number=&amp;sourceID=30","")</f>
        <v/>
      </c>
      <c r="X221" s="4" t="str">
        <f>HYPERLINK("http://141.218.60.56/~jnz1568/getInfo.php?workbook=09_01.xlsx&amp;sheet=A0&amp;row=221&amp;col=24&amp;number=&amp;sourceID=30","")</f>
        <v/>
      </c>
      <c r="Y221" s="4" t="str">
        <f>HYPERLINK("http://141.218.60.56/~jnz1568/getInfo.php?workbook=09_01.xlsx&amp;sheet=A0&amp;row=221&amp;col=25&amp;number=0.2738&amp;sourceID=30","0.2738")</f>
        <v>0.2738</v>
      </c>
      <c r="Z221" s="4" t="str">
        <f>HYPERLINK("http://141.218.60.56/~jnz1568/getInfo.php?workbook=09_01.xlsx&amp;sheet=A0&amp;row=221&amp;col=26&amp;number=&amp;sourceID=13","")</f>
        <v/>
      </c>
      <c r="AA221" s="4" t="str">
        <f>HYPERLINK("http://141.218.60.56/~jnz1568/getInfo.php?workbook=09_01.xlsx&amp;sheet=A0&amp;row=221&amp;col=27&amp;number=&amp;sourceID=13","")</f>
        <v/>
      </c>
      <c r="AB221" s="4" t="str">
        <f>HYPERLINK("http://141.218.60.56/~jnz1568/getInfo.php?workbook=09_01.xlsx&amp;sheet=A0&amp;row=221&amp;col=28&amp;number=&amp;sourceID=13","")</f>
        <v/>
      </c>
      <c r="AC221" s="4" t="str">
        <f>HYPERLINK("http://141.218.60.56/~jnz1568/getInfo.php?workbook=09_01.xlsx&amp;sheet=A0&amp;row=221&amp;col=29&amp;number=&amp;sourceID=13","")</f>
        <v/>
      </c>
      <c r="AD221" s="4" t="str">
        <f>HYPERLINK("http://141.218.60.56/~jnz1568/getInfo.php?workbook=09_01.xlsx&amp;sheet=A0&amp;row=221&amp;col=30&amp;number=&amp;sourceID=13","")</f>
        <v/>
      </c>
      <c r="AE221" s="4" t="str">
        <f>HYPERLINK("http://141.218.60.56/~jnz1568/getInfo.php?workbook=09_01.xlsx&amp;sheet=A0&amp;row=221&amp;col=31&amp;number=&amp;sourceID=13","")</f>
        <v/>
      </c>
    </row>
    <row r="222" spans="1:31">
      <c r="A222" s="3">
        <v>9</v>
      </c>
      <c r="B222" s="3">
        <v>1</v>
      </c>
      <c r="C222" s="3">
        <v>22</v>
      </c>
      <c r="D222" s="3">
        <v>17</v>
      </c>
      <c r="E222" s="3">
        <f>((1/(INDEX(E0!J$4:J$28,C222,1)-INDEX(E0!J$4:J$28,D222,1))))*100000000</f>
        <v>0</v>
      </c>
      <c r="F222" s="4" t="str">
        <f>HYPERLINK("http://141.218.60.56/~jnz1568/getInfo.php?workbook=09_01.xlsx&amp;sheet=A0&amp;row=222&amp;col=6&amp;number=&amp;sourceID=18","")</f>
        <v/>
      </c>
      <c r="G222" s="4" t="str">
        <f>HYPERLINK("http://141.218.60.56/~jnz1568/getInfo.php?workbook=09_01.xlsx&amp;sheet=A0&amp;row=222&amp;col=7&amp;number==&amp;sourceID=11","=")</f>
        <v>=</v>
      </c>
      <c r="H222" s="4" t="str">
        <f>HYPERLINK("http://141.218.60.56/~jnz1568/getInfo.php?workbook=09_01.xlsx&amp;sheet=A0&amp;row=222&amp;col=8&amp;number=&amp;sourceID=11","")</f>
        <v/>
      </c>
      <c r="I222" s="4" t="str">
        <f>HYPERLINK("http://141.218.60.56/~jnz1568/getInfo.php?workbook=09_01.xlsx&amp;sheet=A0&amp;row=222&amp;col=9&amp;number=&amp;sourceID=11","")</f>
        <v/>
      </c>
      <c r="J222" s="4" t="str">
        <f>HYPERLINK("http://141.218.60.56/~jnz1568/getInfo.php?workbook=09_01.xlsx&amp;sheet=A0&amp;row=222&amp;col=10&amp;number=0&amp;sourceID=11","0")</f>
        <v>0</v>
      </c>
      <c r="K222" s="4" t="str">
        <f>HYPERLINK("http://141.218.60.56/~jnz1568/getInfo.php?workbook=09_01.xlsx&amp;sheet=A0&amp;row=222&amp;col=11&amp;number=&amp;sourceID=11","")</f>
        <v/>
      </c>
      <c r="L222" s="4" t="str">
        <f>HYPERLINK("http://141.218.60.56/~jnz1568/getInfo.php?workbook=09_01.xlsx&amp;sheet=A0&amp;row=222&amp;col=12&amp;number=1.1e-14&amp;sourceID=11","1.1e-14")</f>
        <v>1.1e-14</v>
      </c>
      <c r="M222" s="4" t="str">
        <f>HYPERLINK("http://141.218.60.56/~jnz1568/getInfo.php?workbook=09_01.xlsx&amp;sheet=A0&amp;row=222&amp;col=13&amp;number=&amp;sourceID=11","")</f>
        <v/>
      </c>
      <c r="N222" s="4" t="str">
        <f>HYPERLINK("http://141.218.60.56/~jnz1568/getInfo.php?workbook=09_01.xlsx&amp;sheet=A0&amp;row=222&amp;col=14&amp;number=1.1e-14&amp;sourceID=12","1.1e-14")</f>
        <v>1.1e-14</v>
      </c>
      <c r="O222" s="4" t="str">
        <f>HYPERLINK("http://141.218.60.56/~jnz1568/getInfo.php?workbook=09_01.xlsx&amp;sheet=A0&amp;row=222&amp;col=15&amp;number=&amp;sourceID=12","")</f>
        <v/>
      </c>
      <c r="P222" s="4" t="str">
        <f>HYPERLINK("http://141.218.60.56/~jnz1568/getInfo.php?workbook=09_01.xlsx&amp;sheet=A0&amp;row=222&amp;col=16&amp;number=&amp;sourceID=12","")</f>
        <v/>
      </c>
      <c r="Q222" s="4" t="str">
        <f>HYPERLINK("http://141.218.60.56/~jnz1568/getInfo.php?workbook=09_01.xlsx&amp;sheet=A0&amp;row=222&amp;col=17&amp;number=0&amp;sourceID=12","0")</f>
        <v>0</v>
      </c>
      <c r="R222" s="4" t="str">
        <f>HYPERLINK("http://141.218.60.56/~jnz1568/getInfo.php?workbook=09_01.xlsx&amp;sheet=A0&amp;row=222&amp;col=18&amp;number=&amp;sourceID=12","")</f>
        <v/>
      </c>
      <c r="S222" s="4" t="str">
        <f>HYPERLINK("http://141.218.60.56/~jnz1568/getInfo.php?workbook=09_01.xlsx&amp;sheet=A0&amp;row=222&amp;col=19&amp;number=1.1e-14&amp;sourceID=12","1.1e-14")</f>
        <v>1.1e-14</v>
      </c>
      <c r="T222" s="4" t="str">
        <f>HYPERLINK("http://141.218.60.56/~jnz1568/getInfo.php?workbook=09_01.xlsx&amp;sheet=A0&amp;row=222&amp;col=20&amp;number=&amp;sourceID=12","")</f>
        <v/>
      </c>
      <c r="U222" s="4" t="str">
        <f>HYPERLINK("http://141.218.60.56/~jnz1568/getInfo.php?workbook=09_01.xlsx&amp;sheet=A0&amp;row=222&amp;col=21&amp;number=1.1e-14&amp;sourceID=30","1.1e-14")</f>
        <v>1.1e-14</v>
      </c>
      <c r="V222" s="4" t="str">
        <f>HYPERLINK("http://141.218.60.56/~jnz1568/getInfo.php?workbook=09_01.xlsx&amp;sheet=A0&amp;row=222&amp;col=22&amp;number=&amp;sourceID=30","")</f>
        <v/>
      </c>
      <c r="W222" s="4" t="str">
        <f>HYPERLINK("http://141.218.60.56/~jnz1568/getInfo.php?workbook=09_01.xlsx&amp;sheet=A0&amp;row=222&amp;col=23&amp;number=&amp;sourceID=30","")</f>
        <v/>
      </c>
      <c r="X222" s="4" t="str">
        <f>HYPERLINK("http://141.218.60.56/~jnz1568/getInfo.php?workbook=09_01.xlsx&amp;sheet=A0&amp;row=222&amp;col=24&amp;number=&amp;sourceID=30","")</f>
        <v/>
      </c>
      <c r="Y222" s="4" t="str">
        <f>HYPERLINK("http://141.218.60.56/~jnz1568/getInfo.php?workbook=09_01.xlsx&amp;sheet=A0&amp;row=222&amp;col=25&amp;number=1.1e-14&amp;sourceID=30","1.1e-14")</f>
        <v>1.1e-14</v>
      </c>
      <c r="Z222" s="4" t="str">
        <f>HYPERLINK("http://141.218.60.56/~jnz1568/getInfo.php?workbook=09_01.xlsx&amp;sheet=A0&amp;row=222&amp;col=26&amp;number=&amp;sourceID=13","")</f>
        <v/>
      </c>
      <c r="AA222" s="4" t="str">
        <f>HYPERLINK("http://141.218.60.56/~jnz1568/getInfo.php?workbook=09_01.xlsx&amp;sheet=A0&amp;row=222&amp;col=27&amp;number=&amp;sourceID=13","")</f>
        <v/>
      </c>
      <c r="AB222" s="4" t="str">
        <f>HYPERLINK("http://141.218.60.56/~jnz1568/getInfo.php?workbook=09_01.xlsx&amp;sheet=A0&amp;row=222&amp;col=28&amp;number=&amp;sourceID=13","")</f>
        <v/>
      </c>
      <c r="AC222" s="4" t="str">
        <f>HYPERLINK("http://141.218.60.56/~jnz1568/getInfo.php?workbook=09_01.xlsx&amp;sheet=A0&amp;row=222&amp;col=29&amp;number=&amp;sourceID=13","")</f>
        <v/>
      </c>
      <c r="AD222" s="4" t="str">
        <f>HYPERLINK("http://141.218.60.56/~jnz1568/getInfo.php?workbook=09_01.xlsx&amp;sheet=A0&amp;row=222&amp;col=30&amp;number=&amp;sourceID=13","")</f>
        <v/>
      </c>
      <c r="AE222" s="4" t="str">
        <f>HYPERLINK("http://141.218.60.56/~jnz1568/getInfo.php?workbook=09_01.xlsx&amp;sheet=A0&amp;row=222&amp;col=31&amp;number=&amp;sourceID=13","")</f>
        <v/>
      </c>
    </row>
    <row r="223" spans="1:31">
      <c r="A223" s="3">
        <v>9</v>
      </c>
      <c r="B223" s="3">
        <v>1</v>
      </c>
      <c r="C223" s="3">
        <v>22</v>
      </c>
      <c r="D223" s="3">
        <v>18</v>
      </c>
      <c r="E223" s="3">
        <f>((1/(INDEX(E0!J$4:J$28,C223,1)-INDEX(E0!J$4:J$28,D223,1))))*100000000</f>
        <v>0</v>
      </c>
      <c r="F223" s="4" t="str">
        <f>HYPERLINK("http://141.218.60.56/~jnz1568/getInfo.php?workbook=09_01.xlsx&amp;sheet=A0&amp;row=223&amp;col=6&amp;number=&amp;sourceID=18","")</f>
        <v/>
      </c>
      <c r="G223" s="4" t="str">
        <f>HYPERLINK("http://141.218.60.56/~jnz1568/getInfo.php?workbook=09_01.xlsx&amp;sheet=A0&amp;row=223&amp;col=7&amp;number==&amp;sourceID=11","=")</f>
        <v>=</v>
      </c>
      <c r="H223" s="4" t="str">
        <f>HYPERLINK("http://141.218.60.56/~jnz1568/getInfo.php?workbook=09_01.xlsx&amp;sheet=A0&amp;row=223&amp;col=8&amp;number=&amp;sourceID=11","")</f>
        <v/>
      </c>
      <c r="I223" s="4" t="str">
        <f>HYPERLINK("http://141.218.60.56/~jnz1568/getInfo.php?workbook=09_01.xlsx&amp;sheet=A0&amp;row=223&amp;col=9&amp;number=2.4266e-09&amp;sourceID=11","2.4266e-09")</f>
        <v>2.4266e-09</v>
      </c>
      <c r="J223" s="4" t="str">
        <f>HYPERLINK("http://141.218.60.56/~jnz1568/getInfo.php?workbook=09_01.xlsx&amp;sheet=A0&amp;row=223&amp;col=10&amp;number=&amp;sourceID=11","")</f>
        <v/>
      </c>
      <c r="K223" s="4" t="str">
        <f>HYPERLINK("http://141.218.60.56/~jnz1568/getInfo.php?workbook=09_01.xlsx&amp;sheet=A0&amp;row=223&amp;col=11&amp;number=&amp;sourceID=11","")</f>
        <v/>
      </c>
      <c r="L223" s="4" t="str">
        <f>HYPERLINK("http://141.218.60.56/~jnz1568/getInfo.php?workbook=09_01.xlsx&amp;sheet=A0&amp;row=223&amp;col=12&amp;number=&amp;sourceID=11","")</f>
        <v/>
      </c>
      <c r="M223" s="4" t="str">
        <f>HYPERLINK("http://141.218.60.56/~jnz1568/getInfo.php?workbook=09_01.xlsx&amp;sheet=A0&amp;row=223&amp;col=13&amp;number=0&amp;sourceID=11","0")</f>
        <v>0</v>
      </c>
      <c r="N223" s="4" t="str">
        <f>HYPERLINK("http://141.218.60.56/~jnz1568/getInfo.php?workbook=09_01.xlsx&amp;sheet=A0&amp;row=223&amp;col=14&amp;number=2.427e-09&amp;sourceID=12","2.427e-09")</f>
        <v>2.427e-09</v>
      </c>
      <c r="O223" s="4" t="str">
        <f>HYPERLINK("http://141.218.60.56/~jnz1568/getInfo.php?workbook=09_01.xlsx&amp;sheet=A0&amp;row=223&amp;col=15&amp;number=&amp;sourceID=12","")</f>
        <v/>
      </c>
      <c r="P223" s="4" t="str">
        <f>HYPERLINK("http://141.218.60.56/~jnz1568/getInfo.php?workbook=09_01.xlsx&amp;sheet=A0&amp;row=223&amp;col=16&amp;number=2.427e-09&amp;sourceID=12","2.427e-09")</f>
        <v>2.427e-09</v>
      </c>
      <c r="Q223" s="4" t="str">
        <f>HYPERLINK("http://141.218.60.56/~jnz1568/getInfo.php?workbook=09_01.xlsx&amp;sheet=A0&amp;row=223&amp;col=17&amp;number=&amp;sourceID=12","")</f>
        <v/>
      </c>
      <c r="R223" s="4" t="str">
        <f>HYPERLINK("http://141.218.60.56/~jnz1568/getInfo.php?workbook=09_01.xlsx&amp;sheet=A0&amp;row=223&amp;col=18&amp;number=&amp;sourceID=12","")</f>
        <v/>
      </c>
      <c r="S223" s="4" t="str">
        <f>HYPERLINK("http://141.218.60.56/~jnz1568/getInfo.php?workbook=09_01.xlsx&amp;sheet=A0&amp;row=223&amp;col=19&amp;number=&amp;sourceID=12","")</f>
        <v/>
      </c>
      <c r="T223" s="4" t="str">
        <f>HYPERLINK("http://141.218.60.56/~jnz1568/getInfo.php?workbook=09_01.xlsx&amp;sheet=A0&amp;row=223&amp;col=20&amp;number=0&amp;sourceID=12","0")</f>
        <v>0</v>
      </c>
      <c r="U223" s="4" t="str">
        <f>HYPERLINK("http://141.218.60.56/~jnz1568/getInfo.php?workbook=09_01.xlsx&amp;sheet=A0&amp;row=223&amp;col=21&amp;number=2.427e-09&amp;sourceID=30","2.427e-09")</f>
        <v>2.427e-09</v>
      </c>
      <c r="V223" s="4" t="str">
        <f>HYPERLINK("http://141.218.60.56/~jnz1568/getInfo.php?workbook=09_01.xlsx&amp;sheet=A0&amp;row=223&amp;col=22&amp;number=&amp;sourceID=30","")</f>
        <v/>
      </c>
      <c r="W223" s="4" t="str">
        <f>HYPERLINK("http://141.218.60.56/~jnz1568/getInfo.php?workbook=09_01.xlsx&amp;sheet=A0&amp;row=223&amp;col=23&amp;number=2.427e-09&amp;sourceID=30","2.427e-09")</f>
        <v>2.427e-09</v>
      </c>
      <c r="X223" s="4" t="str">
        <f>HYPERLINK("http://141.218.60.56/~jnz1568/getInfo.php?workbook=09_01.xlsx&amp;sheet=A0&amp;row=223&amp;col=24&amp;number=&amp;sourceID=30","")</f>
        <v/>
      </c>
      <c r="Y223" s="4" t="str">
        <f>HYPERLINK("http://141.218.60.56/~jnz1568/getInfo.php?workbook=09_01.xlsx&amp;sheet=A0&amp;row=223&amp;col=25&amp;number=&amp;sourceID=30","")</f>
        <v/>
      </c>
      <c r="Z223" s="4" t="str">
        <f>HYPERLINK("http://141.218.60.56/~jnz1568/getInfo.php?workbook=09_01.xlsx&amp;sheet=A0&amp;row=223&amp;col=26&amp;number=&amp;sourceID=13","")</f>
        <v/>
      </c>
      <c r="AA223" s="4" t="str">
        <f>HYPERLINK("http://141.218.60.56/~jnz1568/getInfo.php?workbook=09_01.xlsx&amp;sheet=A0&amp;row=223&amp;col=27&amp;number=&amp;sourceID=13","")</f>
        <v/>
      </c>
      <c r="AB223" s="4" t="str">
        <f>HYPERLINK("http://141.218.60.56/~jnz1568/getInfo.php?workbook=09_01.xlsx&amp;sheet=A0&amp;row=223&amp;col=28&amp;number=&amp;sourceID=13","")</f>
        <v/>
      </c>
      <c r="AC223" s="4" t="str">
        <f>HYPERLINK("http://141.218.60.56/~jnz1568/getInfo.php?workbook=09_01.xlsx&amp;sheet=A0&amp;row=223&amp;col=29&amp;number=&amp;sourceID=13","")</f>
        <v/>
      </c>
      <c r="AD223" s="4" t="str">
        <f>HYPERLINK("http://141.218.60.56/~jnz1568/getInfo.php?workbook=09_01.xlsx&amp;sheet=A0&amp;row=223&amp;col=30&amp;number=&amp;sourceID=13","")</f>
        <v/>
      </c>
      <c r="AE223" s="4" t="str">
        <f>HYPERLINK("http://141.218.60.56/~jnz1568/getInfo.php?workbook=09_01.xlsx&amp;sheet=A0&amp;row=223&amp;col=31&amp;number=&amp;sourceID=13","")</f>
        <v/>
      </c>
    </row>
    <row r="224" spans="1:31">
      <c r="A224" s="3">
        <v>9</v>
      </c>
      <c r="B224" s="3">
        <v>1</v>
      </c>
      <c r="C224" s="3">
        <v>22</v>
      </c>
      <c r="D224" s="3">
        <v>19</v>
      </c>
      <c r="E224" s="3">
        <f>((1/(INDEX(E0!J$4:J$28,C224,1)-INDEX(E0!J$4:J$28,D224,1))))*100000000</f>
        <v>0</v>
      </c>
      <c r="F224" s="4" t="str">
        <f>HYPERLINK("http://141.218.60.56/~jnz1568/getInfo.php?workbook=09_01.xlsx&amp;sheet=A0&amp;row=224&amp;col=6&amp;number=&amp;sourceID=18","")</f>
        <v/>
      </c>
      <c r="G224" s="4" t="str">
        <f>HYPERLINK("http://141.218.60.56/~jnz1568/getInfo.php?workbook=09_01.xlsx&amp;sheet=A0&amp;row=224&amp;col=7&amp;number==&amp;sourceID=11","=")</f>
        <v>=</v>
      </c>
      <c r="H224" s="4" t="str">
        <f>HYPERLINK("http://141.218.60.56/~jnz1568/getInfo.php?workbook=09_01.xlsx&amp;sheet=A0&amp;row=224&amp;col=8&amp;number=&amp;sourceID=11","")</f>
        <v/>
      </c>
      <c r="I224" s="4" t="str">
        <f>HYPERLINK("http://141.218.60.56/~jnz1568/getInfo.php?workbook=09_01.xlsx&amp;sheet=A0&amp;row=224&amp;col=9&amp;number=6.23e-13&amp;sourceID=11","6.23e-13")</f>
        <v>6.23e-13</v>
      </c>
      <c r="J224" s="4" t="str">
        <f>HYPERLINK("http://141.218.60.56/~jnz1568/getInfo.php?workbook=09_01.xlsx&amp;sheet=A0&amp;row=224&amp;col=10&amp;number=&amp;sourceID=11","")</f>
        <v/>
      </c>
      <c r="K224" s="4" t="str">
        <f>HYPERLINK("http://141.218.60.56/~jnz1568/getInfo.php?workbook=09_01.xlsx&amp;sheet=A0&amp;row=224&amp;col=11&amp;number=1.4449e-06&amp;sourceID=11","1.4449e-06")</f>
        <v>1.4449e-06</v>
      </c>
      <c r="L224" s="4" t="str">
        <f>HYPERLINK("http://141.218.60.56/~jnz1568/getInfo.php?workbook=09_01.xlsx&amp;sheet=A0&amp;row=224&amp;col=12&amp;number=&amp;sourceID=11","")</f>
        <v/>
      </c>
      <c r="M224" s="4" t="str">
        <f>HYPERLINK("http://141.218.60.56/~jnz1568/getInfo.php?workbook=09_01.xlsx&amp;sheet=A0&amp;row=224&amp;col=13&amp;number=0&amp;sourceID=11","0")</f>
        <v>0</v>
      </c>
      <c r="N224" s="4" t="str">
        <f>HYPERLINK("http://141.218.60.56/~jnz1568/getInfo.php?workbook=09_01.xlsx&amp;sheet=A0&amp;row=224&amp;col=14&amp;number=1.4452e-06&amp;sourceID=12","1.4452e-06")</f>
        <v>1.4452e-06</v>
      </c>
      <c r="O224" s="4" t="str">
        <f>HYPERLINK("http://141.218.60.56/~jnz1568/getInfo.php?workbook=09_01.xlsx&amp;sheet=A0&amp;row=224&amp;col=15&amp;number=&amp;sourceID=12","")</f>
        <v/>
      </c>
      <c r="P224" s="4" t="str">
        <f>HYPERLINK("http://141.218.60.56/~jnz1568/getInfo.php?workbook=09_01.xlsx&amp;sheet=A0&amp;row=224&amp;col=16&amp;number=6.23e-13&amp;sourceID=12","6.23e-13")</f>
        <v>6.23e-13</v>
      </c>
      <c r="Q224" s="4" t="str">
        <f>HYPERLINK("http://141.218.60.56/~jnz1568/getInfo.php?workbook=09_01.xlsx&amp;sheet=A0&amp;row=224&amp;col=17&amp;number=&amp;sourceID=12","")</f>
        <v/>
      </c>
      <c r="R224" s="4" t="str">
        <f>HYPERLINK("http://141.218.60.56/~jnz1568/getInfo.php?workbook=09_01.xlsx&amp;sheet=A0&amp;row=224&amp;col=18&amp;number=1.4452e-06&amp;sourceID=12","1.4452e-06")</f>
        <v>1.4452e-06</v>
      </c>
      <c r="S224" s="4" t="str">
        <f>HYPERLINK("http://141.218.60.56/~jnz1568/getInfo.php?workbook=09_01.xlsx&amp;sheet=A0&amp;row=224&amp;col=19&amp;number=&amp;sourceID=12","")</f>
        <v/>
      </c>
      <c r="T224" s="4" t="str">
        <f>HYPERLINK("http://141.218.60.56/~jnz1568/getInfo.php?workbook=09_01.xlsx&amp;sheet=A0&amp;row=224&amp;col=20&amp;number=0&amp;sourceID=12","0")</f>
        <v>0</v>
      </c>
      <c r="U224" s="4" t="str">
        <f>HYPERLINK("http://141.218.60.56/~jnz1568/getInfo.php?workbook=09_01.xlsx&amp;sheet=A0&amp;row=224&amp;col=21&amp;number=1.445000623e-06&amp;sourceID=30","1.445000623e-06")</f>
        <v>1.445000623e-06</v>
      </c>
      <c r="V224" s="4" t="str">
        <f>HYPERLINK("http://141.218.60.56/~jnz1568/getInfo.php?workbook=09_01.xlsx&amp;sheet=A0&amp;row=224&amp;col=22&amp;number=&amp;sourceID=30","")</f>
        <v/>
      </c>
      <c r="W224" s="4" t="str">
        <f>HYPERLINK("http://141.218.60.56/~jnz1568/getInfo.php?workbook=09_01.xlsx&amp;sheet=A0&amp;row=224&amp;col=23&amp;number=6.23e-13&amp;sourceID=30","6.23e-13")</f>
        <v>6.23e-13</v>
      </c>
      <c r="X224" s="4" t="str">
        <f>HYPERLINK("http://141.218.60.56/~jnz1568/getInfo.php?workbook=09_01.xlsx&amp;sheet=A0&amp;row=224&amp;col=24&amp;number=1.445e-06&amp;sourceID=30","1.445e-06")</f>
        <v>1.445e-06</v>
      </c>
      <c r="Y224" s="4" t="str">
        <f>HYPERLINK("http://141.218.60.56/~jnz1568/getInfo.php?workbook=09_01.xlsx&amp;sheet=A0&amp;row=224&amp;col=25&amp;number=&amp;sourceID=30","")</f>
        <v/>
      </c>
      <c r="Z224" s="4" t="str">
        <f>HYPERLINK("http://141.218.60.56/~jnz1568/getInfo.php?workbook=09_01.xlsx&amp;sheet=A0&amp;row=224&amp;col=26&amp;number=&amp;sourceID=13","")</f>
        <v/>
      </c>
      <c r="AA224" s="4" t="str">
        <f>HYPERLINK("http://141.218.60.56/~jnz1568/getInfo.php?workbook=09_01.xlsx&amp;sheet=A0&amp;row=224&amp;col=27&amp;number=&amp;sourceID=13","")</f>
        <v/>
      </c>
      <c r="AB224" s="4" t="str">
        <f>HYPERLINK("http://141.218.60.56/~jnz1568/getInfo.php?workbook=09_01.xlsx&amp;sheet=A0&amp;row=224&amp;col=28&amp;number=&amp;sourceID=13","")</f>
        <v/>
      </c>
      <c r="AC224" s="4" t="str">
        <f>HYPERLINK("http://141.218.60.56/~jnz1568/getInfo.php?workbook=09_01.xlsx&amp;sheet=A0&amp;row=224&amp;col=29&amp;number=&amp;sourceID=13","")</f>
        <v/>
      </c>
      <c r="AD224" s="4" t="str">
        <f>HYPERLINK("http://141.218.60.56/~jnz1568/getInfo.php?workbook=09_01.xlsx&amp;sheet=A0&amp;row=224&amp;col=30&amp;number=&amp;sourceID=13","")</f>
        <v/>
      </c>
      <c r="AE224" s="4" t="str">
        <f>HYPERLINK("http://141.218.60.56/~jnz1568/getInfo.php?workbook=09_01.xlsx&amp;sheet=A0&amp;row=224&amp;col=31&amp;number=&amp;sourceID=13","")</f>
        <v/>
      </c>
    </row>
    <row r="225" spans="1:31">
      <c r="A225" s="3">
        <v>9</v>
      </c>
      <c r="B225" s="3">
        <v>1</v>
      </c>
      <c r="C225" s="3">
        <v>22</v>
      </c>
      <c r="D225" s="3">
        <v>20</v>
      </c>
      <c r="E225" s="3">
        <f>((1/(INDEX(E0!J$4:J$28,C225,1)-INDEX(E0!J$4:J$28,D225,1))))*100000000</f>
        <v>0</v>
      </c>
      <c r="F225" s="4" t="str">
        <f>HYPERLINK("http://141.218.60.56/~jnz1568/getInfo.php?workbook=09_01.xlsx&amp;sheet=A0&amp;row=225&amp;col=6&amp;number=&amp;sourceID=18","")</f>
        <v/>
      </c>
      <c r="G225" s="4" t="str">
        <f>HYPERLINK("http://141.218.60.56/~jnz1568/getInfo.php?workbook=09_01.xlsx&amp;sheet=A0&amp;row=225&amp;col=7&amp;number==&amp;sourceID=11","=")</f>
        <v>=</v>
      </c>
      <c r="H225" s="4" t="str">
        <f>HYPERLINK("http://141.218.60.56/~jnz1568/getInfo.php?workbook=09_01.xlsx&amp;sheet=A0&amp;row=225&amp;col=8&amp;number=1.5824&amp;sourceID=11","1.5824")</f>
        <v>1.5824</v>
      </c>
      <c r="I225" s="4" t="str">
        <f>HYPERLINK("http://141.218.60.56/~jnz1568/getInfo.php?workbook=09_01.xlsx&amp;sheet=A0&amp;row=225&amp;col=9&amp;number=&amp;sourceID=11","")</f>
        <v/>
      </c>
      <c r="J225" s="4" t="str">
        <f>HYPERLINK("http://141.218.60.56/~jnz1568/getInfo.php?workbook=09_01.xlsx&amp;sheet=A0&amp;row=225&amp;col=10&amp;number=0&amp;sourceID=11","0")</f>
        <v>0</v>
      </c>
      <c r="K225" s="4" t="str">
        <f>HYPERLINK("http://141.218.60.56/~jnz1568/getInfo.php?workbook=09_01.xlsx&amp;sheet=A0&amp;row=225&amp;col=11&amp;number=&amp;sourceID=11","")</f>
        <v/>
      </c>
      <c r="L225" s="4" t="str">
        <f>HYPERLINK("http://141.218.60.56/~jnz1568/getInfo.php?workbook=09_01.xlsx&amp;sheet=A0&amp;row=225&amp;col=12&amp;number=0&amp;sourceID=11","0")</f>
        <v>0</v>
      </c>
      <c r="M225" s="4" t="str">
        <f>HYPERLINK("http://141.218.60.56/~jnz1568/getInfo.php?workbook=09_01.xlsx&amp;sheet=A0&amp;row=225&amp;col=13&amp;number=&amp;sourceID=11","")</f>
        <v/>
      </c>
      <c r="N225" s="4" t="str">
        <f>HYPERLINK("http://141.218.60.56/~jnz1568/getInfo.php?workbook=09_01.xlsx&amp;sheet=A0&amp;row=225&amp;col=14&amp;number=1.5827&amp;sourceID=12","1.5827")</f>
        <v>1.5827</v>
      </c>
      <c r="O225" s="4" t="str">
        <f>HYPERLINK("http://141.218.60.56/~jnz1568/getInfo.php?workbook=09_01.xlsx&amp;sheet=A0&amp;row=225&amp;col=15&amp;number=1.5827&amp;sourceID=12","1.5827")</f>
        <v>1.5827</v>
      </c>
      <c r="P225" s="4" t="str">
        <f>HYPERLINK("http://141.218.60.56/~jnz1568/getInfo.php?workbook=09_01.xlsx&amp;sheet=A0&amp;row=225&amp;col=16&amp;number=&amp;sourceID=12","")</f>
        <v/>
      </c>
      <c r="Q225" s="4" t="str">
        <f>HYPERLINK("http://141.218.60.56/~jnz1568/getInfo.php?workbook=09_01.xlsx&amp;sheet=A0&amp;row=225&amp;col=17&amp;number=0&amp;sourceID=12","0")</f>
        <v>0</v>
      </c>
      <c r="R225" s="4" t="str">
        <f>HYPERLINK("http://141.218.60.56/~jnz1568/getInfo.php?workbook=09_01.xlsx&amp;sheet=A0&amp;row=225&amp;col=18&amp;number=&amp;sourceID=12","")</f>
        <v/>
      </c>
      <c r="S225" s="4" t="str">
        <f>HYPERLINK("http://141.218.60.56/~jnz1568/getInfo.php?workbook=09_01.xlsx&amp;sheet=A0&amp;row=225&amp;col=19&amp;number=0&amp;sourceID=12","0")</f>
        <v>0</v>
      </c>
      <c r="T225" s="4" t="str">
        <f>HYPERLINK("http://141.218.60.56/~jnz1568/getInfo.php?workbook=09_01.xlsx&amp;sheet=A0&amp;row=225&amp;col=20&amp;number=&amp;sourceID=12","")</f>
        <v/>
      </c>
      <c r="U225" s="4" t="str">
        <f>HYPERLINK("http://141.218.60.56/~jnz1568/getInfo.php?workbook=09_01.xlsx&amp;sheet=A0&amp;row=225&amp;col=21&amp;number=1.583&amp;sourceID=30","1.583")</f>
        <v>1.583</v>
      </c>
      <c r="V225" s="4" t="str">
        <f>HYPERLINK("http://141.218.60.56/~jnz1568/getInfo.php?workbook=09_01.xlsx&amp;sheet=A0&amp;row=225&amp;col=22&amp;number=1.583&amp;sourceID=30","1.583")</f>
        <v>1.583</v>
      </c>
      <c r="W225" s="4" t="str">
        <f>HYPERLINK("http://141.218.60.56/~jnz1568/getInfo.php?workbook=09_01.xlsx&amp;sheet=A0&amp;row=225&amp;col=23&amp;number=&amp;sourceID=30","")</f>
        <v/>
      </c>
      <c r="X225" s="4" t="str">
        <f>HYPERLINK("http://141.218.60.56/~jnz1568/getInfo.php?workbook=09_01.xlsx&amp;sheet=A0&amp;row=225&amp;col=24&amp;number=&amp;sourceID=30","")</f>
        <v/>
      </c>
      <c r="Y225" s="4" t="str">
        <f>HYPERLINK("http://141.218.60.56/~jnz1568/getInfo.php?workbook=09_01.xlsx&amp;sheet=A0&amp;row=225&amp;col=25&amp;number=0&amp;sourceID=30","0")</f>
        <v>0</v>
      </c>
      <c r="Z225" s="4" t="str">
        <f>HYPERLINK("http://141.218.60.56/~jnz1568/getInfo.php?workbook=09_01.xlsx&amp;sheet=A0&amp;row=225&amp;col=26&amp;number=&amp;sourceID=13","")</f>
        <v/>
      </c>
      <c r="AA225" s="4" t="str">
        <f>HYPERLINK("http://141.218.60.56/~jnz1568/getInfo.php?workbook=09_01.xlsx&amp;sheet=A0&amp;row=225&amp;col=27&amp;number=&amp;sourceID=13","")</f>
        <v/>
      </c>
      <c r="AB225" s="4" t="str">
        <f>HYPERLINK("http://141.218.60.56/~jnz1568/getInfo.php?workbook=09_01.xlsx&amp;sheet=A0&amp;row=225&amp;col=28&amp;number=&amp;sourceID=13","")</f>
        <v/>
      </c>
      <c r="AC225" s="4" t="str">
        <f>HYPERLINK("http://141.218.60.56/~jnz1568/getInfo.php?workbook=09_01.xlsx&amp;sheet=A0&amp;row=225&amp;col=29&amp;number=&amp;sourceID=13","")</f>
        <v/>
      </c>
      <c r="AD225" s="4" t="str">
        <f>HYPERLINK("http://141.218.60.56/~jnz1568/getInfo.php?workbook=09_01.xlsx&amp;sheet=A0&amp;row=225&amp;col=30&amp;number=&amp;sourceID=13","")</f>
        <v/>
      </c>
      <c r="AE225" s="4" t="str">
        <f>HYPERLINK("http://141.218.60.56/~jnz1568/getInfo.php?workbook=09_01.xlsx&amp;sheet=A0&amp;row=225&amp;col=31&amp;number=&amp;sourceID=13","")</f>
        <v/>
      </c>
    </row>
    <row r="226" spans="1:31">
      <c r="A226" s="3">
        <v>9</v>
      </c>
      <c r="B226" s="3">
        <v>1</v>
      </c>
      <c r="C226" s="3">
        <v>23</v>
      </c>
      <c r="D226" s="3">
        <v>1</v>
      </c>
      <c r="E226" s="3">
        <f>((1/(INDEX(E0!J$4:J$28,C226,1)-INDEX(E0!J$4:J$28,D226,1))))*100000000</f>
        <v>0</v>
      </c>
      <c r="F226" s="4" t="str">
        <f>HYPERLINK("http://141.218.60.56/~jnz1568/getInfo.php?workbook=09_01.xlsx&amp;sheet=A0&amp;row=226&amp;col=6&amp;number=&amp;sourceID=18","")</f>
        <v/>
      </c>
      <c r="G226" s="4" t="str">
        <f>HYPERLINK("http://141.218.60.56/~jnz1568/getInfo.php?workbook=09_01.xlsx&amp;sheet=A0&amp;row=226&amp;col=7&amp;number==&amp;sourceID=11","=")</f>
        <v>=</v>
      </c>
      <c r="H226" s="4" t="str">
        <f>HYPERLINK("http://141.218.60.56/~jnz1568/getInfo.php?workbook=09_01.xlsx&amp;sheet=A0&amp;row=226&amp;col=8&amp;number=&amp;sourceID=11","")</f>
        <v/>
      </c>
      <c r="I226" s="4" t="str">
        <f>HYPERLINK("http://141.218.60.56/~jnz1568/getInfo.php?workbook=09_01.xlsx&amp;sheet=A0&amp;row=226&amp;col=9&amp;number=&amp;sourceID=11","")</f>
        <v/>
      </c>
      <c r="J226" s="4" t="str">
        <f>HYPERLINK("http://141.218.60.56/~jnz1568/getInfo.php?workbook=09_01.xlsx&amp;sheet=A0&amp;row=226&amp;col=10&amp;number=&amp;sourceID=11","")</f>
        <v/>
      </c>
      <c r="K226" s="4" t="str">
        <f>HYPERLINK("http://141.218.60.56/~jnz1568/getInfo.php?workbook=09_01.xlsx&amp;sheet=A0&amp;row=226&amp;col=11&amp;number=&amp;sourceID=11","")</f>
        <v/>
      </c>
      <c r="L226" s="4" t="str">
        <f>HYPERLINK("http://141.218.60.56/~jnz1568/getInfo.php?workbook=09_01.xlsx&amp;sheet=A0&amp;row=226&amp;col=12&amp;number=&amp;sourceID=11","")</f>
        <v/>
      </c>
      <c r="M226" s="4" t="str">
        <f>HYPERLINK("http://141.218.60.56/~jnz1568/getInfo.php?workbook=09_01.xlsx&amp;sheet=A0&amp;row=226&amp;col=13&amp;number=6.6941e-09&amp;sourceID=11","6.6941e-09")</f>
        <v>6.6941e-09</v>
      </c>
      <c r="N226" s="4" t="str">
        <f>HYPERLINK("http://141.218.60.56/~jnz1568/getInfo.php?workbook=09_01.xlsx&amp;sheet=A0&amp;row=226&amp;col=14&amp;number=5.4086e-09&amp;sourceID=12","5.4086e-09")</f>
        <v>5.4086e-09</v>
      </c>
      <c r="O226" s="4" t="str">
        <f>HYPERLINK("http://141.218.60.56/~jnz1568/getInfo.php?workbook=09_01.xlsx&amp;sheet=A0&amp;row=226&amp;col=15&amp;number=&amp;sourceID=12","")</f>
        <v/>
      </c>
      <c r="P226" s="4" t="str">
        <f>HYPERLINK("http://141.218.60.56/~jnz1568/getInfo.php?workbook=09_01.xlsx&amp;sheet=A0&amp;row=226&amp;col=16&amp;number=&amp;sourceID=12","")</f>
        <v/>
      </c>
      <c r="Q226" s="4" t="str">
        <f>HYPERLINK("http://141.218.60.56/~jnz1568/getInfo.php?workbook=09_01.xlsx&amp;sheet=A0&amp;row=226&amp;col=17&amp;number=&amp;sourceID=12","")</f>
        <v/>
      </c>
      <c r="R226" s="4" t="str">
        <f>HYPERLINK("http://141.218.60.56/~jnz1568/getInfo.php?workbook=09_01.xlsx&amp;sheet=A0&amp;row=226&amp;col=18&amp;number=&amp;sourceID=12","")</f>
        <v/>
      </c>
      <c r="S226" s="4" t="str">
        <f>HYPERLINK("http://141.218.60.56/~jnz1568/getInfo.php?workbook=09_01.xlsx&amp;sheet=A0&amp;row=226&amp;col=19&amp;number=&amp;sourceID=12","")</f>
        <v/>
      </c>
      <c r="T226" s="4" t="str">
        <f>HYPERLINK("http://141.218.60.56/~jnz1568/getInfo.php?workbook=09_01.xlsx&amp;sheet=A0&amp;row=226&amp;col=20&amp;number=5.4086e-09&amp;sourceID=12","5.4086e-09")</f>
        <v>5.4086e-09</v>
      </c>
      <c r="U226" s="4" t="str">
        <f>HYPERLINK("http://141.218.60.56/~jnz1568/getInfo.php?workbook=09_01.xlsx&amp;sheet=A0&amp;row=226&amp;col=21&amp;number=&amp;sourceID=30","")</f>
        <v/>
      </c>
      <c r="V226" s="4" t="str">
        <f>HYPERLINK("http://141.218.60.56/~jnz1568/getInfo.php?workbook=09_01.xlsx&amp;sheet=A0&amp;row=226&amp;col=22&amp;number=&amp;sourceID=30","")</f>
        <v/>
      </c>
      <c r="W226" s="4" t="str">
        <f>HYPERLINK("http://141.218.60.56/~jnz1568/getInfo.php?workbook=09_01.xlsx&amp;sheet=A0&amp;row=226&amp;col=23&amp;number=&amp;sourceID=30","")</f>
        <v/>
      </c>
      <c r="X226" s="4" t="str">
        <f>HYPERLINK("http://141.218.60.56/~jnz1568/getInfo.php?workbook=09_01.xlsx&amp;sheet=A0&amp;row=226&amp;col=24&amp;number=&amp;sourceID=30","")</f>
        <v/>
      </c>
      <c r="Y226" s="4" t="str">
        <f>HYPERLINK("http://141.218.60.56/~jnz1568/getInfo.php?workbook=09_01.xlsx&amp;sheet=A0&amp;row=226&amp;col=25&amp;number=&amp;sourceID=30","")</f>
        <v/>
      </c>
      <c r="Z226" s="4" t="str">
        <f>HYPERLINK("http://141.218.60.56/~jnz1568/getInfo.php?workbook=09_01.xlsx&amp;sheet=A0&amp;row=226&amp;col=26&amp;number=&amp;sourceID=13","")</f>
        <v/>
      </c>
      <c r="AA226" s="4" t="str">
        <f>HYPERLINK("http://141.218.60.56/~jnz1568/getInfo.php?workbook=09_01.xlsx&amp;sheet=A0&amp;row=226&amp;col=27&amp;number=&amp;sourceID=13","")</f>
        <v/>
      </c>
      <c r="AB226" s="4" t="str">
        <f>HYPERLINK("http://141.218.60.56/~jnz1568/getInfo.php?workbook=09_01.xlsx&amp;sheet=A0&amp;row=226&amp;col=28&amp;number=&amp;sourceID=13","")</f>
        <v/>
      </c>
      <c r="AC226" s="4" t="str">
        <f>HYPERLINK("http://141.218.60.56/~jnz1568/getInfo.php?workbook=09_01.xlsx&amp;sheet=A0&amp;row=226&amp;col=29&amp;number=&amp;sourceID=13","")</f>
        <v/>
      </c>
      <c r="AD226" s="4" t="str">
        <f>HYPERLINK("http://141.218.60.56/~jnz1568/getInfo.php?workbook=09_01.xlsx&amp;sheet=A0&amp;row=226&amp;col=30&amp;number=&amp;sourceID=13","")</f>
        <v/>
      </c>
      <c r="AE226" s="4" t="str">
        <f>HYPERLINK("http://141.218.60.56/~jnz1568/getInfo.php?workbook=09_01.xlsx&amp;sheet=A0&amp;row=226&amp;col=31&amp;number=&amp;sourceID=13","")</f>
        <v/>
      </c>
    </row>
    <row r="227" spans="1:31">
      <c r="A227" s="3">
        <v>9</v>
      </c>
      <c r="B227" s="3">
        <v>1</v>
      </c>
      <c r="C227" s="3">
        <v>23</v>
      </c>
      <c r="D227" s="3">
        <v>2</v>
      </c>
      <c r="E227" s="3">
        <f>((1/(INDEX(E0!J$4:J$28,C227,1)-INDEX(E0!J$4:J$28,D227,1))))*100000000</f>
        <v>0</v>
      </c>
      <c r="F227" s="4" t="str">
        <f>HYPERLINK("http://141.218.60.56/~jnz1568/getInfo.php?workbook=09_01.xlsx&amp;sheet=A0&amp;row=227&amp;col=6&amp;number=&amp;sourceID=18","")</f>
        <v/>
      </c>
      <c r="G227" s="4" t="str">
        <f>HYPERLINK("http://141.218.60.56/~jnz1568/getInfo.php?workbook=09_01.xlsx&amp;sheet=A0&amp;row=227&amp;col=7&amp;number==&amp;sourceID=11","=")</f>
        <v>=</v>
      </c>
      <c r="H227" s="4" t="str">
        <f>HYPERLINK("http://141.218.60.56/~jnz1568/getInfo.php?workbook=09_01.xlsx&amp;sheet=A0&amp;row=227&amp;col=8&amp;number=&amp;sourceID=11","")</f>
        <v/>
      </c>
      <c r="I227" s="4" t="str">
        <f>HYPERLINK("http://141.218.60.56/~jnz1568/getInfo.php?workbook=09_01.xlsx&amp;sheet=A0&amp;row=227&amp;col=9&amp;number=&amp;sourceID=11","")</f>
        <v/>
      </c>
      <c r="J227" s="4" t="str">
        <f>HYPERLINK("http://141.218.60.56/~jnz1568/getInfo.php?workbook=09_01.xlsx&amp;sheet=A0&amp;row=227&amp;col=10&amp;number=1080.8&amp;sourceID=11","1080.8")</f>
        <v>1080.8</v>
      </c>
      <c r="K227" s="4" t="str">
        <f>HYPERLINK("http://141.218.60.56/~jnz1568/getInfo.php?workbook=09_01.xlsx&amp;sheet=A0&amp;row=227&amp;col=11&amp;number=&amp;sourceID=11","")</f>
        <v/>
      </c>
      <c r="L227" s="4" t="str">
        <f>HYPERLINK("http://141.218.60.56/~jnz1568/getInfo.php?workbook=09_01.xlsx&amp;sheet=A0&amp;row=227&amp;col=12&amp;number=&amp;sourceID=11","")</f>
        <v/>
      </c>
      <c r="M227" s="4" t="str">
        <f>HYPERLINK("http://141.218.60.56/~jnz1568/getInfo.php?workbook=09_01.xlsx&amp;sheet=A0&amp;row=227&amp;col=13&amp;number=&amp;sourceID=11","")</f>
        <v/>
      </c>
      <c r="N227" s="4" t="str">
        <f>HYPERLINK("http://141.218.60.56/~jnz1568/getInfo.php?workbook=09_01.xlsx&amp;sheet=A0&amp;row=227&amp;col=14&amp;number=1080.8&amp;sourceID=12","1080.8")</f>
        <v>1080.8</v>
      </c>
      <c r="O227" s="4" t="str">
        <f>HYPERLINK("http://141.218.60.56/~jnz1568/getInfo.php?workbook=09_01.xlsx&amp;sheet=A0&amp;row=227&amp;col=15&amp;number=&amp;sourceID=12","")</f>
        <v/>
      </c>
      <c r="P227" s="4" t="str">
        <f>HYPERLINK("http://141.218.60.56/~jnz1568/getInfo.php?workbook=09_01.xlsx&amp;sheet=A0&amp;row=227&amp;col=16&amp;number=&amp;sourceID=12","")</f>
        <v/>
      </c>
      <c r="Q227" s="4" t="str">
        <f>HYPERLINK("http://141.218.60.56/~jnz1568/getInfo.php?workbook=09_01.xlsx&amp;sheet=A0&amp;row=227&amp;col=17&amp;number=1080.8&amp;sourceID=12","1080.8")</f>
        <v>1080.8</v>
      </c>
      <c r="R227" s="4" t="str">
        <f>HYPERLINK("http://141.218.60.56/~jnz1568/getInfo.php?workbook=09_01.xlsx&amp;sheet=A0&amp;row=227&amp;col=18&amp;number=&amp;sourceID=12","")</f>
        <v/>
      </c>
      <c r="S227" s="4" t="str">
        <f>HYPERLINK("http://141.218.60.56/~jnz1568/getInfo.php?workbook=09_01.xlsx&amp;sheet=A0&amp;row=227&amp;col=19&amp;number=&amp;sourceID=12","")</f>
        <v/>
      </c>
      <c r="T227" s="4" t="str">
        <f>HYPERLINK("http://141.218.60.56/~jnz1568/getInfo.php?workbook=09_01.xlsx&amp;sheet=A0&amp;row=227&amp;col=20&amp;number=&amp;sourceID=12","")</f>
        <v/>
      </c>
      <c r="U227" s="4" t="str">
        <f>HYPERLINK("http://141.218.60.56/~jnz1568/getInfo.php?workbook=09_01.xlsx&amp;sheet=A0&amp;row=227&amp;col=21&amp;number=&amp;sourceID=30","")</f>
        <v/>
      </c>
      <c r="V227" s="4" t="str">
        <f>HYPERLINK("http://141.218.60.56/~jnz1568/getInfo.php?workbook=09_01.xlsx&amp;sheet=A0&amp;row=227&amp;col=22&amp;number=&amp;sourceID=30","")</f>
        <v/>
      </c>
      <c r="W227" s="4" t="str">
        <f>HYPERLINK("http://141.218.60.56/~jnz1568/getInfo.php?workbook=09_01.xlsx&amp;sheet=A0&amp;row=227&amp;col=23&amp;number=&amp;sourceID=30","")</f>
        <v/>
      </c>
      <c r="X227" s="4" t="str">
        <f>HYPERLINK("http://141.218.60.56/~jnz1568/getInfo.php?workbook=09_01.xlsx&amp;sheet=A0&amp;row=227&amp;col=24&amp;number=&amp;sourceID=30","")</f>
        <v/>
      </c>
      <c r="Y227" s="4" t="str">
        <f>HYPERLINK("http://141.218.60.56/~jnz1568/getInfo.php?workbook=09_01.xlsx&amp;sheet=A0&amp;row=227&amp;col=25&amp;number=&amp;sourceID=30","")</f>
        <v/>
      </c>
      <c r="Z227" s="4" t="str">
        <f>HYPERLINK("http://141.218.60.56/~jnz1568/getInfo.php?workbook=09_01.xlsx&amp;sheet=A0&amp;row=227&amp;col=26&amp;number=&amp;sourceID=13","")</f>
        <v/>
      </c>
      <c r="AA227" s="4" t="str">
        <f>HYPERLINK("http://141.218.60.56/~jnz1568/getInfo.php?workbook=09_01.xlsx&amp;sheet=A0&amp;row=227&amp;col=27&amp;number=&amp;sourceID=13","")</f>
        <v/>
      </c>
      <c r="AB227" s="4" t="str">
        <f>HYPERLINK("http://141.218.60.56/~jnz1568/getInfo.php?workbook=09_01.xlsx&amp;sheet=A0&amp;row=227&amp;col=28&amp;number=&amp;sourceID=13","")</f>
        <v/>
      </c>
      <c r="AC227" s="4" t="str">
        <f>HYPERLINK("http://141.218.60.56/~jnz1568/getInfo.php?workbook=09_01.xlsx&amp;sheet=A0&amp;row=227&amp;col=29&amp;number=&amp;sourceID=13","")</f>
        <v/>
      </c>
      <c r="AD227" s="4" t="str">
        <f>HYPERLINK("http://141.218.60.56/~jnz1568/getInfo.php?workbook=09_01.xlsx&amp;sheet=A0&amp;row=227&amp;col=30&amp;number=&amp;sourceID=13","")</f>
        <v/>
      </c>
      <c r="AE227" s="4" t="str">
        <f>HYPERLINK("http://141.218.60.56/~jnz1568/getInfo.php?workbook=09_01.xlsx&amp;sheet=A0&amp;row=227&amp;col=31&amp;number=&amp;sourceID=13","")</f>
        <v/>
      </c>
    </row>
    <row r="228" spans="1:31">
      <c r="A228" s="3">
        <v>9</v>
      </c>
      <c r="B228" s="3">
        <v>1</v>
      </c>
      <c r="C228" s="3">
        <v>23</v>
      </c>
      <c r="D228" s="3">
        <v>3</v>
      </c>
      <c r="E228" s="3">
        <f>((1/(INDEX(E0!J$4:J$28,C228,1)-INDEX(E0!J$4:J$28,D228,1))))*100000000</f>
        <v>0</v>
      </c>
      <c r="F228" s="4" t="str">
        <f>HYPERLINK("http://141.218.60.56/~jnz1568/getInfo.php?workbook=09_01.xlsx&amp;sheet=A0&amp;row=228&amp;col=6&amp;number=&amp;sourceID=18","")</f>
        <v/>
      </c>
      <c r="G228" s="4" t="str">
        <f>HYPERLINK("http://141.218.60.56/~jnz1568/getInfo.php?workbook=09_01.xlsx&amp;sheet=A0&amp;row=228&amp;col=7&amp;number==&amp;sourceID=11","=")</f>
        <v>=</v>
      </c>
      <c r="H228" s="4" t="str">
        <f>HYPERLINK("http://141.218.60.56/~jnz1568/getInfo.php?workbook=09_01.xlsx&amp;sheet=A0&amp;row=228&amp;col=8&amp;number=&amp;sourceID=11","")</f>
        <v/>
      </c>
      <c r="I228" s="4" t="str">
        <f>HYPERLINK("http://141.218.60.56/~jnz1568/getInfo.php?workbook=09_01.xlsx&amp;sheet=A0&amp;row=228&amp;col=9&amp;number=&amp;sourceID=11","")</f>
        <v/>
      </c>
      <c r="J228" s="4" t="str">
        <f>HYPERLINK("http://141.218.60.56/~jnz1568/getInfo.php?workbook=09_01.xlsx&amp;sheet=A0&amp;row=228&amp;col=10&amp;number=&amp;sourceID=11","")</f>
        <v/>
      </c>
      <c r="K228" s="4" t="str">
        <f>HYPERLINK("http://141.218.60.56/~jnz1568/getInfo.php?workbook=09_01.xlsx&amp;sheet=A0&amp;row=228&amp;col=11&amp;number=&amp;sourceID=11","")</f>
        <v/>
      </c>
      <c r="L228" s="4" t="str">
        <f>HYPERLINK("http://141.218.60.56/~jnz1568/getInfo.php?workbook=09_01.xlsx&amp;sheet=A0&amp;row=228&amp;col=12&amp;number=&amp;sourceID=11","")</f>
        <v/>
      </c>
      <c r="M228" s="4" t="str">
        <f>HYPERLINK("http://141.218.60.56/~jnz1568/getInfo.php?workbook=09_01.xlsx&amp;sheet=A0&amp;row=228&amp;col=13&amp;number=6.9434e-10&amp;sourceID=11","6.9434e-10")</f>
        <v>6.9434e-10</v>
      </c>
      <c r="N228" s="4" t="str">
        <f>HYPERLINK("http://141.218.60.56/~jnz1568/getInfo.php?workbook=09_01.xlsx&amp;sheet=A0&amp;row=228&amp;col=14&amp;number=6.8103e-10&amp;sourceID=12","6.8103e-10")</f>
        <v>6.8103e-10</v>
      </c>
      <c r="O228" s="4" t="str">
        <f>HYPERLINK("http://141.218.60.56/~jnz1568/getInfo.php?workbook=09_01.xlsx&amp;sheet=A0&amp;row=228&amp;col=15&amp;number=&amp;sourceID=12","")</f>
        <v/>
      </c>
      <c r="P228" s="4" t="str">
        <f>HYPERLINK("http://141.218.60.56/~jnz1568/getInfo.php?workbook=09_01.xlsx&amp;sheet=A0&amp;row=228&amp;col=16&amp;number=&amp;sourceID=12","")</f>
        <v/>
      </c>
      <c r="Q228" s="4" t="str">
        <f>HYPERLINK("http://141.218.60.56/~jnz1568/getInfo.php?workbook=09_01.xlsx&amp;sheet=A0&amp;row=228&amp;col=17&amp;number=&amp;sourceID=12","")</f>
        <v/>
      </c>
      <c r="R228" s="4" t="str">
        <f>HYPERLINK("http://141.218.60.56/~jnz1568/getInfo.php?workbook=09_01.xlsx&amp;sheet=A0&amp;row=228&amp;col=18&amp;number=&amp;sourceID=12","")</f>
        <v/>
      </c>
      <c r="S228" s="4" t="str">
        <f>HYPERLINK("http://141.218.60.56/~jnz1568/getInfo.php?workbook=09_01.xlsx&amp;sheet=A0&amp;row=228&amp;col=19&amp;number=&amp;sourceID=12","")</f>
        <v/>
      </c>
      <c r="T228" s="4" t="str">
        <f>HYPERLINK("http://141.218.60.56/~jnz1568/getInfo.php?workbook=09_01.xlsx&amp;sheet=A0&amp;row=228&amp;col=20&amp;number=6.8103e-10&amp;sourceID=12","6.8103e-10")</f>
        <v>6.8103e-10</v>
      </c>
      <c r="U228" s="4" t="str">
        <f>HYPERLINK("http://141.218.60.56/~jnz1568/getInfo.php?workbook=09_01.xlsx&amp;sheet=A0&amp;row=228&amp;col=21&amp;number=&amp;sourceID=30","")</f>
        <v/>
      </c>
      <c r="V228" s="4" t="str">
        <f>HYPERLINK("http://141.218.60.56/~jnz1568/getInfo.php?workbook=09_01.xlsx&amp;sheet=A0&amp;row=228&amp;col=22&amp;number=&amp;sourceID=30","")</f>
        <v/>
      </c>
      <c r="W228" s="4" t="str">
        <f>HYPERLINK("http://141.218.60.56/~jnz1568/getInfo.php?workbook=09_01.xlsx&amp;sheet=A0&amp;row=228&amp;col=23&amp;number=&amp;sourceID=30","")</f>
        <v/>
      </c>
      <c r="X228" s="4" t="str">
        <f>HYPERLINK("http://141.218.60.56/~jnz1568/getInfo.php?workbook=09_01.xlsx&amp;sheet=A0&amp;row=228&amp;col=24&amp;number=&amp;sourceID=30","")</f>
        <v/>
      </c>
      <c r="Y228" s="4" t="str">
        <f>HYPERLINK("http://141.218.60.56/~jnz1568/getInfo.php?workbook=09_01.xlsx&amp;sheet=A0&amp;row=228&amp;col=25&amp;number=&amp;sourceID=30","")</f>
        <v/>
      </c>
      <c r="Z228" s="4" t="str">
        <f>HYPERLINK("http://141.218.60.56/~jnz1568/getInfo.php?workbook=09_01.xlsx&amp;sheet=A0&amp;row=228&amp;col=26&amp;number=&amp;sourceID=13","")</f>
        <v/>
      </c>
      <c r="AA228" s="4" t="str">
        <f>HYPERLINK("http://141.218.60.56/~jnz1568/getInfo.php?workbook=09_01.xlsx&amp;sheet=A0&amp;row=228&amp;col=27&amp;number=&amp;sourceID=13","")</f>
        <v/>
      </c>
      <c r="AB228" s="4" t="str">
        <f>HYPERLINK("http://141.218.60.56/~jnz1568/getInfo.php?workbook=09_01.xlsx&amp;sheet=A0&amp;row=228&amp;col=28&amp;number=&amp;sourceID=13","")</f>
        <v/>
      </c>
      <c r="AC228" s="4" t="str">
        <f>HYPERLINK("http://141.218.60.56/~jnz1568/getInfo.php?workbook=09_01.xlsx&amp;sheet=A0&amp;row=228&amp;col=29&amp;number=&amp;sourceID=13","")</f>
        <v/>
      </c>
      <c r="AD228" s="4" t="str">
        <f>HYPERLINK("http://141.218.60.56/~jnz1568/getInfo.php?workbook=09_01.xlsx&amp;sheet=A0&amp;row=228&amp;col=30&amp;number=&amp;sourceID=13","")</f>
        <v/>
      </c>
      <c r="AE228" s="4" t="str">
        <f>HYPERLINK("http://141.218.60.56/~jnz1568/getInfo.php?workbook=09_01.xlsx&amp;sheet=A0&amp;row=228&amp;col=31&amp;number=&amp;sourceID=13","")</f>
        <v/>
      </c>
    </row>
    <row r="229" spans="1:31">
      <c r="A229" s="3">
        <v>9</v>
      </c>
      <c r="B229" s="3">
        <v>1</v>
      </c>
      <c r="C229" s="3">
        <v>23</v>
      </c>
      <c r="D229" s="3">
        <v>4</v>
      </c>
      <c r="E229" s="3">
        <f>((1/(INDEX(E0!J$4:J$28,C229,1)-INDEX(E0!J$4:J$28,D229,1))))*100000000</f>
        <v>0</v>
      </c>
      <c r="F229" s="4" t="str">
        <f>HYPERLINK("http://141.218.60.56/~jnz1568/getInfo.php?workbook=09_01.xlsx&amp;sheet=A0&amp;row=229&amp;col=6&amp;number=&amp;sourceID=18","")</f>
        <v/>
      </c>
      <c r="G229" s="4" t="str">
        <f>HYPERLINK("http://141.218.60.56/~jnz1568/getInfo.php?workbook=09_01.xlsx&amp;sheet=A0&amp;row=229&amp;col=7&amp;number==&amp;sourceID=11","=")</f>
        <v>=</v>
      </c>
      <c r="H229" s="4" t="str">
        <f>HYPERLINK("http://141.218.60.56/~jnz1568/getInfo.php?workbook=09_01.xlsx&amp;sheet=A0&amp;row=229&amp;col=8&amp;number=&amp;sourceID=11","")</f>
        <v/>
      </c>
      <c r="I229" s="4" t="str">
        <f>HYPERLINK("http://141.218.60.56/~jnz1568/getInfo.php?workbook=09_01.xlsx&amp;sheet=A0&amp;row=229&amp;col=9&amp;number=&amp;sourceID=11","")</f>
        <v/>
      </c>
      <c r="J229" s="4" t="str">
        <f>HYPERLINK("http://141.218.60.56/~jnz1568/getInfo.php?workbook=09_01.xlsx&amp;sheet=A0&amp;row=229&amp;col=10&amp;number=360.49&amp;sourceID=11","360.49")</f>
        <v>360.49</v>
      </c>
      <c r="K229" s="4" t="str">
        <f>HYPERLINK("http://141.218.60.56/~jnz1568/getInfo.php?workbook=09_01.xlsx&amp;sheet=A0&amp;row=229&amp;col=11&amp;number=&amp;sourceID=11","")</f>
        <v/>
      </c>
      <c r="L229" s="4" t="str">
        <f>HYPERLINK("http://141.218.60.56/~jnz1568/getInfo.php?workbook=09_01.xlsx&amp;sheet=A0&amp;row=229&amp;col=12&amp;number=3.6053e-06&amp;sourceID=11","3.6053e-06")</f>
        <v>3.6053e-06</v>
      </c>
      <c r="M229" s="4" t="str">
        <f>HYPERLINK("http://141.218.60.56/~jnz1568/getInfo.php?workbook=09_01.xlsx&amp;sheet=A0&amp;row=229&amp;col=13&amp;number=&amp;sourceID=11","")</f>
        <v/>
      </c>
      <c r="N229" s="4" t="str">
        <f>HYPERLINK("http://141.218.60.56/~jnz1568/getInfo.php?workbook=09_01.xlsx&amp;sheet=A0&amp;row=229&amp;col=14&amp;number=360.5&amp;sourceID=12","360.5")</f>
        <v>360.5</v>
      </c>
      <c r="O229" s="4" t="str">
        <f>HYPERLINK("http://141.218.60.56/~jnz1568/getInfo.php?workbook=09_01.xlsx&amp;sheet=A0&amp;row=229&amp;col=15&amp;number=&amp;sourceID=12","")</f>
        <v/>
      </c>
      <c r="P229" s="4" t="str">
        <f>HYPERLINK("http://141.218.60.56/~jnz1568/getInfo.php?workbook=09_01.xlsx&amp;sheet=A0&amp;row=229&amp;col=16&amp;number=&amp;sourceID=12","")</f>
        <v/>
      </c>
      <c r="Q229" s="4" t="str">
        <f>HYPERLINK("http://141.218.60.56/~jnz1568/getInfo.php?workbook=09_01.xlsx&amp;sheet=A0&amp;row=229&amp;col=17&amp;number=360.5&amp;sourceID=12","360.5")</f>
        <v>360.5</v>
      </c>
      <c r="R229" s="4" t="str">
        <f>HYPERLINK("http://141.218.60.56/~jnz1568/getInfo.php?workbook=09_01.xlsx&amp;sheet=A0&amp;row=229&amp;col=18&amp;number=&amp;sourceID=12","")</f>
        <v/>
      </c>
      <c r="S229" s="4" t="str">
        <f>HYPERLINK("http://141.218.60.56/~jnz1568/getInfo.php?workbook=09_01.xlsx&amp;sheet=A0&amp;row=229&amp;col=19&amp;number=3.6008e-06&amp;sourceID=12","3.6008e-06")</f>
        <v>3.6008e-06</v>
      </c>
      <c r="T229" s="4" t="str">
        <f>HYPERLINK("http://141.218.60.56/~jnz1568/getInfo.php?workbook=09_01.xlsx&amp;sheet=A0&amp;row=229&amp;col=20&amp;number=&amp;sourceID=12","")</f>
        <v/>
      </c>
      <c r="U229" s="4" t="str">
        <f>HYPERLINK("http://141.218.60.56/~jnz1568/getInfo.php?workbook=09_01.xlsx&amp;sheet=A0&amp;row=229&amp;col=21&amp;number=3.609e-06&amp;sourceID=30","3.609e-06")</f>
        <v>3.609e-06</v>
      </c>
      <c r="V229" s="4" t="str">
        <f>HYPERLINK("http://141.218.60.56/~jnz1568/getInfo.php?workbook=09_01.xlsx&amp;sheet=A0&amp;row=229&amp;col=22&amp;number=&amp;sourceID=30","")</f>
        <v/>
      </c>
      <c r="W229" s="4" t="str">
        <f>HYPERLINK("http://141.218.60.56/~jnz1568/getInfo.php?workbook=09_01.xlsx&amp;sheet=A0&amp;row=229&amp;col=23&amp;number=&amp;sourceID=30","")</f>
        <v/>
      </c>
      <c r="X229" s="4" t="str">
        <f>HYPERLINK("http://141.218.60.56/~jnz1568/getInfo.php?workbook=09_01.xlsx&amp;sheet=A0&amp;row=229&amp;col=24&amp;number=&amp;sourceID=30","")</f>
        <v/>
      </c>
      <c r="Y229" s="4" t="str">
        <f>HYPERLINK("http://141.218.60.56/~jnz1568/getInfo.php?workbook=09_01.xlsx&amp;sheet=A0&amp;row=229&amp;col=25&amp;number=3.609e-06&amp;sourceID=30","3.609e-06")</f>
        <v>3.609e-06</v>
      </c>
      <c r="Z229" s="4" t="str">
        <f>HYPERLINK("http://141.218.60.56/~jnz1568/getInfo.php?workbook=09_01.xlsx&amp;sheet=A0&amp;row=229&amp;col=26&amp;number=&amp;sourceID=13","")</f>
        <v/>
      </c>
      <c r="AA229" s="4" t="str">
        <f>HYPERLINK("http://141.218.60.56/~jnz1568/getInfo.php?workbook=09_01.xlsx&amp;sheet=A0&amp;row=229&amp;col=27&amp;number=&amp;sourceID=13","")</f>
        <v/>
      </c>
      <c r="AB229" s="4" t="str">
        <f>HYPERLINK("http://141.218.60.56/~jnz1568/getInfo.php?workbook=09_01.xlsx&amp;sheet=A0&amp;row=229&amp;col=28&amp;number=&amp;sourceID=13","")</f>
        <v/>
      </c>
      <c r="AC229" s="4" t="str">
        <f>HYPERLINK("http://141.218.60.56/~jnz1568/getInfo.php?workbook=09_01.xlsx&amp;sheet=A0&amp;row=229&amp;col=29&amp;number=&amp;sourceID=13","")</f>
        <v/>
      </c>
      <c r="AD229" s="4" t="str">
        <f>HYPERLINK("http://141.218.60.56/~jnz1568/getInfo.php?workbook=09_01.xlsx&amp;sheet=A0&amp;row=229&amp;col=30&amp;number=&amp;sourceID=13","")</f>
        <v/>
      </c>
      <c r="AE229" s="4" t="str">
        <f>HYPERLINK("http://141.218.60.56/~jnz1568/getInfo.php?workbook=09_01.xlsx&amp;sheet=A0&amp;row=229&amp;col=31&amp;number=&amp;sourceID=13","")</f>
        <v/>
      </c>
    </row>
    <row r="230" spans="1:31">
      <c r="A230" s="3">
        <v>9</v>
      </c>
      <c r="B230" s="3">
        <v>1</v>
      </c>
      <c r="C230" s="3">
        <v>23</v>
      </c>
      <c r="D230" s="3">
        <v>5</v>
      </c>
      <c r="E230" s="3">
        <f>((1/(INDEX(E0!J$4:J$28,C230,1)-INDEX(E0!J$4:J$28,D230,1))))*100000000</f>
        <v>0</v>
      </c>
      <c r="F230" s="4" t="str">
        <f>HYPERLINK("http://141.218.60.56/~jnz1568/getInfo.php?workbook=09_01.xlsx&amp;sheet=A0&amp;row=230&amp;col=6&amp;number=&amp;sourceID=18","")</f>
        <v/>
      </c>
      <c r="G230" s="4" t="str">
        <f>HYPERLINK("http://141.218.60.56/~jnz1568/getInfo.php?workbook=09_01.xlsx&amp;sheet=A0&amp;row=230&amp;col=7&amp;number==&amp;sourceID=11","=")</f>
        <v>=</v>
      </c>
      <c r="H230" s="4" t="str">
        <f>HYPERLINK("http://141.218.60.56/~jnz1568/getInfo.php?workbook=09_01.xlsx&amp;sheet=A0&amp;row=230&amp;col=8&amp;number=&amp;sourceID=11","")</f>
        <v/>
      </c>
      <c r="I230" s="4" t="str">
        <f>HYPERLINK("http://141.218.60.56/~jnz1568/getInfo.php?workbook=09_01.xlsx&amp;sheet=A0&amp;row=230&amp;col=9&amp;number=&amp;sourceID=11","")</f>
        <v/>
      </c>
      <c r="J230" s="4" t="str">
        <f>HYPERLINK("http://141.218.60.56/~jnz1568/getInfo.php?workbook=09_01.xlsx&amp;sheet=A0&amp;row=230&amp;col=10&amp;number=458.75&amp;sourceID=11","458.75")</f>
        <v>458.75</v>
      </c>
      <c r="K230" s="4" t="str">
        <f>HYPERLINK("http://141.218.60.56/~jnz1568/getInfo.php?workbook=09_01.xlsx&amp;sheet=A0&amp;row=230&amp;col=11&amp;number=&amp;sourceID=11","")</f>
        <v/>
      </c>
      <c r="L230" s="4" t="str">
        <f>HYPERLINK("http://141.218.60.56/~jnz1568/getInfo.php?workbook=09_01.xlsx&amp;sheet=A0&amp;row=230&amp;col=12&amp;number=&amp;sourceID=11","")</f>
        <v/>
      </c>
      <c r="M230" s="4" t="str">
        <f>HYPERLINK("http://141.218.60.56/~jnz1568/getInfo.php?workbook=09_01.xlsx&amp;sheet=A0&amp;row=230&amp;col=13&amp;number=&amp;sourceID=11","")</f>
        <v/>
      </c>
      <c r="N230" s="4" t="str">
        <f>HYPERLINK("http://141.218.60.56/~jnz1568/getInfo.php?workbook=09_01.xlsx&amp;sheet=A0&amp;row=230&amp;col=14&amp;number=458.76&amp;sourceID=12","458.76")</f>
        <v>458.76</v>
      </c>
      <c r="O230" s="4" t="str">
        <f>HYPERLINK("http://141.218.60.56/~jnz1568/getInfo.php?workbook=09_01.xlsx&amp;sheet=A0&amp;row=230&amp;col=15&amp;number=&amp;sourceID=12","")</f>
        <v/>
      </c>
      <c r="P230" s="4" t="str">
        <f>HYPERLINK("http://141.218.60.56/~jnz1568/getInfo.php?workbook=09_01.xlsx&amp;sheet=A0&amp;row=230&amp;col=16&amp;number=&amp;sourceID=12","")</f>
        <v/>
      </c>
      <c r="Q230" s="4" t="str">
        <f>HYPERLINK("http://141.218.60.56/~jnz1568/getInfo.php?workbook=09_01.xlsx&amp;sheet=A0&amp;row=230&amp;col=17&amp;number=458.76&amp;sourceID=12","458.76")</f>
        <v>458.76</v>
      </c>
      <c r="R230" s="4" t="str">
        <f>HYPERLINK("http://141.218.60.56/~jnz1568/getInfo.php?workbook=09_01.xlsx&amp;sheet=A0&amp;row=230&amp;col=18&amp;number=&amp;sourceID=12","")</f>
        <v/>
      </c>
      <c r="S230" s="4" t="str">
        <f>HYPERLINK("http://141.218.60.56/~jnz1568/getInfo.php?workbook=09_01.xlsx&amp;sheet=A0&amp;row=230&amp;col=19&amp;number=&amp;sourceID=12","")</f>
        <v/>
      </c>
      <c r="T230" s="4" t="str">
        <f>HYPERLINK("http://141.218.60.56/~jnz1568/getInfo.php?workbook=09_01.xlsx&amp;sheet=A0&amp;row=230&amp;col=20&amp;number=&amp;sourceID=12","")</f>
        <v/>
      </c>
      <c r="U230" s="4" t="str">
        <f>HYPERLINK("http://141.218.60.56/~jnz1568/getInfo.php?workbook=09_01.xlsx&amp;sheet=A0&amp;row=230&amp;col=21&amp;number=&amp;sourceID=30","")</f>
        <v/>
      </c>
      <c r="V230" s="4" t="str">
        <f>HYPERLINK("http://141.218.60.56/~jnz1568/getInfo.php?workbook=09_01.xlsx&amp;sheet=A0&amp;row=230&amp;col=22&amp;number=&amp;sourceID=30","")</f>
        <v/>
      </c>
      <c r="W230" s="4" t="str">
        <f>HYPERLINK("http://141.218.60.56/~jnz1568/getInfo.php?workbook=09_01.xlsx&amp;sheet=A0&amp;row=230&amp;col=23&amp;number=&amp;sourceID=30","")</f>
        <v/>
      </c>
      <c r="X230" s="4" t="str">
        <f>HYPERLINK("http://141.218.60.56/~jnz1568/getInfo.php?workbook=09_01.xlsx&amp;sheet=A0&amp;row=230&amp;col=24&amp;number=&amp;sourceID=30","")</f>
        <v/>
      </c>
      <c r="Y230" s="4" t="str">
        <f>HYPERLINK("http://141.218.60.56/~jnz1568/getInfo.php?workbook=09_01.xlsx&amp;sheet=A0&amp;row=230&amp;col=25&amp;number=&amp;sourceID=30","")</f>
        <v/>
      </c>
      <c r="Z230" s="4" t="str">
        <f>HYPERLINK("http://141.218.60.56/~jnz1568/getInfo.php?workbook=09_01.xlsx&amp;sheet=A0&amp;row=230&amp;col=26&amp;number=&amp;sourceID=13","")</f>
        <v/>
      </c>
      <c r="AA230" s="4" t="str">
        <f>HYPERLINK("http://141.218.60.56/~jnz1568/getInfo.php?workbook=09_01.xlsx&amp;sheet=A0&amp;row=230&amp;col=27&amp;number=&amp;sourceID=13","")</f>
        <v/>
      </c>
      <c r="AB230" s="4" t="str">
        <f>HYPERLINK("http://141.218.60.56/~jnz1568/getInfo.php?workbook=09_01.xlsx&amp;sheet=A0&amp;row=230&amp;col=28&amp;number=&amp;sourceID=13","")</f>
        <v/>
      </c>
      <c r="AC230" s="4" t="str">
        <f>HYPERLINK("http://141.218.60.56/~jnz1568/getInfo.php?workbook=09_01.xlsx&amp;sheet=A0&amp;row=230&amp;col=29&amp;number=&amp;sourceID=13","")</f>
        <v/>
      </c>
      <c r="AD230" s="4" t="str">
        <f>HYPERLINK("http://141.218.60.56/~jnz1568/getInfo.php?workbook=09_01.xlsx&amp;sheet=A0&amp;row=230&amp;col=30&amp;number=&amp;sourceID=13","")</f>
        <v/>
      </c>
      <c r="AE230" s="4" t="str">
        <f>HYPERLINK("http://141.218.60.56/~jnz1568/getInfo.php?workbook=09_01.xlsx&amp;sheet=A0&amp;row=230&amp;col=31&amp;number=&amp;sourceID=13","")</f>
        <v/>
      </c>
    </row>
    <row r="231" spans="1:31">
      <c r="A231" s="3">
        <v>9</v>
      </c>
      <c r="B231" s="3">
        <v>1</v>
      </c>
      <c r="C231" s="3">
        <v>23</v>
      </c>
      <c r="D231" s="3">
        <v>6</v>
      </c>
      <c r="E231" s="3">
        <f>((1/(INDEX(E0!J$4:J$28,C231,1)-INDEX(E0!J$4:J$28,D231,1))))*100000000</f>
        <v>0</v>
      </c>
      <c r="F231" s="4" t="str">
        <f>HYPERLINK("http://141.218.60.56/~jnz1568/getInfo.php?workbook=09_01.xlsx&amp;sheet=A0&amp;row=231&amp;col=6&amp;number=&amp;sourceID=18","")</f>
        <v/>
      </c>
      <c r="G231" s="4" t="str">
        <f>HYPERLINK("http://141.218.60.56/~jnz1568/getInfo.php?workbook=09_01.xlsx&amp;sheet=A0&amp;row=231&amp;col=7&amp;number==&amp;sourceID=11","=")</f>
        <v>=</v>
      </c>
      <c r="H231" s="4" t="str">
        <f>HYPERLINK("http://141.218.60.56/~jnz1568/getInfo.php?workbook=09_01.xlsx&amp;sheet=A0&amp;row=231&amp;col=8&amp;number=&amp;sourceID=11","")</f>
        <v/>
      </c>
      <c r="I231" s="4" t="str">
        <f>HYPERLINK("http://141.218.60.56/~jnz1568/getInfo.php?workbook=09_01.xlsx&amp;sheet=A0&amp;row=231&amp;col=9&amp;number=&amp;sourceID=11","")</f>
        <v/>
      </c>
      <c r="J231" s="4" t="str">
        <f>HYPERLINK("http://141.218.60.56/~jnz1568/getInfo.php?workbook=09_01.xlsx&amp;sheet=A0&amp;row=231&amp;col=10&amp;number=&amp;sourceID=11","")</f>
        <v/>
      </c>
      <c r="K231" s="4" t="str">
        <f>HYPERLINK("http://141.218.60.56/~jnz1568/getInfo.php?workbook=09_01.xlsx&amp;sheet=A0&amp;row=231&amp;col=11&amp;number=&amp;sourceID=11","")</f>
        <v/>
      </c>
      <c r="L231" s="4" t="str">
        <f>HYPERLINK("http://141.218.60.56/~jnz1568/getInfo.php?workbook=09_01.xlsx&amp;sheet=A0&amp;row=231&amp;col=12&amp;number=&amp;sourceID=11","")</f>
        <v/>
      </c>
      <c r="M231" s="4" t="str">
        <f>HYPERLINK("http://141.218.60.56/~jnz1568/getInfo.php?workbook=09_01.xlsx&amp;sheet=A0&amp;row=231&amp;col=13&amp;number=1.7528e-11&amp;sourceID=11","1.7528e-11")</f>
        <v>1.7528e-11</v>
      </c>
      <c r="N231" s="4" t="str">
        <f>HYPERLINK("http://141.218.60.56/~jnz1568/getInfo.php?workbook=09_01.xlsx&amp;sheet=A0&amp;row=231&amp;col=14&amp;number=1.7523e-11&amp;sourceID=12","1.7523e-11")</f>
        <v>1.7523e-11</v>
      </c>
      <c r="O231" s="4" t="str">
        <f>HYPERLINK("http://141.218.60.56/~jnz1568/getInfo.php?workbook=09_01.xlsx&amp;sheet=A0&amp;row=231&amp;col=15&amp;number=&amp;sourceID=12","")</f>
        <v/>
      </c>
      <c r="P231" s="4" t="str">
        <f>HYPERLINK("http://141.218.60.56/~jnz1568/getInfo.php?workbook=09_01.xlsx&amp;sheet=A0&amp;row=231&amp;col=16&amp;number=&amp;sourceID=12","")</f>
        <v/>
      </c>
      <c r="Q231" s="4" t="str">
        <f>HYPERLINK("http://141.218.60.56/~jnz1568/getInfo.php?workbook=09_01.xlsx&amp;sheet=A0&amp;row=231&amp;col=17&amp;number=&amp;sourceID=12","")</f>
        <v/>
      </c>
      <c r="R231" s="4" t="str">
        <f>HYPERLINK("http://141.218.60.56/~jnz1568/getInfo.php?workbook=09_01.xlsx&amp;sheet=A0&amp;row=231&amp;col=18&amp;number=&amp;sourceID=12","")</f>
        <v/>
      </c>
      <c r="S231" s="4" t="str">
        <f>HYPERLINK("http://141.218.60.56/~jnz1568/getInfo.php?workbook=09_01.xlsx&amp;sheet=A0&amp;row=231&amp;col=19&amp;number=&amp;sourceID=12","")</f>
        <v/>
      </c>
      <c r="T231" s="4" t="str">
        <f>HYPERLINK("http://141.218.60.56/~jnz1568/getInfo.php?workbook=09_01.xlsx&amp;sheet=A0&amp;row=231&amp;col=20&amp;number=1.7523e-11&amp;sourceID=12","1.7523e-11")</f>
        <v>1.7523e-11</v>
      </c>
      <c r="U231" s="4" t="str">
        <f>HYPERLINK("http://141.218.60.56/~jnz1568/getInfo.php?workbook=09_01.xlsx&amp;sheet=A0&amp;row=231&amp;col=21&amp;number=&amp;sourceID=30","")</f>
        <v/>
      </c>
      <c r="V231" s="4" t="str">
        <f>HYPERLINK("http://141.218.60.56/~jnz1568/getInfo.php?workbook=09_01.xlsx&amp;sheet=A0&amp;row=231&amp;col=22&amp;number=&amp;sourceID=30","")</f>
        <v/>
      </c>
      <c r="W231" s="4" t="str">
        <f>HYPERLINK("http://141.218.60.56/~jnz1568/getInfo.php?workbook=09_01.xlsx&amp;sheet=A0&amp;row=231&amp;col=23&amp;number=&amp;sourceID=30","")</f>
        <v/>
      </c>
      <c r="X231" s="4" t="str">
        <f>HYPERLINK("http://141.218.60.56/~jnz1568/getInfo.php?workbook=09_01.xlsx&amp;sheet=A0&amp;row=231&amp;col=24&amp;number=&amp;sourceID=30","")</f>
        <v/>
      </c>
      <c r="Y231" s="4" t="str">
        <f>HYPERLINK("http://141.218.60.56/~jnz1568/getInfo.php?workbook=09_01.xlsx&amp;sheet=A0&amp;row=231&amp;col=25&amp;number=&amp;sourceID=30","")</f>
        <v/>
      </c>
      <c r="Z231" s="4" t="str">
        <f>HYPERLINK("http://141.218.60.56/~jnz1568/getInfo.php?workbook=09_01.xlsx&amp;sheet=A0&amp;row=231&amp;col=26&amp;number=&amp;sourceID=13","")</f>
        <v/>
      </c>
      <c r="AA231" s="4" t="str">
        <f>HYPERLINK("http://141.218.60.56/~jnz1568/getInfo.php?workbook=09_01.xlsx&amp;sheet=A0&amp;row=231&amp;col=27&amp;number=&amp;sourceID=13","")</f>
        <v/>
      </c>
      <c r="AB231" s="4" t="str">
        <f>HYPERLINK("http://141.218.60.56/~jnz1568/getInfo.php?workbook=09_01.xlsx&amp;sheet=A0&amp;row=231&amp;col=28&amp;number=&amp;sourceID=13","")</f>
        <v/>
      </c>
      <c r="AC231" s="4" t="str">
        <f>HYPERLINK("http://141.218.60.56/~jnz1568/getInfo.php?workbook=09_01.xlsx&amp;sheet=A0&amp;row=231&amp;col=29&amp;number=&amp;sourceID=13","")</f>
        <v/>
      </c>
      <c r="AD231" s="4" t="str">
        <f>HYPERLINK("http://141.218.60.56/~jnz1568/getInfo.php?workbook=09_01.xlsx&amp;sheet=A0&amp;row=231&amp;col=30&amp;number=&amp;sourceID=13","")</f>
        <v/>
      </c>
      <c r="AE231" s="4" t="str">
        <f>HYPERLINK("http://141.218.60.56/~jnz1568/getInfo.php?workbook=09_01.xlsx&amp;sheet=A0&amp;row=231&amp;col=31&amp;number=&amp;sourceID=13","")</f>
        <v/>
      </c>
    </row>
    <row r="232" spans="1:31">
      <c r="A232" s="3">
        <v>9</v>
      </c>
      <c r="B232" s="3">
        <v>1</v>
      </c>
      <c r="C232" s="3">
        <v>23</v>
      </c>
      <c r="D232" s="3">
        <v>7</v>
      </c>
      <c r="E232" s="3">
        <f>((1/(INDEX(E0!J$4:J$28,C232,1)-INDEX(E0!J$4:J$28,D232,1))))*100000000</f>
        <v>0</v>
      </c>
      <c r="F232" s="4" t="str">
        <f>HYPERLINK("http://141.218.60.56/~jnz1568/getInfo.php?workbook=09_01.xlsx&amp;sheet=A0&amp;row=232&amp;col=6&amp;number=&amp;sourceID=18","")</f>
        <v/>
      </c>
      <c r="G232" s="4" t="str">
        <f>HYPERLINK("http://141.218.60.56/~jnz1568/getInfo.php?workbook=09_01.xlsx&amp;sheet=A0&amp;row=232&amp;col=7&amp;number==&amp;sourceID=11","=")</f>
        <v>=</v>
      </c>
      <c r="H232" s="4" t="str">
        <f>HYPERLINK("http://141.218.60.56/~jnz1568/getInfo.php?workbook=09_01.xlsx&amp;sheet=A0&amp;row=232&amp;col=8&amp;number=&amp;sourceID=11","")</f>
        <v/>
      </c>
      <c r="I232" s="4" t="str">
        <f>HYPERLINK("http://141.218.60.56/~jnz1568/getInfo.php?workbook=09_01.xlsx&amp;sheet=A0&amp;row=232&amp;col=9&amp;number=5555500&amp;sourceID=11","5555500")</f>
        <v>5555500</v>
      </c>
      <c r="J232" s="4" t="str">
        <f>HYPERLINK("http://141.218.60.56/~jnz1568/getInfo.php?workbook=09_01.xlsx&amp;sheet=A0&amp;row=232&amp;col=10&amp;number=&amp;sourceID=11","")</f>
        <v/>
      </c>
      <c r="K232" s="4" t="str">
        <f>HYPERLINK("http://141.218.60.56/~jnz1568/getInfo.php?workbook=09_01.xlsx&amp;sheet=A0&amp;row=232&amp;col=11&amp;number=&amp;sourceID=11","")</f>
        <v/>
      </c>
      <c r="L232" s="4" t="str">
        <f>HYPERLINK("http://141.218.60.56/~jnz1568/getInfo.php?workbook=09_01.xlsx&amp;sheet=A0&amp;row=232&amp;col=12&amp;number=&amp;sourceID=11","")</f>
        <v/>
      </c>
      <c r="M232" s="4" t="str">
        <f>HYPERLINK("http://141.218.60.56/~jnz1568/getInfo.php?workbook=09_01.xlsx&amp;sheet=A0&amp;row=232&amp;col=13&amp;number=0.0031139&amp;sourceID=11","0.0031139")</f>
        <v>0.0031139</v>
      </c>
      <c r="N232" s="4" t="str">
        <f>HYPERLINK("http://141.218.60.56/~jnz1568/getInfo.php?workbook=09_01.xlsx&amp;sheet=A0&amp;row=232&amp;col=14&amp;number=5555700&amp;sourceID=12","5555700")</f>
        <v>5555700</v>
      </c>
      <c r="O232" s="4" t="str">
        <f>HYPERLINK("http://141.218.60.56/~jnz1568/getInfo.php?workbook=09_01.xlsx&amp;sheet=A0&amp;row=232&amp;col=15&amp;number=&amp;sourceID=12","")</f>
        <v/>
      </c>
      <c r="P232" s="4" t="str">
        <f>HYPERLINK("http://141.218.60.56/~jnz1568/getInfo.php?workbook=09_01.xlsx&amp;sheet=A0&amp;row=232&amp;col=16&amp;number=5555700&amp;sourceID=12","5555700")</f>
        <v>5555700</v>
      </c>
      <c r="Q232" s="4" t="str">
        <f>HYPERLINK("http://141.218.60.56/~jnz1568/getInfo.php?workbook=09_01.xlsx&amp;sheet=A0&amp;row=232&amp;col=17&amp;number=&amp;sourceID=12","")</f>
        <v/>
      </c>
      <c r="R232" s="4" t="str">
        <f>HYPERLINK("http://141.218.60.56/~jnz1568/getInfo.php?workbook=09_01.xlsx&amp;sheet=A0&amp;row=232&amp;col=18&amp;number=&amp;sourceID=12","")</f>
        <v/>
      </c>
      <c r="S232" s="4" t="str">
        <f>HYPERLINK("http://141.218.60.56/~jnz1568/getInfo.php?workbook=09_01.xlsx&amp;sheet=A0&amp;row=232&amp;col=19&amp;number=&amp;sourceID=12","")</f>
        <v/>
      </c>
      <c r="T232" s="4" t="str">
        <f>HYPERLINK("http://141.218.60.56/~jnz1568/getInfo.php?workbook=09_01.xlsx&amp;sheet=A0&amp;row=232&amp;col=20&amp;number=0.003114&amp;sourceID=12","0.003114")</f>
        <v>0.003114</v>
      </c>
      <c r="U232" s="4" t="str">
        <f>HYPERLINK("http://141.218.60.56/~jnz1568/getInfo.php?workbook=09_01.xlsx&amp;sheet=A0&amp;row=232&amp;col=21&amp;number=5556000&amp;sourceID=30","5556000")</f>
        <v>5556000</v>
      </c>
      <c r="V232" s="4" t="str">
        <f>HYPERLINK("http://141.218.60.56/~jnz1568/getInfo.php?workbook=09_01.xlsx&amp;sheet=A0&amp;row=232&amp;col=22&amp;number=&amp;sourceID=30","")</f>
        <v/>
      </c>
      <c r="W232" s="4" t="str">
        <f>HYPERLINK("http://141.218.60.56/~jnz1568/getInfo.php?workbook=09_01.xlsx&amp;sheet=A0&amp;row=232&amp;col=23&amp;number=5556000&amp;sourceID=30","5556000")</f>
        <v>5556000</v>
      </c>
      <c r="X232" s="4" t="str">
        <f>HYPERLINK("http://141.218.60.56/~jnz1568/getInfo.php?workbook=09_01.xlsx&amp;sheet=A0&amp;row=232&amp;col=24&amp;number=&amp;sourceID=30","")</f>
        <v/>
      </c>
      <c r="Y232" s="4" t="str">
        <f>HYPERLINK("http://141.218.60.56/~jnz1568/getInfo.php?workbook=09_01.xlsx&amp;sheet=A0&amp;row=232&amp;col=25&amp;number=&amp;sourceID=30","")</f>
        <v/>
      </c>
      <c r="Z232" s="4" t="str">
        <f>HYPERLINK("http://141.218.60.56/~jnz1568/getInfo.php?workbook=09_01.xlsx&amp;sheet=A0&amp;row=232&amp;col=26&amp;number=&amp;sourceID=13","")</f>
        <v/>
      </c>
      <c r="AA232" s="4" t="str">
        <f>HYPERLINK("http://141.218.60.56/~jnz1568/getInfo.php?workbook=09_01.xlsx&amp;sheet=A0&amp;row=232&amp;col=27&amp;number=&amp;sourceID=13","")</f>
        <v/>
      </c>
      <c r="AB232" s="4" t="str">
        <f>HYPERLINK("http://141.218.60.56/~jnz1568/getInfo.php?workbook=09_01.xlsx&amp;sheet=A0&amp;row=232&amp;col=28&amp;number=&amp;sourceID=13","")</f>
        <v/>
      </c>
      <c r="AC232" s="4" t="str">
        <f>HYPERLINK("http://141.218.60.56/~jnz1568/getInfo.php?workbook=09_01.xlsx&amp;sheet=A0&amp;row=232&amp;col=29&amp;number=&amp;sourceID=13","")</f>
        <v/>
      </c>
      <c r="AD232" s="4" t="str">
        <f>HYPERLINK("http://141.218.60.56/~jnz1568/getInfo.php?workbook=09_01.xlsx&amp;sheet=A0&amp;row=232&amp;col=30&amp;number=&amp;sourceID=13","")</f>
        <v/>
      </c>
      <c r="AE232" s="4" t="str">
        <f>HYPERLINK("http://141.218.60.56/~jnz1568/getInfo.php?workbook=09_01.xlsx&amp;sheet=A0&amp;row=232&amp;col=31&amp;number=&amp;sourceID=13","")</f>
        <v/>
      </c>
    </row>
    <row r="233" spans="1:31">
      <c r="A233" s="3">
        <v>9</v>
      </c>
      <c r="B233" s="3">
        <v>1</v>
      </c>
      <c r="C233" s="3">
        <v>23</v>
      </c>
      <c r="D233" s="3">
        <v>8</v>
      </c>
      <c r="E233" s="3">
        <f>((1/(INDEX(E0!J$4:J$28,C233,1)-INDEX(E0!J$4:J$28,D233,1))))*100000000</f>
        <v>0</v>
      </c>
      <c r="F233" s="4" t="str">
        <f>HYPERLINK("http://141.218.60.56/~jnz1568/getInfo.php?workbook=09_01.xlsx&amp;sheet=A0&amp;row=233&amp;col=6&amp;number=&amp;sourceID=18","")</f>
        <v/>
      </c>
      <c r="G233" s="4" t="str">
        <f>HYPERLINK("http://141.218.60.56/~jnz1568/getInfo.php?workbook=09_01.xlsx&amp;sheet=A0&amp;row=233&amp;col=7&amp;number==&amp;sourceID=11","=")</f>
        <v>=</v>
      </c>
      <c r="H233" s="4" t="str">
        <f>HYPERLINK("http://141.218.60.56/~jnz1568/getInfo.php?workbook=09_01.xlsx&amp;sheet=A0&amp;row=233&amp;col=8&amp;number=&amp;sourceID=11","")</f>
        <v/>
      </c>
      <c r="I233" s="4" t="str">
        <f>HYPERLINK("http://141.218.60.56/~jnz1568/getInfo.php?workbook=09_01.xlsx&amp;sheet=A0&amp;row=233&amp;col=9&amp;number=&amp;sourceID=11","")</f>
        <v/>
      </c>
      <c r="J233" s="4" t="str">
        <f>HYPERLINK("http://141.218.60.56/~jnz1568/getInfo.php?workbook=09_01.xlsx&amp;sheet=A0&amp;row=233&amp;col=10&amp;number=152.5&amp;sourceID=11","152.5")</f>
        <v>152.5</v>
      </c>
      <c r="K233" s="4" t="str">
        <f>HYPERLINK("http://141.218.60.56/~jnz1568/getInfo.php?workbook=09_01.xlsx&amp;sheet=A0&amp;row=233&amp;col=11&amp;number=&amp;sourceID=11","")</f>
        <v/>
      </c>
      <c r="L233" s="4" t="str">
        <f>HYPERLINK("http://141.218.60.56/~jnz1568/getInfo.php?workbook=09_01.xlsx&amp;sheet=A0&amp;row=233&amp;col=12&amp;number=4.7815e-07&amp;sourceID=11","4.7815e-07")</f>
        <v>4.7815e-07</v>
      </c>
      <c r="M233" s="4" t="str">
        <f>HYPERLINK("http://141.218.60.56/~jnz1568/getInfo.php?workbook=09_01.xlsx&amp;sheet=A0&amp;row=233&amp;col=13&amp;number=&amp;sourceID=11","")</f>
        <v/>
      </c>
      <c r="N233" s="4" t="str">
        <f>HYPERLINK("http://141.218.60.56/~jnz1568/getInfo.php?workbook=09_01.xlsx&amp;sheet=A0&amp;row=233&amp;col=14&amp;number=152.5&amp;sourceID=12","152.5")</f>
        <v>152.5</v>
      </c>
      <c r="O233" s="4" t="str">
        <f>HYPERLINK("http://141.218.60.56/~jnz1568/getInfo.php?workbook=09_01.xlsx&amp;sheet=A0&amp;row=233&amp;col=15&amp;number=&amp;sourceID=12","")</f>
        <v/>
      </c>
      <c r="P233" s="4" t="str">
        <f>HYPERLINK("http://141.218.60.56/~jnz1568/getInfo.php?workbook=09_01.xlsx&amp;sheet=A0&amp;row=233&amp;col=16&amp;number=&amp;sourceID=12","")</f>
        <v/>
      </c>
      <c r="Q233" s="4" t="str">
        <f>HYPERLINK("http://141.218.60.56/~jnz1568/getInfo.php?workbook=09_01.xlsx&amp;sheet=A0&amp;row=233&amp;col=17&amp;number=152.5&amp;sourceID=12","152.5")</f>
        <v>152.5</v>
      </c>
      <c r="R233" s="4" t="str">
        <f>HYPERLINK("http://141.218.60.56/~jnz1568/getInfo.php?workbook=09_01.xlsx&amp;sheet=A0&amp;row=233&amp;col=18&amp;number=&amp;sourceID=12","")</f>
        <v/>
      </c>
      <c r="S233" s="4" t="str">
        <f>HYPERLINK("http://141.218.60.56/~jnz1568/getInfo.php?workbook=09_01.xlsx&amp;sheet=A0&amp;row=233&amp;col=19&amp;number=4.7815e-07&amp;sourceID=12","4.7815e-07")</f>
        <v>4.7815e-07</v>
      </c>
      <c r="T233" s="4" t="str">
        <f>HYPERLINK("http://141.218.60.56/~jnz1568/getInfo.php?workbook=09_01.xlsx&amp;sheet=A0&amp;row=233&amp;col=20&amp;number=&amp;sourceID=12","")</f>
        <v/>
      </c>
      <c r="U233" s="4" t="str">
        <f>HYPERLINK("http://141.218.60.56/~jnz1568/getInfo.php?workbook=09_01.xlsx&amp;sheet=A0&amp;row=233&amp;col=21&amp;number=4.776e-07&amp;sourceID=30","4.776e-07")</f>
        <v>4.776e-07</v>
      </c>
      <c r="V233" s="4" t="str">
        <f>HYPERLINK("http://141.218.60.56/~jnz1568/getInfo.php?workbook=09_01.xlsx&amp;sheet=A0&amp;row=233&amp;col=22&amp;number=&amp;sourceID=30","")</f>
        <v/>
      </c>
      <c r="W233" s="4" t="str">
        <f>HYPERLINK("http://141.218.60.56/~jnz1568/getInfo.php?workbook=09_01.xlsx&amp;sheet=A0&amp;row=233&amp;col=23&amp;number=&amp;sourceID=30","")</f>
        <v/>
      </c>
      <c r="X233" s="4" t="str">
        <f>HYPERLINK("http://141.218.60.56/~jnz1568/getInfo.php?workbook=09_01.xlsx&amp;sheet=A0&amp;row=233&amp;col=24&amp;number=&amp;sourceID=30","")</f>
        <v/>
      </c>
      <c r="Y233" s="4" t="str">
        <f>HYPERLINK("http://141.218.60.56/~jnz1568/getInfo.php?workbook=09_01.xlsx&amp;sheet=A0&amp;row=233&amp;col=25&amp;number=4.776e-07&amp;sourceID=30","4.776e-07")</f>
        <v>4.776e-07</v>
      </c>
      <c r="Z233" s="4" t="str">
        <f>HYPERLINK("http://141.218.60.56/~jnz1568/getInfo.php?workbook=09_01.xlsx&amp;sheet=A0&amp;row=233&amp;col=26&amp;number=&amp;sourceID=13","")</f>
        <v/>
      </c>
      <c r="AA233" s="4" t="str">
        <f>HYPERLINK("http://141.218.60.56/~jnz1568/getInfo.php?workbook=09_01.xlsx&amp;sheet=A0&amp;row=233&amp;col=27&amp;number=&amp;sourceID=13","")</f>
        <v/>
      </c>
      <c r="AB233" s="4" t="str">
        <f>HYPERLINK("http://141.218.60.56/~jnz1568/getInfo.php?workbook=09_01.xlsx&amp;sheet=A0&amp;row=233&amp;col=28&amp;number=&amp;sourceID=13","")</f>
        <v/>
      </c>
      <c r="AC233" s="4" t="str">
        <f>HYPERLINK("http://141.218.60.56/~jnz1568/getInfo.php?workbook=09_01.xlsx&amp;sheet=A0&amp;row=233&amp;col=29&amp;number=&amp;sourceID=13","")</f>
        <v/>
      </c>
      <c r="AD233" s="4" t="str">
        <f>HYPERLINK("http://141.218.60.56/~jnz1568/getInfo.php?workbook=09_01.xlsx&amp;sheet=A0&amp;row=233&amp;col=30&amp;number=&amp;sourceID=13","")</f>
        <v/>
      </c>
      <c r="AE233" s="4" t="str">
        <f>HYPERLINK("http://141.218.60.56/~jnz1568/getInfo.php?workbook=09_01.xlsx&amp;sheet=A0&amp;row=233&amp;col=31&amp;number=&amp;sourceID=13","")</f>
        <v/>
      </c>
    </row>
    <row r="234" spans="1:31">
      <c r="A234" s="3">
        <v>9</v>
      </c>
      <c r="B234" s="3">
        <v>1</v>
      </c>
      <c r="C234" s="3">
        <v>23</v>
      </c>
      <c r="D234" s="3">
        <v>9</v>
      </c>
      <c r="E234" s="3">
        <f>((1/(INDEX(E0!J$4:J$28,C234,1)-INDEX(E0!J$4:J$28,D234,1))))*100000000</f>
        <v>0</v>
      </c>
      <c r="F234" s="4" t="str">
        <f>HYPERLINK("http://141.218.60.56/~jnz1568/getInfo.php?workbook=09_01.xlsx&amp;sheet=A0&amp;row=234&amp;col=6&amp;number=&amp;sourceID=18","")</f>
        <v/>
      </c>
      <c r="G234" s="4" t="str">
        <f>HYPERLINK("http://141.218.60.56/~jnz1568/getInfo.php?workbook=09_01.xlsx&amp;sheet=A0&amp;row=234&amp;col=7&amp;number==&amp;sourceID=11","=")</f>
        <v>=</v>
      </c>
      <c r="H234" s="4" t="str">
        <f>HYPERLINK("http://141.218.60.56/~jnz1568/getInfo.php?workbook=09_01.xlsx&amp;sheet=A0&amp;row=234&amp;col=8&amp;number=&amp;sourceID=11","")</f>
        <v/>
      </c>
      <c r="I234" s="4" t="str">
        <f>HYPERLINK("http://141.218.60.56/~jnz1568/getInfo.php?workbook=09_01.xlsx&amp;sheet=A0&amp;row=234&amp;col=9&amp;number=617170&amp;sourceID=11","617170")</f>
        <v>617170</v>
      </c>
      <c r="J234" s="4" t="str">
        <f>HYPERLINK("http://141.218.60.56/~jnz1568/getInfo.php?workbook=09_01.xlsx&amp;sheet=A0&amp;row=234&amp;col=10&amp;number=&amp;sourceID=11","")</f>
        <v/>
      </c>
      <c r="K234" s="4" t="str">
        <f>HYPERLINK("http://141.218.60.56/~jnz1568/getInfo.php?workbook=09_01.xlsx&amp;sheet=A0&amp;row=234&amp;col=11&amp;number=0.0048408&amp;sourceID=11","0.0048408")</f>
        <v>0.0048408</v>
      </c>
      <c r="L234" s="4" t="str">
        <f>HYPERLINK("http://141.218.60.56/~jnz1568/getInfo.php?workbook=09_01.xlsx&amp;sheet=A0&amp;row=234&amp;col=12&amp;number=&amp;sourceID=11","")</f>
        <v/>
      </c>
      <c r="M234" s="4" t="str">
        <f>HYPERLINK("http://141.218.60.56/~jnz1568/getInfo.php?workbook=09_01.xlsx&amp;sheet=A0&amp;row=234&amp;col=13&amp;number=0.00011526&amp;sourceID=11","0.00011526")</f>
        <v>0.00011526</v>
      </c>
      <c r="N234" s="4" t="str">
        <f>HYPERLINK("http://141.218.60.56/~jnz1568/getInfo.php?workbook=09_01.xlsx&amp;sheet=A0&amp;row=234&amp;col=14&amp;number=617190&amp;sourceID=12","617190")</f>
        <v>617190</v>
      </c>
      <c r="O234" s="4" t="str">
        <f>HYPERLINK("http://141.218.60.56/~jnz1568/getInfo.php?workbook=09_01.xlsx&amp;sheet=A0&amp;row=234&amp;col=15&amp;number=&amp;sourceID=12","")</f>
        <v/>
      </c>
      <c r="P234" s="4" t="str">
        <f>HYPERLINK("http://141.218.60.56/~jnz1568/getInfo.php?workbook=09_01.xlsx&amp;sheet=A0&amp;row=234&amp;col=16&amp;number=617190&amp;sourceID=12","617190")</f>
        <v>617190</v>
      </c>
      <c r="Q234" s="4" t="str">
        <f>HYPERLINK("http://141.218.60.56/~jnz1568/getInfo.php?workbook=09_01.xlsx&amp;sheet=A0&amp;row=234&amp;col=17&amp;number=&amp;sourceID=12","")</f>
        <v/>
      </c>
      <c r="R234" s="4" t="str">
        <f>HYPERLINK("http://141.218.60.56/~jnz1568/getInfo.php?workbook=09_01.xlsx&amp;sheet=A0&amp;row=234&amp;col=18&amp;number=0.0048409&amp;sourceID=12","0.0048409")</f>
        <v>0.0048409</v>
      </c>
      <c r="S234" s="4" t="str">
        <f>HYPERLINK("http://141.218.60.56/~jnz1568/getInfo.php?workbook=09_01.xlsx&amp;sheet=A0&amp;row=234&amp;col=19&amp;number=&amp;sourceID=12","")</f>
        <v/>
      </c>
      <c r="T234" s="4" t="str">
        <f>HYPERLINK("http://141.218.60.56/~jnz1568/getInfo.php?workbook=09_01.xlsx&amp;sheet=A0&amp;row=234&amp;col=20&amp;number=0.00011526&amp;sourceID=12","0.00011526")</f>
        <v>0.00011526</v>
      </c>
      <c r="U234" s="4" t="str">
        <f>HYPERLINK("http://141.218.60.56/~jnz1568/getInfo.php?workbook=09_01.xlsx&amp;sheet=A0&amp;row=234&amp;col=21&amp;number=617200.004839&amp;sourceID=30","617200.004839")</f>
        <v>617200.004839</v>
      </c>
      <c r="V234" s="4" t="str">
        <f>HYPERLINK("http://141.218.60.56/~jnz1568/getInfo.php?workbook=09_01.xlsx&amp;sheet=A0&amp;row=234&amp;col=22&amp;number=&amp;sourceID=30","")</f>
        <v/>
      </c>
      <c r="W234" s="4" t="str">
        <f>HYPERLINK("http://141.218.60.56/~jnz1568/getInfo.php?workbook=09_01.xlsx&amp;sheet=A0&amp;row=234&amp;col=23&amp;number=617200&amp;sourceID=30","617200")</f>
        <v>617200</v>
      </c>
      <c r="X234" s="4" t="str">
        <f>HYPERLINK("http://141.218.60.56/~jnz1568/getInfo.php?workbook=09_01.xlsx&amp;sheet=A0&amp;row=234&amp;col=24&amp;number=0.004839&amp;sourceID=30","0.004839")</f>
        <v>0.004839</v>
      </c>
      <c r="Y234" s="4" t="str">
        <f>HYPERLINK("http://141.218.60.56/~jnz1568/getInfo.php?workbook=09_01.xlsx&amp;sheet=A0&amp;row=234&amp;col=25&amp;number=&amp;sourceID=30","")</f>
        <v/>
      </c>
      <c r="Z234" s="4" t="str">
        <f>HYPERLINK("http://141.218.60.56/~jnz1568/getInfo.php?workbook=09_01.xlsx&amp;sheet=A0&amp;row=234&amp;col=26&amp;number=&amp;sourceID=13","")</f>
        <v/>
      </c>
      <c r="AA234" s="4" t="str">
        <f>HYPERLINK("http://141.218.60.56/~jnz1568/getInfo.php?workbook=09_01.xlsx&amp;sheet=A0&amp;row=234&amp;col=27&amp;number=&amp;sourceID=13","")</f>
        <v/>
      </c>
      <c r="AB234" s="4" t="str">
        <f>HYPERLINK("http://141.218.60.56/~jnz1568/getInfo.php?workbook=09_01.xlsx&amp;sheet=A0&amp;row=234&amp;col=28&amp;number=&amp;sourceID=13","")</f>
        <v/>
      </c>
      <c r="AC234" s="4" t="str">
        <f>HYPERLINK("http://141.218.60.56/~jnz1568/getInfo.php?workbook=09_01.xlsx&amp;sheet=A0&amp;row=234&amp;col=29&amp;number=&amp;sourceID=13","")</f>
        <v/>
      </c>
      <c r="AD234" s="4" t="str">
        <f>HYPERLINK("http://141.218.60.56/~jnz1568/getInfo.php?workbook=09_01.xlsx&amp;sheet=A0&amp;row=234&amp;col=30&amp;number=&amp;sourceID=13","")</f>
        <v/>
      </c>
      <c r="AE234" s="4" t="str">
        <f>HYPERLINK("http://141.218.60.56/~jnz1568/getInfo.php?workbook=09_01.xlsx&amp;sheet=A0&amp;row=234&amp;col=31&amp;number=&amp;sourceID=13","")</f>
        <v/>
      </c>
    </row>
    <row r="235" spans="1:31">
      <c r="A235" s="3">
        <v>9</v>
      </c>
      <c r="B235" s="3">
        <v>1</v>
      </c>
      <c r="C235" s="3">
        <v>23</v>
      </c>
      <c r="D235" s="3">
        <v>10</v>
      </c>
      <c r="E235" s="3">
        <f>((1/(INDEX(E0!J$4:J$28,C235,1)-INDEX(E0!J$4:J$28,D235,1))))*100000000</f>
        <v>0</v>
      </c>
      <c r="F235" s="4" t="str">
        <f>HYPERLINK("http://141.218.60.56/~jnz1568/getInfo.php?workbook=09_01.xlsx&amp;sheet=A0&amp;row=235&amp;col=6&amp;number=&amp;sourceID=18","")</f>
        <v/>
      </c>
      <c r="G235" s="4" t="str">
        <f>HYPERLINK("http://141.218.60.56/~jnz1568/getInfo.php?workbook=09_01.xlsx&amp;sheet=A0&amp;row=235&amp;col=7&amp;number==&amp;sourceID=11","=")</f>
        <v>=</v>
      </c>
      <c r="H235" s="4" t="str">
        <f>HYPERLINK("http://141.218.60.56/~jnz1568/getInfo.php?workbook=09_01.xlsx&amp;sheet=A0&amp;row=235&amp;col=8&amp;number=&amp;sourceID=11","")</f>
        <v/>
      </c>
      <c r="I235" s="4" t="str">
        <f>HYPERLINK("http://141.218.60.56/~jnz1568/getInfo.php?workbook=09_01.xlsx&amp;sheet=A0&amp;row=235&amp;col=9&amp;number=&amp;sourceID=11","")</f>
        <v/>
      </c>
      <c r="J235" s="4" t="str">
        <f>HYPERLINK("http://141.218.60.56/~jnz1568/getInfo.php?workbook=09_01.xlsx&amp;sheet=A0&amp;row=235&amp;col=10&amp;number=4.2615&amp;sourceID=11","4.2615")</f>
        <v>4.2615</v>
      </c>
      <c r="K235" s="4" t="str">
        <f>HYPERLINK("http://141.218.60.56/~jnz1568/getInfo.php?workbook=09_01.xlsx&amp;sheet=A0&amp;row=235&amp;col=11&amp;number=&amp;sourceID=11","")</f>
        <v/>
      </c>
      <c r="L235" s="4" t="str">
        <f>HYPERLINK("http://141.218.60.56/~jnz1568/getInfo.php?workbook=09_01.xlsx&amp;sheet=A0&amp;row=235&amp;col=12&amp;number=&amp;sourceID=11","")</f>
        <v/>
      </c>
      <c r="M235" s="4" t="str">
        <f>HYPERLINK("http://141.218.60.56/~jnz1568/getInfo.php?workbook=09_01.xlsx&amp;sheet=A0&amp;row=235&amp;col=13&amp;number=&amp;sourceID=11","")</f>
        <v/>
      </c>
      <c r="N235" s="4" t="str">
        <f>HYPERLINK("http://141.218.60.56/~jnz1568/getInfo.php?workbook=09_01.xlsx&amp;sheet=A0&amp;row=235&amp;col=14&amp;number=4.2616&amp;sourceID=12","4.2616")</f>
        <v>4.2616</v>
      </c>
      <c r="O235" s="4" t="str">
        <f>HYPERLINK("http://141.218.60.56/~jnz1568/getInfo.php?workbook=09_01.xlsx&amp;sheet=A0&amp;row=235&amp;col=15&amp;number=&amp;sourceID=12","")</f>
        <v/>
      </c>
      <c r="P235" s="4" t="str">
        <f>HYPERLINK("http://141.218.60.56/~jnz1568/getInfo.php?workbook=09_01.xlsx&amp;sheet=A0&amp;row=235&amp;col=16&amp;number=&amp;sourceID=12","")</f>
        <v/>
      </c>
      <c r="Q235" s="4" t="str">
        <f>HYPERLINK("http://141.218.60.56/~jnz1568/getInfo.php?workbook=09_01.xlsx&amp;sheet=A0&amp;row=235&amp;col=17&amp;number=4.2616&amp;sourceID=12","4.2616")</f>
        <v>4.2616</v>
      </c>
      <c r="R235" s="4" t="str">
        <f>HYPERLINK("http://141.218.60.56/~jnz1568/getInfo.php?workbook=09_01.xlsx&amp;sheet=A0&amp;row=235&amp;col=18&amp;number=&amp;sourceID=12","")</f>
        <v/>
      </c>
      <c r="S235" s="4" t="str">
        <f>HYPERLINK("http://141.218.60.56/~jnz1568/getInfo.php?workbook=09_01.xlsx&amp;sheet=A0&amp;row=235&amp;col=19&amp;number=&amp;sourceID=12","")</f>
        <v/>
      </c>
      <c r="T235" s="4" t="str">
        <f>HYPERLINK("http://141.218.60.56/~jnz1568/getInfo.php?workbook=09_01.xlsx&amp;sheet=A0&amp;row=235&amp;col=20&amp;number=&amp;sourceID=12","")</f>
        <v/>
      </c>
      <c r="U235" s="4" t="str">
        <f>HYPERLINK("http://141.218.60.56/~jnz1568/getInfo.php?workbook=09_01.xlsx&amp;sheet=A0&amp;row=235&amp;col=21&amp;number=&amp;sourceID=30","")</f>
        <v/>
      </c>
      <c r="V235" s="4" t="str">
        <f>HYPERLINK("http://141.218.60.56/~jnz1568/getInfo.php?workbook=09_01.xlsx&amp;sheet=A0&amp;row=235&amp;col=22&amp;number=&amp;sourceID=30","")</f>
        <v/>
      </c>
      <c r="W235" s="4" t="str">
        <f>HYPERLINK("http://141.218.60.56/~jnz1568/getInfo.php?workbook=09_01.xlsx&amp;sheet=A0&amp;row=235&amp;col=23&amp;number=&amp;sourceID=30","")</f>
        <v/>
      </c>
      <c r="X235" s="4" t="str">
        <f>HYPERLINK("http://141.218.60.56/~jnz1568/getInfo.php?workbook=09_01.xlsx&amp;sheet=A0&amp;row=235&amp;col=24&amp;number=&amp;sourceID=30","")</f>
        <v/>
      </c>
      <c r="Y235" s="4" t="str">
        <f>HYPERLINK("http://141.218.60.56/~jnz1568/getInfo.php?workbook=09_01.xlsx&amp;sheet=A0&amp;row=235&amp;col=25&amp;number=&amp;sourceID=30","")</f>
        <v/>
      </c>
      <c r="Z235" s="4" t="str">
        <f>HYPERLINK("http://141.218.60.56/~jnz1568/getInfo.php?workbook=09_01.xlsx&amp;sheet=A0&amp;row=235&amp;col=26&amp;number=&amp;sourceID=13","")</f>
        <v/>
      </c>
      <c r="AA235" s="4" t="str">
        <f>HYPERLINK("http://141.218.60.56/~jnz1568/getInfo.php?workbook=09_01.xlsx&amp;sheet=A0&amp;row=235&amp;col=27&amp;number=&amp;sourceID=13","")</f>
        <v/>
      </c>
      <c r="AB235" s="4" t="str">
        <f>HYPERLINK("http://141.218.60.56/~jnz1568/getInfo.php?workbook=09_01.xlsx&amp;sheet=A0&amp;row=235&amp;col=28&amp;number=&amp;sourceID=13","")</f>
        <v/>
      </c>
      <c r="AC235" s="4" t="str">
        <f>HYPERLINK("http://141.218.60.56/~jnz1568/getInfo.php?workbook=09_01.xlsx&amp;sheet=A0&amp;row=235&amp;col=29&amp;number=&amp;sourceID=13","")</f>
        <v/>
      </c>
      <c r="AD235" s="4" t="str">
        <f>HYPERLINK("http://141.218.60.56/~jnz1568/getInfo.php?workbook=09_01.xlsx&amp;sheet=A0&amp;row=235&amp;col=30&amp;number=&amp;sourceID=13","")</f>
        <v/>
      </c>
      <c r="AE235" s="4" t="str">
        <f>HYPERLINK("http://141.218.60.56/~jnz1568/getInfo.php?workbook=09_01.xlsx&amp;sheet=A0&amp;row=235&amp;col=31&amp;number=&amp;sourceID=13","")</f>
        <v/>
      </c>
    </row>
    <row r="236" spans="1:31">
      <c r="A236" s="3">
        <v>9</v>
      </c>
      <c r="B236" s="3">
        <v>1</v>
      </c>
      <c r="C236" s="3">
        <v>23</v>
      </c>
      <c r="D236" s="3">
        <v>11</v>
      </c>
      <c r="E236" s="3">
        <f>((1/(INDEX(E0!J$4:J$28,C236,1)-INDEX(E0!J$4:J$28,D236,1))))*100000000</f>
        <v>0</v>
      </c>
      <c r="F236" s="4" t="str">
        <f>HYPERLINK("http://141.218.60.56/~jnz1568/getInfo.php?workbook=09_01.xlsx&amp;sheet=A0&amp;row=236&amp;col=6&amp;number=&amp;sourceID=18","")</f>
        <v/>
      </c>
      <c r="G236" s="4" t="str">
        <f>HYPERLINK("http://141.218.60.56/~jnz1568/getInfo.php?workbook=09_01.xlsx&amp;sheet=A0&amp;row=236&amp;col=7&amp;number==&amp;sourceID=11","=")</f>
        <v>=</v>
      </c>
      <c r="H236" s="4" t="str">
        <f>HYPERLINK("http://141.218.60.56/~jnz1568/getInfo.php?workbook=09_01.xlsx&amp;sheet=A0&amp;row=236&amp;col=8&amp;number=&amp;sourceID=11","")</f>
        <v/>
      </c>
      <c r="I236" s="4" t="str">
        <f>HYPERLINK("http://141.218.60.56/~jnz1568/getInfo.php?workbook=09_01.xlsx&amp;sheet=A0&amp;row=236&amp;col=9&amp;number=&amp;sourceID=11","")</f>
        <v/>
      </c>
      <c r="J236" s="4" t="str">
        <f>HYPERLINK("http://141.218.60.56/~jnz1568/getInfo.php?workbook=09_01.xlsx&amp;sheet=A0&amp;row=236&amp;col=10&amp;number=&amp;sourceID=11","")</f>
        <v/>
      </c>
      <c r="K236" s="4" t="str">
        <f>HYPERLINK("http://141.218.60.56/~jnz1568/getInfo.php?workbook=09_01.xlsx&amp;sheet=A0&amp;row=236&amp;col=11&amp;number=&amp;sourceID=11","")</f>
        <v/>
      </c>
      <c r="L236" s="4" t="str">
        <f>HYPERLINK("http://141.218.60.56/~jnz1568/getInfo.php?workbook=09_01.xlsx&amp;sheet=A0&amp;row=236&amp;col=12&amp;number=&amp;sourceID=11","")</f>
        <v/>
      </c>
      <c r="M236" s="4" t="str">
        <f>HYPERLINK("http://141.218.60.56/~jnz1568/getInfo.php?workbook=09_01.xlsx&amp;sheet=A0&amp;row=236&amp;col=13&amp;number=2e-14&amp;sourceID=11","2e-14")</f>
        <v>2e-14</v>
      </c>
      <c r="N236" s="4" t="str">
        <f>HYPERLINK("http://141.218.60.56/~jnz1568/getInfo.php?workbook=09_01.xlsx&amp;sheet=A0&amp;row=236&amp;col=14&amp;number=2e-14&amp;sourceID=12","2e-14")</f>
        <v>2e-14</v>
      </c>
      <c r="O236" s="4" t="str">
        <f>HYPERLINK("http://141.218.60.56/~jnz1568/getInfo.php?workbook=09_01.xlsx&amp;sheet=A0&amp;row=236&amp;col=15&amp;number=&amp;sourceID=12","")</f>
        <v/>
      </c>
      <c r="P236" s="4" t="str">
        <f>HYPERLINK("http://141.218.60.56/~jnz1568/getInfo.php?workbook=09_01.xlsx&amp;sheet=A0&amp;row=236&amp;col=16&amp;number=&amp;sourceID=12","")</f>
        <v/>
      </c>
      <c r="Q236" s="4" t="str">
        <f>HYPERLINK("http://141.218.60.56/~jnz1568/getInfo.php?workbook=09_01.xlsx&amp;sheet=A0&amp;row=236&amp;col=17&amp;number=&amp;sourceID=12","")</f>
        <v/>
      </c>
      <c r="R236" s="4" t="str">
        <f>HYPERLINK("http://141.218.60.56/~jnz1568/getInfo.php?workbook=09_01.xlsx&amp;sheet=A0&amp;row=236&amp;col=18&amp;number=&amp;sourceID=12","")</f>
        <v/>
      </c>
      <c r="S236" s="4" t="str">
        <f>HYPERLINK("http://141.218.60.56/~jnz1568/getInfo.php?workbook=09_01.xlsx&amp;sheet=A0&amp;row=236&amp;col=19&amp;number=&amp;sourceID=12","")</f>
        <v/>
      </c>
      <c r="T236" s="4" t="str">
        <f>HYPERLINK("http://141.218.60.56/~jnz1568/getInfo.php?workbook=09_01.xlsx&amp;sheet=A0&amp;row=236&amp;col=20&amp;number=2e-14&amp;sourceID=12","2e-14")</f>
        <v>2e-14</v>
      </c>
      <c r="U236" s="4" t="str">
        <f>HYPERLINK("http://141.218.60.56/~jnz1568/getInfo.php?workbook=09_01.xlsx&amp;sheet=A0&amp;row=236&amp;col=21&amp;number=&amp;sourceID=30","")</f>
        <v/>
      </c>
      <c r="V236" s="4" t="str">
        <f>HYPERLINK("http://141.218.60.56/~jnz1568/getInfo.php?workbook=09_01.xlsx&amp;sheet=A0&amp;row=236&amp;col=22&amp;number=&amp;sourceID=30","")</f>
        <v/>
      </c>
      <c r="W236" s="4" t="str">
        <f>HYPERLINK("http://141.218.60.56/~jnz1568/getInfo.php?workbook=09_01.xlsx&amp;sheet=A0&amp;row=236&amp;col=23&amp;number=&amp;sourceID=30","")</f>
        <v/>
      </c>
      <c r="X236" s="4" t="str">
        <f>HYPERLINK("http://141.218.60.56/~jnz1568/getInfo.php?workbook=09_01.xlsx&amp;sheet=A0&amp;row=236&amp;col=24&amp;number=&amp;sourceID=30","")</f>
        <v/>
      </c>
      <c r="Y236" s="4" t="str">
        <f>HYPERLINK("http://141.218.60.56/~jnz1568/getInfo.php?workbook=09_01.xlsx&amp;sheet=A0&amp;row=236&amp;col=25&amp;number=&amp;sourceID=30","")</f>
        <v/>
      </c>
      <c r="Z236" s="4" t="str">
        <f>HYPERLINK("http://141.218.60.56/~jnz1568/getInfo.php?workbook=09_01.xlsx&amp;sheet=A0&amp;row=236&amp;col=26&amp;number=&amp;sourceID=13","")</f>
        <v/>
      </c>
      <c r="AA236" s="4" t="str">
        <f>HYPERLINK("http://141.218.60.56/~jnz1568/getInfo.php?workbook=09_01.xlsx&amp;sheet=A0&amp;row=236&amp;col=27&amp;number=&amp;sourceID=13","")</f>
        <v/>
      </c>
      <c r="AB236" s="4" t="str">
        <f>HYPERLINK("http://141.218.60.56/~jnz1568/getInfo.php?workbook=09_01.xlsx&amp;sheet=A0&amp;row=236&amp;col=28&amp;number=&amp;sourceID=13","")</f>
        <v/>
      </c>
      <c r="AC236" s="4" t="str">
        <f>HYPERLINK("http://141.218.60.56/~jnz1568/getInfo.php?workbook=09_01.xlsx&amp;sheet=A0&amp;row=236&amp;col=29&amp;number=&amp;sourceID=13","")</f>
        <v/>
      </c>
      <c r="AD236" s="4" t="str">
        <f>HYPERLINK("http://141.218.60.56/~jnz1568/getInfo.php?workbook=09_01.xlsx&amp;sheet=A0&amp;row=236&amp;col=30&amp;number=&amp;sourceID=13","")</f>
        <v/>
      </c>
      <c r="AE236" s="4" t="str">
        <f>HYPERLINK("http://141.218.60.56/~jnz1568/getInfo.php?workbook=09_01.xlsx&amp;sheet=A0&amp;row=236&amp;col=31&amp;number=&amp;sourceID=13","")</f>
        <v/>
      </c>
    </row>
    <row r="237" spans="1:31">
      <c r="A237" s="3">
        <v>9</v>
      </c>
      <c r="B237" s="3">
        <v>1</v>
      </c>
      <c r="C237" s="3">
        <v>23</v>
      </c>
      <c r="D237" s="3">
        <v>12</v>
      </c>
      <c r="E237" s="3">
        <f>((1/(INDEX(E0!J$4:J$28,C237,1)-INDEX(E0!J$4:J$28,D237,1))))*100000000</f>
        <v>0</v>
      </c>
      <c r="F237" s="4" t="str">
        <f>HYPERLINK("http://141.218.60.56/~jnz1568/getInfo.php?workbook=09_01.xlsx&amp;sheet=A0&amp;row=237&amp;col=6&amp;number=&amp;sourceID=18","")</f>
        <v/>
      </c>
      <c r="G237" s="4" t="str">
        <f>HYPERLINK("http://141.218.60.56/~jnz1568/getInfo.php?workbook=09_01.xlsx&amp;sheet=A0&amp;row=237&amp;col=7&amp;number==&amp;sourceID=11","=")</f>
        <v>=</v>
      </c>
      <c r="H237" s="4" t="str">
        <f>HYPERLINK("http://141.218.60.56/~jnz1568/getInfo.php?workbook=09_01.xlsx&amp;sheet=A0&amp;row=237&amp;col=8&amp;number=&amp;sourceID=11","")</f>
        <v/>
      </c>
      <c r="I237" s="4" t="str">
        <f>HYPERLINK("http://141.218.60.56/~jnz1568/getInfo.php?workbook=09_01.xlsx&amp;sheet=A0&amp;row=237&amp;col=9&amp;number=479240&amp;sourceID=11","479240")</f>
        <v>479240</v>
      </c>
      <c r="J237" s="4" t="str">
        <f>HYPERLINK("http://141.218.60.56/~jnz1568/getInfo.php?workbook=09_01.xlsx&amp;sheet=A0&amp;row=237&amp;col=10&amp;number=&amp;sourceID=11","")</f>
        <v/>
      </c>
      <c r="K237" s="4" t="str">
        <f>HYPERLINK("http://141.218.60.56/~jnz1568/getInfo.php?workbook=09_01.xlsx&amp;sheet=A0&amp;row=237&amp;col=11&amp;number=&amp;sourceID=11","")</f>
        <v/>
      </c>
      <c r="L237" s="4" t="str">
        <f>HYPERLINK("http://141.218.60.56/~jnz1568/getInfo.php?workbook=09_01.xlsx&amp;sheet=A0&amp;row=237&amp;col=12&amp;number=&amp;sourceID=11","")</f>
        <v/>
      </c>
      <c r="M237" s="4" t="str">
        <f>HYPERLINK("http://141.218.60.56/~jnz1568/getInfo.php?workbook=09_01.xlsx&amp;sheet=A0&amp;row=237&amp;col=13&amp;number=2.6907e-05&amp;sourceID=11","2.6907e-05")</f>
        <v>2.6907e-05</v>
      </c>
      <c r="N237" s="4" t="str">
        <f>HYPERLINK("http://141.218.60.56/~jnz1568/getInfo.php?workbook=09_01.xlsx&amp;sheet=A0&amp;row=237&amp;col=14&amp;number=479250&amp;sourceID=12","479250")</f>
        <v>479250</v>
      </c>
      <c r="O237" s="4" t="str">
        <f>HYPERLINK("http://141.218.60.56/~jnz1568/getInfo.php?workbook=09_01.xlsx&amp;sheet=A0&amp;row=237&amp;col=15&amp;number=&amp;sourceID=12","")</f>
        <v/>
      </c>
      <c r="P237" s="4" t="str">
        <f>HYPERLINK("http://141.218.60.56/~jnz1568/getInfo.php?workbook=09_01.xlsx&amp;sheet=A0&amp;row=237&amp;col=16&amp;number=479250&amp;sourceID=12","479250")</f>
        <v>479250</v>
      </c>
      <c r="Q237" s="4" t="str">
        <f>HYPERLINK("http://141.218.60.56/~jnz1568/getInfo.php?workbook=09_01.xlsx&amp;sheet=A0&amp;row=237&amp;col=17&amp;number=&amp;sourceID=12","")</f>
        <v/>
      </c>
      <c r="R237" s="4" t="str">
        <f>HYPERLINK("http://141.218.60.56/~jnz1568/getInfo.php?workbook=09_01.xlsx&amp;sheet=A0&amp;row=237&amp;col=18&amp;number=&amp;sourceID=12","")</f>
        <v/>
      </c>
      <c r="S237" s="4" t="str">
        <f>HYPERLINK("http://141.218.60.56/~jnz1568/getInfo.php?workbook=09_01.xlsx&amp;sheet=A0&amp;row=237&amp;col=19&amp;number=&amp;sourceID=12","")</f>
        <v/>
      </c>
      <c r="T237" s="4" t="str">
        <f>HYPERLINK("http://141.218.60.56/~jnz1568/getInfo.php?workbook=09_01.xlsx&amp;sheet=A0&amp;row=237&amp;col=20&amp;number=2.6908e-05&amp;sourceID=12","2.6908e-05")</f>
        <v>2.6908e-05</v>
      </c>
      <c r="U237" s="4" t="str">
        <f>HYPERLINK("http://141.218.60.56/~jnz1568/getInfo.php?workbook=09_01.xlsx&amp;sheet=A0&amp;row=237&amp;col=21&amp;number=479200&amp;sourceID=30","479200")</f>
        <v>479200</v>
      </c>
      <c r="V237" s="4" t="str">
        <f>HYPERLINK("http://141.218.60.56/~jnz1568/getInfo.php?workbook=09_01.xlsx&amp;sheet=A0&amp;row=237&amp;col=22&amp;number=&amp;sourceID=30","")</f>
        <v/>
      </c>
      <c r="W237" s="4" t="str">
        <f>HYPERLINK("http://141.218.60.56/~jnz1568/getInfo.php?workbook=09_01.xlsx&amp;sheet=A0&amp;row=237&amp;col=23&amp;number=479200&amp;sourceID=30","479200")</f>
        <v>479200</v>
      </c>
      <c r="X237" s="4" t="str">
        <f>HYPERLINK("http://141.218.60.56/~jnz1568/getInfo.php?workbook=09_01.xlsx&amp;sheet=A0&amp;row=237&amp;col=24&amp;number=&amp;sourceID=30","")</f>
        <v/>
      </c>
      <c r="Y237" s="4" t="str">
        <f>HYPERLINK("http://141.218.60.56/~jnz1568/getInfo.php?workbook=09_01.xlsx&amp;sheet=A0&amp;row=237&amp;col=25&amp;number=&amp;sourceID=30","")</f>
        <v/>
      </c>
      <c r="Z237" s="4" t="str">
        <f>HYPERLINK("http://141.218.60.56/~jnz1568/getInfo.php?workbook=09_01.xlsx&amp;sheet=A0&amp;row=237&amp;col=26&amp;number=&amp;sourceID=13","")</f>
        <v/>
      </c>
      <c r="AA237" s="4" t="str">
        <f>HYPERLINK("http://141.218.60.56/~jnz1568/getInfo.php?workbook=09_01.xlsx&amp;sheet=A0&amp;row=237&amp;col=27&amp;number=&amp;sourceID=13","")</f>
        <v/>
      </c>
      <c r="AB237" s="4" t="str">
        <f>HYPERLINK("http://141.218.60.56/~jnz1568/getInfo.php?workbook=09_01.xlsx&amp;sheet=A0&amp;row=237&amp;col=28&amp;number=&amp;sourceID=13","")</f>
        <v/>
      </c>
      <c r="AC237" s="4" t="str">
        <f>HYPERLINK("http://141.218.60.56/~jnz1568/getInfo.php?workbook=09_01.xlsx&amp;sheet=A0&amp;row=237&amp;col=29&amp;number=&amp;sourceID=13","")</f>
        <v/>
      </c>
      <c r="AD237" s="4" t="str">
        <f>HYPERLINK("http://141.218.60.56/~jnz1568/getInfo.php?workbook=09_01.xlsx&amp;sheet=A0&amp;row=237&amp;col=30&amp;number=&amp;sourceID=13","")</f>
        <v/>
      </c>
      <c r="AE237" s="4" t="str">
        <f>HYPERLINK("http://141.218.60.56/~jnz1568/getInfo.php?workbook=09_01.xlsx&amp;sheet=A0&amp;row=237&amp;col=31&amp;number=&amp;sourceID=13","")</f>
        <v/>
      </c>
    </row>
    <row r="238" spans="1:31">
      <c r="A238" s="3">
        <v>9</v>
      </c>
      <c r="B238" s="3">
        <v>1</v>
      </c>
      <c r="C238" s="3">
        <v>23</v>
      </c>
      <c r="D238" s="3">
        <v>13</v>
      </c>
      <c r="E238" s="3">
        <f>((1/(INDEX(E0!J$4:J$28,C238,1)-INDEX(E0!J$4:J$28,D238,1))))*100000000</f>
        <v>0</v>
      </c>
      <c r="F238" s="4" t="str">
        <f>HYPERLINK("http://141.218.60.56/~jnz1568/getInfo.php?workbook=09_01.xlsx&amp;sheet=A0&amp;row=238&amp;col=6&amp;number=&amp;sourceID=18","")</f>
        <v/>
      </c>
      <c r="G238" s="4" t="str">
        <f>HYPERLINK("http://141.218.60.56/~jnz1568/getInfo.php?workbook=09_01.xlsx&amp;sheet=A0&amp;row=238&amp;col=7&amp;number==&amp;sourceID=11","=")</f>
        <v>=</v>
      </c>
      <c r="H238" s="4" t="str">
        <f>HYPERLINK("http://141.218.60.56/~jnz1568/getInfo.php?workbook=09_01.xlsx&amp;sheet=A0&amp;row=238&amp;col=8&amp;number=&amp;sourceID=11","")</f>
        <v/>
      </c>
      <c r="I238" s="4" t="str">
        <f>HYPERLINK("http://141.218.60.56/~jnz1568/getInfo.php?workbook=09_01.xlsx&amp;sheet=A0&amp;row=238&amp;col=9&amp;number=&amp;sourceID=11","")</f>
        <v/>
      </c>
      <c r="J238" s="4" t="str">
        <f>HYPERLINK("http://141.218.60.56/~jnz1568/getInfo.php?workbook=09_01.xlsx&amp;sheet=A0&amp;row=238&amp;col=10&amp;number=1.4088&amp;sourceID=11","1.4088")</f>
        <v>1.4088</v>
      </c>
      <c r="K238" s="4" t="str">
        <f>HYPERLINK("http://141.218.60.56/~jnz1568/getInfo.php?workbook=09_01.xlsx&amp;sheet=A0&amp;row=238&amp;col=11&amp;number=&amp;sourceID=11","")</f>
        <v/>
      </c>
      <c r="L238" s="4" t="str">
        <f>HYPERLINK("http://141.218.60.56/~jnz1568/getInfo.php?workbook=09_01.xlsx&amp;sheet=A0&amp;row=238&amp;col=12&amp;number=2.7841e-09&amp;sourceID=11","2.7841e-09")</f>
        <v>2.7841e-09</v>
      </c>
      <c r="M238" s="4" t="str">
        <f>HYPERLINK("http://141.218.60.56/~jnz1568/getInfo.php?workbook=09_01.xlsx&amp;sheet=A0&amp;row=238&amp;col=13&amp;number=&amp;sourceID=11","")</f>
        <v/>
      </c>
      <c r="N238" s="4" t="str">
        <f>HYPERLINK("http://141.218.60.56/~jnz1568/getInfo.php?workbook=09_01.xlsx&amp;sheet=A0&amp;row=238&amp;col=14&amp;number=1.4088&amp;sourceID=12","1.4088")</f>
        <v>1.4088</v>
      </c>
      <c r="O238" s="4" t="str">
        <f>HYPERLINK("http://141.218.60.56/~jnz1568/getInfo.php?workbook=09_01.xlsx&amp;sheet=A0&amp;row=238&amp;col=15&amp;number=&amp;sourceID=12","")</f>
        <v/>
      </c>
      <c r="P238" s="4" t="str">
        <f>HYPERLINK("http://141.218.60.56/~jnz1568/getInfo.php?workbook=09_01.xlsx&amp;sheet=A0&amp;row=238&amp;col=16&amp;number=&amp;sourceID=12","")</f>
        <v/>
      </c>
      <c r="Q238" s="4" t="str">
        <f>HYPERLINK("http://141.218.60.56/~jnz1568/getInfo.php?workbook=09_01.xlsx&amp;sheet=A0&amp;row=238&amp;col=17&amp;number=1.4088&amp;sourceID=12","1.4088")</f>
        <v>1.4088</v>
      </c>
      <c r="R238" s="4" t="str">
        <f>HYPERLINK("http://141.218.60.56/~jnz1568/getInfo.php?workbook=09_01.xlsx&amp;sheet=A0&amp;row=238&amp;col=18&amp;number=&amp;sourceID=12","")</f>
        <v/>
      </c>
      <c r="S238" s="4" t="str">
        <f>HYPERLINK("http://141.218.60.56/~jnz1568/getInfo.php?workbook=09_01.xlsx&amp;sheet=A0&amp;row=238&amp;col=19&amp;number=2.784e-09&amp;sourceID=12","2.784e-09")</f>
        <v>2.784e-09</v>
      </c>
      <c r="T238" s="4" t="str">
        <f>HYPERLINK("http://141.218.60.56/~jnz1568/getInfo.php?workbook=09_01.xlsx&amp;sheet=A0&amp;row=238&amp;col=20&amp;number=&amp;sourceID=12","")</f>
        <v/>
      </c>
      <c r="U238" s="4" t="str">
        <f>HYPERLINK("http://141.218.60.56/~jnz1568/getInfo.php?workbook=09_01.xlsx&amp;sheet=A0&amp;row=238&amp;col=21&amp;number=2.788e-09&amp;sourceID=30","2.788e-09")</f>
        <v>2.788e-09</v>
      </c>
      <c r="V238" s="4" t="str">
        <f>HYPERLINK("http://141.218.60.56/~jnz1568/getInfo.php?workbook=09_01.xlsx&amp;sheet=A0&amp;row=238&amp;col=22&amp;number=&amp;sourceID=30","")</f>
        <v/>
      </c>
      <c r="W238" s="4" t="str">
        <f>HYPERLINK("http://141.218.60.56/~jnz1568/getInfo.php?workbook=09_01.xlsx&amp;sheet=A0&amp;row=238&amp;col=23&amp;number=&amp;sourceID=30","")</f>
        <v/>
      </c>
      <c r="X238" s="4" t="str">
        <f>HYPERLINK("http://141.218.60.56/~jnz1568/getInfo.php?workbook=09_01.xlsx&amp;sheet=A0&amp;row=238&amp;col=24&amp;number=&amp;sourceID=30","")</f>
        <v/>
      </c>
      <c r="Y238" s="4" t="str">
        <f>HYPERLINK("http://141.218.60.56/~jnz1568/getInfo.php?workbook=09_01.xlsx&amp;sheet=A0&amp;row=238&amp;col=25&amp;number=2.788e-09&amp;sourceID=30","2.788e-09")</f>
        <v>2.788e-09</v>
      </c>
      <c r="Z238" s="4" t="str">
        <f>HYPERLINK("http://141.218.60.56/~jnz1568/getInfo.php?workbook=09_01.xlsx&amp;sheet=A0&amp;row=238&amp;col=26&amp;number=&amp;sourceID=13","")</f>
        <v/>
      </c>
      <c r="AA238" s="4" t="str">
        <f>HYPERLINK("http://141.218.60.56/~jnz1568/getInfo.php?workbook=09_01.xlsx&amp;sheet=A0&amp;row=238&amp;col=27&amp;number=&amp;sourceID=13","")</f>
        <v/>
      </c>
      <c r="AB238" s="4" t="str">
        <f>HYPERLINK("http://141.218.60.56/~jnz1568/getInfo.php?workbook=09_01.xlsx&amp;sheet=A0&amp;row=238&amp;col=28&amp;number=&amp;sourceID=13","")</f>
        <v/>
      </c>
      <c r="AC238" s="4" t="str">
        <f>HYPERLINK("http://141.218.60.56/~jnz1568/getInfo.php?workbook=09_01.xlsx&amp;sheet=A0&amp;row=238&amp;col=29&amp;number=&amp;sourceID=13","")</f>
        <v/>
      </c>
      <c r="AD238" s="4" t="str">
        <f>HYPERLINK("http://141.218.60.56/~jnz1568/getInfo.php?workbook=09_01.xlsx&amp;sheet=A0&amp;row=238&amp;col=30&amp;number=&amp;sourceID=13","")</f>
        <v/>
      </c>
      <c r="AE238" s="4" t="str">
        <f>HYPERLINK("http://141.218.60.56/~jnz1568/getInfo.php?workbook=09_01.xlsx&amp;sheet=A0&amp;row=238&amp;col=31&amp;number=&amp;sourceID=13","")</f>
        <v/>
      </c>
    </row>
    <row r="239" spans="1:31">
      <c r="A239" s="3">
        <v>9</v>
      </c>
      <c r="B239" s="3">
        <v>1</v>
      </c>
      <c r="C239" s="3">
        <v>23</v>
      </c>
      <c r="D239" s="3">
        <v>14</v>
      </c>
      <c r="E239" s="3">
        <f>((1/(INDEX(E0!J$4:J$28,C239,1)-INDEX(E0!J$4:J$28,D239,1))))*100000000</f>
        <v>0</v>
      </c>
      <c r="F239" s="4" t="str">
        <f>HYPERLINK("http://141.218.60.56/~jnz1568/getInfo.php?workbook=09_01.xlsx&amp;sheet=A0&amp;row=239&amp;col=6&amp;number=&amp;sourceID=18","")</f>
        <v/>
      </c>
      <c r="G239" s="4" t="str">
        <f>HYPERLINK("http://141.218.60.56/~jnz1568/getInfo.php?workbook=09_01.xlsx&amp;sheet=A0&amp;row=239&amp;col=7&amp;number==&amp;sourceID=11","=")</f>
        <v>=</v>
      </c>
      <c r="H239" s="4" t="str">
        <f>HYPERLINK("http://141.218.60.56/~jnz1568/getInfo.php?workbook=09_01.xlsx&amp;sheet=A0&amp;row=239&amp;col=8&amp;number=26935000000&amp;sourceID=11","26935000000")</f>
        <v>26935000000</v>
      </c>
      <c r="I239" s="4" t="str">
        <f>HYPERLINK("http://141.218.60.56/~jnz1568/getInfo.php?workbook=09_01.xlsx&amp;sheet=A0&amp;row=239&amp;col=9&amp;number=&amp;sourceID=11","")</f>
        <v/>
      </c>
      <c r="J239" s="4" t="str">
        <f>HYPERLINK("http://141.218.60.56/~jnz1568/getInfo.php?workbook=09_01.xlsx&amp;sheet=A0&amp;row=239&amp;col=10&amp;number=1.4444&amp;sourceID=11","1.4444")</f>
        <v>1.4444</v>
      </c>
      <c r="K239" s="4" t="str">
        <f>HYPERLINK("http://141.218.60.56/~jnz1568/getInfo.php?workbook=09_01.xlsx&amp;sheet=A0&amp;row=239&amp;col=11&amp;number=&amp;sourceID=11","")</f>
        <v/>
      </c>
      <c r="L239" s="4" t="str">
        <f>HYPERLINK("http://141.218.60.56/~jnz1568/getInfo.php?workbook=09_01.xlsx&amp;sheet=A0&amp;row=239&amp;col=12&amp;number=7.1968&amp;sourceID=11","7.1968")</f>
        <v>7.1968</v>
      </c>
      <c r="M239" s="4" t="str">
        <f>HYPERLINK("http://141.218.60.56/~jnz1568/getInfo.php?workbook=09_01.xlsx&amp;sheet=A0&amp;row=239&amp;col=13&amp;number=&amp;sourceID=11","")</f>
        <v/>
      </c>
      <c r="N239" s="4" t="str">
        <f>HYPERLINK("http://141.218.60.56/~jnz1568/getInfo.php?workbook=09_01.xlsx&amp;sheet=A0&amp;row=239&amp;col=14&amp;number=26936000000&amp;sourceID=12","26936000000")</f>
        <v>26936000000</v>
      </c>
      <c r="O239" s="4" t="str">
        <f>HYPERLINK("http://141.218.60.56/~jnz1568/getInfo.php?workbook=09_01.xlsx&amp;sheet=A0&amp;row=239&amp;col=15&amp;number=26936000000&amp;sourceID=12","26936000000")</f>
        <v>26936000000</v>
      </c>
      <c r="P239" s="4" t="str">
        <f>HYPERLINK("http://141.218.60.56/~jnz1568/getInfo.php?workbook=09_01.xlsx&amp;sheet=A0&amp;row=239&amp;col=16&amp;number=&amp;sourceID=12","")</f>
        <v/>
      </c>
      <c r="Q239" s="4" t="str">
        <f>HYPERLINK("http://141.218.60.56/~jnz1568/getInfo.php?workbook=09_01.xlsx&amp;sheet=A0&amp;row=239&amp;col=17&amp;number=1.4444&amp;sourceID=12","1.4444")</f>
        <v>1.4444</v>
      </c>
      <c r="R239" s="4" t="str">
        <f>HYPERLINK("http://141.218.60.56/~jnz1568/getInfo.php?workbook=09_01.xlsx&amp;sheet=A0&amp;row=239&amp;col=18&amp;number=&amp;sourceID=12","")</f>
        <v/>
      </c>
      <c r="S239" s="4" t="str">
        <f>HYPERLINK("http://141.218.60.56/~jnz1568/getInfo.php?workbook=09_01.xlsx&amp;sheet=A0&amp;row=239&amp;col=19&amp;number=7.197&amp;sourceID=12","7.197")</f>
        <v>7.197</v>
      </c>
      <c r="T239" s="4" t="str">
        <f>HYPERLINK("http://141.218.60.56/~jnz1568/getInfo.php?workbook=09_01.xlsx&amp;sheet=A0&amp;row=239&amp;col=20&amp;number=&amp;sourceID=12","")</f>
        <v/>
      </c>
      <c r="U239" s="4" t="str">
        <f>HYPERLINK("http://141.218.60.56/~jnz1568/getInfo.php?workbook=09_01.xlsx&amp;sheet=A0&amp;row=239&amp;col=21&amp;number=26940000007.2&amp;sourceID=30","26940000007.2")</f>
        <v>26940000007.2</v>
      </c>
      <c r="V239" s="4" t="str">
        <f>HYPERLINK("http://141.218.60.56/~jnz1568/getInfo.php?workbook=09_01.xlsx&amp;sheet=A0&amp;row=239&amp;col=22&amp;number=26940000000&amp;sourceID=30","26940000000")</f>
        <v>26940000000</v>
      </c>
      <c r="W239" s="4" t="str">
        <f>HYPERLINK("http://141.218.60.56/~jnz1568/getInfo.php?workbook=09_01.xlsx&amp;sheet=A0&amp;row=239&amp;col=23&amp;number=&amp;sourceID=30","")</f>
        <v/>
      </c>
      <c r="X239" s="4" t="str">
        <f>HYPERLINK("http://141.218.60.56/~jnz1568/getInfo.php?workbook=09_01.xlsx&amp;sheet=A0&amp;row=239&amp;col=24&amp;number=&amp;sourceID=30","")</f>
        <v/>
      </c>
      <c r="Y239" s="4" t="str">
        <f>HYPERLINK("http://141.218.60.56/~jnz1568/getInfo.php?workbook=09_01.xlsx&amp;sheet=A0&amp;row=239&amp;col=25&amp;number=7.197&amp;sourceID=30","7.197")</f>
        <v>7.197</v>
      </c>
      <c r="Z239" s="4" t="str">
        <f>HYPERLINK("http://141.218.60.56/~jnz1568/getInfo.php?workbook=09_01.xlsx&amp;sheet=A0&amp;row=239&amp;col=26&amp;number=&amp;sourceID=13","")</f>
        <v/>
      </c>
      <c r="AA239" s="4" t="str">
        <f>HYPERLINK("http://141.218.60.56/~jnz1568/getInfo.php?workbook=09_01.xlsx&amp;sheet=A0&amp;row=239&amp;col=27&amp;number=&amp;sourceID=13","")</f>
        <v/>
      </c>
      <c r="AB239" s="4" t="str">
        <f>HYPERLINK("http://141.218.60.56/~jnz1568/getInfo.php?workbook=09_01.xlsx&amp;sheet=A0&amp;row=239&amp;col=28&amp;number=&amp;sourceID=13","")</f>
        <v/>
      </c>
      <c r="AC239" s="4" t="str">
        <f>HYPERLINK("http://141.218.60.56/~jnz1568/getInfo.php?workbook=09_01.xlsx&amp;sheet=A0&amp;row=239&amp;col=29&amp;number=&amp;sourceID=13","")</f>
        <v/>
      </c>
      <c r="AD239" s="4" t="str">
        <f>HYPERLINK("http://141.218.60.56/~jnz1568/getInfo.php?workbook=09_01.xlsx&amp;sheet=A0&amp;row=239&amp;col=30&amp;number=&amp;sourceID=13","")</f>
        <v/>
      </c>
      <c r="AE239" s="4" t="str">
        <f>HYPERLINK("http://141.218.60.56/~jnz1568/getInfo.php?workbook=09_01.xlsx&amp;sheet=A0&amp;row=239&amp;col=31&amp;number=&amp;sourceID=13","")</f>
        <v/>
      </c>
    </row>
    <row r="240" spans="1:31">
      <c r="A240" s="3">
        <v>9</v>
      </c>
      <c r="B240" s="3">
        <v>1</v>
      </c>
      <c r="C240" s="3">
        <v>23</v>
      </c>
      <c r="D240" s="3">
        <v>15</v>
      </c>
      <c r="E240" s="3">
        <f>((1/(INDEX(E0!J$4:J$28,C240,1)-INDEX(E0!J$4:J$28,D240,1))))*100000000</f>
        <v>0</v>
      </c>
      <c r="F240" s="4" t="str">
        <f>HYPERLINK("http://141.218.60.56/~jnz1568/getInfo.php?workbook=09_01.xlsx&amp;sheet=A0&amp;row=240&amp;col=6&amp;number=&amp;sourceID=18","")</f>
        <v/>
      </c>
      <c r="G240" s="4" t="str">
        <f>HYPERLINK("http://141.218.60.56/~jnz1568/getInfo.php?workbook=09_01.xlsx&amp;sheet=A0&amp;row=240&amp;col=7&amp;number==&amp;sourceID=11","=")</f>
        <v>=</v>
      </c>
      <c r="H240" s="4" t="str">
        <f>HYPERLINK("http://141.218.60.56/~jnz1568/getInfo.php?workbook=09_01.xlsx&amp;sheet=A0&amp;row=240&amp;col=8&amp;number=&amp;sourceID=11","")</f>
        <v/>
      </c>
      <c r="I240" s="4" t="str">
        <f>HYPERLINK("http://141.218.60.56/~jnz1568/getInfo.php?workbook=09_01.xlsx&amp;sheet=A0&amp;row=240&amp;col=9&amp;number=53151&amp;sourceID=11","53151")</f>
        <v>53151</v>
      </c>
      <c r="J240" s="4" t="str">
        <f>HYPERLINK("http://141.218.60.56/~jnz1568/getInfo.php?workbook=09_01.xlsx&amp;sheet=A0&amp;row=240&amp;col=10&amp;number=&amp;sourceID=11","")</f>
        <v/>
      </c>
      <c r="K240" s="4" t="str">
        <f>HYPERLINK("http://141.218.60.56/~jnz1568/getInfo.php?workbook=09_01.xlsx&amp;sheet=A0&amp;row=240&amp;col=11&amp;number=0.00018689&amp;sourceID=11","0.00018689")</f>
        <v>0.00018689</v>
      </c>
      <c r="L240" s="4" t="str">
        <f>HYPERLINK("http://141.218.60.56/~jnz1568/getInfo.php?workbook=09_01.xlsx&amp;sheet=A0&amp;row=240&amp;col=12&amp;number=&amp;sourceID=11","")</f>
        <v/>
      </c>
      <c r="M240" s="4" t="str">
        <f>HYPERLINK("http://141.218.60.56/~jnz1568/getInfo.php?workbook=09_01.xlsx&amp;sheet=A0&amp;row=240&amp;col=13&amp;number=9.939e-07&amp;sourceID=11","9.939e-07")</f>
        <v>9.939e-07</v>
      </c>
      <c r="N240" s="4" t="str">
        <f>HYPERLINK("http://141.218.60.56/~jnz1568/getInfo.php?workbook=09_01.xlsx&amp;sheet=A0&amp;row=240&amp;col=14&amp;number=53153&amp;sourceID=12","53153")</f>
        <v>53153</v>
      </c>
      <c r="O240" s="4" t="str">
        <f>HYPERLINK("http://141.218.60.56/~jnz1568/getInfo.php?workbook=09_01.xlsx&amp;sheet=A0&amp;row=240&amp;col=15&amp;number=&amp;sourceID=12","")</f>
        <v/>
      </c>
      <c r="P240" s="4" t="str">
        <f>HYPERLINK("http://141.218.60.56/~jnz1568/getInfo.php?workbook=09_01.xlsx&amp;sheet=A0&amp;row=240&amp;col=16&amp;number=53153&amp;sourceID=12","53153")</f>
        <v>53153</v>
      </c>
      <c r="Q240" s="4" t="str">
        <f>HYPERLINK("http://141.218.60.56/~jnz1568/getInfo.php?workbook=09_01.xlsx&amp;sheet=A0&amp;row=240&amp;col=17&amp;number=&amp;sourceID=12","")</f>
        <v/>
      </c>
      <c r="R240" s="4" t="str">
        <f>HYPERLINK("http://141.218.60.56/~jnz1568/getInfo.php?workbook=09_01.xlsx&amp;sheet=A0&amp;row=240&amp;col=18&amp;number=0.00018689&amp;sourceID=12","0.00018689")</f>
        <v>0.00018689</v>
      </c>
      <c r="S240" s="4" t="str">
        <f>HYPERLINK("http://141.218.60.56/~jnz1568/getInfo.php?workbook=09_01.xlsx&amp;sheet=A0&amp;row=240&amp;col=19&amp;number=&amp;sourceID=12","")</f>
        <v/>
      </c>
      <c r="T240" s="4" t="str">
        <f>HYPERLINK("http://141.218.60.56/~jnz1568/getInfo.php?workbook=09_01.xlsx&amp;sheet=A0&amp;row=240&amp;col=20&amp;number=9.9393e-07&amp;sourceID=12","9.9393e-07")</f>
        <v>9.9393e-07</v>
      </c>
      <c r="U240" s="4" t="str">
        <f>HYPERLINK("http://141.218.60.56/~jnz1568/getInfo.php?workbook=09_01.xlsx&amp;sheet=A0&amp;row=240&amp;col=21&amp;number=53150.000187&amp;sourceID=30","53150.000187")</f>
        <v>53150.000187</v>
      </c>
      <c r="V240" s="4" t="str">
        <f>HYPERLINK("http://141.218.60.56/~jnz1568/getInfo.php?workbook=09_01.xlsx&amp;sheet=A0&amp;row=240&amp;col=22&amp;number=&amp;sourceID=30","")</f>
        <v/>
      </c>
      <c r="W240" s="4" t="str">
        <f>HYPERLINK("http://141.218.60.56/~jnz1568/getInfo.php?workbook=09_01.xlsx&amp;sheet=A0&amp;row=240&amp;col=23&amp;number=53150&amp;sourceID=30","53150")</f>
        <v>53150</v>
      </c>
      <c r="X240" s="4" t="str">
        <f>HYPERLINK("http://141.218.60.56/~jnz1568/getInfo.php?workbook=09_01.xlsx&amp;sheet=A0&amp;row=240&amp;col=24&amp;number=0.000187&amp;sourceID=30","0.000187")</f>
        <v>0.000187</v>
      </c>
      <c r="Y240" s="4" t="str">
        <f>HYPERLINK("http://141.218.60.56/~jnz1568/getInfo.php?workbook=09_01.xlsx&amp;sheet=A0&amp;row=240&amp;col=25&amp;number=&amp;sourceID=30","")</f>
        <v/>
      </c>
      <c r="Z240" s="4" t="str">
        <f>HYPERLINK("http://141.218.60.56/~jnz1568/getInfo.php?workbook=09_01.xlsx&amp;sheet=A0&amp;row=240&amp;col=26&amp;number=&amp;sourceID=13","")</f>
        <v/>
      </c>
      <c r="AA240" s="4" t="str">
        <f>HYPERLINK("http://141.218.60.56/~jnz1568/getInfo.php?workbook=09_01.xlsx&amp;sheet=A0&amp;row=240&amp;col=27&amp;number=&amp;sourceID=13","")</f>
        <v/>
      </c>
      <c r="AB240" s="4" t="str">
        <f>HYPERLINK("http://141.218.60.56/~jnz1568/getInfo.php?workbook=09_01.xlsx&amp;sheet=A0&amp;row=240&amp;col=28&amp;number=&amp;sourceID=13","")</f>
        <v/>
      </c>
      <c r="AC240" s="4" t="str">
        <f>HYPERLINK("http://141.218.60.56/~jnz1568/getInfo.php?workbook=09_01.xlsx&amp;sheet=A0&amp;row=240&amp;col=29&amp;number=&amp;sourceID=13","")</f>
        <v/>
      </c>
      <c r="AD240" s="4" t="str">
        <f>HYPERLINK("http://141.218.60.56/~jnz1568/getInfo.php?workbook=09_01.xlsx&amp;sheet=A0&amp;row=240&amp;col=30&amp;number=&amp;sourceID=13","")</f>
        <v/>
      </c>
      <c r="AE240" s="4" t="str">
        <f>HYPERLINK("http://141.218.60.56/~jnz1568/getInfo.php?workbook=09_01.xlsx&amp;sheet=A0&amp;row=240&amp;col=31&amp;number=&amp;sourceID=13","")</f>
        <v/>
      </c>
    </row>
    <row r="241" spans="1:31">
      <c r="A241" s="3">
        <v>9</v>
      </c>
      <c r="B241" s="3">
        <v>1</v>
      </c>
      <c r="C241" s="3">
        <v>23</v>
      </c>
      <c r="D241" s="3">
        <v>16</v>
      </c>
      <c r="E241" s="3">
        <f>((1/(INDEX(E0!J$4:J$28,C241,1)-INDEX(E0!J$4:J$28,D241,1))))*100000000</f>
        <v>0</v>
      </c>
      <c r="F241" s="4" t="str">
        <f>HYPERLINK("http://141.218.60.56/~jnz1568/getInfo.php?workbook=09_01.xlsx&amp;sheet=A0&amp;row=241&amp;col=6&amp;number=&amp;sourceID=18","")</f>
        <v/>
      </c>
      <c r="G241" s="4" t="str">
        <f>HYPERLINK("http://141.218.60.56/~jnz1568/getInfo.php?workbook=09_01.xlsx&amp;sheet=A0&amp;row=241&amp;col=7&amp;number==&amp;sourceID=11","=")</f>
        <v>=</v>
      </c>
      <c r="H241" s="4" t="str">
        <f>HYPERLINK("http://141.218.60.56/~jnz1568/getInfo.php?workbook=09_01.xlsx&amp;sheet=A0&amp;row=241&amp;col=8&amp;number=997180000&amp;sourceID=11","997180000")</f>
        <v>997180000</v>
      </c>
      <c r="I241" s="4" t="str">
        <f>HYPERLINK("http://141.218.60.56/~jnz1568/getInfo.php?workbook=09_01.xlsx&amp;sheet=A0&amp;row=241&amp;col=9&amp;number=&amp;sourceID=11","")</f>
        <v/>
      </c>
      <c r="J241" s="4" t="str">
        <f>HYPERLINK("http://141.218.60.56/~jnz1568/getInfo.php?workbook=09_01.xlsx&amp;sheet=A0&amp;row=241&amp;col=10&amp;number=0.39345&amp;sourceID=11","0.39345")</f>
        <v>0.39345</v>
      </c>
      <c r="K241" s="4" t="str">
        <f>HYPERLINK("http://141.218.60.56/~jnz1568/getInfo.php?workbook=09_01.xlsx&amp;sheet=A0&amp;row=241&amp;col=11&amp;number=&amp;sourceID=11","")</f>
        <v/>
      </c>
      <c r="L241" s="4" t="str">
        <f>HYPERLINK("http://141.218.60.56/~jnz1568/getInfo.php?workbook=09_01.xlsx&amp;sheet=A0&amp;row=241&amp;col=12&amp;number=&amp;sourceID=11","")</f>
        <v/>
      </c>
      <c r="M241" s="4" t="str">
        <f>HYPERLINK("http://141.218.60.56/~jnz1568/getInfo.php?workbook=09_01.xlsx&amp;sheet=A0&amp;row=241&amp;col=13&amp;number=&amp;sourceID=11","")</f>
        <v/>
      </c>
      <c r="N241" s="4" t="str">
        <f>HYPERLINK("http://141.218.60.56/~jnz1568/getInfo.php?workbook=09_01.xlsx&amp;sheet=A0&amp;row=241&amp;col=14&amp;number=997210000&amp;sourceID=12","997210000")</f>
        <v>997210000</v>
      </c>
      <c r="O241" s="4" t="str">
        <f>HYPERLINK("http://141.218.60.56/~jnz1568/getInfo.php?workbook=09_01.xlsx&amp;sheet=A0&amp;row=241&amp;col=15&amp;number=997210000&amp;sourceID=12","997210000")</f>
        <v>997210000</v>
      </c>
      <c r="P241" s="4" t="str">
        <f>HYPERLINK("http://141.218.60.56/~jnz1568/getInfo.php?workbook=09_01.xlsx&amp;sheet=A0&amp;row=241&amp;col=16&amp;number=&amp;sourceID=12","")</f>
        <v/>
      </c>
      <c r="Q241" s="4" t="str">
        <f>HYPERLINK("http://141.218.60.56/~jnz1568/getInfo.php?workbook=09_01.xlsx&amp;sheet=A0&amp;row=241&amp;col=17&amp;number=0.39346&amp;sourceID=12","0.39346")</f>
        <v>0.39346</v>
      </c>
      <c r="R241" s="4" t="str">
        <f>HYPERLINK("http://141.218.60.56/~jnz1568/getInfo.php?workbook=09_01.xlsx&amp;sheet=A0&amp;row=241&amp;col=18&amp;number=&amp;sourceID=12","")</f>
        <v/>
      </c>
      <c r="S241" s="4" t="str">
        <f>HYPERLINK("http://141.218.60.56/~jnz1568/getInfo.php?workbook=09_01.xlsx&amp;sheet=A0&amp;row=241&amp;col=19&amp;number=&amp;sourceID=12","")</f>
        <v/>
      </c>
      <c r="T241" s="4" t="str">
        <f>HYPERLINK("http://141.218.60.56/~jnz1568/getInfo.php?workbook=09_01.xlsx&amp;sheet=A0&amp;row=241&amp;col=20&amp;number=&amp;sourceID=12","")</f>
        <v/>
      </c>
      <c r="U241" s="4" t="str">
        <f>HYPERLINK("http://141.218.60.56/~jnz1568/getInfo.php?workbook=09_01.xlsx&amp;sheet=A0&amp;row=241&amp;col=21&amp;number=997200000&amp;sourceID=30","997200000")</f>
        <v>997200000</v>
      </c>
      <c r="V241" s="4" t="str">
        <f>HYPERLINK("http://141.218.60.56/~jnz1568/getInfo.php?workbook=09_01.xlsx&amp;sheet=A0&amp;row=241&amp;col=22&amp;number=997200000&amp;sourceID=30","997200000")</f>
        <v>997200000</v>
      </c>
      <c r="W241" s="4" t="str">
        <f>HYPERLINK("http://141.218.60.56/~jnz1568/getInfo.php?workbook=09_01.xlsx&amp;sheet=A0&amp;row=241&amp;col=23&amp;number=&amp;sourceID=30","")</f>
        <v/>
      </c>
      <c r="X241" s="4" t="str">
        <f>HYPERLINK("http://141.218.60.56/~jnz1568/getInfo.php?workbook=09_01.xlsx&amp;sheet=A0&amp;row=241&amp;col=24&amp;number=&amp;sourceID=30","")</f>
        <v/>
      </c>
      <c r="Y241" s="4" t="str">
        <f>HYPERLINK("http://141.218.60.56/~jnz1568/getInfo.php?workbook=09_01.xlsx&amp;sheet=A0&amp;row=241&amp;col=25&amp;number=&amp;sourceID=30","")</f>
        <v/>
      </c>
      <c r="Z241" s="4" t="str">
        <f>HYPERLINK("http://141.218.60.56/~jnz1568/getInfo.php?workbook=09_01.xlsx&amp;sheet=A0&amp;row=241&amp;col=26&amp;number=&amp;sourceID=13","")</f>
        <v/>
      </c>
      <c r="AA241" s="4" t="str">
        <f>HYPERLINK("http://141.218.60.56/~jnz1568/getInfo.php?workbook=09_01.xlsx&amp;sheet=A0&amp;row=241&amp;col=27&amp;number=&amp;sourceID=13","")</f>
        <v/>
      </c>
      <c r="AB241" s="4" t="str">
        <f>HYPERLINK("http://141.218.60.56/~jnz1568/getInfo.php?workbook=09_01.xlsx&amp;sheet=A0&amp;row=241&amp;col=28&amp;number=&amp;sourceID=13","")</f>
        <v/>
      </c>
      <c r="AC241" s="4" t="str">
        <f>HYPERLINK("http://141.218.60.56/~jnz1568/getInfo.php?workbook=09_01.xlsx&amp;sheet=A0&amp;row=241&amp;col=29&amp;number=&amp;sourceID=13","")</f>
        <v/>
      </c>
      <c r="AD241" s="4" t="str">
        <f>HYPERLINK("http://141.218.60.56/~jnz1568/getInfo.php?workbook=09_01.xlsx&amp;sheet=A0&amp;row=241&amp;col=30&amp;number=&amp;sourceID=13","")</f>
        <v/>
      </c>
      <c r="AE241" s="4" t="str">
        <f>HYPERLINK("http://141.218.60.56/~jnz1568/getInfo.php?workbook=09_01.xlsx&amp;sheet=A0&amp;row=241&amp;col=31&amp;number=&amp;sourceID=13","")</f>
        <v/>
      </c>
    </row>
    <row r="242" spans="1:31">
      <c r="A242" s="3">
        <v>9</v>
      </c>
      <c r="B242" s="3">
        <v>1</v>
      </c>
      <c r="C242" s="3">
        <v>23</v>
      </c>
      <c r="D242" s="3">
        <v>17</v>
      </c>
      <c r="E242" s="3">
        <f>((1/(INDEX(E0!J$4:J$28,C242,1)-INDEX(E0!J$4:J$28,D242,1))))*100000000</f>
        <v>0</v>
      </c>
      <c r="F242" s="4" t="str">
        <f>HYPERLINK("http://141.218.60.56/~jnz1568/getInfo.php?workbook=09_01.xlsx&amp;sheet=A0&amp;row=242&amp;col=6&amp;number=&amp;sourceID=18","")</f>
        <v/>
      </c>
      <c r="G242" s="4" t="str">
        <f>HYPERLINK("http://141.218.60.56/~jnz1568/getInfo.php?workbook=09_01.xlsx&amp;sheet=A0&amp;row=242&amp;col=7&amp;number==&amp;sourceID=11","=")</f>
        <v>=</v>
      </c>
      <c r="H242" s="4" t="str">
        <f>HYPERLINK("http://141.218.60.56/~jnz1568/getInfo.php?workbook=09_01.xlsx&amp;sheet=A0&amp;row=242&amp;col=8&amp;number=&amp;sourceID=11","")</f>
        <v/>
      </c>
      <c r="I242" s="4" t="str">
        <f>HYPERLINK("http://141.218.60.56/~jnz1568/getInfo.php?workbook=09_01.xlsx&amp;sheet=A0&amp;row=242&amp;col=9&amp;number=&amp;sourceID=11","")</f>
        <v/>
      </c>
      <c r="J242" s="4" t="str">
        <f>HYPERLINK("http://141.218.60.56/~jnz1568/getInfo.php?workbook=09_01.xlsx&amp;sheet=A0&amp;row=242&amp;col=10&amp;number=0&amp;sourceID=11","0")</f>
        <v>0</v>
      </c>
      <c r="K242" s="4" t="str">
        <f>HYPERLINK("http://141.218.60.56/~jnz1568/getInfo.php?workbook=09_01.xlsx&amp;sheet=A0&amp;row=242&amp;col=11&amp;number=&amp;sourceID=11","")</f>
        <v/>
      </c>
      <c r="L242" s="4" t="str">
        <f>HYPERLINK("http://141.218.60.56/~jnz1568/getInfo.php?workbook=09_01.xlsx&amp;sheet=A0&amp;row=242&amp;col=12&amp;number=&amp;sourceID=11","")</f>
        <v/>
      </c>
      <c r="M242" s="4" t="str">
        <f>HYPERLINK("http://141.218.60.56/~jnz1568/getInfo.php?workbook=09_01.xlsx&amp;sheet=A0&amp;row=242&amp;col=13&amp;number=&amp;sourceID=11","")</f>
        <v/>
      </c>
      <c r="N242" s="4" t="str">
        <f>HYPERLINK("http://141.218.60.56/~jnz1568/getInfo.php?workbook=09_01.xlsx&amp;sheet=A0&amp;row=242&amp;col=14&amp;number=0&amp;sourceID=12","0")</f>
        <v>0</v>
      </c>
      <c r="O242" s="4" t="str">
        <f>HYPERLINK("http://141.218.60.56/~jnz1568/getInfo.php?workbook=09_01.xlsx&amp;sheet=A0&amp;row=242&amp;col=15&amp;number=&amp;sourceID=12","")</f>
        <v/>
      </c>
      <c r="P242" s="4" t="str">
        <f>HYPERLINK("http://141.218.60.56/~jnz1568/getInfo.php?workbook=09_01.xlsx&amp;sheet=A0&amp;row=242&amp;col=16&amp;number=&amp;sourceID=12","")</f>
        <v/>
      </c>
      <c r="Q242" s="4" t="str">
        <f>HYPERLINK("http://141.218.60.56/~jnz1568/getInfo.php?workbook=09_01.xlsx&amp;sheet=A0&amp;row=242&amp;col=17&amp;number=0&amp;sourceID=12","0")</f>
        <v>0</v>
      </c>
      <c r="R242" s="4" t="str">
        <f>HYPERLINK("http://141.218.60.56/~jnz1568/getInfo.php?workbook=09_01.xlsx&amp;sheet=A0&amp;row=242&amp;col=18&amp;number=&amp;sourceID=12","")</f>
        <v/>
      </c>
      <c r="S242" s="4" t="str">
        <f>HYPERLINK("http://141.218.60.56/~jnz1568/getInfo.php?workbook=09_01.xlsx&amp;sheet=A0&amp;row=242&amp;col=19&amp;number=&amp;sourceID=12","")</f>
        <v/>
      </c>
      <c r="T242" s="4" t="str">
        <f>HYPERLINK("http://141.218.60.56/~jnz1568/getInfo.php?workbook=09_01.xlsx&amp;sheet=A0&amp;row=242&amp;col=20&amp;number=&amp;sourceID=12","")</f>
        <v/>
      </c>
      <c r="U242" s="4" t="str">
        <f>HYPERLINK("http://141.218.60.56/~jnz1568/getInfo.php?workbook=09_01.xlsx&amp;sheet=A0&amp;row=242&amp;col=21&amp;number=&amp;sourceID=30","")</f>
        <v/>
      </c>
      <c r="V242" s="4" t="str">
        <f>HYPERLINK("http://141.218.60.56/~jnz1568/getInfo.php?workbook=09_01.xlsx&amp;sheet=A0&amp;row=242&amp;col=22&amp;number=&amp;sourceID=30","")</f>
        <v/>
      </c>
      <c r="W242" s="4" t="str">
        <f>HYPERLINK("http://141.218.60.56/~jnz1568/getInfo.php?workbook=09_01.xlsx&amp;sheet=A0&amp;row=242&amp;col=23&amp;number=&amp;sourceID=30","")</f>
        <v/>
      </c>
      <c r="X242" s="4" t="str">
        <f>HYPERLINK("http://141.218.60.56/~jnz1568/getInfo.php?workbook=09_01.xlsx&amp;sheet=A0&amp;row=242&amp;col=24&amp;number=&amp;sourceID=30","")</f>
        <v/>
      </c>
      <c r="Y242" s="4" t="str">
        <f>HYPERLINK("http://141.218.60.56/~jnz1568/getInfo.php?workbook=09_01.xlsx&amp;sheet=A0&amp;row=242&amp;col=25&amp;number=&amp;sourceID=30","")</f>
        <v/>
      </c>
      <c r="Z242" s="4" t="str">
        <f>HYPERLINK("http://141.218.60.56/~jnz1568/getInfo.php?workbook=09_01.xlsx&amp;sheet=A0&amp;row=242&amp;col=26&amp;number=&amp;sourceID=13","")</f>
        <v/>
      </c>
      <c r="AA242" s="4" t="str">
        <f>HYPERLINK("http://141.218.60.56/~jnz1568/getInfo.php?workbook=09_01.xlsx&amp;sheet=A0&amp;row=242&amp;col=27&amp;number=&amp;sourceID=13","")</f>
        <v/>
      </c>
      <c r="AB242" s="4" t="str">
        <f>HYPERLINK("http://141.218.60.56/~jnz1568/getInfo.php?workbook=09_01.xlsx&amp;sheet=A0&amp;row=242&amp;col=28&amp;number=&amp;sourceID=13","")</f>
        <v/>
      </c>
      <c r="AC242" s="4" t="str">
        <f>HYPERLINK("http://141.218.60.56/~jnz1568/getInfo.php?workbook=09_01.xlsx&amp;sheet=A0&amp;row=242&amp;col=29&amp;number=&amp;sourceID=13","")</f>
        <v/>
      </c>
      <c r="AD242" s="4" t="str">
        <f>HYPERLINK("http://141.218.60.56/~jnz1568/getInfo.php?workbook=09_01.xlsx&amp;sheet=A0&amp;row=242&amp;col=30&amp;number=&amp;sourceID=13","")</f>
        <v/>
      </c>
      <c r="AE242" s="4" t="str">
        <f>HYPERLINK("http://141.218.60.56/~jnz1568/getInfo.php?workbook=09_01.xlsx&amp;sheet=A0&amp;row=242&amp;col=31&amp;number=&amp;sourceID=13","")</f>
        <v/>
      </c>
    </row>
    <row r="243" spans="1:31">
      <c r="A243" s="3">
        <v>9</v>
      </c>
      <c r="B243" s="3">
        <v>1</v>
      </c>
      <c r="C243" s="3">
        <v>23</v>
      </c>
      <c r="D243" s="3">
        <v>18</v>
      </c>
      <c r="E243" s="3">
        <f>((1/(INDEX(E0!J$4:J$28,C243,1)-INDEX(E0!J$4:J$28,D243,1))))*100000000</f>
        <v>0</v>
      </c>
      <c r="F243" s="4" t="str">
        <f>HYPERLINK("http://141.218.60.56/~jnz1568/getInfo.php?workbook=09_01.xlsx&amp;sheet=A0&amp;row=243&amp;col=6&amp;number=&amp;sourceID=18","")</f>
        <v/>
      </c>
      <c r="G243" s="4" t="str">
        <f>HYPERLINK("http://141.218.60.56/~jnz1568/getInfo.php?workbook=09_01.xlsx&amp;sheet=A0&amp;row=243&amp;col=7&amp;number==&amp;sourceID=11","=")</f>
        <v>=</v>
      </c>
      <c r="H243" s="4" t="str">
        <f>HYPERLINK("http://141.218.60.56/~jnz1568/getInfo.php?workbook=09_01.xlsx&amp;sheet=A0&amp;row=243&amp;col=8&amp;number=&amp;sourceID=11","")</f>
        <v/>
      </c>
      <c r="I243" s="4" t="str">
        <f>HYPERLINK("http://141.218.60.56/~jnz1568/getInfo.php?workbook=09_01.xlsx&amp;sheet=A0&amp;row=243&amp;col=9&amp;number=&amp;sourceID=11","")</f>
        <v/>
      </c>
      <c r="J243" s="4" t="str">
        <f>HYPERLINK("http://141.218.60.56/~jnz1568/getInfo.php?workbook=09_01.xlsx&amp;sheet=A0&amp;row=243&amp;col=10&amp;number=&amp;sourceID=11","")</f>
        <v/>
      </c>
      <c r="K243" s="4" t="str">
        <f>HYPERLINK("http://141.218.60.56/~jnz1568/getInfo.php?workbook=09_01.xlsx&amp;sheet=A0&amp;row=243&amp;col=11&amp;number=&amp;sourceID=11","")</f>
        <v/>
      </c>
      <c r="L243" s="4" t="str">
        <f>HYPERLINK("http://141.218.60.56/~jnz1568/getInfo.php?workbook=09_01.xlsx&amp;sheet=A0&amp;row=243&amp;col=12&amp;number=&amp;sourceID=11","")</f>
        <v/>
      </c>
      <c r="M243" s="4" t="str">
        <f>HYPERLINK("http://141.218.60.56/~jnz1568/getInfo.php?workbook=09_01.xlsx&amp;sheet=A0&amp;row=243&amp;col=13&amp;number=0&amp;sourceID=11","0")</f>
        <v>0</v>
      </c>
      <c r="N243" s="4" t="str">
        <f>HYPERLINK("http://141.218.60.56/~jnz1568/getInfo.php?workbook=09_01.xlsx&amp;sheet=A0&amp;row=243&amp;col=14&amp;number=0&amp;sourceID=12","0")</f>
        <v>0</v>
      </c>
      <c r="O243" s="4" t="str">
        <f>HYPERLINK("http://141.218.60.56/~jnz1568/getInfo.php?workbook=09_01.xlsx&amp;sheet=A0&amp;row=243&amp;col=15&amp;number=&amp;sourceID=12","")</f>
        <v/>
      </c>
      <c r="P243" s="4" t="str">
        <f>HYPERLINK("http://141.218.60.56/~jnz1568/getInfo.php?workbook=09_01.xlsx&amp;sheet=A0&amp;row=243&amp;col=16&amp;number=&amp;sourceID=12","")</f>
        <v/>
      </c>
      <c r="Q243" s="4" t="str">
        <f>HYPERLINK("http://141.218.60.56/~jnz1568/getInfo.php?workbook=09_01.xlsx&amp;sheet=A0&amp;row=243&amp;col=17&amp;number=&amp;sourceID=12","")</f>
        <v/>
      </c>
      <c r="R243" s="4" t="str">
        <f>HYPERLINK("http://141.218.60.56/~jnz1568/getInfo.php?workbook=09_01.xlsx&amp;sheet=A0&amp;row=243&amp;col=18&amp;number=&amp;sourceID=12","")</f>
        <v/>
      </c>
      <c r="S243" s="4" t="str">
        <f>HYPERLINK("http://141.218.60.56/~jnz1568/getInfo.php?workbook=09_01.xlsx&amp;sheet=A0&amp;row=243&amp;col=19&amp;number=&amp;sourceID=12","")</f>
        <v/>
      </c>
      <c r="T243" s="4" t="str">
        <f>HYPERLINK("http://141.218.60.56/~jnz1568/getInfo.php?workbook=09_01.xlsx&amp;sheet=A0&amp;row=243&amp;col=20&amp;number=0&amp;sourceID=12","0")</f>
        <v>0</v>
      </c>
      <c r="U243" s="4" t="str">
        <f>HYPERLINK("http://141.218.60.56/~jnz1568/getInfo.php?workbook=09_01.xlsx&amp;sheet=A0&amp;row=243&amp;col=21&amp;number=&amp;sourceID=30","")</f>
        <v/>
      </c>
      <c r="V243" s="4" t="str">
        <f>HYPERLINK("http://141.218.60.56/~jnz1568/getInfo.php?workbook=09_01.xlsx&amp;sheet=A0&amp;row=243&amp;col=22&amp;number=&amp;sourceID=30","")</f>
        <v/>
      </c>
      <c r="W243" s="4" t="str">
        <f>HYPERLINK("http://141.218.60.56/~jnz1568/getInfo.php?workbook=09_01.xlsx&amp;sheet=A0&amp;row=243&amp;col=23&amp;number=&amp;sourceID=30","")</f>
        <v/>
      </c>
      <c r="X243" s="4" t="str">
        <f>HYPERLINK("http://141.218.60.56/~jnz1568/getInfo.php?workbook=09_01.xlsx&amp;sheet=A0&amp;row=243&amp;col=24&amp;number=&amp;sourceID=30","")</f>
        <v/>
      </c>
      <c r="Y243" s="4" t="str">
        <f>HYPERLINK("http://141.218.60.56/~jnz1568/getInfo.php?workbook=09_01.xlsx&amp;sheet=A0&amp;row=243&amp;col=25&amp;number=&amp;sourceID=30","")</f>
        <v/>
      </c>
      <c r="Z243" s="4" t="str">
        <f>HYPERLINK("http://141.218.60.56/~jnz1568/getInfo.php?workbook=09_01.xlsx&amp;sheet=A0&amp;row=243&amp;col=26&amp;number=&amp;sourceID=13","")</f>
        <v/>
      </c>
      <c r="AA243" s="4" t="str">
        <f>HYPERLINK("http://141.218.60.56/~jnz1568/getInfo.php?workbook=09_01.xlsx&amp;sheet=A0&amp;row=243&amp;col=27&amp;number=&amp;sourceID=13","")</f>
        <v/>
      </c>
      <c r="AB243" s="4" t="str">
        <f>HYPERLINK("http://141.218.60.56/~jnz1568/getInfo.php?workbook=09_01.xlsx&amp;sheet=A0&amp;row=243&amp;col=28&amp;number=&amp;sourceID=13","")</f>
        <v/>
      </c>
      <c r="AC243" s="4" t="str">
        <f>HYPERLINK("http://141.218.60.56/~jnz1568/getInfo.php?workbook=09_01.xlsx&amp;sheet=A0&amp;row=243&amp;col=29&amp;number=&amp;sourceID=13","")</f>
        <v/>
      </c>
      <c r="AD243" s="4" t="str">
        <f>HYPERLINK("http://141.218.60.56/~jnz1568/getInfo.php?workbook=09_01.xlsx&amp;sheet=A0&amp;row=243&amp;col=30&amp;number=&amp;sourceID=13","")</f>
        <v/>
      </c>
      <c r="AE243" s="4" t="str">
        <f>HYPERLINK("http://141.218.60.56/~jnz1568/getInfo.php?workbook=09_01.xlsx&amp;sheet=A0&amp;row=243&amp;col=31&amp;number=&amp;sourceID=13","")</f>
        <v/>
      </c>
    </row>
    <row r="244" spans="1:31">
      <c r="A244" s="3">
        <v>9</v>
      </c>
      <c r="B244" s="3">
        <v>1</v>
      </c>
      <c r="C244" s="3">
        <v>23</v>
      </c>
      <c r="D244" s="3">
        <v>19</v>
      </c>
      <c r="E244" s="3">
        <f>((1/(INDEX(E0!J$4:J$28,C244,1)-INDEX(E0!J$4:J$28,D244,1))))*100000000</f>
        <v>0</v>
      </c>
      <c r="F244" s="4" t="str">
        <f>HYPERLINK("http://141.218.60.56/~jnz1568/getInfo.php?workbook=09_01.xlsx&amp;sheet=A0&amp;row=244&amp;col=6&amp;number=&amp;sourceID=18","")</f>
        <v/>
      </c>
      <c r="G244" s="4" t="str">
        <f>HYPERLINK("http://141.218.60.56/~jnz1568/getInfo.php?workbook=09_01.xlsx&amp;sheet=A0&amp;row=244&amp;col=7&amp;number==&amp;sourceID=11","=")</f>
        <v>=</v>
      </c>
      <c r="H244" s="4" t="str">
        <f>HYPERLINK("http://141.218.60.56/~jnz1568/getInfo.php?workbook=09_01.xlsx&amp;sheet=A0&amp;row=244&amp;col=8&amp;number=&amp;sourceID=11","")</f>
        <v/>
      </c>
      <c r="I244" s="4" t="str">
        <f>HYPERLINK("http://141.218.60.56/~jnz1568/getInfo.php?workbook=09_01.xlsx&amp;sheet=A0&amp;row=244&amp;col=9&amp;number=6.568e-12&amp;sourceID=11","6.568e-12")</f>
        <v>6.568e-12</v>
      </c>
      <c r="J244" s="4" t="str">
        <f>HYPERLINK("http://141.218.60.56/~jnz1568/getInfo.php?workbook=09_01.xlsx&amp;sheet=A0&amp;row=244&amp;col=10&amp;number=&amp;sourceID=11","")</f>
        <v/>
      </c>
      <c r="K244" s="4" t="str">
        <f>HYPERLINK("http://141.218.60.56/~jnz1568/getInfo.php?workbook=09_01.xlsx&amp;sheet=A0&amp;row=244&amp;col=11&amp;number=&amp;sourceID=11","")</f>
        <v/>
      </c>
      <c r="L244" s="4" t="str">
        <f>HYPERLINK("http://141.218.60.56/~jnz1568/getInfo.php?workbook=09_01.xlsx&amp;sheet=A0&amp;row=244&amp;col=12&amp;number=&amp;sourceID=11","")</f>
        <v/>
      </c>
      <c r="M244" s="4" t="str">
        <f>HYPERLINK("http://141.218.60.56/~jnz1568/getInfo.php?workbook=09_01.xlsx&amp;sheet=A0&amp;row=244&amp;col=13&amp;number=0&amp;sourceID=11","0")</f>
        <v>0</v>
      </c>
      <c r="N244" s="4" t="str">
        <f>HYPERLINK("http://141.218.60.56/~jnz1568/getInfo.php?workbook=09_01.xlsx&amp;sheet=A0&amp;row=244&amp;col=14&amp;number=6.57e-12&amp;sourceID=12","6.57e-12")</f>
        <v>6.57e-12</v>
      </c>
      <c r="O244" s="4" t="str">
        <f>HYPERLINK("http://141.218.60.56/~jnz1568/getInfo.php?workbook=09_01.xlsx&amp;sheet=A0&amp;row=244&amp;col=15&amp;number=&amp;sourceID=12","")</f>
        <v/>
      </c>
      <c r="P244" s="4" t="str">
        <f>HYPERLINK("http://141.218.60.56/~jnz1568/getInfo.php?workbook=09_01.xlsx&amp;sheet=A0&amp;row=244&amp;col=16&amp;number=6.57e-12&amp;sourceID=12","6.57e-12")</f>
        <v>6.57e-12</v>
      </c>
      <c r="Q244" s="4" t="str">
        <f>HYPERLINK("http://141.218.60.56/~jnz1568/getInfo.php?workbook=09_01.xlsx&amp;sheet=A0&amp;row=244&amp;col=17&amp;number=&amp;sourceID=12","")</f>
        <v/>
      </c>
      <c r="R244" s="4" t="str">
        <f>HYPERLINK("http://141.218.60.56/~jnz1568/getInfo.php?workbook=09_01.xlsx&amp;sheet=A0&amp;row=244&amp;col=18&amp;number=&amp;sourceID=12","")</f>
        <v/>
      </c>
      <c r="S244" s="4" t="str">
        <f>HYPERLINK("http://141.218.60.56/~jnz1568/getInfo.php?workbook=09_01.xlsx&amp;sheet=A0&amp;row=244&amp;col=19&amp;number=&amp;sourceID=12","")</f>
        <v/>
      </c>
      <c r="T244" s="4" t="str">
        <f>HYPERLINK("http://141.218.60.56/~jnz1568/getInfo.php?workbook=09_01.xlsx&amp;sheet=A0&amp;row=244&amp;col=20&amp;number=0&amp;sourceID=12","0")</f>
        <v>0</v>
      </c>
      <c r="U244" s="4" t="str">
        <f>HYPERLINK("http://141.218.60.56/~jnz1568/getInfo.php?workbook=09_01.xlsx&amp;sheet=A0&amp;row=244&amp;col=21&amp;number=6.57e-12&amp;sourceID=30","6.57e-12")</f>
        <v>6.57e-12</v>
      </c>
      <c r="V244" s="4" t="str">
        <f>HYPERLINK("http://141.218.60.56/~jnz1568/getInfo.php?workbook=09_01.xlsx&amp;sheet=A0&amp;row=244&amp;col=22&amp;number=&amp;sourceID=30","")</f>
        <v/>
      </c>
      <c r="W244" s="4" t="str">
        <f>HYPERLINK("http://141.218.60.56/~jnz1568/getInfo.php?workbook=09_01.xlsx&amp;sheet=A0&amp;row=244&amp;col=23&amp;number=6.57e-12&amp;sourceID=30","6.57e-12")</f>
        <v>6.57e-12</v>
      </c>
      <c r="X244" s="4" t="str">
        <f>HYPERLINK("http://141.218.60.56/~jnz1568/getInfo.php?workbook=09_01.xlsx&amp;sheet=A0&amp;row=244&amp;col=24&amp;number=&amp;sourceID=30","")</f>
        <v/>
      </c>
      <c r="Y244" s="4" t="str">
        <f>HYPERLINK("http://141.218.60.56/~jnz1568/getInfo.php?workbook=09_01.xlsx&amp;sheet=A0&amp;row=244&amp;col=25&amp;number=&amp;sourceID=30","")</f>
        <v/>
      </c>
      <c r="Z244" s="4" t="str">
        <f>HYPERLINK("http://141.218.60.56/~jnz1568/getInfo.php?workbook=09_01.xlsx&amp;sheet=A0&amp;row=244&amp;col=26&amp;number=&amp;sourceID=13","")</f>
        <v/>
      </c>
      <c r="AA244" s="4" t="str">
        <f>HYPERLINK("http://141.218.60.56/~jnz1568/getInfo.php?workbook=09_01.xlsx&amp;sheet=A0&amp;row=244&amp;col=27&amp;number=&amp;sourceID=13","")</f>
        <v/>
      </c>
      <c r="AB244" s="4" t="str">
        <f>HYPERLINK("http://141.218.60.56/~jnz1568/getInfo.php?workbook=09_01.xlsx&amp;sheet=A0&amp;row=244&amp;col=28&amp;number=&amp;sourceID=13","")</f>
        <v/>
      </c>
      <c r="AC244" s="4" t="str">
        <f>HYPERLINK("http://141.218.60.56/~jnz1568/getInfo.php?workbook=09_01.xlsx&amp;sheet=A0&amp;row=244&amp;col=29&amp;number=&amp;sourceID=13","")</f>
        <v/>
      </c>
      <c r="AD244" s="4" t="str">
        <f>HYPERLINK("http://141.218.60.56/~jnz1568/getInfo.php?workbook=09_01.xlsx&amp;sheet=A0&amp;row=244&amp;col=30&amp;number=&amp;sourceID=13","")</f>
        <v/>
      </c>
      <c r="AE244" s="4" t="str">
        <f>HYPERLINK("http://141.218.60.56/~jnz1568/getInfo.php?workbook=09_01.xlsx&amp;sheet=A0&amp;row=244&amp;col=31&amp;number=&amp;sourceID=13","")</f>
        <v/>
      </c>
    </row>
    <row r="245" spans="1:31">
      <c r="A245" s="3">
        <v>9</v>
      </c>
      <c r="B245" s="3">
        <v>1</v>
      </c>
      <c r="C245" s="3">
        <v>23</v>
      </c>
      <c r="D245" s="3">
        <v>20</v>
      </c>
      <c r="E245" s="3">
        <f>((1/(INDEX(E0!J$4:J$28,C245,1)-INDEX(E0!J$4:J$28,D245,1))))*100000000</f>
        <v>0</v>
      </c>
      <c r="F245" s="4" t="str">
        <f>HYPERLINK("http://141.218.60.56/~jnz1568/getInfo.php?workbook=09_01.xlsx&amp;sheet=A0&amp;row=245&amp;col=6&amp;number=&amp;sourceID=18","")</f>
        <v/>
      </c>
      <c r="G245" s="4" t="str">
        <f>HYPERLINK("http://141.218.60.56/~jnz1568/getInfo.php?workbook=09_01.xlsx&amp;sheet=A0&amp;row=245&amp;col=7&amp;number==&amp;sourceID=11","=")</f>
        <v>=</v>
      </c>
      <c r="H245" s="4" t="str">
        <f>HYPERLINK("http://141.218.60.56/~jnz1568/getInfo.php?workbook=09_01.xlsx&amp;sheet=A0&amp;row=245&amp;col=8&amp;number=&amp;sourceID=11","")</f>
        <v/>
      </c>
      <c r="I245" s="4" t="str">
        <f>HYPERLINK("http://141.218.60.56/~jnz1568/getInfo.php?workbook=09_01.xlsx&amp;sheet=A0&amp;row=245&amp;col=9&amp;number=&amp;sourceID=11","")</f>
        <v/>
      </c>
      <c r="J245" s="4" t="str">
        <f>HYPERLINK("http://141.218.60.56/~jnz1568/getInfo.php?workbook=09_01.xlsx&amp;sheet=A0&amp;row=245&amp;col=10&amp;number=0&amp;sourceID=11","0")</f>
        <v>0</v>
      </c>
      <c r="K245" s="4" t="str">
        <f>HYPERLINK("http://141.218.60.56/~jnz1568/getInfo.php?workbook=09_01.xlsx&amp;sheet=A0&amp;row=245&amp;col=11&amp;number=&amp;sourceID=11","")</f>
        <v/>
      </c>
      <c r="L245" s="4" t="str">
        <f>HYPERLINK("http://141.218.60.56/~jnz1568/getInfo.php?workbook=09_01.xlsx&amp;sheet=A0&amp;row=245&amp;col=12&amp;number=0&amp;sourceID=11","0")</f>
        <v>0</v>
      </c>
      <c r="M245" s="4" t="str">
        <f>HYPERLINK("http://141.218.60.56/~jnz1568/getInfo.php?workbook=09_01.xlsx&amp;sheet=A0&amp;row=245&amp;col=13&amp;number=&amp;sourceID=11","")</f>
        <v/>
      </c>
      <c r="N245" s="4" t="str">
        <f>HYPERLINK("http://141.218.60.56/~jnz1568/getInfo.php?workbook=09_01.xlsx&amp;sheet=A0&amp;row=245&amp;col=14&amp;number=0&amp;sourceID=12","0")</f>
        <v>0</v>
      </c>
      <c r="O245" s="4" t="str">
        <f>HYPERLINK("http://141.218.60.56/~jnz1568/getInfo.php?workbook=09_01.xlsx&amp;sheet=A0&amp;row=245&amp;col=15&amp;number=&amp;sourceID=12","")</f>
        <v/>
      </c>
      <c r="P245" s="4" t="str">
        <f>HYPERLINK("http://141.218.60.56/~jnz1568/getInfo.php?workbook=09_01.xlsx&amp;sheet=A0&amp;row=245&amp;col=16&amp;number=&amp;sourceID=12","")</f>
        <v/>
      </c>
      <c r="Q245" s="4" t="str">
        <f>HYPERLINK("http://141.218.60.56/~jnz1568/getInfo.php?workbook=09_01.xlsx&amp;sheet=A0&amp;row=245&amp;col=17&amp;number=0&amp;sourceID=12","0")</f>
        <v>0</v>
      </c>
      <c r="R245" s="4" t="str">
        <f>HYPERLINK("http://141.218.60.56/~jnz1568/getInfo.php?workbook=09_01.xlsx&amp;sheet=A0&amp;row=245&amp;col=18&amp;number=&amp;sourceID=12","")</f>
        <v/>
      </c>
      <c r="S245" s="4" t="str">
        <f>HYPERLINK("http://141.218.60.56/~jnz1568/getInfo.php?workbook=09_01.xlsx&amp;sheet=A0&amp;row=245&amp;col=19&amp;number=0&amp;sourceID=12","0")</f>
        <v>0</v>
      </c>
      <c r="T245" s="4" t="str">
        <f>HYPERLINK("http://141.218.60.56/~jnz1568/getInfo.php?workbook=09_01.xlsx&amp;sheet=A0&amp;row=245&amp;col=20&amp;number=&amp;sourceID=12","")</f>
        <v/>
      </c>
      <c r="U245" s="4" t="str">
        <f>HYPERLINK("http://141.218.60.56/~jnz1568/getInfo.php?workbook=09_01.xlsx&amp;sheet=A0&amp;row=245&amp;col=21&amp;number=0&amp;sourceID=30","0")</f>
        <v>0</v>
      </c>
      <c r="V245" s="4" t="str">
        <f>HYPERLINK("http://141.218.60.56/~jnz1568/getInfo.php?workbook=09_01.xlsx&amp;sheet=A0&amp;row=245&amp;col=22&amp;number=&amp;sourceID=30","")</f>
        <v/>
      </c>
      <c r="W245" s="4" t="str">
        <f>HYPERLINK("http://141.218.60.56/~jnz1568/getInfo.php?workbook=09_01.xlsx&amp;sheet=A0&amp;row=245&amp;col=23&amp;number=&amp;sourceID=30","")</f>
        <v/>
      </c>
      <c r="X245" s="4" t="str">
        <f>HYPERLINK("http://141.218.60.56/~jnz1568/getInfo.php?workbook=09_01.xlsx&amp;sheet=A0&amp;row=245&amp;col=24&amp;number=&amp;sourceID=30","")</f>
        <v/>
      </c>
      <c r="Y245" s="4" t="str">
        <f>HYPERLINK("http://141.218.60.56/~jnz1568/getInfo.php?workbook=09_01.xlsx&amp;sheet=A0&amp;row=245&amp;col=25&amp;number=0&amp;sourceID=30","0")</f>
        <v>0</v>
      </c>
      <c r="Z245" s="4" t="str">
        <f>HYPERLINK("http://141.218.60.56/~jnz1568/getInfo.php?workbook=09_01.xlsx&amp;sheet=A0&amp;row=245&amp;col=26&amp;number=&amp;sourceID=13","")</f>
        <v/>
      </c>
      <c r="AA245" s="4" t="str">
        <f>HYPERLINK("http://141.218.60.56/~jnz1568/getInfo.php?workbook=09_01.xlsx&amp;sheet=A0&amp;row=245&amp;col=27&amp;number=&amp;sourceID=13","")</f>
        <v/>
      </c>
      <c r="AB245" s="4" t="str">
        <f>HYPERLINK("http://141.218.60.56/~jnz1568/getInfo.php?workbook=09_01.xlsx&amp;sheet=A0&amp;row=245&amp;col=28&amp;number=&amp;sourceID=13","")</f>
        <v/>
      </c>
      <c r="AC245" s="4" t="str">
        <f>HYPERLINK("http://141.218.60.56/~jnz1568/getInfo.php?workbook=09_01.xlsx&amp;sheet=A0&amp;row=245&amp;col=29&amp;number=&amp;sourceID=13","")</f>
        <v/>
      </c>
      <c r="AD245" s="4" t="str">
        <f>HYPERLINK("http://141.218.60.56/~jnz1568/getInfo.php?workbook=09_01.xlsx&amp;sheet=A0&amp;row=245&amp;col=30&amp;number=&amp;sourceID=13","")</f>
        <v/>
      </c>
      <c r="AE245" s="4" t="str">
        <f>HYPERLINK("http://141.218.60.56/~jnz1568/getInfo.php?workbook=09_01.xlsx&amp;sheet=A0&amp;row=245&amp;col=31&amp;number=&amp;sourceID=13","")</f>
        <v/>
      </c>
    </row>
    <row r="246" spans="1:31">
      <c r="A246" s="3">
        <v>9</v>
      </c>
      <c r="B246" s="3">
        <v>1</v>
      </c>
      <c r="C246" s="3">
        <v>23</v>
      </c>
      <c r="D246" s="3">
        <v>21</v>
      </c>
      <c r="E246" s="3">
        <f>((1/(INDEX(E0!J$4:J$28,C246,1)-INDEX(E0!J$4:J$28,D246,1))))*100000000</f>
        <v>0</v>
      </c>
      <c r="F246" s="4" t="str">
        <f>HYPERLINK("http://141.218.60.56/~jnz1568/getInfo.php?workbook=09_01.xlsx&amp;sheet=A0&amp;row=246&amp;col=6&amp;number=&amp;sourceID=18","")</f>
        <v/>
      </c>
      <c r="G246" s="4" t="str">
        <f>HYPERLINK("http://141.218.60.56/~jnz1568/getInfo.php?workbook=09_01.xlsx&amp;sheet=A0&amp;row=246&amp;col=7&amp;number==&amp;sourceID=11","=")</f>
        <v>=</v>
      </c>
      <c r="H246" s="4" t="str">
        <f>HYPERLINK("http://141.218.60.56/~jnz1568/getInfo.php?workbook=09_01.xlsx&amp;sheet=A0&amp;row=246&amp;col=8&amp;number=0.09072&amp;sourceID=11","0.09072")</f>
        <v>0.09072</v>
      </c>
      <c r="I246" s="4" t="str">
        <f>HYPERLINK("http://141.218.60.56/~jnz1568/getInfo.php?workbook=09_01.xlsx&amp;sheet=A0&amp;row=246&amp;col=9&amp;number=&amp;sourceID=11","")</f>
        <v/>
      </c>
      <c r="J246" s="4" t="str">
        <f>HYPERLINK("http://141.218.60.56/~jnz1568/getInfo.php?workbook=09_01.xlsx&amp;sheet=A0&amp;row=246&amp;col=10&amp;number=0&amp;sourceID=11","0")</f>
        <v>0</v>
      </c>
      <c r="K246" s="4" t="str">
        <f>HYPERLINK("http://141.218.60.56/~jnz1568/getInfo.php?workbook=09_01.xlsx&amp;sheet=A0&amp;row=246&amp;col=11&amp;number=&amp;sourceID=11","")</f>
        <v/>
      </c>
      <c r="L246" s="4" t="str">
        <f>HYPERLINK("http://141.218.60.56/~jnz1568/getInfo.php?workbook=09_01.xlsx&amp;sheet=A0&amp;row=246&amp;col=12&amp;number=0&amp;sourceID=11","0")</f>
        <v>0</v>
      </c>
      <c r="M246" s="4" t="str">
        <f>HYPERLINK("http://141.218.60.56/~jnz1568/getInfo.php?workbook=09_01.xlsx&amp;sheet=A0&amp;row=246&amp;col=13&amp;number=&amp;sourceID=11","")</f>
        <v/>
      </c>
      <c r="N246" s="4" t="str">
        <f>HYPERLINK("http://141.218.60.56/~jnz1568/getInfo.php?workbook=09_01.xlsx&amp;sheet=A0&amp;row=246&amp;col=14&amp;number=0.090736&amp;sourceID=12","0.090736")</f>
        <v>0.090736</v>
      </c>
      <c r="O246" s="4" t="str">
        <f>HYPERLINK("http://141.218.60.56/~jnz1568/getInfo.php?workbook=09_01.xlsx&amp;sheet=A0&amp;row=246&amp;col=15&amp;number=0.090736&amp;sourceID=12","0.090736")</f>
        <v>0.090736</v>
      </c>
      <c r="P246" s="4" t="str">
        <f>HYPERLINK("http://141.218.60.56/~jnz1568/getInfo.php?workbook=09_01.xlsx&amp;sheet=A0&amp;row=246&amp;col=16&amp;number=&amp;sourceID=12","")</f>
        <v/>
      </c>
      <c r="Q246" s="4" t="str">
        <f>HYPERLINK("http://141.218.60.56/~jnz1568/getInfo.php?workbook=09_01.xlsx&amp;sheet=A0&amp;row=246&amp;col=17&amp;number=0&amp;sourceID=12","0")</f>
        <v>0</v>
      </c>
      <c r="R246" s="4" t="str">
        <f>HYPERLINK("http://141.218.60.56/~jnz1568/getInfo.php?workbook=09_01.xlsx&amp;sheet=A0&amp;row=246&amp;col=18&amp;number=&amp;sourceID=12","")</f>
        <v/>
      </c>
      <c r="S246" s="4" t="str">
        <f>HYPERLINK("http://141.218.60.56/~jnz1568/getInfo.php?workbook=09_01.xlsx&amp;sheet=A0&amp;row=246&amp;col=19&amp;number=0&amp;sourceID=12","0")</f>
        <v>0</v>
      </c>
      <c r="T246" s="4" t="str">
        <f>HYPERLINK("http://141.218.60.56/~jnz1568/getInfo.php?workbook=09_01.xlsx&amp;sheet=A0&amp;row=246&amp;col=20&amp;number=&amp;sourceID=12","")</f>
        <v/>
      </c>
      <c r="U246" s="4" t="str">
        <f>HYPERLINK("http://141.218.60.56/~jnz1568/getInfo.php?workbook=09_01.xlsx&amp;sheet=A0&amp;row=246&amp;col=21&amp;number=0.09074&amp;sourceID=30","0.09074")</f>
        <v>0.09074</v>
      </c>
      <c r="V246" s="4" t="str">
        <f>HYPERLINK("http://141.218.60.56/~jnz1568/getInfo.php?workbook=09_01.xlsx&amp;sheet=A0&amp;row=246&amp;col=22&amp;number=0.09074&amp;sourceID=30","0.09074")</f>
        <v>0.09074</v>
      </c>
      <c r="W246" s="4" t="str">
        <f>HYPERLINK("http://141.218.60.56/~jnz1568/getInfo.php?workbook=09_01.xlsx&amp;sheet=A0&amp;row=246&amp;col=23&amp;number=&amp;sourceID=30","")</f>
        <v/>
      </c>
      <c r="X246" s="4" t="str">
        <f>HYPERLINK("http://141.218.60.56/~jnz1568/getInfo.php?workbook=09_01.xlsx&amp;sheet=A0&amp;row=246&amp;col=24&amp;number=&amp;sourceID=30","")</f>
        <v/>
      </c>
      <c r="Y246" s="4" t="str">
        <f>HYPERLINK("http://141.218.60.56/~jnz1568/getInfo.php?workbook=09_01.xlsx&amp;sheet=A0&amp;row=246&amp;col=25&amp;number=0&amp;sourceID=30","0")</f>
        <v>0</v>
      </c>
      <c r="Z246" s="4" t="str">
        <f>HYPERLINK("http://141.218.60.56/~jnz1568/getInfo.php?workbook=09_01.xlsx&amp;sheet=A0&amp;row=246&amp;col=26&amp;number=&amp;sourceID=13","")</f>
        <v/>
      </c>
      <c r="AA246" s="4" t="str">
        <f>HYPERLINK("http://141.218.60.56/~jnz1568/getInfo.php?workbook=09_01.xlsx&amp;sheet=A0&amp;row=246&amp;col=27&amp;number=&amp;sourceID=13","")</f>
        <v/>
      </c>
      <c r="AB246" s="4" t="str">
        <f>HYPERLINK("http://141.218.60.56/~jnz1568/getInfo.php?workbook=09_01.xlsx&amp;sheet=A0&amp;row=246&amp;col=28&amp;number=&amp;sourceID=13","")</f>
        <v/>
      </c>
      <c r="AC246" s="4" t="str">
        <f>HYPERLINK("http://141.218.60.56/~jnz1568/getInfo.php?workbook=09_01.xlsx&amp;sheet=A0&amp;row=246&amp;col=29&amp;number=&amp;sourceID=13","")</f>
        <v/>
      </c>
      <c r="AD246" s="4" t="str">
        <f>HYPERLINK("http://141.218.60.56/~jnz1568/getInfo.php?workbook=09_01.xlsx&amp;sheet=A0&amp;row=246&amp;col=30&amp;number=&amp;sourceID=13","")</f>
        <v/>
      </c>
      <c r="AE246" s="4" t="str">
        <f>HYPERLINK("http://141.218.60.56/~jnz1568/getInfo.php?workbook=09_01.xlsx&amp;sheet=A0&amp;row=246&amp;col=31&amp;number=&amp;sourceID=13","")</f>
        <v/>
      </c>
    </row>
    <row r="247" spans="1:31">
      <c r="A247" s="3">
        <v>9</v>
      </c>
      <c r="B247" s="3">
        <v>1</v>
      </c>
      <c r="C247" s="3">
        <v>23</v>
      </c>
      <c r="D247" s="3">
        <v>22</v>
      </c>
      <c r="E247" s="3">
        <f>((1/(INDEX(E0!J$4:J$28,C247,1)-INDEX(E0!J$4:J$28,D247,1))))*100000000</f>
        <v>0</v>
      </c>
      <c r="F247" s="4" t="str">
        <f>HYPERLINK("http://141.218.60.56/~jnz1568/getInfo.php?workbook=09_01.xlsx&amp;sheet=A0&amp;row=247&amp;col=6&amp;number=&amp;sourceID=18","")</f>
        <v/>
      </c>
      <c r="G247" s="4" t="str">
        <f>HYPERLINK("http://141.218.60.56/~jnz1568/getInfo.php?workbook=09_01.xlsx&amp;sheet=A0&amp;row=247&amp;col=7&amp;number==&amp;sourceID=11","=")</f>
        <v>=</v>
      </c>
      <c r="H247" s="4" t="str">
        <f>HYPERLINK("http://141.218.60.56/~jnz1568/getInfo.php?workbook=09_01.xlsx&amp;sheet=A0&amp;row=247&amp;col=8&amp;number=&amp;sourceID=11","")</f>
        <v/>
      </c>
      <c r="I247" s="4" t="str">
        <f>HYPERLINK("http://141.218.60.56/~jnz1568/getInfo.php?workbook=09_01.xlsx&amp;sheet=A0&amp;row=247&amp;col=9&amp;number=3e-15&amp;sourceID=11","3e-15")</f>
        <v>3e-15</v>
      </c>
      <c r="J247" s="4" t="str">
        <f>HYPERLINK("http://141.218.60.56/~jnz1568/getInfo.php?workbook=09_01.xlsx&amp;sheet=A0&amp;row=247&amp;col=10&amp;number=&amp;sourceID=11","")</f>
        <v/>
      </c>
      <c r="K247" s="4" t="str">
        <f>HYPERLINK("http://141.218.60.56/~jnz1568/getInfo.php?workbook=09_01.xlsx&amp;sheet=A0&amp;row=247&amp;col=11&amp;number=0&amp;sourceID=11","0")</f>
        <v>0</v>
      </c>
      <c r="L247" s="4" t="str">
        <f>HYPERLINK("http://141.218.60.56/~jnz1568/getInfo.php?workbook=09_01.xlsx&amp;sheet=A0&amp;row=247&amp;col=12&amp;number=&amp;sourceID=11","")</f>
        <v/>
      </c>
      <c r="M247" s="4" t="str">
        <f>HYPERLINK("http://141.218.60.56/~jnz1568/getInfo.php?workbook=09_01.xlsx&amp;sheet=A0&amp;row=247&amp;col=13&amp;number=0&amp;sourceID=11","0")</f>
        <v>0</v>
      </c>
      <c r="N247" s="4" t="str">
        <f>HYPERLINK("http://141.218.60.56/~jnz1568/getInfo.php?workbook=09_01.xlsx&amp;sheet=A0&amp;row=247&amp;col=14&amp;number=3e-15&amp;sourceID=12","3e-15")</f>
        <v>3e-15</v>
      </c>
      <c r="O247" s="4" t="str">
        <f>HYPERLINK("http://141.218.60.56/~jnz1568/getInfo.php?workbook=09_01.xlsx&amp;sheet=A0&amp;row=247&amp;col=15&amp;number=&amp;sourceID=12","")</f>
        <v/>
      </c>
      <c r="P247" s="4" t="str">
        <f>HYPERLINK("http://141.218.60.56/~jnz1568/getInfo.php?workbook=09_01.xlsx&amp;sheet=A0&amp;row=247&amp;col=16&amp;number=3e-15&amp;sourceID=12","3e-15")</f>
        <v>3e-15</v>
      </c>
      <c r="Q247" s="4" t="str">
        <f>HYPERLINK("http://141.218.60.56/~jnz1568/getInfo.php?workbook=09_01.xlsx&amp;sheet=A0&amp;row=247&amp;col=17&amp;number=&amp;sourceID=12","")</f>
        <v/>
      </c>
      <c r="R247" s="4" t="str">
        <f>HYPERLINK("http://141.218.60.56/~jnz1568/getInfo.php?workbook=09_01.xlsx&amp;sheet=A0&amp;row=247&amp;col=18&amp;number=0&amp;sourceID=12","0")</f>
        <v>0</v>
      </c>
      <c r="S247" s="4" t="str">
        <f>HYPERLINK("http://141.218.60.56/~jnz1568/getInfo.php?workbook=09_01.xlsx&amp;sheet=A0&amp;row=247&amp;col=19&amp;number=&amp;sourceID=12","")</f>
        <v/>
      </c>
      <c r="T247" s="4" t="str">
        <f>HYPERLINK("http://141.218.60.56/~jnz1568/getInfo.php?workbook=09_01.xlsx&amp;sheet=A0&amp;row=247&amp;col=20&amp;number=0&amp;sourceID=12","0")</f>
        <v>0</v>
      </c>
      <c r="U247" s="4" t="str">
        <f>HYPERLINK("http://141.218.60.56/~jnz1568/getInfo.php?workbook=09_01.xlsx&amp;sheet=A0&amp;row=247&amp;col=21&amp;number=3e-15&amp;sourceID=30","3e-15")</f>
        <v>3e-15</v>
      </c>
      <c r="V247" s="4" t="str">
        <f>HYPERLINK("http://141.218.60.56/~jnz1568/getInfo.php?workbook=09_01.xlsx&amp;sheet=A0&amp;row=247&amp;col=22&amp;number=&amp;sourceID=30","")</f>
        <v/>
      </c>
      <c r="W247" s="4" t="str">
        <f>HYPERLINK("http://141.218.60.56/~jnz1568/getInfo.php?workbook=09_01.xlsx&amp;sheet=A0&amp;row=247&amp;col=23&amp;number=3e-15&amp;sourceID=30","3e-15")</f>
        <v>3e-15</v>
      </c>
      <c r="X247" s="4" t="str">
        <f>HYPERLINK("http://141.218.60.56/~jnz1568/getInfo.php?workbook=09_01.xlsx&amp;sheet=A0&amp;row=247&amp;col=24&amp;number=0&amp;sourceID=30","0")</f>
        <v>0</v>
      </c>
      <c r="Y247" s="4" t="str">
        <f>HYPERLINK("http://141.218.60.56/~jnz1568/getInfo.php?workbook=09_01.xlsx&amp;sheet=A0&amp;row=247&amp;col=25&amp;number=&amp;sourceID=30","")</f>
        <v/>
      </c>
      <c r="Z247" s="4" t="str">
        <f>HYPERLINK("http://141.218.60.56/~jnz1568/getInfo.php?workbook=09_01.xlsx&amp;sheet=A0&amp;row=247&amp;col=26&amp;number=&amp;sourceID=13","")</f>
        <v/>
      </c>
      <c r="AA247" s="4" t="str">
        <f>HYPERLINK("http://141.218.60.56/~jnz1568/getInfo.php?workbook=09_01.xlsx&amp;sheet=A0&amp;row=247&amp;col=27&amp;number=&amp;sourceID=13","")</f>
        <v/>
      </c>
      <c r="AB247" s="4" t="str">
        <f>HYPERLINK("http://141.218.60.56/~jnz1568/getInfo.php?workbook=09_01.xlsx&amp;sheet=A0&amp;row=247&amp;col=28&amp;number=&amp;sourceID=13","")</f>
        <v/>
      </c>
      <c r="AC247" s="4" t="str">
        <f>HYPERLINK("http://141.218.60.56/~jnz1568/getInfo.php?workbook=09_01.xlsx&amp;sheet=A0&amp;row=247&amp;col=29&amp;number=&amp;sourceID=13","")</f>
        <v/>
      </c>
      <c r="AD247" s="4" t="str">
        <f>HYPERLINK("http://141.218.60.56/~jnz1568/getInfo.php?workbook=09_01.xlsx&amp;sheet=A0&amp;row=247&amp;col=30&amp;number=&amp;sourceID=13","")</f>
        <v/>
      </c>
      <c r="AE247" s="4" t="str">
        <f>HYPERLINK("http://141.218.60.56/~jnz1568/getInfo.php?workbook=09_01.xlsx&amp;sheet=A0&amp;row=247&amp;col=31&amp;number=&amp;sourceID=13","")</f>
        <v/>
      </c>
    </row>
    <row r="248" spans="1:31">
      <c r="A248" s="3">
        <v>9</v>
      </c>
      <c r="B248" s="3">
        <v>1</v>
      </c>
      <c r="C248" s="3">
        <v>24</v>
      </c>
      <c r="D248" s="3">
        <v>1</v>
      </c>
      <c r="E248" s="3">
        <f>((1/(INDEX(E0!J$4:J$28,C248,1)-INDEX(E0!J$4:J$28,D248,1))))*100000000</f>
        <v>0</v>
      </c>
      <c r="F248" s="4" t="str">
        <f>HYPERLINK("http://141.218.60.56/~jnz1568/getInfo.php?workbook=09_01.xlsx&amp;sheet=A0&amp;row=248&amp;col=6&amp;number=&amp;sourceID=18","")</f>
        <v/>
      </c>
      <c r="G248" s="4" t="str">
        <f>HYPERLINK("http://141.218.60.56/~jnz1568/getInfo.php?workbook=09_01.xlsx&amp;sheet=A0&amp;row=248&amp;col=7&amp;number==&amp;sourceID=11","=")</f>
        <v>=</v>
      </c>
      <c r="H248" s="4" t="str">
        <f>HYPERLINK("http://141.218.60.56/~jnz1568/getInfo.php?workbook=09_01.xlsx&amp;sheet=A0&amp;row=248&amp;col=8&amp;number=&amp;sourceID=11","")</f>
        <v/>
      </c>
      <c r="I248" s="4" t="str">
        <f>HYPERLINK("http://141.218.60.56/~jnz1568/getInfo.php?workbook=09_01.xlsx&amp;sheet=A0&amp;row=248&amp;col=9&amp;number=&amp;sourceID=11","")</f>
        <v/>
      </c>
      <c r="J248" s="4" t="str">
        <f>HYPERLINK("http://141.218.60.56/~jnz1568/getInfo.php?workbook=09_01.xlsx&amp;sheet=A0&amp;row=248&amp;col=10&amp;number=10998&amp;sourceID=11","10998")</f>
        <v>10998</v>
      </c>
      <c r="K248" s="4" t="str">
        <f>HYPERLINK("http://141.218.60.56/~jnz1568/getInfo.php?workbook=09_01.xlsx&amp;sheet=A0&amp;row=248&amp;col=11&amp;number=&amp;sourceID=11","")</f>
        <v/>
      </c>
      <c r="L248" s="4" t="str">
        <f>HYPERLINK("http://141.218.60.56/~jnz1568/getInfo.php?workbook=09_01.xlsx&amp;sheet=A0&amp;row=248&amp;col=12&amp;number=&amp;sourceID=11","")</f>
        <v/>
      </c>
      <c r="M248" s="4" t="str">
        <f>HYPERLINK("http://141.218.60.56/~jnz1568/getInfo.php?workbook=09_01.xlsx&amp;sheet=A0&amp;row=248&amp;col=13&amp;number=&amp;sourceID=11","")</f>
        <v/>
      </c>
      <c r="N248" s="4" t="str">
        <f>HYPERLINK("http://141.218.60.56/~jnz1568/getInfo.php?workbook=09_01.xlsx&amp;sheet=A0&amp;row=248&amp;col=14&amp;number=10998&amp;sourceID=12","10998")</f>
        <v>10998</v>
      </c>
      <c r="O248" s="4" t="str">
        <f>HYPERLINK("http://141.218.60.56/~jnz1568/getInfo.php?workbook=09_01.xlsx&amp;sheet=A0&amp;row=248&amp;col=15&amp;number=&amp;sourceID=12","")</f>
        <v/>
      </c>
      <c r="P248" s="4" t="str">
        <f>HYPERLINK("http://141.218.60.56/~jnz1568/getInfo.php?workbook=09_01.xlsx&amp;sheet=A0&amp;row=248&amp;col=16&amp;number=&amp;sourceID=12","")</f>
        <v/>
      </c>
      <c r="Q248" s="4" t="str">
        <f>HYPERLINK("http://141.218.60.56/~jnz1568/getInfo.php?workbook=09_01.xlsx&amp;sheet=A0&amp;row=248&amp;col=17&amp;number=10998&amp;sourceID=12","10998")</f>
        <v>10998</v>
      </c>
      <c r="R248" s="4" t="str">
        <f>HYPERLINK("http://141.218.60.56/~jnz1568/getInfo.php?workbook=09_01.xlsx&amp;sheet=A0&amp;row=248&amp;col=18&amp;number=&amp;sourceID=12","")</f>
        <v/>
      </c>
      <c r="S248" s="4" t="str">
        <f>HYPERLINK("http://141.218.60.56/~jnz1568/getInfo.php?workbook=09_01.xlsx&amp;sheet=A0&amp;row=248&amp;col=19&amp;number=&amp;sourceID=12","")</f>
        <v/>
      </c>
      <c r="T248" s="4" t="str">
        <f>HYPERLINK("http://141.218.60.56/~jnz1568/getInfo.php?workbook=09_01.xlsx&amp;sheet=A0&amp;row=248&amp;col=20&amp;number=&amp;sourceID=12","")</f>
        <v/>
      </c>
      <c r="U248" s="4" t="str">
        <f>HYPERLINK("http://141.218.60.56/~jnz1568/getInfo.php?workbook=09_01.xlsx&amp;sheet=A0&amp;row=248&amp;col=21&amp;number=&amp;sourceID=30","")</f>
        <v/>
      </c>
      <c r="V248" s="4" t="str">
        <f>HYPERLINK("http://141.218.60.56/~jnz1568/getInfo.php?workbook=09_01.xlsx&amp;sheet=A0&amp;row=248&amp;col=22&amp;number=&amp;sourceID=30","")</f>
        <v/>
      </c>
      <c r="W248" s="4" t="str">
        <f>HYPERLINK("http://141.218.60.56/~jnz1568/getInfo.php?workbook=09_01.xlsx&amp;sheet=A0&amp;row=248&amp;col=23&amp;number=&amp;sourceID=30","")</f>
        <v/>
      </c>
      <c r="X248" s="4" t="str">
        <f>HYPERLINK("http://141.218.60.56/~jnz1568/getInfo.php?workbook=09_01.xlsx&amp;sheet=A0&amp;row=248&amp;col=24&amp;number=&amp;sourceID=30","")</f>
        <v/>
      </c>
      <c r="Y248" s="4" t="str">
        <f>HYPERLINK("http://141.218.60.56/~jnz1568/getInfo.php?workbook=09_01.xlsx&amp;sheet=A0&amp;row=248&amp;col=25&amp;number=&amp;sourceID=30","")</f>
        <v/>
      </c>
      <c r="Z248" s="4" t="str">
        <f>HYPERLINK("http://141.218.60.56/~jnz1568/getInfo.php?workbook=09_01.xlsx&amp;sheet=A0&amp;row=248&amp;col=26&amp;number=&amp;sourceID=13","")</f>
        <v/>
      </c>
      <c r="AA248" s="4" t="str">
        <f>HYPERLINK("http://141.218.60.56/~jnz1568/getInfo.php?workbook=09_01.xlsx&amp;sheet=A0&amp;row=248&amp;col=27&amp;number=&amp;sourceID=13","")</f>
        <v/>
      </c>
      <c r="AB248" s="4" t="str">
        <f>HYPERLINK("http://141.218.60.56/~jnz1568/getInfo.php?workbook=09_01.xlsx&amp;sheet=A0&amp;row=248&amp;col=28&amp;number=&amp;sourceID=13","")</f>
        <v/>
      </c>
      <c r="AC248" s="4" t="str">
        <f>HYPERLINK("http://141.218.60.56/~jnz1568/getInfo.php?workbook=09_01.xlsx&amp;sheet=A0&amp;row=248&amp;col=29&amp;number=&amp;sourceID=13","")</f>
        <v/>
      </c>
      <c r="AD248" s="4" t="str">
        <f>HYPERLINK("http://141.218.60.56/~jnz1568/getInfo.php?workbook=09_01.xlsx&amp;sheet=A0&amp;row=248&amp;col=30&amp;number=&amp;sourceID=13","")</f>
        <v/>
      </c>
      <c r="AE248" s="4" t="str">
        <f>HYPERLINK("http://141.218.60.56/~jnz1568/getInfo.php?workbook=09_01.xlsx&amp;sheet=A0&amp;row=248&amp;col=31&amp;number=&amp;sourceID=13","")</f>
        <v/>
      </c>
    </row>
    <row r="249" spans="1:31">
      <c r="A249" s="3">
        <v>9</v>
      </c>
      <c r="B249" s="3">
        <v>1</v>
      </c>
      <c r="C249" s="3">
        <v>24</v>
      </c>
      <c r="D249" s="3">
        <v>2</v>
      </c>
      <c r="E249" s="3">
        <f>((1/(INDEX(E0!J$4:J$28,C249,1)-INDEX(E0!J$4:J$28,D249,1))))*100000000</f>
        <v>0</v>
      </c>
      <c r="F249" s="4" t="str">
        <f>HYPERLINK("http://141.218.60.56/~jnz1568/getInfo.php?workbook=09_01.xlsx&amp;sheet=A0&amp;row=249&amp;col=6&amp;number=&amp;sourceID=18","")</f>
        <v/>
      </c>
      <c r="G249" s="4" t="str">
        <f>HYPERLINK("http://141.218.60.56/~jnz1568/getInfo.php?workbook=09_01.xlsx&amp;sheet=A0&amp;row=249&amp;col=7&amp;number==&amp;sourceID=11","=")</f>
        <v>=</v>
      </c>
      <c r="H249" s="4" t="str">
        <f>HYPERLINK("http://141.218.60.56/~jnz1568/getInfo.php?workbook=09_01.xlsx&amp;sheet=A0&amp;row=249&amp;col=8&amp;number=&amp;sourceID=11","")</f>
        <v/>
      </c>
      <c r="I249" s="4" t="str">
        <f>HYPERLINK("http://141.218.60.56/~jnz1568/getInfo.php?workbook=09_01.xlsx&amp;sheet=A0&amp;row=249&amp;col=9&amp;number=&amp;sourceID=11","")</f>
        <v/>
      </c>
      <c r="J249" s="4" t="str">
        <f>HYPERLINK("http://141.218.60.56/~jnz1568/getInfo.php?workbook=09_01.xlsx&amp;sheet=A0&amp;row=249&amp;col=10&amp;number=&amp;sourceID=11","")</f>
        <v/>
      </c>
      <c r="K249" s="4" t="str">
        <f>HYPERLINK("http://141.218.60.56/~jnz1568/getInfo.php?workbook=09_01.xlsx&amp;sheet=A0&amp;row=249&amp;col=11&amp;number=&amp;sourceID=11","")</f>
        <v/>
      </c>
      <c r="L249" s="4" t="str">
        <f>HYPERLINK("http://141.218.60.56/~jnz1568/getInfo.php?workbook=09_01.xlsx&amp;sheet=A0&amp;row=249&amp;col=12&amp;number=&amp;sourceID=11","")</f>
        <v/>
      </c>
      <c r="M249" s="4" t="str">
        <f>HYPERLINK("http://141.218.60.56/~jnz1568/getInfo.php?workbook=09_01.xlsx&amp;sheet=A0&amp;row=249&amp;col=13&amp;number=0.32271&amp;sourceID=11","0.32271")</f>
        <v>0.32271</v>
      </c>
      <c r="N249" s="4" t="str">
        <f>HYPERLINK("http://141.218.60.56/~jnz1568/getInfo.php?workbook=09_01.xlsx&amp;sheet=A0&amp;row=249&amp;col=14&amp;number=0.32272&amp;sourceID=12","0.32272")</f>
        <v>0.32272</v>
      </c>
      <c r="O249" s="4" t="str">
        <f>HYPERLINK("http://141.218.60.56/~jnz1568/getInfo.php?workbook=09_01.xlsx&amp;sheet=A0&amp;row=249&amp;col=15&amp;number=&amp;sourceID=12","")</f>
        <v/>
      </c>
      <c r="P249" s="4" t="str">
        <f>HYPERLINK("http://141.218.60.56/~jnz1568/getInfo.php?workbook=09_01.xlsx&amp;sheet=A0&amp;row=249&amp;col=16&amp;number=&amp;sourceID=12","")</f>
        <v/>
      </c>
      <c r="Q249" s="4" t="str">
        <f>HYPERLINK("http://141.218.60.56/~jnz1568/getInfo.php?workbook=09_01.xlsx&amp;sheet=A0&amp;row=249&amp;col=17&amp;number=&amp;sourceID=12","")</f>
        <v/>
      </c>
      <c r="R249" s="4" t="str">
        <f>HYPERLINK("http://141.218.60.56/~jnz1568/getInfo.php?workbook=09_01.xlsx&amp;sheet=A0&amp;row=249&amp;col=18&amp;number=&amp;sourceID=12","")</f>
        <v/>
      </c>
      <c r="S249" s="4" t="str">
        <f>HYPERLINK("http://141.218.60.56/~jnz1568/getInfo.php?workbook=09_01.xlsx&amp;sheet=A0&amp;row=249&amp;col=19&amp;number=&amp;sourceID=12","")</f>
        <v/>
      </c>
      <c r="T249" s="4" t="str">
        <f>HYPERLINK("http://141.218.60.56/~jnz1568/getInfo.php?workbook=09_01.xlsx&amp;sheet=A0&amp;row=249&amp;col=20&amp;number=0.32272&amp;sourceID=12","0.32272")</f>
        <v>0.32272</v>
      </c>
      <c r="U249" s="4" t="str">
        <f>HYPERLINK("http://141.218.60.56/~jnz1568/getInfo.php?workbook=09_01.xlsx&amp;sheet=A0&amp;row=249&amp;col=21&amp;number=&amp;sourceID=30","")</f>
        <v/>
      </c>
      <c r="V249" s="4" t="str">
        <f>HYPERLINK("http://141.218.60.56/~jnz1568/getInfo.php?workbook=09_01.xlsx&amp;sheet=A0&amp;row=249&amp;col=22&amp;number=&amp;sourceID=30","")</f>
        <v/>
      </c>
      <c r="W249" s="4" t="str">
        <f>HYPERLINK("http://141.218.60.56/~jnz1568/getInfo.php?workbook=09_01.xlsx&amp;sheet=A0&amp;row=249&amp;col=23&amp;number=&amp;sourceID=30","")</f>
        <v/>
      </c>
      <c r="X249" s="4" t="str">
        <f>HYPERLINK("http://141.218.60.56/~jnz1568/getInfo.php?workbook=09_01.xlsx&amp;sheet=A0&amp;row=249&amp;col=24&amp;number=&amp;sourceID=30","")</f>
        <v/>
      </c>
      <c r="Y249" s="4" t="str">
        <f>HYPERLINK("http://141.218.60.56/~jnz1568/getInfo.php?workbook=09_01.xlsx&amp;sheet=A0&amp;row=249&amp;col=25&amp;number=&amp;sourceID=30","")</f>
        <v/>
      </c>
      <c r="Z249" s="4" t="str">
        <f>HYPERLINK("http://141.218.60.56/~jnz1568/getInfo.php?workbook=09_01.xlsx&amp;sheet=A0&amp;row=249&amp;col=26&amp;number=&amp;sourceID=13","")</f>
        <v/>
      </c>
      <c r="AA249" s="4" t="str">
        <f>HYPERLINK("http://141.218.60.56/~jnz1568/getInfo.php?workbook=09_01.xlsx&amp;sheet=A0&amp;row=249&amp;col=27&amp;number=&amp;sourceID=13","")</f>
        <v/>
      </c>
      <c r="AB249" s="4" t="str">
        <f>HYPERLINK("http://141.218.60.56/~jnz1568/getInfo.php?workbook=09_01.xlsx&amp;sheet=A0&amp;row=249&amp;col=28&amp;number=&amp;sourceID=13","")</f>
        <v/>
      </c>
      <c r="AC249" s="4" t="str">
        <f>HYPERLINK("http://141.218.60.56/~jnz1568/getInfo.php?workbook=09_01.xlsx&amp;sheet=A0&amp;row=249&amp;col=29&amp;number=&amp;sourceID=13","")</f>
        <v/>
      </c>
      <c r="AD249" s="4" t="str">
        <f>HYPERLINK("http://141.218.60.56/~jnz1568/getInfo.php?workbook=09_01.xlsx&amp;sheet=A0&amp;row=249&amp;col=30&amp;number=&amp;sourceID=13","")</f>
        <v/>
      </c>
      <c r="AE249" s="4" t="str">
        <f>HYPERLINK("http://141.218.60.56/~jnz1568/getInfo.php?workbook=09_01.xlsx&amp;sheet=A0&amp;row=249&amp;col=31&amp;number=&amp;sourceID=13","")</f>
        <v/>
      </c>
    </row>
    <row r="250" spans="1:31">
      <c r="A250" s="3">
        <v>9</v>
      </c>
      <c r="B250" s="3">
        <v>1</v>
      </c>
      <c r="C250" s="3">
        <v>24</v>
      </c>
      <c r="D250" s="3">
        <v>3</v>
      </c>
      <c r="E250" s="3">
        <f>((1/(INDEX(E0!J$4:J$28,C250,1)-INDEX(E0!J$4:J$28,D250,1))))*100000000</f>
        <v>0</v>
      </c>
      <c r="F250" s="4" t="str">
        <f>HYPERLINK("http://141.218.60.56/~jnz1568/getInfo.php?workbook=09_01.xlsx&amp;sheet=A0&amp;row=250&amp;col=6&amp;number=&amp;sourceID=18","")</f>
        <v/>
      </c>
      <c r="G250" s="4" t="str">
        <f>HYPERLINK("http://141.218.60.56/~jnz1568/getInfo.php?workbook=09_01.xlsx&amp;sheet=A0&amp;row=250&amp;col=7&amp;number==&amp;sourceID=11","=")</f>
        <v>=</v>
      </c>
      <c r="H250" s="4" t="str">
        <f>HYPERLINK("http://141.218.60.56/~jnz1568/getInfo.php?workbook=09_01.xlsx&amp;sheet=A0&amp;row=250&amp;col=8&amp;number=&amp;sourceID=11","")</f>
        <v/>
      </c>
      <c r="I250" s="4" t="str">
        <f>HYPERLINK("http://141.218.60.56/~jnz1568/getInfo.php?workbook=09_01.xlsx&amp;sheet=A0&amp;row=250&amp;col=9&amp;number=&amp;sourceID=11","")</f>
        <v/>
      </c>
      <c r="J250" s="4" t="str">
        <f>HYPERLINK("http://141.218.60.56/~jnz1568/getInfo.php?workbook=09_01.xlsx&amp;sheet=A0&amp;row=250&amp;col=10&amp;number=3045&amp;sourceID=11","3045")</f>
        <v>3045</v>
      </c>
      <c r="K250" s="4" t="str">
        <f>HYPERLINK("http://141.218.60.56/~jnz1568/getInfo.php?workbook=09_01.xlsx&amp;sheet=A0&amp;row=250&amp;col=11&amp;number=&amp;sourceID=11","")</f>
        <v/>
      </c>
      <c r="L250" s="4" t="str">
        <f>HYPERLINK("http://141.218.60.56/~jnz1568/getInfo.php?workbook=09_01.xlsx&amp;sheet=A0&amp;row=250&amp;col=12&amp;number=&amp;sourceID=11","")</f>
        <v/>
      </c>
      <c r="M250" s="4" t="str">
        <f>HYPERLINK("http://141.218.60.56/~jnz1568/getInfo.php?workbook=09_01.xlsx&amp;sheet=A0&amp;row=250&amp;col=13&amp;number=&amp;sourceID=11","")</f>
        <v/>
      </c>
      <c r="N250" s="4" t="str">
        <f>HYPERLINK("http://141.218.60.56/~jnz1568/getInfo.php?workbook=09_01.xlsx&amp;sheet=A0&amp;row=250&amp;col=14&amp;number=3045.1&amp;sourceID=12","3045.1")</f>
        <v>3045.1</v>
      </c>
      <c r="O250" s="4" t="str">
        <f>HYPERLINK("http://141.218.60.56/~jnz1568/getInfo.php?workbook=09_01.xlsx&amp;sheet=A0&amp;row=250&amp;col=15&amp;number=&amp;sourceID=12","")</f>
        <v/>
      </c>
      <c r="P250" s="4" t="str">
        <f>HYPERLINK("http://141.218.60.56/~jnz1568/getInfo.php?workbook=09_01.xlsx&amp;sheet=A0&amp;row=250&amp;col=16&amp;number=&amp;sourceID=12","")</f>
        <v/>
      </c>
      <c r="Q250" s="4" t="str">
        <f>HYPERLINK("http://141.218.60.56/~jnz1568/getInfo.php?workbook=09_01.xlsx&amp;sheet=A0&amp;row=250&amp;col=17&amp;number=3045.1&amp;sourceID=12","3045.1")</f>
        <v>3045.1</v>
      </c>
      <c r="R250" s="4" t="str">
        <f>HYPERLINK("http://141.218.60.56/~jnz1568/getInfo.php?workbook=09_01.xlsx&amp;sheet=A0&amp;row=250&amp;col=18&amp;number=&amp;sourceID=12","")</f>
        <v/>
      </c>
      <c r="S250" s="4" t="str">
        <f>HYPERLINK("http://141.218.60.56/~jnz1568/getInfo.php?workbook=09_01.xlsx&amp;sheet=A0&amp;row=250&amp;col=19&amp;number=&amp;sourceID=12","")</f>
        <v/>
      </c>
      <c r="T250" s="4" t="str">
        <f>HYPERLINK("http://141.218.60.56/~jnz1568/getInfo.php?workbook=09_01.xlsx&amp;sheet=A0&amp;row=250&amp;col=20&amp;number=&amp;sourceID=12","")</f>
        <v/>
      </c>
      <c r="U250" s="4" t="str">
        <f>HYPERLINK("http://141.218.60.56/~jnz1568/getInfo.php?workbook=09_01.xlsx&amp;sheet=A0&amp;row=250&amp;col=21&amp;number=&amp;sourceID=30","")</f>
        <v/>
      </c>
      <c r="V250" s="4" t="str">
        <f>HYPERLINK("http://141.218.60.56/~jnz1568/getInfo.php?workbook=09_01.xlsx&amp;sheet=A0&amp;row=250&amp;col=22&amp;number=&amp;sourceID=30","")</f>
        <v/>
      </c>
      <c r="W250" s="4" t="str">
        <f>HYPERLINK("http://141.218.60.56/~jnz1568/getInfo.php?workbook=09_01.xlsx&amp;sheet=A0&amp;row=250&amp;col=23&amp;number=&amp;sourceID=30","")</f>
        <v/>
      </c>
      <c r="X250" s="4" t="str">
        <f>HYPERLINK("http://141.218.60.56/~jnz1568/getInfo.php?workbook=09_01.xlsx&amp;sheet=A0&amp;row=250&amp;col=24&amp;number=&amp;sourceID=30","")</f>
        <v/>
      </c>
      <c r="Y250" s="4" t="str">
        <f>HYPERLINK("http://141.218.60.56/~jnz1568/getInfo.php?workbook=09_01.xlsx&amp;sheet=A0&amp;row=250&amp;col=25&amp;number=&amp;sourceID=30","")</f>
        <v/>
      </c>
      <c r="Z250" s="4" t="str">
        <f>HYPERLINK("http://141.218.60.56/~jnz1568/getInfo.php?workbook=09_01.xlsx&amp;sheet=A0&amp;row=250&amp;col=26&amp;number=&amp;sourceID=13","")</f>
        <v/>
      </c>
      <c r="AA250" s="4" t="str">
        <f>HYPERLINK("http://141.218.60.56/~jnz1568/getInfo.php?workbook=09_01.xlsx&amp;sheet=A0&amp;row=250&amp;col=27&amp;number=&amp;sourceID=13","")</f>
        <v/>
      </c>
      <c r="AB250" s="4" t="str">
        <f>HYPERLINK("http://141.218.60.56/~jnz1568/getInfo.php?workbook=09_01.xlsx&amp;sheet=A0&amp;row=250&amp;col=28&amp;number=&amp;sourceID=13","")</f>
        <v/>
      </c>
      <c r="AC250" s="4" t="str">
        <f>HYPERLINK("http://141.218.60.56/~jnz1568/getInfo.php?workbook=09_01.xlsx&amp;sheet=A0&amp;row=250&amp;col=29&amp;number=&amp;sourceID=13","")</f>
        <v/>
      </c>
      <c r="AD250" s="4" t="str">
        <f>HYPERLINK("http://141.218.60.56/~jnz1568/getInfo.php?workbook=09_01.xlsx&amp;sheet=A0&amp;row=250&amp;col=30&amp;number=&amp;sourceID=13","")</f>
        <v/>
      </c>
      <c r="AE250" s="4" t="str">
        <f>HYPERLINK("http://141.218.60.56/~jnz1568/getInfo.php?workbook=09_01.xlsx&amp;sheet=A0&amp;row=250&amp;col=31&amp;number=&amp;sourceID=13","")</f>
        <v/>
      </c>
    </row>
    <row r="251" spans="1:31">
      <c r="A251" s="3">
        <v>9</v>
      </c>
      <c r="B251" s="3">
        <v>1</v>
      </c>
      <c r="C251" s="3">
        <v>24</v>
      </c>
      <c r="D251" s="3">
        <v>4</v>
      </c>
      <c r="E251" s="3">
        <f>((1/(INDEX(E0!J$4:J$28,C251,1)-INDEX(E0!J$4:J$28,D251,1))))*100000000</f>
        <v>0</v>
      </c>
      <c r="F251" s="4" t="str">
        <f>HYPERLINK("http://141.218.60.56/~jnz1568/getInfo.php?workbook=09_01.xlsx&amp;sheet=A0&amp;row=251&amp;col=6&amp;number=&amp;sourceID=18","")</f>
        <v/>
      </c>
      <c r="G251" s="4" t="str">
        <f>HYPERLINK("http://141.218.60.56/~jnz1568/getInfo.php?workbook=09_01.xlsx&amp;sheet=A0&amp;row=251&amp;col=7&amp;number==&amp;sourceID=11","=")</f>
        <v>=</v>
      </c>
      <c r="H251" s="4" t="str">
        <f>HYPERLINK("http://141.218.60.56/~jnz1568/getInfo.php?workbook=09_01.xlsx&amp;sheet=A0&amp;row=251&amp;col=8&amp;number=&amp;sourceID=11","")</f>
        <v/>
      </c>
      <c r="I251" s="4" t="str">
        <f>HYPERLINK("http://141.218.60.56/~jnz1568/getInfo.php?workbook=09_01.xlsx&amp;sheet=A0&amp;row=251&amp;col=9&amp;number=21941000&amp;sourceID=11","21941000")</f>
        <v>21941000</v>
      </c>
      <c r="J251" s="4" t="str">
        <f>HYPERLINK("http://141.218.60.56/~jnz1568/getInfo.php?workbook=09_01.xlsx&amp;sheet=A0&amp;row=251&amp;col=10&amp;number=&amp;sourceID=11","")</f>
        <v/>
      </c>
      <c r="K251" s="4" t="str">
        <f>HYPERLINK("http://141.218.60.56/~jnz1568/getInfo.php?workbook=09_01.xlsx&amp;sheet=A0&amp;row=251&amp;col=11&amp;number=&amp;sourceID=11","")</f>
        <v/>
      </c>
      <c r="L251" s="4" t="str">
        <f>HYPERLINK("http://141.218.60.56/~jnz1568/getInfo.php?workbook=09_01.xlsx&amp;sheet=A0&amp;row=251&amp;col=12&amp;number=&amp;sourceID=11","")</f>
        <v/>
      </c>
      <c r="M251" s="4" t="str">
        <f>HYPERLINK("http://141.218.60.56/~jnz1568/getInfo.php?workbook=09_01.xlsx&amp;sheet=A0&amp;row=251&amp;col=13&amp;number=0.96489&amp;sourceID=11","0.96489")</f>
        <v>0.96489</v>
      </c>
      <c r="N251" s="4" t="str">
        <f>HYPERLINK("http://141.218.60.56/~jnz1568/getInfo.php?workbook=09_01.xlsx&amp;sheet=A0&amp;row=251&amp;col=14&amp;number=21941000&amp;sourceID=12","21941000")</f>
        <v>21941000</v>
      </c>
      <c r="O251" s="4" t="str">
        <f>HYPERLINK("http://141.218.60.56/~jnz1568/getInfo.php?workbook=09_01.xlsx&amp;sheet=A0&amp;row=251&amp;col=15&amp;number=&amp;sourceID=12","")</f>
        <v/>
      </c>
      <c r="P251" s="4" t="str">
        <f>HYPERLINK("http://141.218.60.56/~jnz1568/getInfo.php?workbook=09_01.xlsx&amp;sheet=A0&amp;row=251&amp;col=16&amp;number=21941000&amp;sourceID=12","21941000")</f>
        <v>21941000</v>
      </c>
      <c r="Q251" s="4" t="str">
        <f>HYPERLINK("http://141.218.60.56/~jnz1568/getInfo.php?workbook=09_01.xlsx&amp;sheet=A0&amp;row=251&amp;col=17&amp;number=&amp;sourceID=12","")</f>
        <v/>
      </c>
      <c r="R251" s="4" t="str">
        <f>HYPERLINK("http://141.218.60.56/~jnz1568/getInfo.php?workbook=09_01.xlsx&amp;sheet=A0&amp;row=251&amp;col=18&amp;number=&amp;sourceID=12","")</f>
        <v/>
      </c>
      <c r="S251" s="4" t="str">
        <f>HYPERLINK("http://141.218.60.56/~jnz1568/getInfo.php?workbook=09_01.xlsx&amp;sheet=A0&amp;row=251&amp;col=19&amp;number=&amp;sourceID=12","")</f>
        <v/>
      </c>
      <c r="T251" s="4" t="str">
        <f>HYPERLINK("http://141.218.60.56/~jnz1568/getInfo.php?workbook=09_01.xlsx&amp;sheet=A0&amp;row=251&amp;col=20&amp;number=0.96492&amp;sourceID=12","0.96492")</f>
        <v>0.96492</v>
      </c>
      <c r="U251" s="4" t="str">
        <f>HYPERLINK("http://141.218.60.56/~jnz1568/getInfo.php?workbook=09_01.xlsx&amp;sheet=A0&amp;row=251&amp;col=21&amp;number=21940000&amp;sourceID=30","21940000")</f>
        <v>21940000</v>
      </c>
      <c r="V251" s="4" t="str">
        <f>HYPERLINK("http://141.218.60.56/~jnz1568/getInfo.php?workbook=09_01.xlsx&amp;sheet=A0&amp;row=251&amp;col=22&amp;number=&amp;sourceID=30","")</f>
        <v/>
      </c>
      <c r="W251" s="4" t="str">
        <f>HYPERLINK("http://141.218.60.56/~jnz1568/getInfo.php?workbook=09_01.xlsx&amp;sheet=A0&amp;row=251&amp;col=23&amp;number=21940000&amp;sourceID=30","21940000")</f>
        <v>21940000</v>
      </c>
      <c r="X251" s="4" t="str">
        <f>HYPERLINK("http://141.218.60.56/~jnz1568/getInfo.php?workbook=09_01.xlsx&amp;sheet=A0&amp;row=251&amp;col=24&amp;number=&amp;sourceID=30","")</f>
        <v/>
      </c>
      <c r="Y251" s="4" t="str">
        <f>HYPERLINK("http://141.218.60.56/~jnz1568/getInfo.php?workbook=09_01.xlsx&amp;sheet=A0&amp;row=251&amp;col=25&amp;number=&amp;sourceID=30","")</f>
        <v/>
      </c>
      <c r="Z251" s="4" t="str">
        <f>HYPERLINK("http://141.218.60.56/~jnz1568/getInfo.php?workbook=09_01.xlsx&amp;sheet=A0&amp;row=251&amp;col=26&amp;number=&amp;sourceID=13","")</f>
        <v/>
      </c>
      <c r="AA251" s="4" t="str">
        <f>HYPERLINK("http://141.218.60.56/~jnz1568/getInfo.php?workbook=09_01.xlsx&amp;sheet=A0&amp;row=251&amp;col=27&amp;number=&amp;sourceID=13","")</f>
        <v/>
      </c>
      <c r="AB251" s="4" t="str">
        <f>HYPERLINK("http://141.218.60.56/~jnz1568/getInfo.php?workbook=09_01.xlsx&amp;sheet=A0&amp;row=251&amp;col=28&amp;number=&amp;sourceID=13","")</f>
        <v/>
      </c>
      <c r="AC251" s="4" t="str">
        <f>HYPERLINK("http://141.218.60.56/~jnz1568/getInfo.php?workbook=09_01.xlsx&amp;sheet=A0&amp;row=251&amp;col=29&amp;number=&amp;sourceID=13","")</f>
        <v/>
      </c>
      <c r="AD251" s="4" t="str">
        <f>HYPERLINK("http://141.218.60.56/~jnz1568/getInfo.php?workbook=09_01.xlsx&amp;sheet=A0&amp;row=251&amp;col=30&amp;number=&amp;sourceID=13","")</f>
        <v/>
      </c>
      <c r="AE251" s="4" t="str">
        <f>HYPERLINK("http://141.218.60.56/~jnz1568/getInfo.php?workbook=09_01.xlsx&amp;sheet=A0&amp;row=251&amp;col=31&amp;number=&amp;sourceID=13","")</f>
        <v/>
      </c>
    </row>
    <row r="252" spans="1:31">
      <c r="A252" s="3">
        <v>9</v>
      </c>
      <c r="B252" s="3">
        <v>1</v>
      </c>
      <c r="C252" s="3">
        <v>24</v>
      </c>
      <c r="D252" s="3">
        <v>5</v>
      </c>
      <c r="E252" s="3">
        <f>((1/(INDEX(E0!J$4:J$28,C252,1)-INDEX(E0!J$4:J$28,D252,1))))*100000000</f>
        <v>0</v>
      </c>
      <c r="F252" s="4" t="str">
        <f>HYPERLINK("http://141.218.60.56/~jnz1568/getInfo.php?workbook=09_01.xlsx&amp;sheet=A0&amp;row=252&amp;col=6&amp;number=&amp;sourceID=18","")</f>
        <v/>
      </c>
      <c r="G252" s="4" t="str">
        <f>HYPERLINK("http://141.218.60.56/~jnz1568/getInfo.php?workbook=09_01.xlsx&amp;sheet=A0&amp;row=252&amp;col=7&amp;number==&amp;sourceID=11","=")</f>
        <v>=</v>
      </c>
      <c r="H252" s="4" t="str">
        <f>HYPERLINK("http://141.218.60.56/~jnz1568/getInfo.php?workbook=09_01.xlsx&amp;sheet=A0&amp;row=252&amp;col=8&amp;number=&amp;sourceID=11","")</f>
        <v/>
      </c>
      <c r="I252" s="4" t="str">
        <f>HYPERLINK("http://141.218.60.56/~jnz1568/getInfo.php?workbook=09_01.xlsx&amp;sheet=A0&amp;row=252&amp;col=9&amp;number=&amp;sourceID=11","")</f>
        <v/>
      </c>
      <c r="J252" s="4" t="str">
        <f>HYPERLINK("http://141.218.60.56/~jnz1568/getInfo.php?workbook=09_01.xlsx&amp;sheet=A0&amp;row=252&amp;col=10&amp;number=&amp;sourceID=11","")</f>
        <v/>
      </c>
      <c r="K252" s="4" t="str">
        <f>HYPERLINK("http://141.218.60.56/~jnz1568/getInfo.php?workbook=09_01.xlsx&amp;sheet=A0&amp;row=252&amp;col=11&amp;number=&amp;sourceID=11","")</f>
        <v/>
      </c>
      <c r="L252" s="4" t="str">
        <f>HYPERLINK("http://141.218.60.56/~jnz1568/getInfo.php?workbook=09_01.xlsx&amp;sheet=A0&amp;row=252&amp;col=12&amp;number=&amp;sourceID=11","")</f>
        <v/>
      </c>
      <c r="M252" s="4" t="str">
        <f>HYPERLINK("http://141.218.60.56/~jnz1568/getInfo.php?workbook=09_01.xlsx&amp;sheet=A0&amp;row=252&amp;col=13&amp;number=2.5536e-05&amp;sourceID=11","2.5536e-05")</f>
        <v>2.5536e-05</v>
      </c>
      <c r="N252" s="4" t="str">
        <f>HYPERLINK("http://141.218.60.56/~jnz1568/getInfo.php?workbook=09_01.xlsx&amp;sheet=A0&amp;row=252&amp;col=14&amp;number=2.5536e-05&amp;sourceID=12","2.5536e-05")</f>
        <v>2.5536e-05</v>
      </c>
      <c r="O252" s="4" t="str">
        <f>HYPERLINK("http://141.218.60.56/~jnz1568/getInfo.php?workbook=09_01.xlsx&amp;sheet=A0&amp;row=252&amp;col=15&amp;number=&amp;sourceID=12","")</f>
        <v/>
      </c>
      <c r="P252" s="4" t="str">
        <f>HYPERLINK("http://141.218.60.56/~jnz1568/getInfo.php?workbook=09_01.xlsx&amp;sheet=A0&amp;row=252&amp;col=16&amp;number=&amp;sourceID=12","")</f>
        <v/>
      </c>
      <c r="Q252" s="4" t="str">
        <f>HYPERLINK("http://141.218.60.56/~jnz1568/getInfo.php?workbook=09_01.xlsx&amp;sheet=A0&amp;row=252&amp;col=17&amp;number=&amp;sourceID=12","")</f>
        <v/>
      </c>
      <c r="R252" s="4" t="str">
        <f>HYPERLINK("http://141.218.60.56/~jnz1568/getInfo.php?workbook=09_01.xlsx&amp;sheet=A0&amp;row=252&amp;col=18&amp;number=&amp;sourceID=12","")</f>
        <v/>
      </c>
      <c r="S252" s="4" t="str">
        <f>HYPERLINK("http://141.218.60.56/~jnz1568/getInfo.php?workbook=09_01.xlsx&amp;sheet=A0&amp;row=252&amp;col=19&amp;number=&amp;sourceID=12","")</f>
        <v/>
      </c>
      <c r="T252" s="4" t="str">
        <f>HYPERLINK("http://141.218.60.56/~jnz1568/getInfo.php?workbook=09_01.xlsx&amp;sheet=A0&amp;row=252&amp;col=20&amp;number=2.5536e-05&amp;sourceID=12","2.5536e-05")</f>
        <v>2.5536e-05</v>
      </c>
      <c r="U252" s="4" t="str">
        <f>HYPERLINK("http://141.218.60.56/~jnz1568/getInfo.php?workbook=09_01.xlsx&amp;sheet=A0&amp;row=252&amp;col=21&amp;number=&amp;sourceID=30","")</f>
        <v/>
      </c>
      <c r="V252" s="4" t="str">
        <f>HYPERLINK("http://141.218.60.56/~jnz1568/getInfo.php?workbook=09_01.xlsx&amp;sheet=A0&amp;row=252&amp;col=22&amp;number=&amp;sourceID=30","")</f>
        <v/>
      </c>
      <c r="W252" s="4" t="str">
        <f>HYPERLINK("http://141.218.60.56/~jnz1568/getInfo.php?workbook=09_01.xlsx&amp;sheet=A0&amp;row=252&amp;col=23&amp;number=&amp;sourceID=30","")</f>
        <v/>
      </c>
      <c r="X252" s="4" t="str">
        <f>HYPERLINK("http://141.218.60.56/~jnz1568/getInfo.php?workbook=09_01.xlsx&amp;sheet=A0&amp;row=252&amp;col=24&amp;number=&amp;sourceID=30","")</f>
        <v/>
      </c>
      <c r="Y252" s="4" t="str">
        <f>HYPERLINK("http://141.218.60.56/~jnz1568/getInfo.php?workbook=09_01.xlsx&amp;sheet=A0&amp;row=252&amp;col=25&amp;number=&amp;sourceID=30","")</f>
        <v/>
      </c>
      <c r="Z252" s="4" t="str">
        <f>HYPERLINK("http://141.218.60.56/~jnz1568/getInfo.php?workbook=09_01.xlsx&amp;sheet=A0&amp;row=252&amp;col=26&amp;number=&amp;sourceID=13","")</f>
        <v/>
      </c>
      <c r="AA252" s="4" t="str">
        <f>HYPERLINK("http://141.218.60.56/~jnz1568/getInfo.php?workbook=09_01.xlsx&amp;sheet=A0&amp;row=252&amp;col=27&amp;number=&amp;sourceID=13","")</f>
        <v/>
      </c>
      <c r="AB252" s="4" t="str">
        <f>HYPERLINK("http://141.218.60.56/~jnz1568/getInfo.php?workbook=09_01.xlsx&amp;sheet=A0&amp;row=252&amp;col=28&amp;number=&amp;sourceID=13","")</f>
        <v/>
      </c>
      <c r="AC252" s="4" t="str">
        <f>HYPERLINK("http://141.218.60.56/~jnz1568/getInfo.php?workbook=09_01.xlsx&amp;sheet=A0&amp;row=252&amp;col=29&amp;number=&amp;sourceID=13","")</f>
        <v/>
      </c>
      <c r="AD252" s="4" t="str">
        <f>HYPERLINK("http://141.218.60.56/~jnz1568/getInfo.php?workbook=09_01.xlsx&amp;sheet=A0&amp;row=252&amp;col=30&amp;number=&amp;sourceID=13","")</f>
        <v/>
      </c>
      <c r="AE252" s="4" t="str">
        <f>HYPERLINK("http://141.218.60.56/~jnz1568/getInfo.php?workbook=09_01.xlsx&amp;sheet=A0&amp;row=252&amp;col=31&amp;number=&amp;sourceID=13","")</f>
        <v/>
      </c>
    </row>
    <row r="253" spans="1:31">
      <c r="A253" s="3">
        <v>9</v>
      </c>
      <c r="B253" s="3">
        <v>1</v>
      </c>
      <c r="C253" s="3">
        <v>24</v>
      </c>
      <c r="D253" s="3">
        <v>6</v>
      </c>
      <c r="E253" s="3">
        <f>((1/(INDEX(E0!J$4:J$28,C253,1)-INDEX(E0!J$4:J$28,D253,1))))*100000000</f>
        <v>0</v>
      </c>
      <c r="F253" s="4" t="str">
        <f>HYPERLINK("http://141.218.60.56/~jnz1568/getInfo.php?workbook=09_01.xlsx&amp;sheet=A0&amp;row=253&amp;col=6&amp;number=&amp;sourceID=18","")</f>
        <v/>
      </c>
      <c r="G253" s="4" t="str">
        <f>HYPERLINK("http://141.218.60.56/~jnz1568/getInfo.php?workbook=09_01.xlsx&amp;sheet=A0&amp;row=253&amp;col=7&amp;number==&amp;sourceID=11","=")</f>
        <v>=</v>
      </c>
      <c r="H253" s="4" t="str">
        <f>HYPERLINK("http://141.218.60.56/~jnz1568/getInfo.php?workbook=09_01.xlsx&amp;sheet=A0&amp;row=253&amp;col=8&amp;number=&amp;sourceID=11","")</f>
        <v/>
      </c>
      <c r="I253" s="4" t="str">
        <f>HYPERLINK("http://141.218.60.56/~jnz1568/getInfo.php?workbook=09_01.xlsx&amp;sheet=A0&amp;row=253&amp;col=9&amp;number=&amp;sourceID=11","")</f>
        <v/>
      </c>
      <c r="J253" s="4" t="str">
        <f>HYPERLINK("http://141.218.60.56/~jnz1568/getInfo.php?workbook=09_01.xlsx&amp;sheet=A0&amp;row=253&amp;col=10&amp;number=45.538&amp;sourceID=11","45.538")</f>
        <v>45.538</v>
      </c>
      <c r="K253" s="4" t="str">
        <f>HYPERLINK("http://141.218.60.56/~jnz1568/getInfo.php?workbook=09_01.xlsx&amp;sheet=A0&amp;row=253&amp;col=11&amp;number=&amp;sourceID=11","")</f>
        <v/>
      </c>
      <c r="L253" s="4" t="str">
        <f>HYPERLINK("http://141.218.60.56/~jnz1568/getInfo.php?workbook=09_01.xlsx&amp;sheet=A0&amp;row=253&amp;col=12&amp;number=&amp;sourceID=11","")</f>
        <v/>
      </c>
      <c r="M253" s="4" t="str">
        <f>HYPERLINK("http://141.218.60.56/~jnz1568/getInfo.php?workbook=09_01.xlsx&amp;sheet=A0&amp;row=253&amp;col=13&amp;number=&amp;sourceID=11","")</f>
        <v/>
      </c>
      <c r="N253" s="4" t="str">
        <f>HYPERLINK("http://141.218.60.56/~jnz1568/getInfo.php?workbook=09_01.xlsx&amp;sheet=A0&amp;row=253&amp;col=14&amp;number=45.539&amp;sourceID=12","45.539")</f>
        <v>45.539</v>
      </c>
      <c r="O253" s="4" t="str">
        <f>HYPERLINK("http://141.218.60.56/~jnz1568/getInfo.php?workbook=09_01.xlsx&amp;sheet=A0&amp;row=253&amp;col=15&amp;number=&amp;sourceID=12","")</f>
        <v/>
      </c>
      <c r="P253" s="4" t="str">
        <f>HYPERLINK("http://141.218.60.56/~jnz1568/getInfo.php?workbook=09_01.xlsx&amp;sheet=A0&amp;row=253&amp;col=16&amp;number=&amp;sourceID=12","")</f>
        <v/>
      </c>
      <c r="Q253" s="4" t="str">
        <f>HYPERLINK("http://141.218.60.56/~jnz1568/getInfo.php?workbook=09_01.xlsx&amp;sheet=A0&amp;row=253&amp;col=17&amp;number=45.539&amp;sourceID=12","45.539")</f>
        <v>45.539</v>
      </c>
      <c r="R253" s="4" t="str">
        <f>HYPERLINK("http://141.218.60.56/~jnz1568/getInfo.php?workbook=09_01.xlsx&amp;sheet=A0&amp;row=253&amp;col=18&amp;number=&amp;sourceID=12","")</f>
        <v/>
      </c>
      <c r="S253" s="4" t="str">
        <f>HYPERLINK("http://141.218.60.56/~jnz1568/getInfo.php?workbook=09_01.xlsx&amp;sheet=A0&amp;row=253&amp;col=19&amp;number=&amp;sourceID=12","")</f>
        <v/>
      </c>
      <c r="T253" s="4" t="str">
        <f>HYPERLINK("http://141.218.60.56/~jnz1568/getInfo.php?workbook=09_01.xlsx&amp;sheet=A0&amp;row=253&amp;col=20&amp;number=&amp;sourceID=12","")</f>
        <v/>
      </c>
      <c r="U253" s="4" t="str">
        <f>HYPERLINK("http://141.218.60.56/~jnz1568/getInfo.php?workbook=09_01.xlsx&amp;sheet=A0&amp;row=253&amp;col=21&amp;number=&amp;sourceID=30","")</f>
        <v/>
      </c>
      <c r="V253" s="4" t="str">
        <f>HYPERLINK("http://141.218.60.56/~jnz1568/getInfo.php?workbook=09_01.xlsx&amp;sheet=A0&amp;row=253&amp;col=22&amp;number=&amp;sourceID=30","")</f>
        <v/>
      </c>
      <c r="W253" s="4" t="str">
        <f>HYPERLINK("http://141.218.60.56/~jnz1568/getInfo.php?workbook=09_01.xlsx&amp;sheet=A0&amp;row=253&amp;col=23&amp;number=&amp;sourceID=30","")</f>
        <v/>
      </c>
      <c r="X253" s="4" t="str">
        <f>HYPERLINK("http://141.218.60.56/~jnz1568/getInfo.php?workbook=09_01.xlsx&amp;sheet=A0&amp;row=253&amp;col=24&amp;number=&amp;sourceID=30","")</f>
        <v/>
      </c>
      <c r="Y253" s="4" t="str">
        <f>HYPERLINK("http://141.218.60.56/~jnz1568/getInfo.php?workbook=09_01.xlsx&amp;sheet=A0&amp;row=253&amp;col=25&amp;number=&amp;sourceID=30","")</f>
        <v/>
      </c>
      <c r="Z253" s="4" t="str">
        <f>HYPERLINK("http://141.218.60.56/~jnz1568/getInfo.php?workbook=09_01.xlsx&amp;sheet=A0&amp;row=253&amp;col=26&amp;number=&amp;sourceID=13","")</f>
        <v/>
      </c>
      <c r="AA253" s="4" t="str">
        <f>HYPERLINK("http://141.218.60.56/~jnz1568/getInfo.php?workbook=09_01.xlsx&amp;sheet=A0&amp;row=253&amp;col=27&amp;number=&amp;sourceID=13","")</f>
        <v/>
      </c>
      <c r="AB253" s="4" t="str">
        <f>HYPERLINK("http://141.218.60.56/~jnz1568/getInfo.php?workbook=09_01.xlsx&amp;sheet=A0&amp;row=253&amp;col=28&amp;number=&amp;sourceID=13","")</f>
        <v/>
      </c>
      <c r="AC253" s="4" t="str">
        <f>HYPERLINK("http://141.218.60.56/~jnz1568/getInfo.php?workbook=09_01.xlsx&amp;sheet=A0&amp;row=253&amp;col=29&amp;number=&amp;sourceID=13","")</f>
        <v/>
      </c>
      <c r="AD253" s="4" t="str">
        <f>HYPERLINK("http://141.218.60.56/~jnz1568/getInfo.php?workbook=09_01.xlsx&amp;sheet=A0&amp;row=253&amp;col=30&amp;number=&amp;sourceID=13","")</f>
        <v/>
      </c>
      <c r="AE253" s="4" t="str">
        <f>HYPERLINK("http://141.218.60.56/~jnz1568/getInfo.php?workbook=09_01.xlsx&amp;sheet=A0&amp;row=253&amp;col=31&amp;number=&amp;sourceID=13","")</f>
        <v/>
      </c>
    </row>
    <row r="254" spans="1:31">
      <c r="A254" s="3">
        <v>9</v>
      </c>
      <c r="B254" s="3">
        <v>1</v>
      </c>
      <c r="C254" s="3">
        <v>24</v>
      </c>
      <c r="D254" s="3">
        <v>7</v>
      </c>
      <c r="E254" s="3">
        <f>((1/(INDEX(E0!J$4:J$28,C254,1)-INDEX(E0!J$4:J$28,D254,1))))*100000000</f>
        <v>0</v>
      </c>
      <c r="F254" s="4" t="str">
        <f>HYPERLINK("http://141.218.60.56/~jnz1568/getInfo.php?workbook=09_01.xlsx&amp;sheet=A0&amp;row=254&amp;col=6&amp;number=&amp;sourceID=18","")</f>
        <v/>
      </c>
      <c r="G254" s="4" t="str">
        <f>HYPERLINK("http://141.218.60.56/~jnz1568/getInfo.php?workbook=09_01.xlsx&amp;sheet=A0&amp;row=254&amp;col=7&amp;number==&amp;sourceID=11","=")</f>
        <v>=</v>
      </c>
      <c r="H254" s="4" t="str">
        <f>HYPERLINK("http://141.218.60.56/~jnz1568/getInfo.php?workbook=09_01.xlsx&amp;sheet=A0&amp;row=254&amp;col=8&amp;number=&amp;sourceID=11","")</f>
        <v/>
      </c>
      <c r="I254" s="4" t="str">
        <f>HYPERLINK("http://141.218.60.56/~jnz1568/getInfo.php?workbook=09_01.xlsx&amp;sheet=A0&amp;row=254&amp;col=9&amp;number=&amp;sourceID=11","")</f>
        <v/>
      </c>
      <c r="J254" s="4" t="str">
        <f>HYPERLINK("http://141.218.60.56/~jnz1568/getInfo.php?workbook=09_01.xlsx&amp;sheet=A0&amp;row=254&amp;col=10&amp;number=0.49735&amp;sourceID=11","0.49735")</f>
        <v>0.49735</v>
      </c>
      <c r="K254" s="4" t="str">
        <f>HYPERLINK("http://141.218.60.56/~jnz1568/getInfo.php?workbook=09_01.xlsx&amp;sheet=A0&amp;row=254&amp;col=11&amp;number=&amp;sourceID=11","")</f>
        <v/>
      </c>
      <c r="L254" s="4" t="str">
        <f>HYPERLINK("http://141.218.60.56/~jnz1568/getInfo.php?workbook=09_01.xlsx&amp;sheet=A0&amp;row=254&amp;col=12&amp;number=37.48&amp;sourceID=11","37.48")</f>
        <v>37.48</v>
      </c>
      <c r="M254" s="4" t="str">
        <f>HYPERLINK("http://141.218.60.56/~jnz1568/getInfo.php?workbook=09_01.xlsx&amp;sheet=A0&amp;row=254&amp;col=13&amp;number=&amp;sourceID=11","")</f>
        <v/>
      </c>
      <c r="N254" s="4" t="str">
        <f>HYPERLINK("http://141.218.60.56/~jnz1568/getInfo.php?workbook=09_01.xlsx&amp;sheet=A0&amp;row=254&amp;col=14&amp;number=37.978&amp;sourceID=12","37.978")</f>
        <v>37.978</v>
      </c>
      <c r="O254" s="4" t="str">
        <f>HYPERLINK("http://141.218.60.56/~jnz1568/getInfo.php?workbook=09_01.xlsx&amp;sheet=A0&amp;row=254&amp;col=15&amp;number=&amp;sourceID=12","")</f>
        <v/>
      </c>
      <c r="P254" s="4" t="str">
        <f>HYPERLINK("http://141.218.60.56/~jnz1568/getInfo.php?workbook=09_01.xlsx&amp;sheet=A0&amp;row=254&amp;col=16&amp;number=&amp;sourceID=12","")</f>
        <v/>
      </c>
      <c r="Q254" s="4" t="str">
        <f>HYPERLINK("http://141.218.60.56/~jnz1568/getInfo.php?workbook=09_01.xlsx&amp;sheet=A0&amp;row=254&amp;col=17&amp;number=0.49736&amp;sourceID=12","0.49736")</f>
        <v>0.49736</v>
      </c>
      <c r="R254" s="4" t="str">
        <f>HYPERLINK("http://141.218.60.56/~jnz1568/getInfo.php?workbook=09_01.xlsx&amp;sheet=A0&amp;row=254&amp;col=18&amp;number=&amp;sourceID=12","")</f>
        <v/>
      </c>
      <c r="S254" s="4" t="str">
        <f>HYPERLINK("http://141.218.60.56/~jnz1568/getInfo.php?workbook=09_01.xlsx&amp;sheet=A0&amp;row=254&amp;col=19&amp;number=37.481&amp;sourceID=12","37.481")</f>
        <v>37.481</v>
      </c>
      <c r="T254" s="4" t="str">
        <f>HYPERLINK("http://141.218.60.56/~jnz1568/getInfo.php?workbook=09_01.xlsx&amp;sheet=A0&amp;row=254&amp;col=20&amp;number=&amp;sourceID=12","")</f>
        <v/>
      </c>
      <c r="U254" s="4" t="str">
        <f>HYPERLINK("http://141.218.60.56/~jnz1568/getInfo.php?workbook=09_01.xlsx&amp;sheet=A0&amp;row=254&amp;col=21&amp;number=37.48&amp;sourceID=30","37.48")</f>
        <v>37.48</v>
      </c>
      <c r="V254" s="4" t="str">
        <f>HYPERLINK("http://141.218.60.56/~jnz1568/getInfo.php?workbook=09_01.xlsx&amp;sheet=A0&amp;row=254&amp;col=22&amp;number=&amp;sourceID=30","")</f>
        <v/>
      </c>
      <c r="W254" s="4" t="str">
        <f>HYPERLINK("http://141.218.60.56/~jnz1568/getInfo.php?workbook=09_01.xlsx&amp;sheet=A0&amp;row=254&amp;col=23&amp;number=&amp;sourceID=30","")</f>
        <v/>
      </c>
      <c r="X254" s="4" t="str">
        <f>HYPERLINK("http://141.218.60.56/~jnz1568/getInfo.php?workbook=09_01.xlsx&amp;sheet=A0&amp;row=254&amp;col=24&amp;number=&amp;sourceID=30","")</f>
        <v/>
      </c>
      <c r="Y254" s="4" t="str">
        <f>HYPERLINK("http://141.218.60.56/~jnz1568/getInfo.php?workbook=09_01.xlsx&amp;sheet=A0&amp;row=254&amp;col=25&amp;number=37.48&amp;sourceID=30","37.48")</f>
        <v>37.48</v>
      </c>
      <c r="Z254" s="4" t="str">
        <f>HYPERLINK("http://141.218.60.56/~jnz1568/getInfo.php?workbook=09_01.xlsx&amp;sheet=A0&amp;row=254&amp;col=26&amp;number=&amp;sourceID=13","")</f>
        <v/>
      </c>
      <c r="AA254" s="4" t="str">
        <f>HYPERLINK("http://141.218.60.56/~jnz1568/getInfo.php?workbook=09_01.xlsx&amp;sheet=A0&amp;row=254&amp;col=27&amp;number=&amp;sourceID=13","")</f>
        <v/>
      </c>
      <c r="AB254" s="4" t="str">
        <f>HYPERLINK("http://141.218.60.56/~jnz1568/getInfo.php?workbook=09_01.xlsx&amp;sheet=A0&amp;row=254&amp;col=28&amp;number=&amp;sourceID=13","")</f>
        <v/>
      </c>
      <c r="AC254" s="4" t="str">
        <f>HYPERLINK("http://141.218.60.56/~jnz1568/getInfo.php?workbook=09_01.xlsx&amp;sheet=A0&amp;row=254&amp;col=29&amp;number=&amp;sourceID=13","")</f>
        <v/>
      </c>
      <c r="AD254" s="4" t="str">
        <f>HYPERLINK("http://141.218.60.56/~jnz1568/getInfo.php?workbook=09_01.xlsx&amp;sheet=A0&amp;row=254&amp;col=30&amp;number=&amp;sourceID=13","")</f>
        <v/>
      </c>
      <c r="AE254" s="4" t="str">
        <f>HYPERLINK("http://141.218.60.56/~jnz1568/getInfo.php?workbook=09_01.xlsx&amp;sheet=A0&amp;row=254&amp;col=31&amp;number=&amp;sourceID=13","")</f>
        <v/>
      </c>
    </row>
    <row r="255" spans="1:31">
      <c r="A255" s="3">
        <v>9</v>
      </c>
      <c r="B255" s="3">
        <v>1</v>
      </c>
      <c r="C255" s="3">
        <v>24</v>
      </c>
      <c r="D255" s="3">
        <v>8</v>
      </c>
      <c r="E255" s="3">
        <f>((1/(INDEX(E0!J$4:J$28,C255,1)-INDEX(E0!J$4:J$28,D255,1))))*100000000</f>
        <v>0</v>
      </c>
      <c r="F255" s="4" t="str">
        <f>HYPERLINK("http://141.218.60.56/~jnz1568/getInfo.php?workbook=09_01.xlsx&amp;sheet=A0&amp;row=255&amp;col=6&amp;number=&amp;sourceID=18","")</f>
        <v/>
      </c>
      <c r="G255" s="4" t="str">
        <f>HYPERLINK("http://141.218.60.56/~jnz1568/getInfo.php?workbook=09_01.xlsx&amp;sheet=A0&amp;row=255&amp;col=7&amp;number==&amp;sourceID=11","=")</f>
        <v>=</v>
      </c>
      <c r="H255" s="4" t="str">
        <f>HYPERLINK("http://141.218.60.56/~jnz1568/getInfo.php?workbook=09_01.xlsx&amp;sheet=A0&amp;row=255&amp;col=8&amp;number=&amp;sourceID=11","")</f>
        <v/>
      </c>
      <c r="I255" s="4" t="str">
        <f>HYPERLINK("http://141.218.60.56/~jnz1568/getInfo.php?workbook=09_01.xlsx&amp;sheet=A0&amp;row=255&amp;col=9&amp;number=14085&amp;sourceID=11","14085")</f>
        <v>14085</v>
      </c>
      <c r="J255" s="4" t="str">
        <f>HYPERLINK("http://141.218.60.56/~jnz1568/getInfo.php?workbook=09_01.xlsx&amp;sheet=A0&amp;row=255&amp;col=10&amp;number=&amp;sourceID=11","")</f>
        <v/>
      </c>
      <c r="K255" s="4" t="str">
        <f>HYPERLINK("http://141.218.60.56/~jnz1568/getInfo.php?workbook=09_01.xlsx&amp;sheet=A0&amp;row=255&amp;col=11&amp;number=&amp;sourceID=11","")</f>
        <v/>
      </c>
      <c r="L255" s="4" t="str">
        <f>HYPERLINK("http://141.218.60.56/~jnz1568/getInfo.php?workbook=09_01.xlsx&amp;sheet=A0&amp;row=255&amp;col=12&amp;number=&amp;sourceID=11","")</f>
        <v/>
      </c>
      <c r="M255" s="4" t="str">
        <f>HYPERLINK("http://141.218.60.56/~jnz1568/getInfo.php?workbook=09_01.xlsx&amp;sheet=A0&amp;row=255&amp;col=13&amp;number=7.0911e-05&amp;sourceID=11","7.0911e-05")</f>
        <v>7.0911e-05</v>
      </c>
      <c r="N255" s="4" t="str">
        <f>HYPERLINK("http://141.218.60.56/~jnz1568/getInfo.php?workbook=09_01.xlsx&amp;sheet=A0&amp;row=255&amp;col=14&amp;number=14086&amp;sourceID=12","14086")</f>
        <v>14086</v>
      </c>
      <c r="O255" s="4" t="str">
        <f>HYPERLINK("http://141.218.60.56/~jnz1568/getInfo.php?workbook=09_01.xlsx&amp;sheet=A0&amp;row=255&amp;col=15&amp;number=&amp;sourceID=12","")</f>
        <v/>
      </c>
      <c r="P255" s="4" t="str">
        <f>HYPERLINK("http://141.218.60.56/~jnz1568/getInfo.php?workbook=09_01.xlsx&amp;sheet=A0&amp;row=255&amp;col=16&amp;number=14086&amp;sourceID=12","14086")</f>
        <v>14086</v>
      </c>
      <c r="Q255" s="4" t="str">
        <f>HYPERLINK("http://141.218.60.56/~jnz1568/getInfo.php?workbook=09_01.xlsx&amp;sheet=A0&amp;row=255&amp;col=17&amp;number=&amp;sourceID=12","")</f>
        <v/>
      </c>
      <c r="R255" s="4" t="str">
        <f>HYPERLINK("http://141.218.60.56/~jnz1568/getInfo.php?workbook=09_01.xlsx&amp;sheet=A0&amp;row=255&amp;col=18&amp;number=&amp;sourceID=12","")</f>
        <v/>
      </c>
      <c r="S255" s="4" t="str">
        <f>HYPERLINK("http://141.218.60.56/~jnz1568/getInfo.php?workbook=09_01.xlsx&amp;sheet=A0&amp;row=255&amp;col=19&amp;number=&amp;sourceID=12","")</f>
        <v/>
      </c>
      <c r="T255" s="4" t="str">
        <f>HYPERLINK("http://141.218.60.56/~jnz1568/getInfo.php?workbook=09_01.xlsx&amp;sheet=A0&amp;row=255&amp;col=20&amp;number=7.0913e-05&amp;sourceID=12","7.0913e-05")</f>
        <v>7.0913e-05</v>
      </c>
      <c r="U255" s="4" t="str">
        <f>HYPERLINK("http://141.218.60.56/~jnz1568/getInfo.php?workbook=09_01.xlsx&amp;sheet=A0&amp;row=255&amp;col=21&amp;number=14090&amp;sourceID=30","14090")</f>
        <v>14090</v>
      </c>
      <c r="V255" s="4" t="str">
        <f>HYPERLINK("http://141.218.60.56/~jnz1568/getInfo.php?workbook=09_01.xlsx&amp;sheet=A0&amp;row=255&amp;col=22&amp;number=&amp;sourceID=30","")</f>
        <v/>
      </c>
      <c r="W255" s="4" t="str">
        <f>HYPERLINK("http://141.218.60.56/~jnz1568/getInfo.php?workbook=09_01.xlsx&amp;sheet=A0&amp;row=255&amp;col=23&amp;number=14090&amp;sourceID=30","14090")</f>
        <v>14090</v>
      </c>
      <c r="X255" s="4" t="str">
        <f>HYPERLINK("http://141.218.60.56/~jnz1568/getInfo.php?workbook=09_01.xlsx&amp;sheet=A0&amp;row=255&amp;col=24&amp;number=&amp;sourceID=30","")</f>
        <v/>
      </c>
      <c r="Y255" s="4" t="str">
        <f>HYPERLINK("http://141.218.60.56/~jnz1568/getInfo.php?workbook=09_01.xlsx&amp;sheet=A0&amp;row=255&amp;col=25&amp;number=&amp;sourceID=30","")</f>
        <v/>
      </c>
      <c r="Z255" s="4" t="str">
        <f>HYPERLINK("http://141.218.60.56/~jnz1568/getInfo.php?workbook=09_01.xlsx&amp;sheet=A0&amp;row=255&amp;col=26&amp;number=&amp;sourceID=13","")</f>
        <v/>
      </c>
      <c r="AA255" s="4" t="str">
        <f>HYPERLINK("http://141.218.60.56/~jnz1568/getInfo.php?workbook=09_01.xlsx&amp;sheet=A0&amp;row=255&amp;col=27&amp;number=&amp;sourceID=13","")</f>
        <v/>
      </c>
      <c r="AB255" s="4" t="str">
        <f>HYPERLINK("http://141.218.60.56/~jnz1568/getInfo.php?workbook=09_01.xlsx&amp;sheet=A0&amp;row=255&amp;col=28&amp;number=&amp;sourceID=13","")</f>
        <v/>
      </c>
      <c r="AC255" s="4" t="str">
        <f>HYPERLINK("http://141.218.60.56/~jnz1568/getInfo.php?workbook=09_01.xlsx&amp;sheet=A0&amp;row=255&amp;col=29&amp;number=&amp;sourceID=13","")</f>
        <v/>
      </c>
      <c r="AD255" s="4" t="str">
        <f>HYPERLINK("http://141.218.60.56/~jnz1568/getInfo.php?workbook=09_01.xlsx&amp;sheet=A0&amp;row=255&amp;col=30&amp;number=&amp;sourceID=13","")</f>
        <v/>
      </c>
      <c r="AE255" s="4" t="str">
        <f>HYPERLINK("http://141.218.60.56/~jnz1568/getInfo.php?workbook=09_01.xlsx&amp;sheet=A0&amp;row=255&amp;col=31&amp;number=&amp;sourceID=13","")</f>
        <v/>
      </c>
    </row>
    <row r="256" spans="1:31">
      <c r="A256" s="3">
        <v>9</v>
      </c>
      <c r="B256" s="3">
        <v>1</v>
      </c>
      <c r="C256" s="3">
        <v>24</v>
      </c>
      <c r="D256" s="3">
        <v>9</v>
      </c>
      <c r="E256" s="3">
        <f>((1/(INDEX(E0!J$4:J$28,C256,1)-INDEX(E0!J$4:J$28,D256,1))))*100000000</f>
        <v>0</v>
      </c>
      <c r="F256" s="4" t="str">
        <f>HYPERLINK("http://141.218.60.56/~jnz1568/getInfo.php?workbook=09_01.xlsx&amp;sheet=A0&amp;row=256&amp;col=6&amp;number=&amp;sourceID=18","")</f>
        <v/>
      </c>
      <c r="G256" s="4" t="str">
        <f>HYPERLINK("http://141.218.60.56/~jnz1568/getInfo.php?workbook=09_01.xlsx&amp;sheet=A0&amp;row=256&amp;col=7&amp;number==&amp;sourceID=11","=")</f>
        <v>=</v>
      </c>
      <c r="H256" s="4" t="str">
        <f>HYPERLINK("http://141.218.60.56/~jnz1568/getInfo.php?workbook=09_01.xlsx&amp;sheet=A0&amp;row=256&amp;col=8&amp;number=29817000000&amp;sourceID=11","29817000000")</f>
        <v>29817000000</v>
      </c>
      <c r="I256" s="4" t="str">
        <f>HYPERLINK("http://141.218.60.56/~jnz1568/getInfo.php?workbook=09_01.xlsx&amp;sheet=A0&amp;row=256&amp;col=9&amp;number=&amp;sourceID=11","")</f>
        <v/>
      </c>
      <c r="J256" s="4" t="str">
        <f>HYPERLINK("http://141.218.60.56/~jnz1568/getInfo.php?workbook=09_01.xlsx&amp;sheet=A0&amp;row=256&amp;col=10&amp;number=1.5011&amp;sourceID=11","1.5011")</f>
        <v>1.5011</v>
      </c>
      <c r="K256" s="4" t="str">
        <f>HYPERLINK("http://141.218.60.56/~jnz1568/getInfo.php?workbook=09_01.xlsx&amp;sheet=A0&amp;row=256&amp;col=11&amp;number=&amp;sourceID=11","")</f>
        <v/>
      </c>
      <c r="L256" s="4" t="str">
        <f>HYPERLINK("http://141.218.60.56/~jnz1568/getInfo.php?workbook=09_01.xlsx&amp;sheet=A0&amp;row=256&amp;col=12&amp;number=257.7&amp;sourceID=11","257.7")</f>
        <v>257.7</v>
      </c>
      <c r="M256" s="4" t="str">
        <f>HYPERLINK("http://141.218.60.56/~jnz1568/getInfo.php?workbook=09_01.xlsx&amp;sheet=A0&amp;row=256&amp;col=13&amp;number=&amp;sourceID=11","")</f>
        <v/>
      </c>
      <c r="N256" s="4" t="str">
        <f>HYPERLINK("http://141.218.60.56/~jnz1568/getInfo.php?workbook=09_01.xlsx&amp;sheet=A0&amp;row=256&amp;col=14&amp;number=29818000000&amp;sourceID=12","29818000000")</f>
        <v>29818000000</v>
      </c>
      <c r="O256" s="4" t="str">
        <f>HYPERLINK("http://141.218.60.56/~jnz1568/getInfo.php?workbook=09_01.xlsx&amp;sheet=A0&amp;row=256&amp;col=15&amp;number=29818000000&amp;sourceID=12","29818000000")</f>
        <v>29818000000</v>
      </c>
      <c r="P256" s="4" t="str">
        <f>HYPERLINK("http://141.218.60.56/~jnz1568/getInfo.php?workbook=09_01.xlsx&amp;sheet=A0&amp;row=256&amp;col=16&amp;number=&amp;sourceID=12","")</f>
        <v/>
      </c>
      <c r="Q256" s="4" t="str">
        <f>HYPERLINK("http://141.218.60.56/~jnz1568/getInfo.php?workbook=09_01.xlsx&amp;sheet=A0&amp;row=256&amp;col=17&amp;number=1.5011&amp;sourceID=12","1.5011")</f>
        <v>1.5011</v>
      </c>
      <c r="R256" s="4" t="str">
        <f>HYPERLINK("http://141.218.60.56/~jnz1568/getInfo.php?workbook=09_01.xlsx&amp;sheet=A0&amp;row=256&amp;col=18&amp;number=&amp;sourceID=12","")</f>
        <v/>
      </c>
      <c r="S256" s="4" t="str">
        <f>HYPERLINK("http://141.218.60.56/~jnz1568/getInfo.php?workbook=09_01.xlsx&amp;sheet=A0&amp;row=256&amp;col=19&amp;number=257.71&amp;sourceID=12","257.71")</f>
        <v>257.71</v>
      </c>
      <c r="T256" s="4" t="str">
        <f>HYPERLINK("http://141.218.60.56/~jnz1568/getInfo.php?workbook=09_01.xlsx&amp;sheet=A0&amp;row=256&amp;col=20&amp;number=&amp;sourceID=12","")</f>
        <v/>
      </c>
      <c r="U256" s="4" t="str">
        <f>HYPERLINK("http://141.218.60.56/~jnz1568/getInfo.php?workbook=09_01.xlsx&amp;sheet=A0&amp;row=256&amp;col=21&amp;number=29820000257.7&amp;sourceID=30","29820000257.7")</f>
        <v>29820000257.7</v>
      </c>
      <c r="V256" s="4" t="str">
        <f>HYPERLINK("http://141.218.60.56/~jnz1568/getInfo.php?workbook=09_01.xlsx&amp;sheet=A0&amp;row=256&amp;col=22&amp;number=29820000000&amp;sourceID=30","29820000000")</f>
        <v>29820000000</v>
      </c>
      <c r="W256" s="4" t="str">
        <f>HYPERLINK("http://141.218.60.56/~jnz1568/getInfo.php?workbook=09_01.xlsx&amp;sheet=A0&amp;row=256&amp;col=23&amp;number=&amp;sourceID=30","")</f>
        <v/>
      </c>
      <c r="X256" s="4" t="str">
        <f>HYPERLINK("http://141.218.60.56/~jnz1568/getInfo.php?workbook=09_01.xlsx&amp;sheet=A0&amp;row=256&amp;col=24&amp;number=&amp;sourceID=30","")</f>
        <v/>
      </c>
      <c r="Y256" s="4" t="str">
        <f>HYPERLINK("http://141.218.60.56/~jnz1568/getInfo.php?workbook=09_01.xlsx&amp;sheet=A0&amp;row=256&amp;col=25&amp;number=257.7&amp;sourceID=30","257.7")</f>
        <v>257.7</v>
      </c>
      <c r="Z256" s="4" t="str">
        <f>HYPERLINK("http://141.218.60.56/~jnz1568/getInfo.php?workbook=09_01.xlsx&amp;sheet=A0&amp;row=256&amp;col=26&amp;number=&amp;sourceID=13","")</f>
        <v/>
      </c>
      <c r="AA256" s="4" t="str">
        <f>HYPERLINK("http://141.218.60.56/~jnz1568/getInfo.php?workbook=09_01.xlsx&amp;sheet=A0&amp;row=256&amp;col=27&amp;number=&amp;sourceID=13","")</f>
        <v/>
      </c>
      <c r="AB256" s="4" t="str">
        <f>HYPERLINK("http://141.218.60.56/~jnz1568/getInfo.php?workbook=09_01.xlsx&amp;sheet=A0&amp;row=256&amp;col=28&amp;number=&amp;sourceID=13","")</f>
        <v/>
      </c>
      <c r="AC256" s="4" t="str">
        <f>HYPERLINK("http://141.218.60.56/~jnz1568/getInfo.php?workbook=09_01.xlsx&amp;sheet=A0&amp;row=256&amp;col=29&amp;number=&amp;sourceID=13","")</f>
        <v/>
      </c>
      <c r="AD256" s="4" t="str">
        <f>HYPERLINK("http://141.218.60.56/~jnz1568/getInfo.php?workbook=09_01.xlsx&amp;sheet=A0&amp;row=256&amp;col=30&amp;number=&amp;sourceID=13","")</f>
        <v/>
      </c>
      <c r="AE256" s="4" t="str">
        <f>HYPERLINK("http://141.218.60.56/~jnz1568/getInfo.php?workbook=09_01.xlsx&amp;sheet=A0&amp;row=256&amp;col=31&amp;number=&amp;sourceID=13","")</f>
        <v/>
      </c>
    </row>
    <row r="257" spans="1:31">
      <c r="A257" s="3">
        <v>9</v>
      </c>
      <c r="B257" s="3">
        <v>1</v>
      </c>
      <c r="C257" s="3">
        <v>24</v>
      </c>
      <c r="D257" s="3">
        <v>10</v>
      </c>
      <c r="E257" s="3">
        <f>((1/(INDEX(E0!J$4:J$28,C257,1)-INDEX(E0!J$4:J$28,D257,1))))*100000000</f>
        <v>0</v>
      </c>
      <c r="F257" s="4" t="str">
        <f>HYPERLINK("http://141.218.60.56/~jnz1568/getInfo.php?workbook=09_01.xlsx&amp;sheet=A0&amp;row=257&amp;col=6&amp;number=&amp;sourceID=18","")</f>
        <v/>
      </c>
      <c r="G257" s="4" t="str">
        <f>HYPERLINK("http://141.218.60.56/~jnz1568/getInfo.php?workbook=09_01.xlsx&amp;sheet=A0&amp;row=257&amp;col=7&amp;number==&amp;sourceID=11","=")</f>
        <v>=</v>
      </c>
      <c r="H257" s="4" t="str">
        <f>HYPERLINK("http://141.218.60.56/~jnz1568/getInfo.php?workbook=09_01.xlsx&amp;sheet=A0&amp;row=257&amp;col=8&amp;number=&amp;sourceID=11","")</f>
        <v/>
      </c>
      <c r="I257" s="4" t="str">
        <f>HYPERLINK("http://141.218.60.56/~jnz1568/getInfo.php?workbook=09_01.xlsx&amp;sheet=A0&amp;row=257&amp;col=9&amp;number=&amp;sourceID=11","")</f>
        <v/>
      </c>
      <c r="J257" s="4" t="str">
        <f>HYPERLINK("http://141.218.60.56/~jnz1568/getInfo.php?workbook=09_01.xlsx&amp;sheet=A0&amp;row=257&amp;col=10&amp;number=&amp;sourceID=11","")</f>
        <v/>
      </c>
      <c r="K257" s="4" t="str">
        <f>HYPERLINK("http://141.218.60.56/~jnz1568/getInfo.php?workbook=09_01.xlsx&amp;sheet=A0&amp;row=257&amp;col=11&amp;number=&amp;sourceID=11","")</f>
        <v/>
      </c>
      <c r="L257" s="4" t="str">
        <f>HYPERLINK("http://141.218.60.56/~jnz1568/getInfo.php?workbook=09_01.xlsx&amp;sheet=A0&amp;row=257&amp;col=12&amp;number=&amp;sourceID=11","")</f>
        <v/>
      </c>
      <c r="M257" s="4" t="str">
        <f>HYPERLINK("http://141.218.60.56/~jnz1568/getInfo.php?workbook=09_01.xlsx&amp;sheet=A0&amp;row=257&amp;col=13&amp;number=8.4654e-05&amp;sourceID=11","8.4654e-05")</f>
        <v>8.4654e-05</v>
      </c>
      <c r="N257" s="4" t="str">
        <f>HYPERLINK("http://141.218.60.56/~jnz1568/getInfo.php?workbook=09_01.xlsx&amp;sheet=A0&amp;row=257&amp;col=14&amp;number=8.4656e-05&amp;sourceID=12","8.4656e-05")</f>
        <v>8.4656e-05</v>
      </c>
      <c r="O257" s="4" t="str">
        <f>HYPERLINK("http://141.218.60.56/~jnz1568/getInfo.php?workbook=09_01.xlsx&amp;sheet=A0&amp;row=257&amp;col=15&amp;number=&amp;sourceID=12","")</f>
        <v/>
      </c>
      <c r="P257" s="4" t="str">
        <f>HYPERLINK("http://141.218.60.56/~jnz1568/getInfo.php?workbook=09_01.xlsx&amp;sheet=A0&amp;row=257&amp;col=16&amp;number=&amp;sourceID=12","")</f>
        <v/>
      </c>
      <c r="Q257" s="4" t="str">
        <f>HYPERLINK("http://141.218.60.56/~jnz1568/getInfo.php?workbook=09_01.xlsx&amp;sheet=A0&amp;row=257&amp;col=17&amp;number=&amp;sourceID=12","")</f>
        <v/>
      </c>
      <c r="R257" s="4" t="str">
        <f>HYPERLINK("http://141.218.60.56/~jnz1568/getInfo.php?workbook=09_01.xlsx&amp;sheet=A0&amp;row=257&amp;col=18&amp;number=&amp;sourceID=12","")</f>
        <v/>
      </c>
      <c r="S257" s="4" t="str">
        <f>HYPERLINK("http://141.218.60.56/~jnz1568/getInfo.php?workbook=09_01.xlsx&amp;sheet=A0&amp;row=257&amp;col=19&amp;number=&amp;sourceID=12","")</f>
        <v/>
      </c>
      <c r="T257" s="4" t="str">
        <f>HYPERLINK("http://141.218.60.56/~jnz1568/getInfo.php?workbook=09_01.xlsx&amp;sheet=A0&amp;row=257&amp;col=20&amp;number=8.4656e-05&amp;sourceID=12","8.4656e-05")</f>
        <v>8.4656e-05</v>
      </c>
      <c r="U257" s="4" t="str">
        <f>HYPERLINK("http://141.218.60.56/~jnz1568/getInfo.php?workbook=09_01.xlsx&amp;sheet=A0&amp;row=257&amp;col=21&amp;number=&amp;sourceID=30","")</f>
        <v/>
      </c>
      <c r="V257" s="4" t="str">
        <f>HYPERLINK("http://141.218.60.56/~jnz1568/getInfo.php?workbook=09_01.xlsx&amp;sheet=A0&amp;row=257&amp;col=22&amp;number=&amp;sourceID=30","")</f>
        <v/>
      </c>
      <c r="W257" s="4" t="str">
        <f>HYPERLINK("http://141.218.60.56/~jnz1568/getInfo.php?workbook=09_01.xlsx&amp;sheet=A0&amp;row=257&amp;col=23&amp;number=&amp;sourceID=30","")</f>
        <v/>
      </c>
      <c r="X257" s="4" t="str">
        <f>HYPERLINK("http://141.218.60.56/~jnz1568/getInfo.php?workbook=09_01.xlsx&amp;sheet=A0&amp;row=257&amp;col=24&amp;number=&amp;sourceID=30","")</f>
        <v/>
      </c>
      <c r="Y257" s="4" t="str">
        <f>HYPERLINK("http://141.218.60.56/~jnz1568/getInfo.php?workbook=09_01.xlsx&amp;sheet=A0&amp;row=257&amp;col=25&amp;number=&amp;sourceID=30","")</f>
        <v/>
      </c>
      <c r="Z257" s="4" t="str">
        <f>HYPERLINK("http://141.218.60.56/~jnz1568/getInfo.php?workbook=09_01.xlsx&amp;sheet=A0&amp;row=257&amp;col=26&amp;number=&amp;sourceID=13","")</f>
        <v/>
      </c>
      <c r="AA257" s="4" t="str">
        <f>HYPERLINK("http://141.218.60.56/~jnz1568/getInfo.php?workbook=09_01.xlsx&amp;sheet=A0&amp;row=257&amp;col=27&amp;number=&amp;sourceID=13","")</f>
        <v/>
      </c>
      <c r="AB257" s="4" t="str">
        <f>HYPERLINK("http://141.218.60.56/~jnz1568/getInfo.php?workbook=09_01.xlsx&amp;sheet=A0&amp;row=257&amp;col=28&amp;number=&amp;sourceID=13","")</f>
        <v/>
      </c>
      <c r="AC257" s="4" t="str">
        <f>HYPERLINK("http://141.218.60.56/~jnz1568/getInfo.php?workbook=09_01.xlsx&amp;sheet=A0&amp;row=257&amp;col=29&amp;number=&amp;sourceID=13","")</f>
        <v/>
      </c>
      <c r="AD257" s="4" t="str">
        <f>HYPERLINK("http://141.218.60.56/~jnz1568/getInfo.php?workbook=09_01.xlsx&amp;sheet=A0&amp;row=257&amp;col=30&amp;number=&amp;sourceID=13","")</f>
        <v/>
      </c>
      <c r="AE257" s="4" t="str">
        <f>HYPERLINK("http://141.218.60.56/~jnz1568/getInfo.php?workbook=09_01.xlsx&amp;sheet=A0&amp;row=257&amp;col=31&amp;number=&amp;sourceID=13","")</f>
        <v/>
      </c>
    </row>
    <row r="258" spans="1:31">
      <c r="A258" s="3">
        <v>9</v>
      </c>
      <c r="B258" s="3">
        <v>1</v>
      </c>
      <c r="C258" s="3">
        <v>24</v>
      </c>
      <c r="D258" s="3">
        <v>11</v>
      </c>
      <c r="E258" s="3">
        <f>((1/(INDEX(E0!J$4:J$28,C258,1)-INDEX(E0!J$4:J$28,D258,1))))*100000000</f>
        <v>0</v>
      </c>
      <c r="F258" s="4" t="str">
        <f>HYPERLINK("http://141.218.60.56/~jnz1568/getInfo.php?workbook=09_01.xlsx&amp;sheet=A0&amp;row=258&amp;col=6&amp;number=&amp;sourceID=18","")</f>
        <v/>
      </c>
      <c r="G258" s="4" t="str">
        <f>HYPERLINK("http://141.218.60.56/~jnz1568/getInfo.php?workbook=09_01.xlsx&amp;sheet=A0&amp;row=258&amp;col=7&amp;number==&amp;sourceID=11","=")</f>
        <v>=</v>
      </c>
      <c r="H258" s="4" t="str">
        <f>HYPERLINK("http://141.218.60.56/~jnz1568/getInfo.php?workbook=09_01.xlsx&amp;sheet=A0&amp;row=258&amp;col=8&amp;number=&amp;sourceID=11","")</f>
        <v/>
      </c>
      <c r="I258" s="4" t="str">
        <f>HYPERLINK("http://141.218.60.56/~jnz1568/getInfo.php?workbook=09_01.xlsx&amp;sheet=A0&amp;row=258&amp;col=9&amp;number=&amp;sourceID=11","")</f>
        <v/>
      </c>
      <c r="J258" s="4" t="str">
        <f>HYPERLINK("http://141.218.60.56/~jnz1568/getInfo.php?workbook=09_01.xlsx&amp;sheet=A0&amp;row=258&amp;col=10&amp;number=5.4035&amp;sourceID=11","5.4035")</f>
        <v>5.4035</v>
      </c>
      <c r="K258" s="4" t="str">
        <f>HYPERLINK("http://141.218.60.56/~jnz1568/getInfo.php?workbook=09_01.xlsx&amp;sheet=A0&amp;row=258&amp;col=11&amp;number=&amp;sourceID=11","")</f>
        <v/>
      </c>
      <c r="L258" s="4" t="str">
        <f>HYPERLINK("http://141.218.60.56/~jnz1568/getInfo.php?workbook=09_01.xlsx&amp;sheet=A0&amp;row=258&amp;col=12&amp;number=&amp;sourceID=11","")</f>
        <v/>
      </c>
      <c r="M258" s="4" t="str">
        <f>HYPERLINK("http://141.218.60.56/~jnz1568/getInfo.php?workbook=09_01.xlsx&amp;sheet=A0&amp;row=258&amp;col=13&amp;number=&amp;sourceID=11","")</f>
        <v/>
      </c>
      <c r="N258" s="4" t="str">
        <f>HYPERLINK("http://141.218.60.56/~jnz1568/getInfo.php?workbook=09_01.xlsx&amp;sheet=A0&amp;row=258&amp;col=14&amp;number=5.4036&amp;sourceID=12","5.4036")</f>
        <v>5.4036</v>
      </c>
      <c r="O258" s="4" t="str">
        <f>HYPERLINK("http://141.218.60.56/~jnz1568/getInfo.php?workbook=09_01.xlsx&amp;sheet=A0&amp;row=258&amp;col=15&amp;number=&amp;sourceID=12","")</f>
        <v/>
      </c>
      <c r="P258" s="4" t="str">
        <f>HYPERLINK("http://141.218.60.56/~jnz1568/getInfo.php?workbook=09_01.xlsx&amp;sheet=A0&amp;row=258&amp;col=16&amp;number=&amp;sourceID=12","")</f>
        <v/>
      </c>
      <c r="Q258" s="4" t="str">
        <f>HYPERLINK("http://141.218.60.56/~jnz1568/getInfo.php?workbook=09_01.xlsx&amp;sheet=A0&amp;row=258&amp;col=17&amp;number=5.4036&amp;sourceID=12","5.4036")</f>
        <v>5.4036</v>
      </c>
      <c r="R258" s="4" t="str">
        <f>HYPERLINK("http://141.218.60.56/~jnz1568/getInfo.php?workbook=09_01.xlsx&amp;sheet=A0&amp;row=258&amp;col=18&amp;number=&amp;sourceID=12","")</f>
        <v/>
      </c>
      <c r="S258" s="4" t="str">
        <f>HYPERLINK("http://141.218.60.56/~jnz1568/getInfo.php?workbook=09_01.xlsx&amp;sheet=A0&amp;row=258&amp;col=19&amp;number=&amp;sourceID=12","")</f>
        <v/>
      </c>
      <c r="T258" s="4" t="str">
        <f>HYPERLINK("http://141.218.60.56/~jnz1568/getInfo.php?workbook=09_01.xlsx&amp;sheet=A0&amp;row=258&amp;col=20&amp;number=&amp;sourceID=12","")</f>
        <v/>
      </c>
      <c r="U258" s="4" t="str">
        <f>HYPERLINK("http://141.218.60.56/~jnz1568/getInfo.php?workbook=09_01.xlsx&amp;sheet=A0&amp;row=258&amp;col=21&amp;number=&amp;sourceID=30","")</f>
        <v/>
      </c>
      <c r="V258" s="4" t="str">
        <f>HYPERLINK("http://141.218.60.56/~jnz1568/getInfo.php?workbook=09_01.xlsx&amp;sheet=A0&amp;row=258&amp;col=22&amp;number=&amp;sourceID=30","")</f>
        <v/>
      </c>
      <c r="W258" s="4" t="str">
        <f>HYPERLINK("http://141.218.60.56/~jnz1568/getInfo.php?workbook=09_01.xlsx&amp;sheet=A0&amp;row=258&amp;col=23&amp;number=&amp;sourceID=30","")</f>
        <v/>
      </c>
      <c r="X258" s="4" t="str">
        <f>HYPERLINK("http://141.218.60.56/~jnz1568/getInfo.php?workbook=09_01.xlsx&amp;sheet=A0&amp;row=258&amp;col=24&amp;number=&amp;sourceID=30","")</f>
        <v/>
      </c>
      <c r="Y258" s="4" t="str">
        <f>HYPERLINK("http://141.218.60.56/~jnz1568/getInfo.php?workbook=09_01.xlsx&amp;sheet=A0&amp;row=258&amp;col=25&amp;number=&amp;sourceID=30","")</f>
        <v/>
      </c>
      <c r="Z258" s="4" t="str">
        <f>HYPERLINK("http://141.218.60.56/~jnz1568/getInfo.php?workbook=09_01.xlsx&amp;sheet=A0&amp;row=258&amp;col=26&amp;number=&amp;sourceID=13","")</f>
        <v/>
      </c>
      <c r="AA258" s="4" t="str">
        <f>HYPERLINK("http://141.218.60.56/~jnz1568/getInfo.php?workbook=09_01.xlsx&amp;sheet=A0&amp;row=258&amp;col=27&amp;number=&amp;sourceID=13","")</f>
        <v/>
      </c>
      <c r="AB258" s="4" t="str">
        <f>HYPERLINK("http://141.218.60.56/~jnz1568/getInfo.php?workbook=09_01.xlsx&amp;sheet=A0&amp;row=258&amp;col=28&amp;number=&amp;sourceID=13","")</f>
        <v/>
      </c>
      <c r="AC258" s="4" t="str">
        <f>HYPERLINK("http://141.218.60.56/~jnz1568/getInfo.php?workbook=09_01.xlsx&amp;sheet=A0&amp;row=258&amp;col=29&amp;number=&amp;sourceID=13","")</f>
        <v/>
      </c>
      <c r="AD258" s="4" t="str">
        <f>HYPERLINK("http://141.218.60.56/~jnz1568/getInfo.php?workbook=09_01.xlsx&amp;sheet=A0&amp;row=258&amp;col=30&amp;number=&amp;sourceID=13","")</f>
        <v/>
      </c>
      <c r="AE258" s="4" t="str">
        <f>HYPERLINK("http://141.218.60.56/~jnz1568/getInfo.php?workbook=09_01.xlsx&amp;sheet=A0&amp;row=258&amp;col=31&amp;number=&amp;sourceID=13","")</f>
        <v/>
      </c>
    </row>
    <row r="259" spans="1:31">
      <c r="A259" s="3">
        <v>9</v>
      </c>
      <c r="B259" s="3">
        <v>1</v>
      </c>
      <c r="C259" s="3">
        <v>24</v>
      </c>
      <c r="D259" s="3">
        <v>12</v>
      </c>
      <c r="E259" s="3">
        <f>((1/(INDEX(E0!J$4:J$28,C259,1)-INDEX(E0!J$4:J$28,D259,1))))*100000000</f>
        <v>0</v>
      </c>
      <c r="F259" s="4" t="str">
        <f>HYPERLINK("http://141.218.60.56/~jnz1568/getInfo.php?workbook=09_01.xlsx&amp;sheet=A0&amp;row=259&amp;col=6&amp;number=&amp;sourceID=18","")</f>
        <v/>
      </c>
      <c r="G259" s="4" t="str">
        <f>HYPERLINK("http://141.218.60.56/~jnz1568/getInfo.php?workbook=09_01.xlsx&amp;sheet=A0&amp;row=259&amp;col=7&amp;number==&amp;sourceID=11","=")</f>
        <v>=</v>
      </c>
      <c r="H259" s="4" t="str">
        <f>HYPERLINK("http://141.218.60.56/~jnz1568/getInfo.php?workbook=09_01.xlsx&amp;sheet=A0&amp;row=259&amp;col=8&amp;number=&amp;sourceID=11","")</f>
        <v/>
      </c>
      <c r="I259" s="4" t="str">
        <f>HYPERLINK("http://141.218.60.56/~jnz1568/getInfo.php?workbook=09_01.xlsx&amp;sheet=A0&amp;row=259&amp;col=9&amp;number=&amp;sourceID=11","")</f>
        <v/>
      </c>
      <c r="J259" s="4" t="str">
        <f>HYPERLINK("http://141.218.60.56/~jnz1568/getInfo.php?workbook=09_01.xlsx&amp;sheet=A0&amp;row=259&amp;col=10&amp;number=0.85973&amp;sourceID=11","0.85973")</f>
        <v>0.85973</v>
      </c>
      <c r="K259" s="4" t="str">
        <f>HYPERLINK("http://141.218.60.56/~jnz1568/getInfo.php?workbook=09_01.xlsx&amp;sheet=A0&amp;row=259&amp;col=11&amp;number=&amp;sourceID=11","")</f>
        <v/>
      </c>
      <c r="L259" s="4" t="str">
        <f>HYPERLINK("http://141.218.60.56/~jnz1568/getInfo.php?workbook=09_01.xlsx&amp;sheet=A0&amp;row=259&amp;col=12&amp;number=2.1338&amp;sourceID=11","2.1338")</f>
        <v>2.1338</v>
      </c>
      <c r="M259" s="4" t="str">
        <f>HYPERLINK("http://141.218.60.56/~jnz1568/getInfo.php?workbook=09_01.xlsx&amp;sheet=A0&amp;row=259&amp;col=13&amp;number=&amp;sourceID=11","")</f>
        <v/>
      </c>
      <c r="N259" s="4" t="str">
        <f>HYPERLINK("http://141.218.60.56/~jnz1568/getInfo.php?workbook=09_01.xlsx&amp;sheet=A0&amp;row=259&amp;col=14&amp;number=2.9937&amp;sourceID=12","2.9937")</f>
        <v>2.9937</v>
      </c>
      <c r="O259" s="4" t="str">
        <f>HYPERLINK("http://141.218.60.56/~jnz1568/getInfo.php?workbook=09_01.xlsx&amp;sheet=A0&amp;row=259&amp;col=15&amp;number=&amp;sourceID=12","")</f>
        <v/>
      </c>
      <c r="P259" s="4" t="str">
        <f>HYPERLINK("http://141.218.60.56/~jnz1568/getInfo.php?workbook=09_01.xlsx&amp;sheet=A0&amp;row=259&amp;col=16&amp;number=&amp;sourceID=12","")</f>
        <v/>
      </c>
      <c r="Q259" s="4" t="str">
        <f>HYPERLINK("http://141.218.60.56/~jnz1568/getInfo.php?workbook=09_01.xlsx&amp;sheet=A0&amp;row=259&amp;col=17&amp;number=0.85975&amp;sourceID=12","0.85975")</f>
        <v>0.85975</v>
      </c>
      <c r="R259" s="4" t="str">
        <f>HYPERLINK("http://141.218.60.56/~jnz1568/getInfo.php?workbook=09_01.xlsx&amp;sheet=A0&amp;row=259&amp;col=18&amp;number=&amp;sourceID=12","")</f>
        <v/>
      </c>
      <c r="S259" s="4" t="str">
        <f>HYPERLINK("http://141.218.60.56/~jnz1568/getInfo.php?workbook=09_01.xlsx&amp;sheet=A0&amp;row=259&amp;col=19&amp;number=2.1339&amp;sourceID=12","2.1339")</f>
        <v>2.1339</v>
      </c>
      <c r="T259" s="4" t="str">
        <f>HYPERLINK("http://141.218.60.56/~jnz1568/getInfo.php?workbook=09_01.xlsx&amp;sheet=A0&amp;row=259&amp;col=20&amp;number=&amp;sourceID=12","")</f>
        <v/>
      </c>
      <c r="U259" s="4" t="str">
        <f>HYPERLINK("http://141.218.60.56/~jnz1568/getInfo.php?workbook=09_01.xlsx&amp;sheet=A0&amp;row=259&amp;col=21&amp;number=2.134&amp;sourceID=30","2.134")</f>
        <v>2.134</v>
      </c>
      <c r="V259" s="4" t="str">
        <f>HYPERLINK("http://141.218.60.56/~jnz1568/getInfo.php?workbook=09_01.xlsx&amp;sheet=A0&amp;row=259&amp;col=22&amp;number=&amp;sourceID=30","")</f>
        <v/>
      </c>
      <c r="W259" s="4" t="str">
        <f>HYPERLINK("http://141.218.60.56/~jnz1568/getInfo.php?workbook=09_01.xlsx&amp;sheet=A0&amp;row=259&amp;col=23&amp;number=&amp;sourceID=30","")</f>
        <v/>
      </c>
      <c r="X259" s="4" t="str">
        <f>HYPERLINK("http://141.218.60.56/~jnz1568/getInfo.php?workbook=09_01.xlsx&amp;sheet=A0&amp;row=259&amp;col=24&amp;number=&amp;sourceID=30","")</f>
        <v/>
      </c>
      <c r="Y259" s="4" t="str">
        <f>HYPERLINK("http://141.218.60.56/~jnz1568/getInfo.php?workbook=09_01.xlsx&amp;sheet=A0&amp;row=259&amp;col=25&amp;number=2.134&amp;sourceID=30","2.134")</f>
        <v>2.134</v>
      </c>
      <c r="Z259" s="4" t="str">
        <f>HYPERLINK("http://141.218.60.56/~jnz1568/getInfo.php?workbook=09_01.xlsx&amp;sheet=A0&amp;row=259&amp;col=26&amp;number=&amp;sourceID=13","")</f>
        <v/>
      </c>
      <c r="AA259" s="4" t="str">
        <f>HYPERLINK("http://141.218.60.56/~jnz1568/getInfo.php?workbook=09_01.xlsx&amp;sheet=A0&amp;row=259&amp;col=27&amp;number=&amp;sourceID=13","")</f>
        <v/>
      </c>
      <c r="AB259" s="4" t="str">
        <f>HYPERLINK("http://141.218.60.56/~jnz1568/getInfo.php?workbook=09_01.xlsx&amp;sheet=A0&amp;row=259&amp;col=28&amp;number=&amp;sourceID=13","")</f>
        <v/>
      </c>
      <c r="AC259" s="4" t="str">
        <f>HYPERLINK("http://141.218.60.56/~jnz1568/getInfo.php?workbook=09_01.xlsx&amp;sheet=A0&amp;row=259&amp;col=29&amp;number=&amp;sourceID=13","")</f>
        <v/>
      </c>
      <c r="AD259" s="4" t="str">
        <f>HYPERLINK("http://141.218.60.56/~jnz1568/getInfo.php?workbook=09_01.xlsx&amp;sheet=A0&amp;row=259&amp;col=30&amp;number=&amp;sourceID=13","")</f>
        <v/>
      </c>
      <c r="AE259" s="4" t="str">
        <f>HYPERLINK("http://141.218.60.56/~jnz1568/getInfo.php?workbook=09_01.xlsx&amp;sheet=A0&amp;row=259&amp;col=31&amp;number=&amp;sourceID=13","")</f>
        <v/>
      </c>
    </row>
    <row r="260" spans="1:31">
      <c r="A260" s="3">
        <v>9</v>
      </c>
      <c r="B260" s="3">
        <v>1</v>
      </c>
      <c r="C260" s="3">
        <v>24</v>
      </c>
      <c r="D260" s="3">
        <v>13</v>
      </c>
      <c r="E260" s="3">
        <f>((1/(INDEX(E0!J$4:J$28,C260,1)-INDEX(E0!J$4:J$28,D260,1))))*100000000</f>
        <v>0</v>
      </c>
      <c r="F260" s="4" t="str">
        <f>HYPERLINK("http://141.218.60.56/~jnz1568/getInfo.php?workbook=09_01.xlsx&amp;sheet=A0&amp;row=260&amp;col=6&amp;number=&amp;sourceID=18","")</f>
        <v/>
      </c>
      <c r="G260" s="4" t="str">
        <f>HYPERLINK("http://141.218.60.56/~jnz1568/getInfo.php?workbook=09_01.xlsx&amp;sheet=A0&amp;row=260&amp;col=7&amp;number==SUM(H260:M260)&amp;sourceID=11","=SUM(H260:M260)")</f>
        <v>=SUM(H260:M260)</v>
      </c>
      <c r="H260" s="4" t="str">
        <f>HYPERLINK("http://141.218.60.56/~jnz1568/getInfo.php?workbook=09_01.xlsx&amp;sheet=A0&amp;row=260&amp;col=8&amp;number=&amp;sourceID=11","")</f>
        <v/>
      </c>
      <c r="I260" s="4" t="str">
        <f>HYPERLINK("http://141.218.60.56/~jnz1568/getInfo.php?workbook=09_01.xlsx&amp;sheet=A0&amp;row=260&amp;col=9&amp;number=498980&amp;sourceID=11","498980")</f>
        <v>498980</v>
      </c>
      <c r="J260" s="4" t="str">
        <f>HYPERLINK("http://141.218.60.56/~jnz1568/getInfo.php?workbook=09_01.xlsx&amp;sheet=A0&amp;row=260&amp;col=10&amp;number=&amp;sourceID=11","")</f>
        <v/>
      </c>
      <c r="K260" s="4" t="str">
        <f>HYPERLINK("http://141.218.60.56/~jnz1568/getInfo.php?workbook=09_01.xlsx&amp;sheet=A0&amp;row=260&amp;col=11&amp;number=&amp;sourceID=11","")</f>
        <v/>
      </c>
      <c r="L260" s="4" t="str">
        <f>HYPERLINK("http://141.218.60.56/~jnz1568/getInfo.php?workbook=09_01.xlsx&amp;sheet=A0&amp;row=260&amp;col=12&amp;number=&amp;sourceID=11","")</f>
        <v/>
      </c>
      <c r="M260" s="4" t="str">
        <f>HYPERLINK("http://141.218.60.56/~jnz1568/getInfo.php?workbook=09_01.xlsx&amp;sheet=A0&amp;row=260&amp;col=13&amp;number=0.00025216&amp;sourceID=11","0.00025216")</f>
        <v>0.00025216</v>
      </c>
      <c r="N260" s="4" t="str">
        <f>HYPERLINK("http://141.218.60.56/~jnz1568/getInfo.php?workbook=09_01.xlsx&amp;sheet=A0&amp;row=260&amp;col=14&amp;number=498990&amp;sourceID=12","498990")</f>
        <v>498990</v>
      </c>
      <c r="O260" s="4" t="str">
        <f>HYPERLINK("http://141.218.60.56/~jnz1568/getInfo.php?workbook=09_01.xlsx&amp;sheet=A0&amp;row=260&amp;col=15&amp;number=&amp;sourceID=12","")</f>
        <v/>
      </c>
      <c r="P260" s="4" t="str">
        <f>HYPERLINK("http://141.218.60.56/~jnz1568/getInfo.php?workbook=09_01.xlsx&amp;sheet=A0&amp;row=260&amp;col=16&amp;number=498990&amp;sourceID=12","498990")</f>
        <v>498990</v>
      </c>
      <c r="Q260" s="4" t="str">
        <f>HYPERLINK("http://141.218.60.56/~jnz1568/getInfo.php?workbook=09_01.xlsx&amp;sheet=A0&amp;row=260&amp;col=17&amp;number=&amp;sourceID=12","")</f>
        <v/>
      </c>
      <c r="R260" s="4" t="str">
        <f>HYPERLINK("http://141.218.60.56/~jnz1568/getInfo.php?workbook=09_01.xlsx&amp;sheet=A0&amp;row=260&amp;col=18&amp;number=&amp;sourceID=12","")</f>
        <v/>
      </c>
      <c r="S260" s="4" t="str">
        <f>HYPERLINK("http://141.218.60.56/~jnz1568/getInfo.php?workbook=09_01.xlsx&amp;sheet=A0&amp;row=260&amp;col=19&amp;number=&amp;sourceID=12","")</f>
        <v/>
      </c>
      <c r="T260" s="4" t="str">
        <f>HYPERLINK("http://141.218.60.56/~jnz1568/getInfo.php?workbook=09_01.xlsx&amp;sheet=A0&amp;row=260&amp;col=20&amp;number=0.00025217&amp;sourceID=12","0.00025217")</f>
        <v>0.00025217</v>
      </c>
      <c r="U260" s="4" t="str">
        <f>HYPERLINK("http://141.218.60.56/~jnz1568/getInfo.php?workbook=09_01.xlsx&amp;sheet=A0&amp;row=260&amp;col=21&amp;number=499000&amp;sourceID=30","499000")</f>
        <v>499000</v>
      </c>
      <c r="V260" s="4" t="str">
        <f>HYPERLINK("http://141.218.60.56/~jnz1568/getInfo.php?workbook=09_01.xlsx&amp;sheet=A0&amp;row=260&amp;col=22&amp;number=&amp;sourceID=30","")</f>
        <v/>
      </c>
      <c r="W260" s="4" t="str">
        <f>HYPERLINK("http://141.218.60.56/~jnz1568/getInfo.php?workbook=09_01.xlsx&amp;sheet=A0&amp;row=260&amp;col=23&amp;number=499000&amp;sourceID=30","499000")</f>
        <v>499000</v>
      </c>
      <c r="X260" s="4" t="str">
        <f>HYPERLINK("http://141.218.60.56/~jnz1568/getInfo.php?workbook=09_01.xlsx&amp;sheet=A0&amp;row=260&amp;col=24&amp;number=&amp;sourceID=30","")</f>
        <v/>
      </c>
      <c r="Y260" s="4" t="str">
        <f>HYPERLINK("http://141.218.60.56/~jnz1568/getInfo.php?workbook=09_01.xlsx&amp;sheet=A0&amp;row=260&amp;col=25&amp;number=&amp;sourceID=30","")</f>
        <v/>
      </c>
      <c r="Z260" s="4" t="str">
        <f>HYPERLINK("http://141.218.60.56/~jnz1568/getInfo.php?workbook=09_01.xlsx&amp;sheet=A0&amp;row=260&amp;col=26&amp;number=&amp;sourceID=13","")</f>
        <v/>
      </c>
      <c r="AA260" s="4" t="str">
        <f>HYPERLINK("http://141.218.60.56/~jnz1568/getInfo.php?workbook=09_01.xlsx&amp;sheet=A0&amp;row=260&amp;col=27&amp;number=&amp;sourceID=13","")</f>
        <v/>
      </c>
      <c r="AB260" s="4" t="str">
        <f>HYPERLINK("http://141.218.60.56/~jnz1568/getInfo.php?workbook=09_01.xlsx&amp;sheet=A0&amp;row=260&amp;col=28&amp;number=&amp;sourceID=13","")</f>
        <v/>
      </c>
      <c r="AC260" s="4" t="str">
        <f>HYPERLINK("http://141.218.60.56/~jnz1568/getInfo.php?workbook=09_01.xlsx&amp;sheet=A0&amp;row=260&amp;col=29&amp;number=&amp;sourceID=13","")</f>
        <v/>
      </c>
      <c r="AD260" s="4" t="str">
        <f>HYPERLINK("http://141.218.60.56/~jnz1568/getInfo.php?workbook=09_01.xlsx&amp;sheet=A0&amp;row=260&amp;col=30&amp;number=&amp;sourceID=13","")</f>
        <v/>
      </c>
      <c r="AE260" s="4" t="str">
        <f>HYPERLINK("http://141.218.60.56/~jnz1568/getInfo.php?workbook=09_01.xlsx&amp;sheet=A0&amp;row=260&amp;col=31&amp;number=&amp;sourceID=13","")</f>
        <v/>
      </c>
    </row>
    <row r="261" spans="1:31">
      <c r="A261" s="3">
        <v>9</v>
      </c>
      <c r="B261" s="3">
        <v>1</v>
      </c>
      <c r="C261" s="3">
        <v>24</v>
      </c>
      <c r="D261" s="3">
        <v>14</v>
      </c>
      <c r="E261" s="3">
        <f>((1/(INDEX(E0!J$4:J$28,C261,1)-INDEX(E0!J$4:J$28,D261,1))))*100000000</f>
        <v>0</v>
      </c>
      <c r="F261" s="4" t="str">
        <f>HYPERLINK("http://141.218.60.56/~jnz1568/getInfo.php?workbook=09_01.xlsx&amp;sheet=A0&amp;row=261&amp;col=6&amp;number=&amp;sourceID=18","")</f>
        <v/>
      </c>
      <c r="G261" s="4" t="str">
        <f>HYPERLINK("http://141.218.60.56/~jnz1568/getInfo.php?workbook=09_01.xlsx&amp;sheet=A0&amp;row=261&amp;col=7&amp;number==&amp;sourceID=11","=")</f>
        <v>=</v>
      </c>
      <c r="H261" s="4" t="str">
        <f>HYPERLINK("http://141.218.60.56/~jnz1568/getInfo.php?workbook=09_01.xlsx&amp;sheet=A0&amp;row=261&amp;col=8&amp;number=&amp;sourceID=11","")</f>
        <v/>
      </c>
      <c r="I261" s="4" t="str">
        <f>HYPERLINK("http://141.218.60.56/~jnz1568/getInfo.php?workbook=09_01.xlsx&amp;sheet=A0&amp;row=261&amp;col=9&amp;number=8712.5&amp;sourceID=11","8712.5")</f>
        <v>8712.5</v>
      </c>
      <c r="J261" s="4" t="str">
        <f>HYPERLINK("http://141.218.60.56/~jnz1568/getInfo.php?workbook=09_01.xlsx&amp;sheet=A0&amp;row=261&amp;col=10&amp;number=&amp;sourceID=11","")</f>
        <v/>
      </c>
      <c r="K261" s="4" t="str">
        <f>HYPERLINK("http://141.218.60.56/~jnz1568/getInfo.php?workbook=09_01.xlsx&amp;sheet=A0&amp;row=261&amp;col=11&amp;number=0.0010482&amp;sourceID=11","0.0010482")</f>
        <v>0.0010482</v>
      </c>
      <c r="L261" s="4" t="str">
        <f>HYPERLINK("http://141.218.60.56/~jnz1568/getInfo.php?workbook=09_01.xlsx&amp;sheet=A0&amp;row=261&amp;col=12&amp;number=&amp;sourceID=11","")</f>
        <v/>
      </c>
      <c r="M261" s="4" t="str">
        <f>HYPERLINK("http://141.218.60.56/~jnz1568/getInfo.php?workbook=09_01.xlsx&amp;sheet=A0&amp;row=261&amp;col=13&amp;number=6.5166e-07&amp;sourceID=11","6.5166e-07")</f>
        <v>6.5166e-07</v>
      </c>
      <c r="N261" s="4" t="str">
        <f>HYPERLINK("http://141.218.60.56/~jnz1568/getInfo.php?workbook=09_01.xlsx&amp;sheet=A0&amp;row=261&amp;col=14&amp;number=8712.7&amp;sourceID=12","8712.7")</f>
        <v>8712.7</v>
      </c>
      <c r="O261" s="4" t="str">
        <f>HYPERLINK("http://141.218.60.56/~jnz1568/getInfo.php?workbook=09_01.xlsx&amp;sheet=A0&amp;row=261&amp;col=15&amp;number=&amp;sourceID=12","")</f>
        <v/>
      </c>
      <c r="P261" s="4" t="str">
        <f>HYPERLINK("http://141.218.60.56/~jnz1568/getInfo.php?workbook=09_01.xlsx&amp;sheet=A0&amp;row=261&amp;col=16&amp;number=8712.7&amp;sourceID=12","8712.7")</f>
        <v>8712.7</v>
      </c>
      <c r="Q261" s="4" t="str">
        <f>HYPERLINK("http://141.218.60.56/~jnz1568/getInfo.php?workbook=09_01.xlsx&amp;sheet=A0&amp;row=261&amp;col=17&amp;number=&amp;sourceID=12","")</f>
        <v/>
      </c>
      <c r="R261" s="4" t="str">
        <f>HYPERLINK("http://141.218.60.56/~jnz1568/getInfo.php?workbook=09_01.xlsx&amp;sheet=A0&amp;row=261&amp;col=18&amp;number=0.0010483&amp;sourceID=12","0.0010483")</f>
        <v>0.0010483</v>
      </c>
      <c r="S261" s="4" t="str">
        <f>HYPERLINK("http://141.218.60.56/~jnz1568/getInfo.php?workbook=09_01.xlsx&amp;sheet=A0&amp;row=261&amp;col=19&amp;number=&amp;sourceID=12","")</f>
        <v/>
      </c>
      <c r="T261" s="4" t="str">
        <f>HYPERLINK("http://141.218.60.56/~jnz1568/getInfo.php?workbook=09_01.xlsx&amp;sheet=A0&amp;row=261&amp;col=20&amp;number=6.5168e-07&amp;sourceID=12","6.5168e-07")</f>
        <v>6.5168e-07</v>
      </c>
      <c r="U261" s="4" t="str">
        <f>HYPERLINK("http://141.218.60.56/~jnz1568/getInfo.php?workbook=09_01.xlsx&amp;sheet=A0&amp;row=261&amp;col=21&amp;number=8713.001049&amp;sourceID=30","8713.001049")</f>
        <v>8713.001049</v>
      </c>
      <c r="V261" s="4" t="str">
        <f>HYPERLINK("http://141.218.60.56/~jnz1568/getInfo.php?workbook=09_01.xlsx&amp;sheet=A0&amp;row=261&amp;col=22&amp;number=&amp;sourceID=30","")</f>
        <v/>
      </c>
      <c r="W261" s="4" t="str">
        <f>HYPERLINK("http://141.218.60.56/~jnz1568/getInfo.php?workbook=09_01.xlsx&amp;sheet=A0&amp;row=261&amp;col=23&amp;number=8713&amp;sourceID=30","8713")</f>
        <v>8713</v>
      </c>
      <c r="X261" s="4" t="str">
        <f>HYPERLINK("http://141.218.60.56/~jnz1568/getInfo.php?workbook=09_01.xlsx&amp;sheet=A0&amp;row=261&amp;col=24&amp;number=0.001049&amp;sourceID=30","0.001049")</f>
        <v>0.001049</v>
      </c>
      <c r="Y261" s="4" t="str">
        <f>HYPERLINK("http://141.218.60.56/~jnz1568/getInfo.php?workbook=09_01.xlsx&amp;sheet=A0&amp;row=261&amp;col=25&amp;number=&amp;sourceID=30","")</f>
        <v/>
      </c>
      <c r="Z261" s="4" t="str">
        <f>HYPERLINK("http://141.218.60.56/~jnz1568/getInfo.php?workbook=09_01.xlsx&amp;sheet=A0&amp;row=261&amp;col=26&amp;number=&amp;sourceID=13","")</f>
        <v/>
      </c>
      <c r="AA261" s="4" t="str">
        <f>HYPERLINK("http://141.218.60.56/~jnz1568/getInfo.php?workbook=09_01.xlsx&amp;sheet=A0&amp;row=261&amp;col=27&amp;number=&amp;sourceID=13","")</f>
        <v/>
      </c>
      <c r="AB261" s="4" t="str">
        <f>HYPERLINK("http://141.218.60.56/~jnz1568/getInfo.php?workbook=09_01.xlsx&amp;sheet=A0&amp;row=261&amp;col=28&amp;number=&amp;sourceID=13","")</f>
        <v/>
      </c>
      <c r="AC261" s="4" t="str">
        <f>HYPERLINK("http://141.218.60.56/~jnz1568/getInfo.php?workbook=09_01.xlsx&amp;sheet=A0&amp;row=261&amp;col=29&amp;number=&amp;sourceID=13","")</f>
        <v/>
      </c>
      <c r="AD261" s="4" t="str">
        <f>HYPERLINK("http://141.218.60.56/~jnz1568/getInfo.php?workbook=09_01.xlsx&amp;sheet=A0&amp;row=261&amp;col=30&amp;number=&amp;sourceID=13","")</f>
        <v/>
      </c>
      <c r="AE261" s="4" t="str">
        <f>HYPERLINK("http://141.218.60.56/~jnz1568/getInfo.php?workbook=09_01.xlsx&amp;sheet=A0&amp;row=261&amp;col=31&amp;number=&amp;sourceID=13","")</f>
        <v/>
      </c>
    </row>
    <row r="262" spans="1:31">
      <c r="A262" s="3">
        <v>9</v>
      </c>
      <c r="B262" s="3">
        <v>1</v>
      </c>
      <c r="C262" s="3">
        <v>24</v>
      </c>
      <c r="D262" s="3">
        <v>15</v>
      </c>
      <c r="E262" s="3">
        <f>((1/(INDEX(E0!J$4:J$28,C262,1)-INDEX(E0!J$4:J$28,D262,1))))*100000000</f>
        <v>0</v>
      </c>
      <c r="F262" s="4" t="str">
        <f>HYPERLINK("http://141.218.60.56/~jnz1568/getInfo.php?workbook=09_01.xlsx&amp;sheet=A0&amp;row=262&amp;col=6&amp;number=&amp;sourceID=18","")</f>
        <v/>
      </c>
      <c r="G262" s="4" t="str">
        <f>HYPERLINK("http://141.218.60.56/~jnz1568/getInfo.php?workbook=09_01.xlsx&amp;sheet=A0&amp;row=262&amp;col=7&amp;number==&amp;sourceID=11","=")</f>
        <v>=</v>
      </c>
      <c r="H262" s="4" t="str">
        <f>HYPERLINK("http://141.218.60.56/~jnz1568/getInfo.php?workbook=09_01.xlsx&amp;sheet=A0&amp;row=262&amp;col=8&amp;number=16965000000&amp;sourceID=11","16965000000")</f>
        <v>16965000000</v>
      </c>
      <c r="I262" s="4" t="str">
        <f>HYPERLINK("http://141.218.60.56/~jnz1568/getInfo.php?workbook=09_01.xlsx&amp;sheet=A0&amp;row=262&amp;col=9&amp;number=&amp;sourceID=11","")</f>
        <v/>
      </c>
      <c r="J262" s="4" t="str">
        <f>HYPERLINK("http://141.218.60.56/~jnz1568/getInfo.php?workbook=09_01.xlsx&amp;sheet=A0&amp;row=262&amp;col=10&amp;number=2.574&amp;sourceID=11","2.574")</f>
        <v>2.574</v>
      </c>
      <c r="K262" s="4" t="str">
        <f>HYPERLINK("http://141.218.60.56/~jnz1568/getInfo.php?workbook=09_01.xlsx&amp;sheet=A0&amp;row=262&amp;col=11&amp;number=&amp;sourceID=11","")</f>
        <v/>
      </c>
      <c r="L262" s="4" t="str">
        <f>HYPERLINK("http://141.218.60.56/~jnz1568/getInfo.php?workbook=09_01.xlsx&amp;sheet=A0&amp;row=262&amp;col=12&amp;number=14.688&amp;sourceID=11","14.688")</f>
        <v>14.688</v>
      </c>
      <c r="M262" s="4" t="str">
        <f>HYPERLINK("http://141.218.60.56/~jnz1568/getInfo.php?workbook=09_01.xlsx&amp;sheet=A0&amp;row=262&amp;col=13&amp;number=&amp;sourceID=11","")</f>
        <v/>
      </c>
      <c r="N262" s="4" t="str">
        <f>HYPERLINK("http://141.218.60.56/~jnz1568/getInfo.php?workbook=09_01.xlsx&amp;sheet=A0&amp;row=262&amp;col=14&amp;number=16966000000&amp;sourceID=12","16966000000")</f>
        <v>16966000000</v>
      </c>
      <c r="O262" s="4" t="str">
        <f>HYPERLINK("http://141.218.60.56/~jnz1568/getInfo.php?workbook=09_01.xlsx&amp;sheet=A0&amp;row=262&amp;col=15&amp;number=16966000000&amp;sourceID=12","16966000000")</f>
        <v>16966000000</v>
      </c>
      <c r="P262" s="4" t="str">
        <f>HYPERLINK("http://141.218.60.56/~jnz1568/getInfo.php?workbook=09_01.xlsx&amp;sheet=A0&amp;row=262&amp;col=16&amp;number=&amp;sourceID=12","")</f>
        <v/>
      </c>
      <c r="Q262" s="4" t="str">
        <f>HYPERLINK("http://141.218.60.56/~jnz1568/getInfo.php?workbook=09_01.xlsx&amp;sheet=A0&amp;row=262&amp;col=17&amp;number=2.574&amp;sourceID=12","2.574")</f>
        <v>2.574</v>
      </c>
      <c r="R262" s="4" t="str">
        <f>HYPERLINK("http://141.218.60.56/~jnz1568/getInfo.php?workbook=09_01.xlsx&amp;sheet=A0&amp;row=262&amp;col=18&amp;number=&amp;sourceID=12","")</f>
        <v/>
      </c>
      <c r="S262" s="4" t="str">
        <f>HYPERLINK("http://141.218.60.56/~jnz1568/getInfo.php?workbook=09_01.xlsx&amp;sheet=A0&amp;row=262&amp;col=19&amp;number=14.689&amp;sourceID=12","14.689")</f>
        <v>14.689</v>
      </c>
      <c r="T262" s="4" t="str">
        <f>HYPERLINK("http://141.218.60.56/~jnz1568/getInfo.php?workbook=09_01.xlsx&amp;sheet=A0&amp;row=262&amp;col=20&amp;number=&amp;sourceID=12","")</f>
        <v/>
      </c>
      <c r="U262" s="4" t="str">
        <f>HYPERLINK("http://141.218.60.56/~jnz1568/getInfo.php?workbook=09_01.xlsx&amp;sheet=A0&amp;row=262&amp;col=21&amp;number=16970000014.7&amp;sourceID=30","16970000014.7")</f>
        <v>16970000014.7</v>
      </c>
      <c r="V262" s="4" t="str">
        <f>HYPERLINK("http://141.218.60.56/~jnz1568/getInfo.php?workbook=09_01.xlsx&amp;sheet=A0&amp;row=262&amp;col=22&amp;number=16970000000&amp;sourceID=30","16970000000")</f>
        <v>16970000000</v>
      </c>
      <c r="W262" s="4" t="str">
        <f>HYPERLINK("http://141.218.60.56/~jnz1568/getInfo.php?workbook=09_01.xlsx&amp;sheet=A0&amp;row=262&amp;col=23&amp;number=&amp;sourceID=30","")</f>
        <v/>
      </c>
      <c r="X262" s="4" t="str">
        <f>HYPERLINK("http://141.218.60.56/~jnz1568/getInfo.php?workbook=09_01.xlsx&amp;sheet=A0&amp;row=262&amp;col=24&amp;number=&amp;sourceID=30","")</f>
        <v/>
      </c>
      <c r="Y262" s="4" t="str">
        <f>HYPERLINK("http://141.218.60.56/~jnz1568/getInfo.php?workbook=09_01.xlsx&amp;sheet=A0&amp;row=262&amp;col=25&amp;number=14.69&amp;sourceID=30","14.69")</f>
        <v>14.69</v>
      </c>
      <c r="Z262" s="4" t="str">
        <f>HYPERLINK("http://141.218.60.56/~jnz1568/getInfo.php?workbook=09_01.xlsx&amp;sheet=A0&amp;row=262&amp;col=26&amp;number=&amp;sourceID=13","")</f>
        <v/>
      </c>
      <c r="AA262" s="4" t="str">
        <f>HYPERLINK("http://141.218.60.56/~jnz1568/getInfo.php?workbook=09_01.xlsx&amp;sheet=A0&amp;row=262&amp;col=27&amp;number=&amp;sourceID=13","")</f>
        <v/>
      </c>
      <c r="AB262" s="4" t="str">
        <f>HYPERLINK("http://141.218.60.56/~jnz1568/getInfo.php?workbook=09_01.xlsx&amp;sheet=A0&amp;row=262&amp;col=28&amp;number=&amp;sourceID=13","")</f>
        <v/>
      </c>
      <c r="AC262" s="4" t="str">
        <f>HYPERLINK("http://141.218.60.56/~jnz1568/getInfo.php?workbook=09_01.xlsx&amp;sheet=A0&amp;row=262&amp;col=29&amp;number=&amp;sourceID=13","")</f>
        <v/>
      </c>
      <c r="AD262" s="4" t="str">
        <f>HYPERLINK("http://141.218.60.56/~jnz1568/getInfo.php?workbook=09_01.xlsx&amp;sheet=A0&amp;row=262&amp;col=30&amp;number=&amp;sourceID=13","")</f>
        <v/>
      </c>
      <c r="AE262" s="4" t="str">
        <f>HYPERLINK("http://141.218.60.56/~jnz1568/getInfo.php?workbook=09_01.xlsx&amp;sheet=A0&amp;row=262&amp;col=31&amp;number=&amp;sourceID=13","")</f>
        <v/>
      </c>
    </row>
    <row r="263" spans="1:31">
      <c r="A263" s="3">
        <v>9</v>
      </c>
      <c r="B263" s="3">
        <v>1</v>
      </c>
      <c r="C263" s="3">
        <v>24</v>
      </c>
      <c r="D263" s="3">
        <v>16</v>
      </c>
      <c r="E263" s="3">
        <f>((1/(INDEX(E0!J$4:J$28,C263,1)-INDEX(E0!J$4:J$28,D263,1))))*100000000</f>
        <v>0</v>
      </c>
      <c r="F263" s="4" t="str">
        <f>HYPERLINK("http://141.218.60.56/~jnz1568/getInfo.php?workbook=09_01.xlsx&amp;sheet=A0&amp;row=263&amp;col=6&amp;number=&amp;sourceID=18","")</f>
        <v/>
      </c>
      <c r="G263" s="4" t="str">
        <f>HYPERLINK("http://141.218.60.56/~jnz1568/getInfo.php?workbook=09_01.xlsx&amp;sheet=A0&amp;row=263&amp;col=7&amp;number==&amp;sourceID=11","=")</f>
        <v>=</v>
      </c>
      <c r="H263" s="4" t="str">
        <f>HYPERLINK("http://141.218.60.56/~jnz1568/getInfo.php?workbook=09_01.xlsx&amp;sheet=A0&amp;row=263&amp;col=8&amp;number=&amp;sourceID=11","")</f>
        <v/>
      </c>
      <c r="I263" s="4" t="str">
        <f>HYPERLINK("http://141.218.60.56/~jnz1568/getInfo.php?workbook=09_01.xlsx&amp;sheet=A0&amp;row=263&amp;col=9&amp;number=72582&amp;sourceID=11","72582")</f>
        <v>72582</v>
      </c>
      <c r="J263" s="4" t="str">
        <f>HYPERLINK("http://141.218.60.56/~jnz1568/getInfo.php?workbook=09_01.xlsx&amp;sheet=A0&amp;row=263&amp;col=10&amp;number=&amp;sourceID=11","")</f>
        <v/>
      </c>
      <c r="K263" s="4" t="str">
        <f>HYPERLINK("http://141.218.60.56/~jnz1568/getInfo.php?workbook=09_01.xlsx&amp;sheet=A0&amp;row=263&amp;col=11&amp;number=0.01054&amp;sourceID=11","0.01054")</f>
        <v>0.01054</v>
      </c>
      <c r="L263" s="4" t="str">
        <f>HYPERLINK("http://141.218.60.56/~jnz1568/getInfo.php?workbook=09_01.xlsx&amp;sheet=A0&amp;row=263&amp;col=12&amp;number=&amp;sourceID=11","")</f>
        <v/>
      </c>
      <c r="M263" s="4" t="str">
        <f>HYPERLINK("http://141.218.60.56/~jnz1568/getInfo.php?workbook=09_01.xlsx&amp;sheet=A0&amp;row=263&amp;col=13&amp;number=8.5949e-05&amp;sourceID=11","8.5949e-05")</f>
        <v>8.5949e-05</v>
      </c>
      <c r="N263" s="4" t="str">
        <f>HYPERLINK("http://141.218.60.56/~jnz1568/getInfo.php?workbook=09_01.xlsx&amp;sheet=A0&amp;row=263&amp;col=14&amp;number=72584&amp;sourceID=12","72584")</f>
        <v>72584</v>
      </c>
      <c r="O263" s="4" t="str">
        <f>HYPERLINK("http://141.218.60.56/~jnz1568/getInfo.php?workbook=09_01.xlsx&amp;sheet=A0&amp;row=263&amp;col=15&amp;number=&amp;sourceID=12","")</f>
        <v/>
      </c>
      <c r="P263" s="4" t="str">
        <f>HYPERLINK("http://141.218.60.56/~jnz1568/getInfo.php?workbook=09_01.xlsx&amp;sheet=A0&amp;row=263&amp;col=16&amp;number=72584&amp;sourceID=12","72584")</f>
        <v>72584</v>
      </c>
      <c r="Q263" s="4" t="str">
        <f>HYPERLINK("http://141.218.60.56/~jnz1568/getInfo.php?workbook=09_01.xlsx&amp;sheet=A0&amp;row=263&amp;col=17&amp;number=&amp;sourceID=12","")</f>
        <v/>
      </c>
      <c r="R263" s="4" t="str">
        <f>HYPERLINK("http://141.218.60.56/~jnz1568/getInfo.php?workbook=09_01.xlsx&amp;sheet=A0&amp;row=263&amp;col=18&amp;number=0.010541&amp;sourceID=12","0.010541")</f>
        <v>0.010541</v>
      </c>
      <c r="S263" s="4" t="str">
        <f>HYPERLINK("http://141.218.60.56/~jnz1568/getInfo.php?workbook=09_01.xlsx&amp;sheet=A0&amp;row=263&amp;col=19&amp;number=&amp;sourceID=12","")</f>
        <v/>
      </c>
      <c r="T263" s="4" t="str">
        <f>HYPERLINK("http://141.218.60.56/~jnz1568/getInfo.php?workbook=09_01.xlsx&amp;sheet=A0&amp;row=263&amp;col=20&amp;number=8.5952e-05&amp;sourceID=12","8.5952e-05")</f>
        <v>8.5952e-05</v>
      </c>
      <c r="U263" s="4" t="str">
        <f>HYPERLINK("http://141.218.60.56/~jnz1568/getInfo.php?workbook=09_01.xlsx&amp;sheet=A0&amp;row=263&amp;col=21&amp;number=72580.01054&amp;sourceID=30","72580.01054")</f>
        <v>72580.01054</v>
      </c>
      <c r="V263" s="4" t="str">
        <f>HYPERLINK("http://141.218.60.56/~jnz1568/getInfo.php?workbook=09_01.xlsx&amp;sheet=A0&amp;row=263&amp;col=22&amp;number=&amp;sourceID=30","")</f>
        <v/>
      </c>
      <c r="W263" s="4" t="str">
        <f>HYPERLINK("http://141.218.60.56/~jnz1568/getInfo.php?workbook=09_01.xlsx&amp;sheet=A0&amp;row=263&amp;col=23&amp;number=72580&amp;sourceID=30","72580")</f>
        <v>72580</v>
      </c>
      <c r="X263" s="4" t="str">
        <f>HYPERLINK("http://141.218.60.56/~jnz1568/getInfo.php?workbook=09_01.xlsx&amp;sheet=A0&amp;row=263&amp;col=24&amp;number=0.01054&amp;sourceID=30","0.01054")</f>
        <v>0.01054</v>
      </c>
      <c r="Y263" s="4" t="str">
        <f>HYPERLINK("http://141.218.60.56/~jnz1568/getInfo.php?workbook=09_01.xlsx&amp;sheet=A0&amp;row=263&amp;col=25&amp;number=&amp;sourceID=30","")</f>
        <v/>
      </c>
      <c r="Z263" s="4" t="str">
        <f>HYPERLINK("http://141.218.60.56/~jnz1568/getInfo.php?workbook=09_01.xlsx&amp;sheet=A0&amp;row=263&amp;col=26&amp;number=&amp;sourceID=13","")</f>
        <v/>
      </c>
      <c r="AA263" s="4" t="str">
        <f>HYPERLINK("http://141.218.60.56/~jnz1568/getInfo.php?workbook=09_01.xlsx&amp;sheet=A0&amp;row=263&amp;col=27&amp;number=&amp;sourceID=13","")</f>
        <v/>
      </c>
      <c r="AB263" s="4" t="str">
        <f>HYPERLINK("http://141.218.60.56/~jnz1568/getInfo.php?workbook=09_01.xlsx&amp;sheet=A0&amp;row=263&amp;col=28&amp;number=&amp;sourceID=13","")</f>
        <v/>
      </c>
      <c r="AC263" s="4" t="str">
        <f>HYPERLINK("http://141.218.60.56/~jnz1568/getInfo.php?workbook=09_01.xlsx&amp;sheet=A0&amp;row=263&amp;col=29&amp;number=&amp;sourceID=13","")</f>
        <v/>
      </c>
      <c r="AD263" s="4" t="str">
        <f>HYPERLINK("http://141.218.60.56/~jnz1568/getInfo.php?workbook=09_01.xlsx&amp;sheet=A0&amp;row=263&amp;col=30&amp;number=&amp;sourceID=13","")</f>
        <v/>
      </c>
      <c r="AE263" s="4" t="str">
        <f>HYPERLINK("http://141.218.60.56/~jnz1568/getInfo.php?workbook=09_01.xlsx&amp;sheet=A0&amp;row=263&amp;col=31&amp;number=&amp;sourceID=13","")</f>
        <v/>
      </c>
    </row>
    <row r="264" spans="1:31">
      <c r="A264" s="3">
        <v>9</v>
      </c>
      <c r="B264" s="3">
        <v>1</v>
      </c>
      <c r="C264" s="3">
        <v>24</v>
      </c>
      <c r="D264" s="3">
        <v>17</v>
      </c>
      <c r="E264" s="3">
        <f>((1/(INDEX(E0!J$4:J$28,C264,1)-INDEX(E0!J$4:J$28,D264,1))))*100000000</f>
        <v>0</v>
      </c>
      <c r="F264" s="4" t="str">
        <f>HYPERLINK("http://141.218.60.56/~jnz1568/getInfo.php?workbook=09_01.xlsx&amp;sheet=A0&amp;row=264&amp;col=6&amp;number=&amp;sourceID=18","")</f>
        <v/>
      </c>
      <c r="G264" s="4" t="str">
        <f>HYPERLINK("http://141.218.60.56/~jnz1568/getInfo.php?workbook=09_01.xlsx&amp;sheet=A0&amp;row=264&amp;col=7&amp;number==&amp;sourceID=11","=")</f>
        <v>=</v>
      </c>
      <c r="H264" s="4" t="str">
        <f>HYPERLINK("http://141.218.60.56/~jnz1568/getInfo.php?workbook=09_01.xlsx&amp;sheet=A0&amp;row=264&amp;col=8&amp;number=&amp;sourceID=11","")</f>
        <v/>
      </c>
      <c r="I264" s="4" t="str">
        <f>HYPERLINK("http://141.218.60.56/~jnz1568/getInfo.php?workbook=09_01.xlsx&amp;sheet=A0&amp;row=264&amp;col=9&amp;number=&amp;sourceID=11","")</f>
        <v/>
      </c>
      <c r="J264" s="4" t="str">
        <f>HYPERLINK("http://141.218.60.56/~jnz1568/getInfo.php?workbook=09_01.xlsx&amp;sheet=A0&amp;row=264&amp;col=10&amp;number=&amp;sourceID=11","")</f>
        <v/>
      </c>
      <c r="K264" s="4" t="str">
        <f>HYPERLINK("http://141.218.60.56/~jnz1568/getInfo.php?workbook=09_01.xlsx&amp;sheet=A0&amp;row=264&amp;col=11&amp;number=&amp;sourceID=11","")</f>
        <v/>
      </c>
      <c r="L264" s="4" t="str">
        <f>HYPERLINK("http://141.218.60.56/~jnz1568/getInfo.php?workbook=09_01.xlsx&amp;sheet=A0&amp;row=264&amp;col=12&amp;number=&amp;sourceID=11","")</f>
        <v/>
      </c>
      <c r="M264" s="4" t="str">
        <f>HYPERLINK("http://141.218.60.56/~jnz1568/getInfo.php?workbook=09_01.xlsx&amp;sheet=A0&amp;row=264&amp;col=13&amp;number=0&amp;sourceID=11","0")</f>
        <v>0</v>
      </c>
      <c r="N264" s="4" t="str">
        <f>HYPERLINK("http://141.218.60.56/~jnz1568/getInfo.php?workbook=09_01.xlsx&amp;sheet=A0&amp;row=264&amp;col=14&amp;number=0&amp;sourceID=12","0")</f>
        <v>0</v>
      </c>
      <c r="O264" s="4" t="str">
        <f>HYPERLINK("http://141.218.60.56/~jnz1568/getInfo.php?workbook=09_01.xlsx&amp;sheet=A0&amp;row=264&amp;col=15&amp;number=&amp;sourceID=12","")</f>
        <v/>
      </c>
      <c r="P264" s="4" t="str">
        <f>HYPERLINK("http://141.218.60.56/~jnz1568/getInfo.php?workbook=09_01.xlsx&amp;sheet=A0&amp;row=264&amp;col=16&amp;number=&amp;sourceID=12","")</f>
        <v/>
      </c>
      <c r="Q264" s="4" t="str">
        <f>HYPERLINK("http://141.218.60.56/~jnz1568/getInfo.php?workbook=09_01.xlsx&amp;sheet=A0&amp;row=264&amp;col=17&amp;number=&amp;sourceID=12","")</f>
        <v/>
      </c>
      <c r="R264" s="4" t="str">
        <f>HYPERLINK("http://141.218.60.56/~jnz1568/getInfo.php?workbook=09_01.xlsx&amp;sheet=A0&amp;row=264&amp;col=18&amp;number=&amp;sourceID=12","")</f>
        <v/>
      </c>
      <c r="S264" s="4" t="str">
        <f>HYPERLINK("http://141.218.60.56/~jnz1568/getInfo.php?workbook=09_01.xlsx&amp;sheet=A0&amp;row=264&amp;col=19&amp;number=&amp;sourceID=12","")</f>
        <v/>
      </c>
      <c r="T264" s="4" t="str">
        <f>HYPERLINK("http://141.218.60.56/~jnz1568/getInfo.php?workbook=09_01.xlsx&amp;sheet=A0&amp;row=264&amp;col=20&amp;number=0&amp;sourceID=12","0")</f>
        <v>0</v>
      </c>
      <c r="U264" s="4" t="str">
        <f>HYPERLINK("http://141.218.60.56/~jnz1568/getInfo.php?workbook=09_01.xlsx&amp;sheet=A0&amp;row=264&amp;col=21&amp;number=&amp;sourceID=30","")</f>
        <v/>
      </c>
      <c r="V264" s="4" t="str">
        <f>HYPERLINK("http://141.218.60.56/~jnz1568/getInfo.php?workbook=09_01.xlsx&amp;sheet=A0&amp;row=264&amp;col=22&amp;number=&amp;sourceID=30","")</f>
        <v/>
      </c>
      <c r="W264" s="4" t="str">
        <f>HYPERLINK("http://141.218.60.56/~jnz1568/getInfo.php?workbook=09_01.xlsx&amp;sheet=A0&amp;row=264&amp;col=23&amp;number=&amp;sourceID=30","")</f>
        <v/>
      </c>
      <c r="X264" s="4" t="str">
        <f>HYPERLINK("http://141.218.60.56/~jnz1568/getInfo.php?workbook=09_01.xlsx&amp;sheet=A0&amp;row=264&amp;col=24&amp;number=&amp;sourceID=30","")</f>
        <v/>
      </c>
      <c r="Y264" s="4" t="str">
        <f>HYPERLINK("http://141.218.60.56/~jnz1568/getInfo.php?workbook=09_01.xlsx&amp;sheet=A0&amp;row=264&amp;col=25&amp;number=&amp;sourceID=30","")</f>
        <v/>
      </c>
      <c r="Z264" s="4" t="str">
        <f>HYPERLINK("http://141.218.60.56/~jnz1568/getInfo.php?workbook=09_01.xlsx&amp;sheet=A0&amp;row=264&amp;col=26&amp;number=&amp;sourceID=13","")</f>
        <v/>
      </c>
      <c r="AA264" s="4" t="str">
        <f>HYPERLINK("http://141.218.60.56/~jnz1568/getInfo.php?workbook=09_01.xlsx&amp;sheet=A0&amp;row=264&amp;col=27&amp;number=&amp;sourceID=13","")</f>
        <v/>
      </c>
      <c r="AB264" s="4" t="str">
        <f>HYPERLINK("http://141.218.60.56/~jnz1568/getInfo.php?workbook=09_01.xlsx&amp;sheet=A0&amp;row=264&amp;col=28&amp;number=&amp;sourceID=13","")</f>
        <v/>
      </c>
      <c r="AC264" s="4" t="str">
        <f>HYPERLINK("http://141.218.60.56/~jnz1568/getInfo.php?workbook=09_01.xlsx&amp;sheet=A0&amp;row=264&amp;col=29&amp;number=&amp;sourceID=13","")</f>
        <v/>
      </c>
      <c r="AD264" s="4" t="str">
        <f>HYPERLINK("http://141.218.60.56/~jnz1568/getInfo.php?workbook=09_01.xlsx&amp;sheet=A0&amp;row=264&amp;col=30&amp;number=&amp;sourceID=13","")</f>
        <v/>
      </c>
      <c r="AE264" s="4" t="str">
        <f>HYPERLINK("http://141.218.60.56/~jnz1568/getInfo.php?workbook=09_01.xlsx&amp;sheet=A0&amp;row=264&amp;col=31&amp;number=&amp;sourceID=13","")</f>
        <v/>
      </c>
    </row>
    <row r="265" spans="1:31">
      <c r="A265" s="3">
        <v>9</v>
      </c>
      <c r="B265" s="3">
        <v>1</v>
      </c>
      <c r="C265" s="3">
        <v>24</v>
      </c>
      <c r="D265" s="3">
        <v>18</v>
      </c>
      <c r="E265" s="3">
        <f>((1/(INDEX(E0!J$4:J$28,C265,1)-INDEX(E0!J$4:J$28,D265,1))))*100000000</f>
        <v>0</v>
      </c>
      <c r="F265" s="4" t="str">
        <f>HYPERLINK("http://141.218.60.56/~jnz1568/getInfo.php?workbook=09_01.xlsx&amp;sheet=A0&amp;row=265&amp;col=6&amp;number=&amp;sourceID=18","")</f>
        <v/>
      </c>
      <c r="G265" s="4" t="str">
        <f>HYPERLINK("http://141.218.60.56/~jnz1568/getInfo.php?workbook=09_01.xlsx&amp;sheet=A0&amp;row=265&amp;col=7&amp;number==&amp;sourceID=11","=")</f>
        <v>=</v>
      </c>
      <c r="H265" s="4" t="str">
        <f>HYPERLINK("http://141.218.60.56/~jnz1568/getInfo.php?workbook=09_01.xlsx&amp;sheet=A0&amp;row=265&amp;col=8&amp;number=&amp;sourceID=11","")</f>
        <v/>
      </c>
      <c r="I265" s="4" t="str">
        <f>HYPERLINK("http://141.218.60.56/~jnz1568/getInfo.php?workbook=09_01.xlsx&amp;sheet=A0&amp;row=265&amp;col=9&amp;number=&amp;sourceID=11","")</f>
        <v/>
      </c>
      <c r="J265" s="4" t="str">
        <f>HYPERLINK("http://141.218.60.56/~jnz1568/getInfo.php?workbook=09_01.xlsx&amp;sheet=A0&amp;row=265&amp;col=10&amp;number=0&amp;sourceID=11","0")</f>
        <v>0</v>
      </c>
      <c r="K265" s="4" t="str">
        <f>HYPERLINK("http://141.218.60.56/~jnz1568/getInfo.php?workbook=09_01.xlsx&amp;sheet=A0&amp;row=265&amp;col=11&amp;number=&amp;sourceID=11","")</f>
        <v/>
      </c>
      <c r="L265" s="4" t="str">
        <f>HYPERLINK("http://141.218.60.56/~jnz1568/getInfo.php?workbook=09_01.xlsx&amp;sheet=A0&amp;row=265&amp;col=12&amp;number=&amp;sourceID=11","")</f>
        <v/>
      </c>
      <c r="M265" s="4" t="str">
        <f>HYPERLINK("http://141.218.60.56/~jnz1568/getInfo.php?workbook=09_01.xlsx&amp;sheet=A0&amp;row=265&amp;col=13&amp;number=&amp;sourceID=11","")</f>
        <v/>
      </c>
      <c r="N265" s="4" t="str">
        <f>HYPERLINK("http://141.218.60.56/~jnz1568/getInfo.php?workbook=09_01.xlsx&amp;sheet=A0&amp;row=265&amp;col=14&amp;number=0&amp;sourceID=12","0")</f>
        <v>0</v>
      </c>
      <c r="O265" s="4" t="str">
        <f>HYPERLINK("http://141.218.60.56/~jnz1568/getInfo.php?workbook=09_01.xlsx&amp;sheet=A0&amp;row=265&amp;col=15&amp;number=&amp;sourceID=12","")</f>
        <v/>
      </c>
      <c r="P265" s="4" t="str">
        <f>HYPERLINK("http://141.218.60.56/~jnz1568/getInfo.php?workbook=09_01.xlsx&amp;sheet=A0&amp;row=265&amp;col=16&amp;number=&amp;sourceID=12","")</f>
        <v/>
      </c>
      <c r="Q265" s="4" t="str">
        <f>HYPERLINK("http://141.218.60.56/~jnz1568/getInfo.php?workbook=09_01.xlsx&amp;sheet=A0&amp;row=265&amp;col=17&amp;number=0&amp;sourceID=12","0")</f>
        <v>0</v>
      </c>
      <c r="R265" s="4" t="str">
        <f>HYPERLINK("http://141.218.60.56/~jnz1568/getInfo.php?workbook=09_01.xlsx&amp;sheet=A0&amp;row=265&amp;col=18&amp;number=&amp;sourceID=12","")</f>
        <v/>
      </c>
      <c r="S265" s="4" t="str">
        <f>HYPERLINK("http://141.218.60.56/~jnz1568/getInfo.php?workbook=09_01.xlsx&amp;sheet=A0&amp;row=265&amp;col=19&amp;number=&amp;sourceID=12","")</f>
        <v/>
      </c>
      <c r="T265" s="4" t="str">
        <f>HYPERLINK("http://141.218.60.56/~jnz1568/getInfo.php?workbook=09_01.xlsx&amp;sheet=A0&amp;row=265&amp;col=20&amp;number=&amp;sourceID=12","")</f>
        <v/>
      </c>
      <c r="U265" s="4" t="str">
        <f>HYPERLINK("http://141.218.60.56/~jnz1568/getInfo.php?workbook=09_01.xlsx&amp;sheet=A0&amp;row=265&amp;col=21&amp;number=&amp;sourceID=30","")</f>
        <v/>
      </c>
      <c r="V265" s="4" t="str">
        <f>HYPERLINK("http://141.218.60.56/~jnz1568/getInfo.php?workbook=09_01.xlsx&amp;sheet=A0&amp;row=265&amp;col=22&amp;number=&amp;sourceID=30","")</f>
        <v/>
      </c>
      <c r="W265" s="4" t="str">
        <f>HYPERLINK("http://141.218.60.56/~jnz1568/getInfo.php?workbook=09_01.xlsx&amp;sheet=A0&amp;row=265&amp;col=23&amp;number=&amp;sourceID=30","")</f>
        <v/>
      </c>
      <c r="X265" s="4" t="str">
        <f>HYPERLINK("http://141.218.60.56/~jnz1568/getInfo.php?workbook=09_01.xlsx&amp;sheet=A0&amp;row=265&amp;col=24&amp;number=&amp;sourceID=30","")</f>
        <v/>
      </c>
      <c r="Y265" s="4" t="str">
        <f>HYPERLINK("http://141.218.60.56/~jnz1568/getInfo.php?workbook=09_01.xlsx&amp;sheet=A0&amp;row=265&amp;col=25&amp;number=&amp;sourceID=30","")</f>
        <v/>
      </c>
      <c r="Z265" s="4" t="str">
        <f>HYPERLINK("http://141.218.60.56/~jnz1568/getInfo.php?workbook=09_01.xlsx&amp;sheet=A0&amp;row=265&amp;col=26&amp;number=&amp;sourceID=13","")</f>
        <v/>
      </c>
      <c r="AA265" s="4" t="str">
        <f>HYPERLINK("http://141.218.60.56/~jnz1568/getInfo.php?workbook=09_01.xlsx&amp;sheet=A0&amp;row=265&amp;col=27&amp;number=&amp;sourceID=13","")</f>
        <v/>
      </c>
      <c r="AB265" s="4" t="str">
        <f>HYPERLINK("http://141.218.60.56/~jnz1568/getInfo.php?workbook=09_01.xlsx&amp;sheet=A0&amp;row=265&amp;col=28&amp;number=&amp;sourceID=13","")</f>
        <v/>
      </c>
      <c r="AC265" s="4" t="str">
        <f>HYPERLINK("http://141.218.60.56/~jnz1568/getInfo.php?workbook=09_01.xlsx&amp;sheet=A0&amp;row=265&amp;col=29&amp;number=&amp;sourceID=13","")</f>
        <v/>
      </c>
      <c r="AD265" s="4" t="str">
        <f>HYPERLINK("http://141.218.60.56/~jnz1568/getInfo.php?workbook=09_01.xlsx&amp;sheet=A0&amp;row=265&amp;col=30&amp;number=&amp;sourceID=13","")</f>
        <v/>
      </c>
      <c r="AE265" s="4" t="str">
        <f>HYPERLINK("http://141.218.60.56/~jnz1568/getInfo.php?workbook=09_01.xlsx&amp;sheet=A0&amp;row=265&amp;col=31&amp;number=&amp;sourceID=13","")</f>
        <v/>
      </c>
    </row>
    <row r="266" spans="1:31">
      <c r="A266" s="3">
        <v>9</v>
      </c>
      <c r="B266" s="3">
        <v>1</v>
      </c>
      <c r="C266" s="3">
        <v>24</v>
      </c>
      <c r="D266" s="3">
        <v>19</v>
      </c>
      <c r="E266" s="3">
        <f>((1/(INDEX(E0!J$4:J$28,C266,1)-INDEX(E0!J$4:J$28,D266,1))))*100000000</f>
        <v>0</v>
      </c>
      <c r="F266" s="4" t="str">
        <f>HYPERLINK("http://141.218.60.56/~jnz1568/getInfo.php?workbook=09_01.xlsx&amp;sheet=A0&amp;row=266&amp;col=6&amp;number=&amp;sourceID=18","")</f>
        <v/>
      </c>
      <c r="G266" s="4" t="str">
        <f>HYPERLINK("http://141.218.60.56/~jnz1568/getInfo.php?workbook=09_01.xlsx&amp;sheet=A0&amp;row=266&amp;col=7&amp;number==&amp;sourceID=11","=")</f>
        <v>=</v>
      </c>
      <c r="H266" s="4" t="str">
        <f>HYPERLINK("http://141.218.60.56/~jnz1568/getInfo.php?workbook=09_01.xlsx&amp;sheet=A0&amp;row=266&amp;col=8&amp;number=&amp;sourceID=11","")</f>
        <v/>
      </c>
      <c r="I266" s="4" t="str">
        <f>HYPERLINK("http://141.218.60.56/~jnz1568/getInfo.php?workbook=09_01.xlsx&amp;sheet=A0&amp;row=266&amp;col=9&amp;number=&amp;sourceID=11","")</f>
        <v/>
      </c>
      <c r="J266" s="4" t="str">
        <f>HYPERLINK("http://141.218.60.56/~jnz1568/getInfo.php?workbook=09_01.xlsx&amp;sheet=A0&amp;row=266&amp;col=10&amp;number=0&amp;sourceID=11","0")</f>
        <v>0</v>
      </c>
      <c r="K266" s="4" t="str">
        <f>HYPERLINK("http://141.218.60.56/~jnz1568/getInfo.php?workbook=09_01.xlsx&amp;sheet=A0&amp;row=266&amp;col=11&amp;number=&amp;sourceID=11","")</f>
        <v/>
      </c>
      <c r="L266" s="4" t="str">
        <f>HYPERLINK("http://141.218.60.56/~jnz1568/getInfo.php?workbook=09_01.xlsx&amp;sheet=A0&amp;row=266&amp;col=12&amp;number=0&amp;sourceID=11","0")</f>
        <v>0</v>
      </c>
      <c r="M266" s="4" t="str">
        <f>HYPERLINK("http://141.218.60.56/~jnz1568/getInfo.php?workbook=09_01.xlsx&amp;sheet=A0&amp;row=266&amp;col=13&amp;number=&amp;sourceID=11","")</f>
        <v/>
      </c>
      <c r="N266" s="4" t="str">
        <f>HYPERLINK("http://141.218.60.56/~jnz1568/getInfo.php?workbook=09_01.xlsx&amp;sheet=A0&amp;row=266&amp;col=14&amp;number=0&amp;sourceID=12","0")</f>
        <v>0</v>
      </c>
      <c r="O266" s="4" t="str">
        <f>HYPERLINK("http://141.218.60.56/~jnz1568/getInfo.php?workbook=09_01.xlsx&amp;sheet=A0&amp;row=266&amp;col=15&amp;number=&amp;sourceID=12","")</f>
        <v/>
      </c>
      <c r="P266" s="4" t="str">
        <f>HYPERLINK("http://141.218.60.56/~jnz1568/getInfo.php?workbook=09_01.xlsx&amp;sheet=A0&amp;row=266&amp;col=16&amp;number=&amp;sourceID=12","")</f>
        <v/>
      </c>
      <c r="Q266" s="4" t="str">
        <f>HYPERLINK("http://141.218.60.56/~jnz1568/getInfo.php?workbook=09_01.xlsx&amp;sheet=A0&amp;row=266&amp;col=17&amp;number=0&amp;sourceID=12","0")</f>
        <v>0</v>
      </c>
      <c r="R266" s="4" t="str">
        <f>HYPERLINK("http://141.218.60.56/~jnz1568/getInfo.php?workbook=09_01.xlsx&amp;sheet=A0&amp;row=266&amp;col=18&amp;number=&amp;sourceID=12","")</f>
        <v/>
      </c>
      <c r="S266" s="4" t="str">
        <f>HYPERLINK("http://141.218.60.56/~jnz1568/getInfo.php?workbook=09_01.xlsx&amp;sheet=A0&amp;row=266&amp;col=19&amp;number=0&amp;sourceID=12","0")</f>
        <v>0</v>
      </c>
      <c r="T266" s="4" t="str">
        <f>HYPERLINK("http://141.218.60.56/~jnz1568/getInfo.php?workbook=09_01.xlsx&amp;sheet=A0&amp;row=266&amp;col=20&amp;number=&amp;sourceID=12","")</f>
        <v/>
      </c>
      <c r="U266" s="4" t="str">
        <f>HYPERLINK("http://141.218.60.56/~jnz1568/getInfo.php?workbook=09_01.xlsx&amp;sheet=A0&amp;row=266&amp;col=21&amp;number=0&amp;sourceID=30","0")</f>
        <v>0</v>
      </c>
      <c r="V266" s="4" t="str">
        <f>HYPERLINK("http://141.218.60.56/~jnz1568/getInfo.php?workbook=09_01.xlsx&amp;sheet=A0&amp;row=266&amp;col=22&amp;number=&amp;sourceID=30","")</f>
        <v/>
      </c>
      <c r="W266" s="4" t="str">
        <f>HYPERLINK("http://141.218.60.56/~jnz1568/getInfo.php?workbook=09_01.xlsx&amp;sheet=A0&amp;row=266&amp;col=23&amp;number=&amp;sourceID=30","")</f>
        <v/>
      </c>
      <c r="X266" s="4" t="str">
        <f>HYPERLINK("http://141.218.60.56/~jnz1568/getInfo.php?workbook=09_01.xlsx&amp;sheet=A0&amp;row=266&amp;col=24&amp;number=&amp;sourceID=30","")</f>
        <v/>
      </c>
      <c r="Y266" s="4" t="str">
        <f>HYPERLINK("http://141.218.60.56/~jnz1568/getInfo.php?workbook=09_01.xlsx&amp;sheet=A0&amp;row=266&amp;col=25&amp;number=0&amp;sourceID=30","0")</f>
        <v>0</v>
      </c>
      <c r="Z266" s="4" t="str">
        <f>HYPERLINK("http://141.218.60.56/~jnz1568/getInfo.php?workbook=09_01.xlsx&amp;sheet=A0&amp;row=266&amp;col=26&amp;number=&amp;sourceID=13","")</f>
        <v/>
      </c>
      <c r="AA266" s="4" t="str">
        <f>HYPERLINK("http://141.218.60.56/~jnz1568/getInfo.php?workbook=09_01.xlsx&amp;sheet=A0&amp;row=266&amp;col=27&amp;number=&amp;sourceID=13","")</f>
        <v/>
      </c>
      <c r="AB266" s="4" t="str">
        <f>HYPERLINK("http://141.218.60.56/~jnz1568/getInfo.php?workbook=09_01.xlsx&amp;sheet=A0&amp;row=266&amp;col=28&amp;number=&amp;sourceID=13","")</f>
        <v/>
      </c>
      <c r="AC266" s="4" t="str">
        <f>HYPERLINK("http://141.218.60.56/~jnz1568/getInfo.php?workbook=09_01.xlsx&amp;sheet=A0&amp;row=266&amp;col=29&amp;number=&amp;sourceID=13","")</f>
        <v/>
      </c>
      <c r="AD266" s="4" t="str">
        <f>HYPERLINK("http://141.218.60.56/~jnz1568/getInfo.php?workbook=09_01.xlsx&amp;sheet=A0&amp;row=266&amp;col=30&amp;number=&amp;sourceID=13","")</f>
        <v/>
      </c>
      <c r="AE266" s="4" t="str">
        <f>HYPERLINK("http://141.218.60.56/~jnz1568/getInfo.php?workbook=09_01.xlsx&amp;sheet=A0&amp;row=266&amp;col=31&amp;number=&amp;sourceID=13","")</f>
        <v/>
      </c>
    </row>
    <row r="267" spans="1:31">
      <c r="A267" s="3">
        <v>9</v>
      </c>
      <c r="B267" s="3">
        <v>1</v>
      </c>
      <c r="C267" s="3">
        <v>24</v>
      </c>
      <c r="D267" s="3">
        <v>20</v>
      </c>
      <c r="E267" s="3">
        <f>((1/(INDEX(E0!J$4:J$28,C267,1)-INDEX(E0!J$4:J$28,D267,1))))*100000000</f>
        <v>0</v>
      </c>
      <c r="F267" s="4" t="str">
        <f>HYPERLINK("http://141.218.60.56/~jnz1568/getInfo.php?workbook=09_01.xlsx&amp;sheet=A0&amp;row=267&amp;col=6&amp;number=&amp;sourceID=18","")</f>
        <v/>
      </c>
      <c r="G267" s="4" t="str">
        <f>HYPERLINK("http://141.218.60.56/~jnz1568/getInfo.php?workbook=09_01.xlsx&amp;sheet=A0&amp;row=267&amp;col=7&amp;number==&amp;sourceID=11","=")</f>
        <v>=</v>
      </c>
      <c r="H267" s="4" t="str">
        <f>HYPERLINK("http://141.218.60.56/~jnz1568/getInfo.php?workbook=09_01.xlsx&amp;sheet=A0&amp;row=267&amp;col=8&amp;number=&amp;sourceID=11","")</f>
        <v/>
      </c>
      <c r="I267" s="4" t="str">
        <f>HYPERLINK("http://141.218.60.56/~jnz1568/getInfo.php?workbook=09_01.xlsx&amp;sheet=A0&amp;row=267&amp;col=9&amp;number=1.5321e-11&amp;sourceID=11","1.5321e-11")</f>
        <v>1.5321e-11</v>
      </c>
      <c r="J267" s="4" t="str">
        <f>HYPERLINK("http://141.218.60.56/~jnz1568/getInfo.php?workbook=09_01.xlsx&amp;sheet=A0&amp;row=267&amp;col=10&amp;number=&amp;sourceID=11","")</f>
        <v/>
      </c>
      <c r="K267" s="4" t="str">
        <f>HYPERLINK("http://141.218.60.56/~jnz1568/getInfo.php?workbook=09_01.xlsx&amp;sheet=A0&amp;row=267&amp;col=11&amp;number=&amp;sourceID=11","")</f>
        <v/>
      </c>
      <c r="L267" s="4" t="str">
        <f>HYPERLINK("http://141.218.60.56/~jnz1568/getInfo.php?workbook=09_01.xlsx&amp;sheet=A0&amp;row=267&amp;col=12&amp;number=&amp;sourceID=11","")</f>
        <v/>
      </c>
      <c r="M267" s="4" t="str">
        <f>HYPERLINK("http://141.218.60.56/~jnz1568/getInfo.php?workbook=09_01.xlsx&amp;sheet=A0&amp;row=267&amp;col=13&amp;number=0&amp;sourceID=11","0")</f>
        <v>0</v>
      </c>
      <c r="N267" s="4" t="str">
        <f>HYPERLINK("http://141.218.60.56/~jnz1568/getInfo.php?workbook=09_01.xlsx&amp;sheet=A0&amp;row=267&amp;col=14&amp;number=1.5326e-11&amp;sourceID=12","1.5326e-11")</f>
        <v>1.5326e-11</v>
      </c>
      <c r="O267" s="4" t="str">
        <f>HYPERLINK("http://141.218.60.56/~jnz1568/getInfo.php?workbook=09_01.xlsx&amp;sheet=A0&amp;row=267&amp;col=15&amp;number=&amp;sourceID=12","")</f>
        <v/>
      </c>
      <c r="P267" s="4" t="str">
        <f>HYPERLINK("http://141.218.60.56/~jnz1568/getInfo.php?workbook=09_01.xlsx&amp;sheet=A0&amp;row=267&amp;col=16&amp;number=1.5326e-11&amp;sourceID=12","1.5326e-11")</f>
        <v>1.5326e-11</v>
      </c>
      <c r="Q267" s="4" t="str">
        <f>HYPERLINK("http://141.218.60.56/~jnz1568/getInfo.php?workbook=09_01.xlsx&amp;sheet=A0&amp;row=267&amp;col=17&amp;number=&amp;sourceID=12","")</f>
        <v/>
      </c>
      <c r="R267" s="4" t="str">
        <f>HYPERLINK("http://141.218.60.56/~jnz1568/getInfo.php?workbook=09_01.xlsx&amp;sheet=A0&amp;row=267&amp;col=18&amp;number=&amp;sourceID=12","")</f>
        <v/>
      </c>
      <c r="S267" s="4" t="str">
        <f>HYPERLINK("http://141.218.60.56/~jnz1568/getInfo.php?workbook=09_01.xlsx&amp;sheet=A0&amp;row=267&amp;col=19&amp;number=&amp;sourceID=12","")</f>
        <v/>
      </c>
      <c r="T267" s="4" t="str">
        <f>HYPERLINK("http://141.218.60.56/~jnz1568/getInfo.php?workbook=09_01.xlsx&amp;sheet=A0&amp;row=267&amp;col=20&amp;number=0&amp;sourceID=12","0")</f>
        <v>0</v>
      </c>
      <c r="U267" s="4" t="str">
        <f>HYPERLINK("http://141.218.60.56/~jnz1568/getInfo.php?workbook=09_01.xlsx&amp;sheet=A0&amp;row=267&amp;col=21&amp;number=1.533e-11&amp;sourceID=30","1.533e-11")</f>
        <v>1.533e-11</v>
      </c>
      <c r="V267" s="4" t="str">
        <f>HYPERLINK("http://141.218.60.56/~jnz1568/getInfo.php?workbook=09_01.xlsx&amp;sheet=A0&amp;row=267&amp;col=22&amp;number=&amp;sourceID=30","")</f>
        <v/>
      </c>
      <c r="W267" s="4" t="str">
        <f>HYPERLINK("http://141.218.60.56/~jnz1568/getInfo.php?workbook=09_01.xlsx&amp;sheet=A0&amp;row=267&amp;col=23&amp;number=1.533e-11&amp;sourceID=30","1.533e-11")</f>
        <v>1.533e-11</v>
      </c>
      <c r="X267" s="4" t="str">
        <f>HYPERLINK("http://141.218.60.56/~jnz1568/getInfo.php?workbook=09_01.xlsx&amp;sheet=A0&amp;row=267&amp;col=24&amp;number=&amp;sourceID=30","")</f>
        <v/>
      </c>
      <c r="Y267" s="4" t="str">
        <f>HYPERLINK("http://141.218.60.56/~jnz1568/getInfo.php?workbook=09_01.xlsx&amp;sheet=A0&amp;row=267&amp;col=25&amp;number=&amp;sourceID=30","")</f>
        <v/>
      </c>
      <c r="Z267" s="4" t="str">
        <f>HYPERLINK("http://141.218.60.56/~jnz1568/getInfo.php?workbook=09_01.xlsx&amp;sheet=A0&amp;row=267&amp;col=26&amp;number=&amp;sourceID=13","")</f>
        <v/>
      </c>
      <c r="AA267" s="4" t="str">
        <f>HYPERLINK("http://141.218.60.56/~jnz1568/getInfo.php?workbook=09_01.xlsx&amp;sheet=A0&amp;row=267&amp;col=27&amp;number=&amp;sourceID=13","")</f>
        <v/>
      </c>
      <c r="AB267" s="4" t="str">
        <f>HYPERLINK("http://141.218.60.56/~jnz1568/getInfo.php?workbook=09_01.xlsx&amp;sheet=A0&amp;row=267&amp;col=28&amp;number=&amp;sourceID=13","")</f>
        <v/>
      </c>
      <c r="AC267" s="4" t="str">
        <f>HYPERLINK("http://141.218.60.56/~jnz1568/getInfo.php?workbook=09_01.xlsx&amp;sheet=A0&amp;row=267&amp;col=29&amp;number=&amp;sourceID=13","")</f>
        <v/>
      </c>
      <c r="AD267" s="4" t="str">
        <f>HYPERLINK("http://141.218.60.56/~jnz1568/getInfo.php?workbook=09_01.xlsx&amp;sheet=A0&amp;row=267&amp;col=30&amp;number=&amp;sourceID=13","")</f>
        <v/>
      </c>
      <c r="AE267" s="4" t="str">
        <f>HYPERLINK("http://141.218.60.56/~jnz1568/getInfo.php?workbook=09_01.xlsx&amp;sheet=A0&amp;row=267&amp;col=31&amp;number=&amp;sourceID=13","")</f>
        <v/>
      </c>
    </row>
    <row r="268" spans="1:31">
      <c r="A268" s="3">
        <v>9</v>
      </c>
      <c r="B268" s="3">
        <v>1</v>
      </c>
      <c r="C268" s="3">
        <v>24</v>
      </c>
      <c r="D268" s="3">
        <v>21</v>
      </c>
      <c r="E268" s="3">
        <f>((1/(INDEX(E0!J$4:J$28,C268,1)-INDEX(E0!J$4:J$28,D268,1))))*100000000</f>
        <v>0</v>
      </c>
      <c r="F268" s="4" t="str">
        <f>HYPERLINK("http://141.218.60.56/~jnz1568/getInfo.php?workbook=09_01.xlsx&amp;sheet=A0&amp;row=268&amp;col=6&amp;number=&amp;sourceID=18","")</f>
        <v/>
      </c>
      <c r="G268" s="4" t="str">
        <f>HYPERLINK("http://141.218.60.56/~jnz1568/getInfo.php?workbook=09_01.xlsx&amp;sheet=A0&amp;row=268&amp;col=7&amp;number==&amp;sourceID=11","=")</f>
        <v>=</v>
      </c>
      <c r="H268" s="4" t="str">
        <f>HYPERLINK("http://141.218.60.56/~jnz1568/getInfo.php?workbook=09_01.xlsx&amp;sheet=A0&amp;row=268&amp;col=8&amp;number=&amp;sourceID=11","")</f>
        <v/>
      </c>
      <c r="I268" s="4" t="str">
        <f>HYPERLINK("http://141.218.60.56/~jnz1568/getInfo.php?workbook=09_01.xlsx&amp;sheet=A0&amp;row=268&amp;col=9&amp;number=7e-15&amp;sourceID=11","7e-15")</f>
        <v>7e-15</v>
      </c>
      <c r="J268" s="4" t="str">
        <f>HYPERLINK("http://141.218.60.56/~jnz1568/getInfo.php?workbook=09_01.xlsx&amp;sheet=A0&amp;row=268&amp;col=10&amp;number=&amp;sourceID=11","")</f>
        <v/>
      </c>
      <c r="K268" s="4" t="str">
        <f>HYPERLINK("http://141.218.60.56/~jnz1568/getInfo.php?workbook=09_01.xlsx&amp;sheet=A0&amp;row=268&amp;col=11&amp;number=1.9325e-07&amp;sourceID=11","1.9325e-07")</f>
        <v>1.9325e-07</v>
      </c>
      <c r="L268" s="4" t="str">
        <f>HYPERLINK("http://141.218.60.56/~jnz1568/getInfo.php?workbook=09_01.xlsx&amp;sheet=A0&amp;row=268&amp;col=12&amp;number=&amp;sourceID=11","")</f>
        <v/>
      </c>
      <c r="M268" s="4" t="str">
        <f>HYPERLINK("http://141.218.60.56/~jnz1568/getInfo.php?workbook=09_01.xlsx&amp;sheet=A0&amp;row=268&amp;col=13&amp;number=0&amp;sourceID=11","0")</f>
        <v>0</v>
      </c>
      <c r="N268" s="4" t="str">
        <f>HYPERLINK("http://141.218.60.56/~jnz1568/getInfo.php?workbook=09_01.xlsx&amp;sheet=A0&amp;row=268&amp;col=14&amp;number=1.9328e-07&amp;sourceID=12","1.9328e-07")</f>
        <v>1.9328e-07</v>
      </c>
      <c r="O268" s="4" t="str">
        <f>HYPERLINK("http://141.218.60.56/~jnz1568/getInfo.php?workbook=09_01.xlsx&amp;sheet=A0&amp;row=268&amp;col=15&amp;number=&amp;sourceID=12","")</f>
        <v/>
      </c>
      <c r="P268" s="4" t="str">
        <f>HYPERLINK("http://141.218.60.56/~jnz1568/getInfo.php?workbook=09_01.xlsx&amp;sheet=A0&amp;row=268&amp;col=16&amp;number=7e-15&amp;sourceID=12","7e-15")</f>
        <v>7e-15</v>
      </c>
      <c r="Q268" s="4" t="str">
        <f>HYPERLINK("http://141.218.60.56/~jnz1568/getInfo.php?workbook=09_01.xlsx&amp;sheet=A0&amp;row=268&amp;col=17&amp;number=&amp;sourceID=12","")</f>
        <v/>
      </c>
      <c r="R268" s="4" t="str">
        <f>HYPERLINK("http://141.218.60.56/~jnz1568/getInfo.php?workbook=09_01.xlsx&amp;sheet=A0&amp;row=268&amp;col=18&amp;number=1.9328e-07&amp;sourceID=12","1.9328e-07")</f>
        <v>1.9328e-07</v>
      </c>
      <c r="S268" s="4" t="str">
        <f>HYPERLINK("http://141.218.60.56/~jnz1568/getInfo.php?workbook=09_01.xlsx&amp;sheet=A0&amp;row=268&amp;col=19&amp;number=&amp;sourceID=12","")</f>
        <v/>
      </c>
      <c r="T268" s="4" t="str">
        <f>HYPERLINK("http://141.218.60.56/~jnz1568/getInfo.php?workbook=09_01.xlsx&amp;sheet=A0&amp;row=268&amp;col=20&amp;number=0&amp;sourceID=12","0")</f>
        <v>0</v>
      </c>
      <c r="U268" s="4" t="str">
        <f>HYPERLINK("http://141.218.60.56/~jnz1568/getInfo.php?workbook=09_01.xlsx&amp;sheet=A0&amp;row=268&amp;col=21&amp;number=1.93300007e-07&amp;sourceID=30","1.93300007e-07")</f>
        <v>1.93300007e-07</v>
      </c>
      <c r="V268" s="4" t="str">
        <f>HYPERLINK("http://141.218.60.56/~jnz1568/getInfo.php?workbook=09_01.xlsx&amp;sheet=A0&amp;row=268&amp;col=22&amp;number=&amp;sourceID=30","")</f>
        <v/>
      </c>
      <c r="W268" s="4" t="str">
        <f>HYPERLINK("http://141.218.60.56/~jnz1568/getInfo.php?workbook=09_01.xlsx&amp;sheet=A0&amp;row=268&amp;col=23&amp;number=7e-15&amp;sourceID=30","7e-15")</f>
        <v>7e-15</v>
      </c>
      <c r="X268" s="4" t="str">
        <f>HYPERLINK("http://141.218.60.56/~jnz1568/getInfo.php?workbook=09_01.xlsx&amp;sheet=A0&amp;row=268&amp;col=24&amp;number=1.933e-07&amp;sourceID=30","1.933e-07")</f>
        <v>1.933e-07</v>
      </c>
      <c r="Y268" s="4" t="str">
        <f>HYPERLINK("http://141.218.60.56/~jnz1568/getInfo.php?workbook=09_01.xlsx&amp;sheet=A0&amp;row=268&amp;col=25&amp;number=&amp;sourceID=30","")</f>
        <v/>
      </c>
      <c r="Z268" s="4" t="str">
        <f>HYPERLINK("http://141.218.60.56/~jnz1568/getInfo.php?workbook=09_01.xlsx&amp;sheet=A0&amp;row=268&amp;col=26&amp;number=&amp;sourceID=13","")</f>
        <v/>
      </c>
      <c r="AA268" s="4" t="str">
        <f>HYPERLINK("http://141.218.60.56/~jnz1568/getInfo.php?workbook=09_01.xlsx&amp;sheet=A0&amp;row=268&amp;col=27&amp;number=&amp;sourceID=13","")</f>
        <v/>
      </c>
      <c r="AB268" s="4" t="str">
        <f>HYPERLINK("http://141.218.60.56/~jnz1568/getInfo.php?workbook=09_01.xlsx&amp;sheet=A0&amp;row=268&amp;col=28&amp;number=&amp;sourceID=13","")</f>
        <v/>
      </c>
      <c r="AC268" s="4" t="str">
        <f>HYPERLINK("http://141.218.60.56/~jnz1568/getInfo.php?workbook=09_01.xlsx&amp;sheet=A0&amp;row=268&amp;col=29&amp;number=&amp;sourceID=13","")</f>
        <v/>
      </c>
      <c r="AD268" s="4" t="str">
        <f>HYPERLINK("http://141.218.60.56/~jnz1568/getInfo.php?workbook=09_01.xlsx&amp;sheet=A0&amp;row=268&amp;col=30&amp;number=&amp;sourceID=13","")</f>
        <v/>
      </c>
      <c r="AE268" s="4" t="str">
        <f>HYPERLINK("http://141.218.60.56/~jnz1568/getInfo.php?workbook=09_01.xlsx&amp;sheet=A0&amp;row=268&amp;col=31&amp;number=&amp;sourceID=13","")</f>
        <v/>
      </c>
    </row>
    <row r="269" spans="1:31">
      <c r="A269" s="3">
        <v>9</v>
      </c>
      <c r="B269" s="3">
        <v>1</v>
      </c>
      <c r="C269" s="3">
        <v>24</v>
      </c>
      <c r="D269" s="3">
        <v>22</v>
      </c>
      <c r="E269" s="3">
        <f>((1/(INDEX(E0!J$4:J$28,C269,1)-INDEX(E0!J$4:J$28,D269,1))))*100000000</f>
        <v>0</v>
      </c>
      <c r="F269" s="4" t="str">
        <f>HYPERLINK("http://141.218.60.56/~jnz1568/getInfo.php?workbook=09_01.xlsx&amp;sheet=A0&amp;row=269&amp;col=6&amp;number=&amp;sourceID=18","")</f>
        <v/>
      </c>
      <c r="G269" s="4" t="str">
        <f>HYPERLINK("http://141.218.60.56/~jnz1568/getInfo.php?workbook=09_01.xlsx&amp;sheet=A0&amp;row=269&amp;col=7&amp;number==&amp;sourceID=11","=")</f>
        <v>=</v>
      </c>
      <c r="H269" s="4" t="str">
        <f>HYPERLINK("http://141.218.60.56/~jnz1568/getInfo.php?workbook=09_01.xlsx&amp;sheet=A0&amp;row=269&amp;col=8&amp;number=0.16127&amp;sourceID=11","0.16127")</f>
        <v>0.16127</v>
      </c>
      <c r="I269" s="4" t="str">
        <f>HYPERLINK("http://141.218.60.56/~jnz1568/getInfo.php?workbook=09_01.xlsx&amp;sheet=A0&amp;row=269&amp;col=9&amp;number=&amp;sourceID=11","")</f>
        <v/>
      </c>
      <c r="J269" s="4" t="str">
        <f>HYPERLINK("http://141.218.60.56/~jnz1568/getInfo.php?workbook=09_01.xlsx&amp;sheet=A0&amp;row=269&amp;col=10&amp;number=0&amp;sourceID=11","0")</f>
        <v>0</v>
      </c>
      <c r="K269" s="4" t="str">
        <f>HYPERLINK("http://141.218.60.56/~jnz1568/getInfo.php?workbook=09_01.xlsx&amp;sheet=A0&amp;row=269&amp;col=11&amp;number=&amp;sourceID=11","")</f>
        <v/>
      </c>
      <c r="L269" s="4" t="str">
        <f>HYPERLINK("http://141.218.60.56/~jnz1568/getInfo.php?workbook=09_01.xlsx&amp;sheet=A0&amp;row=269&amp;col=12&amp;number=0&amp;sourceID=11","0")</f>
        <v>0</v>
      </c>
      <c r="M269" s="4" t="str">
        <f>HYPERLINK("http://141.218.60.56/~jnz1568/getInfo.php?workbook=09_01.xlsx&amp;sheet=A0&amp;row=269&amp;col=13&amp;number=&amp;sourceID=11","")</f>
        <v/>
      </c>
      <c r="N269" s="4" t="str">
        <f>HYPERLINK("http://141.218.60.56/~jnz1568/getInfo.php?workbook=09_01.xlsx&amp;sheet=A0&amp;row=269&amp;col=14&amp;number=0.1613&amp;sourceID=12","0.1613")</f>
        <v>0.1613</v>
      </c>
      <c r="O269" s="4" t="str">
        <f>HYPERLINK("http://141.218.60.56/~jnz1568/getInfo.php?workbook=09_01.xlsx&amp;sheet=A0&amp;row=269&amp;col=15&amp;number=0.1613&amp;sourceID=12","0.1613")</f>
        <v>0.1613</v>
      </c>
      <c r="P269" s="4" t="str">
        <f>HYPERLINK("http://141.218.60.56/~jnz1568/getInfo.php?workbook=09_01.xlsx&amp;sheet=A0&amp;row=269&amp;col=16&amp;number=&amp;sourceID=12","")</f>
        <v/>
      </c>
      <c r="Q269" s="4" t="str">
        <f>HYPERLINK("http://141.218.60.56/~jnz1568/getInfo.php?workbook=09_01.xlsx&amp;sheet=A0&amp;row=269&amp;col=17&amp;number=0&amp;sourceID=12","0")</f>
        <v>0</v>
      </c>
      <c r="R269" s="4" t="str">
        <f>HYPERLINK("http://141.218.60.56/~jnz1568/getInfo.php?workbook=09_01.xlsx&amp;sheet=A0&amp;row=269&amp;col=18&amp;number=&amp;sourceID=12","")</f>
        <v/>
      </c>
      <c r="S269" s="4" t="str">
        <f>HYPERLINK("http://141.218.60.56/~jnz1568/getInfo.php?workbook=09_01.xlsx&amp;sheet=A0&amp;row=269&amp;col=19&amp;number=0&amp;sourceID=12","0")</f>
        <v>0</v>
      </c>
      <c r="T269" s="4" t="str">
        <f>HYPERLINK("http://141.218.60.56/~jnz1568/getInfo.php?workbook=09_01.xlsx&amp;sheet=A0&amp;row=269&amp;col=20&amp;number=&amp;sourceID=12","")</f>
        <v/>
      </c>
      <c r="U269" s="4" t="str">
        <f>HYPERLINK("http://141.218.60.56/~jnz1568/getInfo.php?workbook=09_01.xlsx&amp;sheet=A0&amp;row=269&amp;col=21&amp;number=0.1613&amp;sourceID=30","0.1613")</f>
        <v>0.1613</v>
      </c>
      <c r="V269" s="4" t="str">
        <f>HYPERLINK("http://141.218.60.56/~jnz1568/getInfo.php?workbook=09_01.xlsx&amp;sheet=A0&amp;row=269&amp;col=22&amp;number=0.1613&amp;sourceID=30","0.1613")</f>
        <v>0.1613</v>
      </c>
      <c r="W269" s="4" t="str">
        <f>HYPERLINK("http://141.218.60.56/~jnz1568/getInfo.php?workbook=09_01.xlsx&amp;sheet=A0&amp;row=269&amp;col=23&amp;number=&amp;sourceID=30","")</f>
        <v/>
      </c>
      <c r="X269" s="4" t="str">
        <f>HYPERLINK("http://141.218.60.56/~jnz1568/getInfo.php?workbook=09_01.xlsx&amp;sheet=A0&amp;row=269&amp;col=24&amp;number=&amp;sourceID=30","")</f>
        <v/>
      </c>
      <c r="Y269" s="4" t="str">
        <f>HYPERLINK("http://141.218.60.56/~jnz1568/getInfo.php?workbook=09_01.xlsx&amp;sheet=A0&amp;row=269&amp;col=25&amp;number=0&amp;sourceID=30","0")</f>
        <v>0</v>
      </c>
      <c r="Z269" s="4" t="str">
        <f>HYPERLINK("http://141.218.60.56/~jnz1568/getInfo.php?workbook=09_01.xlsx&amp;sheet=A0&amp;row=269&amp;col=26&amp;number=&amp;sourceID=13","")</f>
        <v/>
      </c>
      <c r="AA269" s="4" t="str">
        <f>HYPERLINK("http://141.218.60.56/~jnz1568/getInfo.php?workbook=09_01.xlsx&amp;sheet=A0&amp;row=269&amp;col=27&amp;number=&amp;sourceID=13","")</f>
        <v/>
      </c>
      <c r="AB269" s="4" t="str">
        <f>HYPERLINK("http://141.218.60.56/~jnz1568/getInfo.php?workbook=09_01.xlsx&amp;sheet=A0&amp;row=269&amp;col=28&amp;number=&amp;sourceID=13","")</f>
        <v/>
      </c>
      <c r="AC269" s="4" t="str">
        <f>HYPERLINK("http://141.218.60.56/~jnz1568/getInfo.php?workbook=09_01.xlsx&amp;sheet=A0&amp;row=269&amp;col=29&amp;number=&amp;sourceID=13","")</f>
        <v/>
      </c>
      <c r="AD269" s="4" t="str">
        <f>HYPERLINK("http://141.218.60.56/~jnz1568/getInfo.php?workbook=09_01.xlsx&amp;sheet=A0&amp;row=269&amp;col=30&amp;number=&amp;sourceID=13","")</f>
        <v/>
      </c>
      <c r="AE269" s="4" t="str">
        <f>HYPERLINK("http://141.218.60.56/~jnz1568/getInfo.php?workbook=09_01.xlsx&amp;sheet=A0&amp;row=269&amp;col=31&amp;number=&amp;sourceID=13","")</f>
        <v/>
      </c>
    </row>
    <row r="270" spans="1:31">
      <c r="A270" s="3">
        <v>9</v>
      </c>
      <c r="B270" s="3">
        <v>1</v>
      </c>
      <c r="C270" s="3">
        <v>25</v>
      </c>
      <c r="D270" s="3">
        <v>4</v>
      </c>
      <c r="E270" s="3">
        <f>((1/(INDEX(E0!J$4:J$28,C270,1)-INDEX(E0!J$4:J$28,D270,1))))*100000000</f>
        <v>0</v>
      </c>
      <c r="F270" s="4" t="str">
        <f>HYPERLINK("http://141.218.60.56/~jnz1568/getInfo.php?workbook=09_01.xlsx&amp;sheet=A0&amp;row=270&amp;col=6&amp;number=&amp;sourceID=18","")</f>
        <v/>
      </c>
      <c r="G270" s="4" t="str">
        <f>HYPERLINK("http://141.218.60.56/~jnz1568/getInfo.php?workbook=09_01.xlsx&amp;sheet=A0&amp;row=270&amp;col=7&amp;number==&amp;sourceID=11","=")</f>
        <v>=</v>
      </c>
      <c r="H270" s="4" t="str">
        <f>HYPERLINK("http://141.218.60.56/~jnz1568/getInfo.php?workbook=09_01.xlsx&amp;sheet=A0&amp;row=270&amp;col=8&amp;number=&amp;sourceID=11","")</f>
        <v/>
      </c>
      <c r="I270" s="4" t="str">
        <f>HYPERLINK("http://141.218.60.56/~jnz1568/getInfo.php?workbook=09_01.xlsx&amp;sheet=A0&amp;row=270&amp;col=9&amp;number=&amp;sourceID=11","")</f>
        <v/>
      </c>
      <c r="J270" s="4" t="str">
        <f>HYPERLINK("http://141.218.60.56/~jnz1568/getInfo.php?workbook=09_01.xlsx&amp;sheet=A0&amp;row=270&amp;col=10&amp;number=1441&amp;sourceID=11","1441")</f>
        <v>1441</v>
      </c>
      <c r="K270" s="4" t="str">
        <f>HYPERLINK("http://141.218.60.56/~jnz1568/getInfo.php?workbook=09_01.xlsx&amp;sheet=A0&amp;row=270&amp;col=11&amp;number=&amp;sourceID=11","")</f>
        <v/>
      </c>
      <c r="L270" s="4" t="str">
        <f>HYPERLINK("http://141.218.60.56/~jnz1568/getInfo.php?workbook=09_01.xlsx&amp;sheet=A0&amp;row=270&amp;col=12&amp;number=&amp;sourceID=11","")</f>
        <v/>
      </c>
      <c r="M270" s="4" t="str">
        <f>HYPERLINK("http://141.218.60.56/~jnz1568/getInfo.php?workbook=09_01.xlsx&amp;sheet=A0&amp;row=270&amp;col=13&amp;number=&amp;sourceID=11","")</f>
        <v/>
      </c>
      <c r="N270" s="4" t="str">
        <f>HYPERLINK("http://141.218.60.56/~jnz1568/getInfo.php?workbook=09_01.xlsx&amp;sheet=A0&amp;row=270&amp;col=14&amp;number=1441.1&amp;sourceID=12","1441.1")</f>
        <v>1441.1</v>
      </c>
      <c r="O270" s="4" t="str">
        <f>HYPERLINK("http://141.218.60.56/~jnz1568/getInfo.php?workbook=09_01.xlsx&amp;sheet=A0&amp;row=270&amp;col=15&amp;number=&amp;sourceID=12","")</f>
        <v/>
      </c>
      <c r="P270" s="4" t="str">
        <f>HYPERLINK("http://141.218.60.56/~jnz1568/getInfo.php?workbook=09_01.xlsx&amp;sheet=A0&amp;row=270&amp;col=16&amp;number=&amp;sourceID=12","")</f>
        <v/>
      </c>
      <c r="Q270" s="4" t="str">
        <f>HYPERLINK("http://141.218.60.56/~jnz1568/getInfo.php?workbook=09_01.xlsx&amp;sheet=A0&amp;row=270&amp;col=17&amp;number=1441.1&amp;sourceID=12","1441.1")</f>
        <v>1441.1</v>
      </c>
      <c r="R270" s="4" t="str">
        <f>HYPERLINK("http://141.218.60.56/~jnz1568/getInfo.php?workbook=09_01.xlsx&amp;sheet=A0&amp;row=270&amp;col=18&amp;number=&amp;sourceID=12","")</f>
        <v/>
      </c>
      <c r="S270" s="4" t="str">
        <f>HYPERLINK("http://141.218.60.56/~jnz1568/getInfo.php?workbook=09_01.xlsx&amp;sheet=A0&amp;row=270&amp;col=19&amp;number=&amp;sourceID=12","")</f>
        <v/>
      </c>
      <c r="T270" s="4" t="str">
        <f>HYPERLINK("http://141.218.60.56/~jnz1568/getInfo.php?workbook=09_01.xlsx&amp;sheet=A0&amp;row=270&amp;col=20&amp;number=&amp;sourceID=12","")</f>
        <v/>
      </c>
      <c r="U270" s="4" t="str">
        <f>HYPERLINK("http://141.218.60.56/~jnz1568/getInfo.php?workbook=09_01.xlsx&amp;sheet=A0&amp;row=270&amp;col=21&amp;number=&amp;sourceID=30","")</f>
        <v/>
      </c>
      <c r="V270" s="4" t="str">
        <f>HYPERLINK("http://141.218.60.56/~jnz1568/getInfo.php?workbook=09_01.xlsx&amp;sheet=A0&amp;row=270&amp;col=22&amp;number=&amp;sourceID=30","")</f>
        <v/>
      </c>
      <c r="W270" s="4" t="str">
        <f>HYPERLINK("http://141.218.60.56/~jnz1568/getInfo.php?workbook=09_01.xlsx&amp;sheet=A0&amp;row=270&amp;col=23&amp;number=&amp;sourceID=30","")</f>
        <v/>
      </c>
      <c r="X270" s="4" t="str">
        <f>HYPERLINK("http://141.218.60.56/~jnz1568/getInfo.php?workbook=09_01.xlsx&amp;sheet=A0&amp;row=270&amp;col=24&amp;number=&amp;sourceID=30","")</f>
        <v/>
      </c>
      <c r="Y270" s="4" t="str">
        <f>HYPERLINK("http://141.218.60.56/~jnz1568/getInfo.php?workbook=09_01.xlsx&amp;sheet=A0&amp;row=270&amp;col=25&amp;number=&amp;sourceID=30","")</f>
        <v/>
      </c>
      <c r="Z270" s="4" t="str">
        <f>HYPERLINK("http://141.218.60.56/~jnz1568/getInfo.php?workbook=09_01.xlsx&amp;sheet=A0&amp;row=270&amp;col=26&amp;number=&amp;sourceID=13","")</f>
        <v/>
      </c>
      <c r="AA270" s="4" t="str">
        <f>HYPERLINK("http://141.218.60.56/~jnz1568/getInfo.php?workbook=09_01.xlsx&amp;sheet=A0&amp;row=270&amp;col=27&amp;number=&amp;sourceID=13","")</f>
        <v/>
      </c>
      <c r="AB270" s="4" t="str">
        <f>HYPERLINK("http://141.218.60.56/~jnz1568/getInfo.php?workbook=09_01.xlsx&amp;sheet=A0&amp;row=270&amp;col=28&amp;number=&amp;sourceID=13","")</f>
        <v/>
      </c>
      <c r="AC270" s="4" t="str">
        <f>HYPERLINK("http://141.218.60.56/~jnz1568/getInfo.php?workbook=09_01.xlsx&amp;sheet=A0&amp;row=270&amp;col=29&amp;number=&amp;sourceID=13","")</f>
        <v/>
      </c>
      <c r="AD270" s="4" t="str">
        <f>HYPERLINK("http://141.218.60.56/~jnz1568/getInfo.php?workbook=09_01.xlsx&amp;sheet=A0&amp;row=270&amp;col=30&amp;number=&amp;sourceID=13","")</f>
        <v/>
      </c>
      <c r="AE270" s="4" t="str">
        <f>HYPERLINK("http://141.218.60.56/~jnz1568/getInfo.php?workbook=09_01.xlsx&amp;sheet=A0&amp;row=270&amp;col=31&amp;number=&amp;sourceID=13","")</f>
        <v/>
      </c>
    </row>
    <row r="271" spans="1:31">
      <c r="A271" s="3">
        <v>9</v>
      </c>
      <c r="B271" s="3">
        <v>1</v>
      </c>
      <c r="C271" s="3">
        <v>25</v>
      </c>
      <c r="D271" s="3">
        <v>7</v>
      </c>
      <c r="E271" s="3">
        <f>((1/(INDEX(E0!J$4:J$28,C271,1)-INDEX(E0!J$4:J$28,D271,1))))*100000000</f>
        <v>0</v>
      </c>
      <c r="F271" s="4" t="str">
        <f>HYPERLINK("http://141.218.60.56/~jnz1568/getInfo.php?workbook=09_01.xlsx&amp;sheet=A0&amp;row=271&amp;col=6&amp;number=&amp;sourceID=18","")</f>
        <v/>
      </c>
      <c r="G271" s="4" t="str">
        <f>HYPERLINK("http://141.218.60.56/~jnz1568/getInfo.php?workbook=09_01.xlsx&amp;sheet=A0&amp;row=271&amp;col=7&amp;number==&amp;sourceID=11","=")</f>
        <v>=</v>
      </c>
      <c r="H271" s="4" t="str">
        <f>HYPERLINK("http://141.218.60.56/~jnz1568/getInfo.php?workbook=09_01.xlsx&amp;sheet=A0&amp;row=271&amp;col=8&amp;number=&amp;sourceID=11","")</f>
        <v/>
      </c>
      <c r="I271" s="4" t="str">
        <f>HYPERLINK("http://141.218.60.56/~jnz1568/getInfo.php?workbook=09_01.xlsx&amp;sheet=A0&amp;row=271&amp;col=9&amp;number=&amp;sourceID=11","")</f>
        <v/>
      </c>
      <c r="J271" s="4" t="str">
        <f>HYPERLINK("http://141.218.60.56/~jnz1568/getInfo.php?workbook=09_01.xlsx&amp;sheet=A0&amp;row=271&amp;col=10&amp;number=&amp;sourceID=11","")</f>
        <v/>
      </c>
      <c r="K271" s="4" t="str">
        <f>HYPERLINK("http://141.218.60.56/~jnz1568/getInfo.php?workbook=09_01.xlsx&amp;sheet=A0&amp;row=271&amp;col=11&amp;number=&amp;sourceID=11","")</f>
        <v/>
      </c>
      <c r="L271" s="4" t="str">
        <f>HYPERLINK("http://141.218.60.56/~jnz1568/getInfo.php?workbook=09_01.xlsx&amp;sheet=A0&amp;row=271&amp;col=12&amp;number=&amp;sourceID=11","")</f>
        <v/>
      </c>
      <c r="M271" s="4" t="str">
        <f>HYPERLINK("http://141.218.60.56/~jnz1568/getInfo.php?workbook=09_01.xlsx&amp;sheet=A0&amp;row=271&amp;col=13&amp;number=0.012455&amp;sourceID=11","0.012455")</f>
        <v>0.012455</v>
      </c>
      <c r="N271" s="4" t="str">
        <f>HYPERLINK("http://141.218.60.56/~jnz1568/getInfo.php?workbook=09_01.xlsx&amp;sheet=A0&amp;row=271&amp;col=14&amp;number=0.012456&amp;sourceID=12","0.012456")</f>
        <v>0.012456</v>
      </c>
      <c r="O271" s="4" t="str">
        <f>HYPERLINK("http://141.218.60.56/~jnz1568/getInfo.php?workbook=09_01.xlsx&amp;sheet=A0&amp;row=271&amp;col=15&amp;number=&amp;sourceID=12","")</f>
        <v/>
      </c>
      <c r="P271" s="4" t="str">
        <f>HYPERLINK("http://141.218.60.56/~jnz1568/getInfo.php?workbook=09_01.xlsx&amp;sheet=A0&amp;row=271&amp;col=16&amp;number=&amp;sourceID=12","")</f>
        <v/>
      </c>
      <c r="Q271" s="4" t="str">
        <f>HYPERLINK("http://141.218.60.56/~jnz1568/getInfo.php?workbook=09_01.xlsx&amp;sheet=A0&amp;row=271&amp;col=17&amp;number=&amp;sourceID=12","")</f>
        <v/>
      </c>
      <c r="R271" s="4" t="str">
        <f>HYPERLINK("http://141.218.60.56/~jnz1568/getInfo.php?workbook=09_01.xlsx&amp;sheet=A0&amp;row=271&amp;col=18&amp;number=&amp;sourceID=12","")</f>
        <v/>
      </c>
      <c r="S271" s="4" t="str">
        <f>HYPERLINK("http://141.218.60.56/~jnz1568/getInfo.php?workbook=09_01.xlsx&amp;sheet=A0&amp;row=271&amp;col=19&amp;number=&amp;sourceID=12","")</f>
        <v/>
      </c>
      <c r="T271" s="4" t="str">
        <f>HYPERLINK("http://141.218.60.56/~jnz1568/getInfo.php?workbook=09_01.xlsx&amp;sheet=A0&amp;row=271&amp;col=20&amp;number=0.012456&amp;sourceID=12","0.012456")</f>
        <v>0.012456</v>
      </c>
      <c r="U271" s="4" t="str">
        <f>HYPERLINK("http://141.218.60.56/~jnz1568/getInfo.php?workbook=09_01.xlsx&amp;sheet=A0&amp;row=271&amp;col=21&amp;number=&amp;sourceID=30","")</f>
        <v/>
      </c>
      <c r="V271" s="4" t="str">
        <f>HYPERLINK("http://141.218.60.56/~jnz1568/getInfo.php?workbook=09_01.xlsx&amp;sheet=A0&amp;row=271&amp;col=22&amp;number=&amp;sourceID=30","")</f>
        <v/>
      </c>
      <c r="W271" s="4" t="str">
        <f>HYPERLINK("http://141.218.60.56/~jnz1568/getInfo.php?workbook=09_01.xlsx&amp;sheet=A0&amp;row=271&amp;col=23&amp;number=&amp;sourceID=30","")</f>
        <v/>
      </c>
      <c r="X271" s="4" t="str">
        <f>HYPERLINK("http://141.218.60.56/~jnz1568/getInfo.php?workbook=09_01.xlsx&amp;sheet=A0&amp;row=271&amp;col=24&amp;number=&amp;sourceID=30","")</f>
        <v/>
      </c>
      <c r="Y271" s="4" t="str">
        <f>HYPERLINK("http://141.218.60.56/~jnz1568/getInfo.php?workbook=09_01.xlsx&amp;sheet=A0&amp;row=271&amp;col=25&amp;number=&amp;sourceID=30","")</f>
        <v/>
      </c>
      <c r="Z271" s="4" t="str">
        <f>HYPERLINK("http://141.218.60.56/~jnz1568/getInfo.php?workbook=09_01.xlsx&amp;sheet=A0&amp;row=271&amp;col=26&amp;number=&amp;sourceID=13","")</f>
        <v/>
      </c>
      <c r="AA271" s="4" t="str">
        <f>HYPERLINK("http://141.218.60.56/~jnz1568/getInfo.php?workbook=09_01.xlsx&amp;sheet=A0&amp;row=271&amp;col=27&amp;number=&amp;sourceID=13","")</f>
        <v/>
      </c>
      <c r="AB271" s="4" t="str">
        <f>HYPERLINK("http://141.218.60.56/~jnz1568/getInfo.php?workbook=09_01.xlsx&amp;sheet=A0&amp;row=271&amp;col=28&amp;number=&amp;sourceID=13","")</f>
        <v/>
      </c>
      <c r="AC271" s="4" t="str">
        <f>HYPERLINK("http://141.218.60.56/~jnz1568/getInfo.php?workbook=09_01.xlsx&amp;sheet=A0&amp;row=271&amp;col=29&amp;number=&amp;sourceID=13","")</f>
        <v/>
      </c>
      <c r="AD271" s="4" t="str">
        <f>HYPERLINK("http://141.218.60.56/~jnz1568/getInfo.php?workbook=09_01.xlsx&amp;sheet=A0&amp;row=271&amp;col=30&amp;number=&amp;sourceID=13","")</f>
        <v/>
      </c>
      <c r="AE271" s="4" t="str">
        <f>HYPERLINK("http://141.218.60.56/~jnz1568/getInfo.php?workbook=09_01.xlsx&amp;sheet=A0&amp;row=271&amp;col=31&amp;number=&amp;sourceID=13","")</f>
        <v/>
      </c>
    </row>
    <row r="272" spans="1:31">
      <c r="A272" s="3">
        <v>9</v>
      </c>
      <c r="B272" s="3">
        <v>1</v>
      </c>
      <c r="C272" s="3">
        <v>25</v>
      </c>
      <c r="D272" s="3">
        <v>8</v>
      </c>
      <c r="E272" s="3">
        <f>((1/(INDEX(E0!J$4:J$28,C272,1)-INDEX(E0!J$4:J$28,D272,1))))*100000000</f>
        <v>0</v>
      </c>
      <c r="F272" s="4" t="str">
        <f>HYPERLINK("http://141.218.60.56/~jnz1568/getInfo.php?workbook=09_01.xlsx&amp;sheet=A0&amp;row=272&amp;col=6&amp;number=&amp;sourceID=18","")</f>
        <v/>
      </c>
      <c r="G272" s="4" t="str">
        <f>HYPERLINK("http://141.218.60.56/~jnz1568/getInfo.php?workbook=09_01.xlsx&amp;sheet=A0&amp;row=272&amp;col=7&amp;number==&amp;sourceID=11","=")</f>
        <v>=</v>
      </c>
      <c r="H272" s="4" t="str">
        <f>HYPERLINK("http://141.218.60.56/~jnz1568/getInfo.php?workbook=09_01.xlsx&amp;sheet=A0&amp;row=272&amp;col=8&amp;number=&amp;sourceID=11","")</f>
        <v/>
      </c>
      <c r="I272" s="4" t="str">
        <f>HYPERLINK("http://141.218.60.56/~jnz1568/getInfo.php?workbook=09_01.xlsx&amp;sheet=A0&amp;row=272&amp;col=9&amp;number=&amp;sourceID=11","")</f>
        <v/>
      </c>
      <c r="J272" s="4" t="str">
        <f>HYPERLINK("http://141.218.60.56/~jnz1568/getInfo.php?workbook=09_01.xlsx&amp;sheet=A0&amp;row=272&amp;col=10&amp;number=609.97&amp;sourceID=11","609.97")</f>
        <v>609.97</v>
      </c>
      <c r="K272" s="4" t="str">
        <f>HYPERLINK("http://141.218.60.56/~jnz1568/getInfo.php?workbook=09_01.xlsx&amp;sheet=A0&amp;row=272&amp;col=11&amp;number=&amp;sourceID=11","")</f>
        <v/>
      </c>
      <c r="L272" s="4" t="str">
        <f>HYPERLINK("http://141.218.60.56/~jnz1568/getInfo.php?workbook=09_01.xlsx&amp;sheet=A0&amp;row=272&amp;col=12&amp;number=&amp;sourceID=11","")</f>
        <v/>
      </c>
      <c r="M272" s="4" t="str">
        <f>HYPERLINK("http://141.218.60.56/~jnz1568/getInfo.php?workbook=09_01.xlsx&amp;sheet=A0&amp;row=272&amp;col=13&amp;number=&amp;sourceID=11","")</f>
        <v/>
      </c>
      <c r="N272" s="4" t="str">
        <f>HYPERLINK("http://141.218.60.56/~jnz1568/getInfo.php?workbook=09_01.xlsx&amp;sheet=A0&amp;row=272&amp;col=14&amp;number=609.99&amp;sourceID=12","609.99")</f>
        <v>609.99</v>
      </c>
      <c r="O272" s="4" t="str">
        <f>HYPERLINK("http://141.218.60.56/~jnz1568/getInfo.php?workbook=09_01.xlsx&amp;sheet=A0&amp;row=272&amp;col=15&amp;number=&amp;sourceID=12","")</f>
        <v/>
      </c>
      <c r="P272" s="4" t="str">
        <f>HYPERLINK("http://141.218.60.56/~jnz1568/getInfo.php?workbook=09_01.xlsx&amp;sheet=A0&amp;row=272&amp;col=16&amp;number=&amp;sourceID=12","")</f>
        <v/>
      </c>
      <c r="Q272" s="4" t="str">
        <f>HYPERLINK("http://141.218.60.56/~jnz1568/getInfo.php?workbook=09_01.xlsx&amp;sheet=A0&amp;row=272&amp;col=17&amp;number=609.99&amp;sourceID=12","609.99")</f>
        <v>609.99</v>
      </c>
      <c r="R272" s="4" t="str">
        <f>HYPERLINK("http://141.218.60.56/~jnz1568/getInfo.php?workbook=09_01.xlsx&amp;sheet=A0&amp;row=272&amp;col=18&amp;number=&amp;sourceID=12","")</f>
        <v/>
      </c>
      <c r="S272" s="4" t="str">
        <f>HYPERLINK("http://141.218.60.56/~jnz1568/getInfo.php?workbook=09_01.xlsx&amp;sheet=A0&amp;row=272&amp;col=19&amp;number=&amp;sourceID=12","")</f>
        <v/>
      </c>
      <c r="T272" s="4" t="str">
        <f>HYPERLINK("http://141.218.60.56/~jnz1568/getInfo.php?workbook=09_01.xlsx&amp;sheet=A0&amp;row=272&amp;col=20&amp;number=&amp;sourceID=12","")</f>
        <v/>
      </c>
      <c r="U272" s="4" t="str">
        <f>HYPERLINK("http://141.218.60.56/~jnz1568/getInfo.php?workbook=09_01.xlsx&amp;sheet=A0&amp;row=272&amp;col=21&amp;number=&amp;sourceID=30","")</f>
        <v/>
      </c>
      <c r="V272" s="4" t="str">
        <f>HYPERLINK("http://141.218.60.56/~jnz1568/getInfo.php?workbook=09_01.xlsx&amp;sheet=A0&amp;row=272&amp;col=22&amp;number=&amp;sourceID=30","")</f>
        <v/>
      </c>
      <c r="W272" s="4" t="str">
        <f>HYPERLINK("http://141.218.60.56/~jnz1568/getInfo.php?workbook=09_01.xlsx&amp;sheet=A0&amp;row=272&amp;col=23&amp;number=&amp;sourceID=30","")</f>
        <v/>
      </c>
      <c r="X272" s="4" t="str">
        <f>HYPERLINK("http://141.218.60.56/~jnz1568/getInfo.php?workbook=09_01.xlsx&amp;sheet=A0&amp;row=272&amp;col=24&amp;number=&amp;sourceID=30","")</f>
        <v/>
      </c>
      <c r="Y272" s="4" t="str">
        <f>HYPERLINK("http://141.218.60.56/~jnz1568/getInfo.php?workbook=09_01.xlsx&amp;sheet=A0&amp;row=272&amp;col=25&amp;number=&amp;sourceID=30","")</f>
        <v/>
      </c>
      <c r="Z272" s="4" t="str">
        <f>HYPERLINK("http://141.218.60.56/~jnz1568/getInfo.php?workbook=09_01.xlsx&amp;sheet=A0&amp;row=272&amp;col=26&amp;number=&amp;sourceID=13","")</f>
        <v/>
      </c>
      <c r="AA272" s="4" t="str">
        <f>HYPERLINK("http://141.218.60.56/~jnz1568/getInfo.php?workbook=09_01.xlsx&amp;sheet=A0&amp;row=272&amp;col=27&amp;number=&amp;sourceID=13","")</f>
        <v/>
      </c>
      <c r="AB272" s="4" t="str">
        <f>HYPERLINK("http://141.218.60.56/~jnz1568/getInfo.php?workbook=09_01.xlsx&amp;sheet=A0&amp;row=272&amp;col=28&amp;number=&amp;sourceID=13","")</f>
        <v/>
      </c>
      <c r="AC272" s="4" t="str">
        <f>HYPERLINK("http://141.218.60.56/~jnz1568/getInfo.php?workbook=09_01.xlsx&amp;sheet=A0&amp;row=272&amp;col=29&amp;number=&amp;sourceID=13","")</f>
        <v/>
      </c>
      <c r="AD272" s="4" t="str">
        <f>HYPERLINK("http://141.218.60.56/~jnz1568/getInfo.php?workbook=09_01.xlsx&amp;sheet=A0&amp;row=272&amp;col=30&amp;number=&amp;sourceID=13","")</f>
        <v/>
      </c>
      <c r="AE272" s="4" t="str">
        <f>HYPERLINK("http://141.218.60.56/~jnz1568/getInfo.php?workbook=09_01.xlsx&amp;sheet=A0&amp;row=272&amp;col=31&amp;number=&amp;sourceID=13","")</f>
        <v/>
      </c>
    </row>
    <row r="273" spans="1:31">
      <c r="A273" s="3">
        <v>9</v>
      </c>
      <c r="B273" s="3">
        <v>1</v>
      </c>
      <c r="C273" s="3">
        <v>25</v>
      </c>
      <c r="D273" s="3">
        <v>9</v>
      </c>
      <c r="E273" s="3">
        <f>((1/(INDEX(E0!J$4:J$28,C273,1)-INDEX(E0!J$4:J$28,D273,1))))*100000000</f>
        <v>0</v>
      </c>
      <c r="F273" s="4" t="str">
        <f>HYPERLINK("http://141.218.60.56/~jnz1568/getInfo.php?workbook=09_01.xlsx&amp;sheet=A0&amp;row=273&amp;col=6&amp;number=&amp;sourceID=18","")</f>
        <v/>
      </c>
      <c r="G273" s="4" t="str">
        <f>HYPERLINK("http://141.218.60.56/~jnz1568/getInfo.php?workbook=09_01.xlsx&amp;sheet=A0&amp;row=273&amp;col=7&amp;number==&amp;sourceID=11","=")</f>
        <v>=</v>
      </c>
      <c r="H273" s="4" t="str">
        <f>HYPERLINK("http://141.218.60.56/~jnz1568/getInfo.php?workbook=09_01.xlsx&amp;sheet=A0&amp;row=273&amp;col=8&amp;number=&amp;sourceID=11","")</f>
        <v/>
      </c>
      <c r="I273" s="4" t="str">
        <f>HYPERLINK("http://141.218.60.56/~jnz1568/getInfo.php?workbook=09_01.xlsx&amp;sheet=A0&amp;row=273&amp;col=9&amp;number=6170600&amp;sourceID=11","6170600")</f>
        <v>6170600</v>
      </c>
      <c r="J273" s="4" t="str">
        <f>HYPERLINK("http://141.218.60.56/~jnz1568/getInfo.php?workbook=09_01.xlsx&amp;sheet=A0&amp;row=273&amp;col=10&amp;number=&amp;sourceID=11","")</f>
        <v/>
      </c>
      <c r="K273" s="4" t="str">
        <f>HYPERLINK("http://141.218.60.56/~jnz1568/getInfo.php?workbook=09_01.xlsx&amp;sheet=A0&amp;row=273&amp;col=11&amp;number=&amp;sourceID=11","")</f>
        <v/>
      </c>
      <c r="L273" s="4" t="str">
        <f>HYPERLINK("http://141.218.60.56/~jnz1568/getInfo.php?workbook=09_01.xlsx&amp;sheet=A0&amp;row=273&amp;col=12&amp;number=&amp;sourceID=11","")</f>
        <v/>
      </c>
      <c r="M273" s="4" t="str">
        <f>HYPERLINK("http://141.218.60.56/~jnz1568/getInfo.php?workbook=09_01.xlsx&amp;sheet=A0&amp;row=273&amp;col=13&amp;number=0.040557&amp;sourceID=11","0.040557")</f>
        <v>0.040557</v>
      </c>
      <c r="N273" s="4" t="str">
        <f>HYPERLINK("http://141.218.60.56/~jnz1568/getInfo.php?workbook=09_01.xlsx&amp;sheet=A0&amp;row=273&amp;col=14&amp;number=6170800&amp;sourceID=12","6170800")</f>
        <v>6170800</v>
      </c>
      <c r="O273" s="4" t="str">
        <f>HYPERLINK("http://141.218.60.56/~jnz1568/getInfo.php?workbook=09_01.xlsx&amp;sheet=A0&amp;row=273&amp;col=15&amp;number=&amp;sourceID=12","")</f>
        <v/>
      </c>
      <c r="P273" s="4" t="str">
        <f>HYPERLINK("http://141.218.60.56/~jnz1568/getInfo.php?workbook=09_01.xlsx&amp;sheet=A0&amp;row=273&amp;col=16&amp;number=6170800&amp;sourceID=12","6170800")</f>
        <v>6170800</v>
      </c>
      <c r="Q273" s="4" t="str">
        <f>HYPERLINK("http://141.218.60.56/~jnz1568/getInfo.php?workbook=09_01.xlsx&amp;sheet=A0&amp;row=273&amp;col=17&amp;number=&amp;sourceID=12","")</f>
        <v/>
      </c>
      <c r="R273" s="4" t="str">
        <f>HYPERLINK("http://141.218.60.56/~jnz1568/getInfo.php?workbook=09_01.xlsx&amp;sheet=A0&amp;row=273&amp;col=18&amp;number=&amp;sourceID=12","")</f>
        <v/>
      </c>
      <c r="S273" s="4" t="str">
        <f>HYPERLINK("http://141.218.60.56/~jnz1568/getInfo.php?workbook=09_01.xlsx&amp;sheet=A0&amp;row=273&amp;col=19&amp;number=&amp;sourceID=12","")</f>
        <v/>
      </c>
      <c r="T273" s="4" t="str">
        <f>HYPERLINK("http://141.218.60.56/~jnz1568/getInfo.php?workbook=09_01.xlsx&amp;sheet=A0&amp;row=273&amp;col=20&amp;number=0.040558&amp;sourceID=12","0.040558")</f>
        <v>0.040558</v>
      </c>
      <c r="U273" s="4" t="str">
        <f>HYPERLINK("http://141.218.60.56/~jnz1568/getInfo.php?workbook=09_01.xlsx&amp;sheet=A0&amp;row=273&amp;col=21&amp;number=6171000&amp;sourceID=30","6171000")</f>
        <v>6171000</v>
      </c>
      <c r="V273" s="4" t="str">
        <f>HYPERLINK("http://141.218.60.56/~jnz1568/getInfo.php?workbook=09_01.xlsx&amp;sheet=A0&amp;row=273&amp;col=22&amp;number=&amp;sourceID=30","")</f>
        <v/>
      </c>
      <c r="W273" s="4" t="str">
        <f>HYPERLINK("http://141.218.60.56/~jnz1568/getInfo.php?workbook=09_01.xlsx&amp;sheet=A0&amp;row=273&amp;col=23&amp;number=6171000&amp;sourceID=30","6171000")</f>
        <v>6171000</v>
      </c>
      <c r="X273" s="4" t="str">
        <f>HYPERLINK("http://141.218.60.56/~jnz1568/getInfo.php?workbook=09_01.xlsx&amp;sheet=A0&amp;row=273&amp;col=24&amp;number=&amp;sourceID=30","")</f>
        <v/>
      </c>
      <c r="Y273" s="4" t="str">
        <f>HYPERLINK("http://141.218.60.56/~jnz1568/getInfo.php?workbook=09_01.xlsx&amp;sheet=A0&amp;row=273&amp;col=25&amp;number=&amp;sourceID=30","")</f>
        <v/>
      </c>
      <c r="Z273" s="4" t="str">
        <f>HYPERLINK("http://141.218.60.56/~jnz1568/getInfo.php?workbook=09_01.xlsx&amp;sheet=A0&amp;row=273&amp;col=26&amp;number=&amp;sourceID=13","")</f>
        <v/>
      </c>
      <c r="AA273" s="4" t="str">
        <f>HYPERLINK("http://141.218.60.56/~jnz1568/getInfo.php?workbook=09_01.xlsx&amp;sheet=A0&amp;row=273&amp;col=27&amp;number=&amp;sourceID=13","")</f>
        <v/>
      </c>
      <c r="AB273" s="4" t="str">
        <f>HYPERLINK("http://141.218.60.56/~jnz1568/getInfo.php?workbook=09_01.xlsx&amp;sheet=A0&amp;row=273&amp;col=28&amp;number=&amp;sourceID=13","")</f>
        <v/>
      </c>
      <c r="AC273" s="4" t="str">
        <f>HYPERLINK("http://141.218.60.56/~jnz1568/getInfo.php?workbook=09_01.xlsx&amp;sheet=A0&amp;row=273&amp;col=29&amp;number=&amp;sourceID=13","")</f>
        <v/>
      </c>
      <c r="AD273" s="4" t="str">
        <f>HYPERLINK("http://141.218.60.56/~jnz1568/getInfo.php?workbook=09_01.xlsx&amp;sheet=A0&amp;row=273&amp;col=30&amp;number=&amp;sourceID=13","")</f>
        <v/>
      </c>
      <c r="AE273" s="4" t="str">
        <f>HYPERLINK("http://141.218.60.56/~jnz1568/getInfo.php?workbook=09_01.xlsx&amp;sheet=A0&amp;row=273&amp;col=31&amp;number=&amp;sourceID=13","")</f>
        <v/>
      </c>
    </row>
    <row r="274" spans="1:31">
      <c r="A274" s="3">
        <v>9</v>
      </c>
      <c r="B274" s="3">
        <v>1</v>
      </c>
      <c r="C274" s="3">
        <v>25</v>
      </c>
      <c r="D274" s="3">
        <v>12</v>
      </c>
      <c r="E274" s="3">
        <f>((1/(INDEX(E0!J$4:J$28,C274,1)-INDEX(E0!J$4:J$28,D274,1))))*100000000</f>
        <v>0</v>
      </c>
      <c r="F274" s="4" t="str">
        <f>HYPERLINK("http://141.218.60.56/~jnz1568/getInfo.php?workbook=09_01.xlsx&amp;sheet=A0&amp;row=274&amp;col=6&amp;number=&amp;sourceID=18","")</f>
        <v/>
      </c>
      <c r="G274" s="4" t="str">
        <f>HYPERLINK("http://141.218.60.56/~jnz1568/getInfo.php?workbook=09_01.xlsx&amp;sheet=A0&amp;row=274&amp;col=7&amp;number==&amp;sourceID=11","=")</f>
        <v>=</v>
      </c>
      <c r="H274" s="4" t="str">
        <f>HYPERLINK("http://141.218.60.56/~jnz1568/getInfo.php?workbook=09_01.xlsx&amp;sheet=A0&amp;row=274&amp;col=8&amp;number=&amp;sourceID=11","")</f>
        <v/>
      </c>
      <c r="I274" s="4" t="str">
        <f>HYPERLINK("http://141.218.60.56/~jnz1568/getInfo.php?workbook=09_01.xlsx&amp;sheet=A0&amp;row=274&amp;col=9&amp;number=&amp;sourceID=11","")</f>
        <v/>
      </c>
      <c r="J274" s="4" t="str">
        <f>HYPERLINK("http://141.218.60.56/~jnz1568/getInfo.php?workbook=09_01.xlsx&amp;sheet=A0&amp;row=274&amp;col=10&amp;number=&amp;sourceID=11","")</f>
        <v/>
      </c>
      <c r="K274" s="4" t="str">
        <f>HYPERLINK("http://141.218.60.56/~jnz1568/getInfo.php?workbook=09_01.xlsx&amp;sheet=A0&amp;row=274&amp;col=11&amp;number=&amp;sourceID=11","")</f>
        <v/>
      </c>
      <c r="L274" s="4" t="str">
        <f>HYPERLINK("http://141.218.60.56/~jnz1568/getInfo.php?workbook=09_01.xlsx&amp;sheet=A0&amp;row=274&amp;col=12&amp;number=&amp;sourceID=11","")</f>
        <v/>
      </c>
      <c r="M274" s="4" t="str">
        <f>HYPERLINK("http://141.218.60.56/~jnz1568/getInfo.php?workbook=09_01.xlsx&amp;sheet=A0&amp;row=274&amp;col=13&amp;number=0.00010769&amp;sourceID=11","0.00010769")</f>
        <v>0.00010769</v>
      </c>
      <c r="N274" s="4" t="str">
        <f>HYPERLINK("http://141.218.60.56/~jnz1568/getInfo.php?workbook=09_01.xlsx&amp;sheet=A0&amp;row=274&amp;col=14&amp;number=0.0001077&amp;sourceID=12","0.0001077")</f>
        <v>0.0001077</v>
      </c>
      <c r="O274" s="4" t="str">
        <f>HYPERLINK("http://141.218.60.56/~jnz1568/getInfo.php?workbook=09_01.xlsx&amp;sheet=A0&amp;row=274&amp;col=15&amp;number=&amp;sourceID=12","")</f>
        <v/>
      </c>
      <c r="P274" s="4" t="str">
        <f>HYPERLINK("http://141.218.60.56/~jnz1568/getInfo.php?workbook=09_01.xlsx&amp;sheet=A0&amp;row=274&amp;col=16&amp;number=&amp;sourceID=12","")</f>
        <v/>
      </c>
      <c r="Q274" s="4" t="str">
        <f>HYPERLINK("http://141.218.60.56/~jnz1568/getInfo.php?workbook=09_01.xlsx&amp;sheet=A0&amp;row=274&amp;col=17&amp;number=&amp;sourceID=12","")</f>
        <v/>
      </c>
      <c r="R274" s="4" t="str">
        <f>HYPERLINK("http://141.218.60.56/~jnz1568/getInfo.php?workbook=09_01.xlsx&amp;sheet=A0&amp;row=274&amp;col=18&amp;number=&amp;sourceID=12","")</f>
        <v/>
      </c>
      <c r="S274" s="4" t="str">
        <f>HYPERLINK("http://141.218.60.56/~jnz1568/getInfo.php?workbook=09_01.xlsx&amp;sheet=A0&amp;row=274&amp;col=19&amp;number=&amp;sourceID=12","")</f>
        <v/>
      </c>
      <c r="T274" s="4" t="str">
        <f>HYPERLINK("http://141.218.60.56/~jnz1568/getInfo.php?workbook=09_01.xlsx&amp;sheet=A0&amp;row=274&amp;col=20&amp;number=0.0001077&amp;sourceID=12","0.0001077")</f>
        <v>0.0001077</v>
      </c>
      <c r="U274" s="4" t="str">
        <f>HYPERLINK("http://141.218.60.56/~jnz1568/getInfo.php?workbook=09_01.xlsx&amp;sheet=A0&amp;row=274&amp;col=21&amp;number=&amp;sourceID=30","")</f>
        <v/>
      </c>
      <c r="V274" s="4" t="str">
        <f>HYPERLINK("http://141.218.60.56/~jnz1568/getInfo.php?workbook=09_01.xlsx&amp;sheet=A0&amp;row=274&amp;col=22&amp;number=&amp;sourceID=30","")</f>
        <v/>
      </c>
      <c r="W274" s="4" t="str">
        <f>HYPERLINK("http://141.218.60.56/~jnz1568/getInfo.php?workbook=09_01.xlsx&amp;sheet=A0&amp;row=274&amp;col=23&amp;number=&amp;sourceID=30","")</f>
        <v/>
      </c>
      <c r="X274" s="4" t="str">
        <f>HYPERLINK("http://141.218.60.56/~jnz1568/getInfo.php?workbook=09_01.xlsx&amp;sheet=A0&amp;row=274&amp;col=24&amp;number=&amp;sourceID=30","")</f>
        <v/>
      </c>
      <c r="Y274" s="4" t="str">
        <f>HYPERLINK("http://141.218.60.56/~jnz1568/getInfo.php?workbook=09_01.xlsx&amp;sheet=A0&amp;row=274&amp;col=25&amp;number=&amp;sourceID=30","")</f>
        <v/>
      </c>
      <c r="Z274" s="4" t="str">
        <f>HYPERLINK("http://141.218.60.56/~jnz1568/getInfo.php?workbook=09_01.xlsx&amp;sheet=A0&amp;row=274&amp;col=26&amp;number=&amp;sourceID=13","")</f>
        <v/>
      </c>
      <c r="AA274" s="4" t="str">
        <f>HYPERLINK("http://141.218.60.56/~jnz1568/getInfo.php?workbook=09_01.xlsx&amp;sheet=A0&amp;row=274&amp;col=27&amp;number=&amp;sourceID=13","")</f>
        <v/>
      </c>
      <c r="AB274" s="4" t="str">
        <f>HYPERLINK("http://141.218.60.56/~jnz1568/getInfo.php?workbook=09_01.xlsx&amp;sheet=A0&amp;row=274&amp;col=28&amp;number=&amp;sourceID=13","")</f>
        <v/>
      </c>
      <c r="AC274" s="4" t="str">
        <f>HYPERLINK("http://141.218.60.56/~jnz1568/getInfo.php?workbook=09_01.xlsx&amp;sheet=A0&amp;row=274&amp;col=29&amp;number=&amp;sourceID=13","")</f>
        <v/>
      </c>
      <c r="AD274" s="4" t="str">
        <f>HYPERLINK("http://141.218.60.56/~jnz1568/getInfo.php?workbook=09_01.xlsx&amp;sheet=A0&amp;row=274&amp;col=30&amp;number=&amp;sourceID=13","")</f>
        <v/>
      </c>
      <c r="AE274" s="4" t="str">
        <f>HYPERLINK("http://141.218.60.56/~jnz1568/getInfo.php?workbook=09_01.xlsx&amp;sheet=A0&amp;row=274&amp;col=31&amp;number=&amp;sourceID=13","")</f>
        <v/>
      </c>
    </row>
    <row r="275" spans="1:31">
      <c r="A275" s="3">
        <v>9</v>
      </c>
      <c r="B275" s="3">
        <v>1</v>
      </c>
      <c r="C275" s="3">
        <v>25</v>
      </c>
      <c r="D275" s="3">
        <v>13</v>
      </c>
      <c r="E275" s="3">
        <f>((1/(INDEX(E0!J$4:J$28,C275,1)-INDEX(E0!J$4:J$28,D275,1))))*100000000</f>
        <v>0</v>
      </c>
      <c r="F275" s="4" t="str">
        <f>HYPERLINK("http://141.218.60.56/~jnz1568/getInfo.php?workbook=09_01.xlsx&amp;sheet=A0&amp;row=275&amp;col=6&amp;number=&amp;sourceID=18","")</f>
        <v/>
      </c>
      <c r="G275" s="4" t="str">
        <f>HYPERLINK("http://141.218.60.56/~jnz1568/getInfo.php?workbook=09_01.xlsx&amp;sheet=A0&amp;row=275&amp;col=7&amp;number==&amp;sourceID=11","=")</f>
        <v>=</v>
      </c>
      <c r="H275" s="4" t="str">
        <f>HYPERLINK("http://141.218.60.56/~jnz1568/getInfo.php?workbook=09_01.xlsx&amp;sheet=A0&amp;row=275&amp;col=8&amp;number=&amp;sourceID=11","")</f>
        <v/>
      </c>
      <c r="I275" s="4" t="str">
        <f>HYPERLINK("http://141.218.60.56/~jnz1568/getInfo.php?workbook=09_01.xlsx&amp;sheet=A0&amp;row=275&amp;col=9&amp;number=&amp;sourceID=11","")</f>
        <v/>
      </c>
      <c r="J275" s="4" t="str">
        <f>HYPERLINK("http://141.218.60.56/~jnz1568/getInfo.php?workbook=09_01.xlsx&amp;sheet=A0&amp;row=275&amp;col=10&amp;number=5.6387&amp;sourceID=11","5.6387")</f>
        <v>5.6387</v>
      </c>
      <c r="K275" s="4" t="str">
        <f>HYPERLINK("http://141.218.60.56/~jnz1568/getInfo.php?workbook=09_01.xlsx&amp;sheet=A0&amp;row=275&amp;col=11&amp;number=&amp;sourceID=11","")</f>
        <v/>
      </c>
      <c r="L275" s="4" t="str">
        <f>HYPERLINK("http://141.218.60.56/~jnz1568/getInfo.php?workbook=09_01.xlsx&amp;sheet=A0&amp;row=275&amp;col=12&amp;number=&amp;sourceID=11","")</f>
        <v/>
      </c>
      <c r="M275" s="4" t="str">
        <f>HYPERLINK("http://141.218.60.56/~jnz1568/getInfo.php?workbook=09_01.xlsx&amp;sheet=A0&amp;row=275&amp;col=13&amp;number=&amp;sourceID=11","")</f>
        <v/>
      </c>
      <c r="N275" s="4" t="str">
        <f>HYPERLINK("http://141.218.60.56/~jnz1568/getInfo.php?workbook=09_01.xlsx&amp;sheet=A0&amp;row=275&amp;col=14&amp;number=5.6388&amp;sourceID=12","5.6388")</f>
        <v>5.6388</v>
      </c>
      <c r="O275" s="4" t="str">
        <f>HYPERLINK("http://141.218.60.56/~jnz1568/getInfo.php?workbook=09_01.xlsx&amp;sheet=A0&amp;row=275&amp;col=15&amp;number=&amp;sourceID=12","")</f>
        <v/>
      </c>
      <c r="P275" s="4" t="str">
        <f>HYPERLINK("http://141.218.60.56/~jnz1568/getInfo.php?workbook=09_01.xlsx&amp;sheet=A0&amp;row=275&amp;col=16&amp;number=&amp;sourceID=12","")</f>
        <v/>
      </c>
      <c r="Q275" s="4" t="str">
        <f>HYPERLINK("http://141.218.60.56/~jnz1568/getInfo.php?workbook=09_01.xlsx&amp;sheet=A0&amp;row=275&amp;col=17&amp;number=5.6388&amp;sourceID=12","5.6388")</f>
        <v>5.6388</v>
      </c>
      <c r="R275" s="4" t="str">
        <f>HYPERLINK("http://141.218.60.56/~jnz1568/getInfo.php?workbook=09_01.xlsx&amp;sheet=A0&amp;row=275&amp;col=18&amp;number=&amp;sourceID=12","")</f>
        <v/>
      </c>
      <c r="S275" s="4" t="str">
        <f>HYPERLINK("http://141.218.60.56/~jnz1568/getInfo.php?workbook=09_01.xlsx&amp;sheet=A0&amp;row=275&amp;col=19&amp;number=&amp;sourceID=12","")</f>
        <v/>
      </c>
      <c r="T275" s="4" t="str">
        <f>HYPERLINK("http://141.218.60.56/~jnz1568/getInfo.php?workbook=09_01.xlsx&amp;sheet=A0&amp;row=275&amp;col=20&amp;number=&amp;sourceID=12","")</f>
        <v/>
      </c>
      <c r="U275" s="4" t="str">
        <f>HYPERLINK("http://141.218.60.56/~jnz1568/getInfo.php?workbook=09_01.xlsx&amp;sheet=A0&amp;row=275&amp;col=21&amp;number=&amp;sourceID=30","")</f>
        <v/>
      </c>
      <c r="V275" s="4" t="str">
        <f>HYPERLINK("http://141.218.60.56/~jnz1568/getInfo.php?workbook=09_01.xlsx&amp;sheet=A0&amp;row=275&amp;col=22&amp;number=&amp;sourceID=30","")</f>
        <v/>
      </c>
      <c r="W275" s="4" t="str">
        <f>HYPERLINK("http://141.218.60.56/~jnz1568/getInfo.php?workbook=09_01.xlsx&amp;sheet=A0&amp;row=275&amp;col=23&amp;number=&amp;sourceID=30","")</f>
        <v/>
      </c>
      <c r="X275" s="4" t="str">
        <f>HYPERLINK("http://141.218.60.56/~jnz1568/getInfo.php?workbook=09_01.xlsx&amp;sheet=A0&amp;row=275&amp;col=24&amp;number=&amp;sourceID=30","")</f>
        <v/>
      </c>
      <c r="Y275" s="4" t="str">
        <f>HYPERLINK("http://141.218.60.56/~jnz1568/getInfo.php?workbook=09_01.xlsx&amp;sheet=A0&amp;row=275&amp;col=25&amp;number=&amp;sourceID=30","")</f>
        <v/>
      </c>
      <c r="Z275" s="4" t="str">
        <f>HYPERLINK("http://141.218.60.56/~jnz1568/getInfo.php?workbook=09_01.xlsx&amp;sheet=A0&amp;row=275&amp;col=26&amp;number=&amp;sourceID=13","")</f>
        <v/>
      </c>
      <c r="AA275" s="4" t="str">
        <f>HYPERLINK("http://141.218.60.56/~jnz1568/getInfo.php?workbook=09_01.xlsx&amp;sheet=A0&amp;row=275&amp;col=27&amp;number=&amp;sourceID=13","")</f>
        <v/>
      </c>
      <c r="AB275" s="4" t="str">
        <f>HYPERLINK("http://141.218.60.56/~jnz1568/getInfo.php?workbook=09_01.xlsx&amp;sheet=A0&amp;row=275&amp;col=28&amp;number=&amp;sourceID=13","")</f>
        <v/>
      </c>
      <c r="AC275" s="4" t="str">
        <f>HYPERLINK("http://141.218.60.56/~jnz1568/getInfo.php?workbook=09_01.xlsx&amp;sheet=A0&amp;row=275&amp;col=29&amp;number=&amp;sourceID=13","")</f>
        <v/>
      </c>
      <c r="AD275" s="4" t="str">
        <f>HYPERLINK("http://141.218.60.56/~jnz1568/getInfo.php?workbook=09_01.xlsx&amp;sheet=A0&amp;row=275&amp;col=30&amp;number=&amp;sourceID=13","")</f>
        <v/>
      </c>
      <c r="AE275" s="4" t="str">
        <f>HYPERLINK("http://141.218.60.56/~jnz1568/getInfo.php?workbook=09_01.xlsx&amp;sheet=A0&amp;row=275&amp;col=31&amp;number=&amp;sourceID=13","")</f>
        <v/>
      </c>
    </row>
    <row r="276" spans="1:31">
      <c r="A276" s="3">
        <v>9</v>
      </c>
      <c r="B276" s="3">
        <v>1</v>
      </c>
      <c r="C276" s="3">
        <v>25</v>
      </c>
      <c r="D276" s="3">
        <v>14</v>
      </c>
      <c r="E276" s="3">
        <f>((1/(INDEX(E0!J$4:J$28,C276,1)-INDEX(E0!J$4:J$28,D276,1))))*100000000</f>
        <v>0</v>
      </c>
      <c r="F276" s="4" t="str">
        <f>HYPERLINK("http://141.218.60.56/~jnz1568/getInfo.php?workbook=09_01.xlsx&amp;sheet=A0&amp;row=276&amp;col=6&amp;number=&amp;sourceID=18","")</f>
        <v/>
      </c>
      <c r="G276" s="4" t="str">
        <f>HYPERLINK("http://141.218.60.56/~jnz1568/getInfo.php?workbook=09_01.xlsx&amp;sheet=A0&amp;row=276&amp;col=7&amp;number==&amp;sourceID=11","=")</f>
        <v>=</v>
      </c>
      <c r="H276" s="4" t="str">
        <f>HYPERLINK("http://141.218.60.56/~jnz1568/getInfo.php?workbook=09_01.xlsx&amp;sheet=A0&amp;row=276&amp;col=8&amp;number=&amp;sourceID=11","")</f>
        <v/>
      </c>
      <c r="I276" s="4" t="str">
        <f>HYPERLINK("http://141.218.60.56/~jnz1568/getInfo.php?workbook=09_01.xlsx&amp;sheet=A0&amp;row=276&amp;col=9&amp;number=&amp;sourceID=11","")</f>
        <v/>
      </c>
      <c r="J276" s="4" t="str">
        <f>HYPERLINK("http://141.218.60.56/~jnz1568/getInfo.php?workbook=09_01.xlsx&amp;sheet=A0&amp;row=276&amp;col=10&amp;number=0.26273&amp;sourceID=11","0.26273")</f>
        <v>0.26273</v>
      </c>
      <c r="K276" s="4" t="str">
        <f>HYPERLINK("http://141.218.60.56/~jnz1568/getInfo.php?workbook=09_01.xlsx&amp;sheet=A0&amp;row=276&amp;col=11&amp;number=&amp;sourceID=11","")</f>
        <v/>
      </c>
      <c r="L276" s="4" t="str">
        <f>HYPERLINK("http://141.218.60.56/~jnz1568/getInfo.php?workbook=09_01.xlsx&amp;sheet=A0&amp;row=276&amp;col=12&amp;number=3.7612&amp;sourceID=11","3.7612")</f>
        <v>3.7612</v>
      </c>
      <c r="M276" s="4" t="str">
        <f>HYPERLINK("http://141.218.60.56/~jnz1568/getInfo.php?workbook=09_01.xlsx&amp;sheet=A0&amp;row=276&amp;col=13&amp;number=&amp;sourceID=11","")</f>
        <v/>
      </c>
      <c r="N276" s="4" t="str">
        <f>HYPERLINK("http://141.218.60.56/~jnz1568/getInfo.php?workbook=09_01.xlsx&amp;sheet=A0&amp;row=276&amp;col=14&amp;number=4.024&amp;sourceID=12","4.024")</f>
        <v>4.024</v>
      </c>
      <c r="O276" s="4" t="str">
        <f>HYPERLINK("http://141.218.60.56/~jnz1568/getInfo.php?workbook=09_01.xlsx&amp;sheet=A0&amp;row=276&amp;col=15&amp;number=&amp;sourceID=12","")</f>
        <v/>
      </c>
      <c r="P276" s="4" t="str">
        <f>HYPERLINK("http://141.218.60.56/~jnz1568/getInfo.php?workbook=09_01.xlsx&amp;sheet=A0&amp;row=276&amp;col=16&amp;number=&amp;sourceID=12","")</f>
        <v/>
      </c>
      <c r="Q276" s="4" t="str">
        <f>HYPERLINK("http://141.218.60.56/~jnz1568/getInfo.php?workbook=09_01.xlsx&amp;sheet=A0&amp;row=276&amp;col=17&amp;number=0.26274&amp;sourceID=12","0.26274")</f>
        <v>0.26274</v>
      </c>
      <c r="R276" s="4" t="str">
        <f>HYPERLINK("http://141.218.60.56/~jnz1568/getInfo.php?workbook=09_01.xlsx&amp;sheet=A0&amp;row=276&amp;col=18&amp;number=&amp;sourceID=12","")</f>
        <v/>
      </c>
      <c r="S276" s="4" t="str">
        <f>HYPERLINK("http://141.218.60.56/~jnz1568/getInfo.php?workbook=09_01.xlsx&amp;sheet=A0&amp;row=276&amp;col=19&amp;number=3.7613&amp;sourceID=12","3.7613")</f>
        <v>3.7613</v>
      </c>
      <c r="T276" s="4" t="str">
        <f>HYPERLINK("http://141.218.60.56/~jnz1568/getInfo.php?workbook=09_01.xlsx&amp;sheet=A0&amp;row=276&amp;col=20&amp;number=&amp;sourceID=12","")</f>
        <v/>
      </c>
      <c r="U276" s="4" t="str">
        <f>HYPERLINK("http://141.218.60.56/~jnz1568/getInfo.php?workbook=09_01.xlsx&amp;sheet=A0&amp;row=276&amp;col=21&amp;number=3.761&amp;sourceID=30","3.761")</f>
        <v>3.761</v>
      </c>
      <c r="V276" s="4" t="str">
        <f>HYPERLINK("http://141.218.60.56/~jnz1568/getInfo.php?workbook=09_01.xlsx&amp;sheet=A0&amp;row=276&amp;col=22&amp;number=&amp;sourceID=30","")</f>
        <v/>
      </c>
      <c r="W276" s="4" t="str">
        <f>HYPERLINK("http://141.218.60.56/~jnz1568/getInfo.php?workbook=09_01.xlsx&amp;sheet=A0&amp;row=276&amp;col=23&amp;number=&amp;sourceID=30","")</f>
        <v/>
      </c>
      <c r="X276" s="4" t="str">
        <f>HYPERLINK("http://141.218.60.56/~jnz1568/getInfo.php?workbook=09_01.xlsx&amp;sheet=A0&amp;row=276&amp;col=24&amp;number=&amp;sourceID=30","")</f>
        <v/>
      </c>
      <c r="Y276" s="4" t="str">
        <f>HYPERLINK("http://141.218.60.56/~jnz1568/getInfo.php?workbook=09_01.xlsx&amp;sheet=A0&amp;row=276&amp;col=25&amp;number=3.761&amp;sourceID=30","3.761")</f>
        <v>3.761</v>
      </c>
      <c r="Z276" s="4" t="str">
        <f>HYPERLINK("http://141.218.60.56/~jnz1568/getInfo.php?workbook=09_01.xlsx&amp;sheet=A0&amp;row=276&amp;col=26&amp;number=&amp;sourceID=13","")</f>
        <v/>
      </c>
      <c r="AA276" s="4" t="str">
        <f>HYPERLINK("http://141.218.60.56/~jnz1568/getInfo.php?workbook=09_01.xlsx&amp;sheet=A0&amp;row=276&amp;col=27&amp;number=&amp;sourceID=13","")</f>
        <v/>
      </c>
      <c r="AB276" s="4" t="str">
        <f>HYPERLINK("http://141.218.60.56/~jnz1568/getInfo.php?workbook=09_01.xlsx&amp;sheet=A0&amp;row=276&amp;col=28&amp;number=&amp;sourceID=13","")</f>
        <v/>
      </c>
      <c r="AC276" s="4" t="str">
        <f>HYPERLINK("http://141.218.60.56/~jnz1568/getInfo.php?workbook=09_01.xlsx&amp;sheet=A0&amp;row=276&amp;col=29&amp;number=&amp;sourceID=13","")</f>
        <v/>
      </c>
      <c r="AD276" s="4" t="str">
        <f>HYPERLINK("http://141.218.60.56/~jnz1568/getInfo.php?workbook=09_01.xlsx&amp;sheet=A0&amp;row=276&amp;col=30&amp;number=&amp;sourceID=13","")</f>
        <v/>
      </c>
      <c r="AE276" s="4" t="str">
        <f>HYPERLINK("http://141.218.60.56/~jnz1568/getInfo.php?workbook=09_01.xlsx&amp;sheet=A0&amp;row=276&amp;col=31&amp;number=&amp;sourceID=13","")</f>
        <v/>
      </c>
    </row>
    <row r="277" spans="1:31">
      <c r="A277" s="3">
        <v>9</v>
      </c>
      <c r="B277" s="3">
        <v>1</v>
      </c>
      <c r="C277" s="3">
        <v>25</v>
      </c>
      <c r="D277" s="3">
        <v>15</v>
      </c>
      <c r="E277" s="3">
        <f>((1/(INDEX(E0!J$4:J$28,C277,1)-INDEX(E0!J$4:J$28,D277,1))))*100000000</f>
        <v>0</v>
      </c>
      <c r="F277" s="4" t="str">
        <f>HYPERLINK("http://141.218.60.56/~jnz1568/getInfo.php?workbook=09_01.xlsx&amp;sheet=A0&amp;row=277&amp;col=6&amp;number=&amp;sourceID=18","")</f>
        <v/>
      </c>
      <c r="G277" s="4" t="str">
        <f>HYPERLINK("http://141.218.60.56/~jnz1568/getInfo.php?workbook=09_01.xlsx&amp;sheet=A0&amp;row=277&amp;col=7&amp;number==&amp;sourceID=11","=")</f>
        <v>=</v>
      </c>
      <c r="H277" s="4" t="str">
        <f>HYPERLINK("http://141.218.60.56/~jnz1568/getInfo.php?workbook=09_01.xlsx&amp;sheet=A0&amp;row=277&amp;col=8&amp;number=&amp;sourceID=11","")</f>
        <v/>
      </c>
      <c r="I277" s="4" t="str">
        <f>HYPERLINK("http://141.218.60.56/~jnz1568/getInfo.php?workbook=09_01.xlsx&amp;sheet=A0&amp;row=277&amp;col=9&amp;number=531720&amp;sourceID=11","531720")</f>
        <v>531720</v>
      </c>
      <c r="J277" s="4" t="str">
        <f>HYPERLINK("http://141.218.60.56/~jnz1568/getInfo.php?workbook=09_01.xlsx&amp;sheet=A0&amp;row=277&amp;col=10&amp;number=&amp;sourceID=11","")</f>
        <v/>
      </c>
      <c r="K277" s="4" t="str">
        <f>HYPERLINK("http://141.218.60.56/~jnz1568/getInfo.php?workbook=09_01.xlsx&amp;sheet=A0&amp;row=277&amp;col=11&amp;number=&amp;sourceID=11","")</f>
        <v/>
      </c>
      <c r="L277" s="4" t="str">
        <f>HYPERLINK("http://141.218.60.56/~jnz1568/getInfo.php?workbook=09_01.xlsx&amp;sheet=A0&amp;row=277&amp;col=12&amp;number=&amp;sourceID=11","")</f>
        <v/>
      </c>
      <c r="M277" s="4" t="str">
        <f>HYPERLINK("http://141.218.60.56/~jnz1568/getInfo.php?workbook=09_01.xlsx&amp;sheet=A0&amp;row=277&amp;col=13&amp;number=0.00035001&amp;sourceID=11","0.00035001")</f>
        <v>0.00035001</v>
      </c>
      <c r="N277" s="4" t="str">
        <f>HYPERLINK("http://141.218.60.56/~jnz1568/getInfo.php?workbook=09_01.xlsx&amp;sheet=A0&amp;row=277&amp;col=14&amp;number=531730&amp;sourceID=12","531730")</f>
        <v>531730</v>
      </c>
      <c r="O277" s="4" t="str">
        <f>HYPERLINK("http://141.218.60.56/~jnz1568/getInfo.php?workbook=09_01.xlsx&amp;sheet=A0&amp;row=277&amp;col=15&amp;number=&amp;sourceID=12","")</f>
        <v/>
      </c>
      <c r="P277" s="4" t="str">
        <f>HYPERLINK("http://141.218.60.56/~jnz1568/getInfo.php?workbook=09_01.xlsx&amp;sheet=A0&amp;row=277&amp;col=16&amp;number=531730&amp;sourceID=12","531730")</f>
        <v>531730</v>
      </c>
      <c r="Q277" s="4" t="str">
        <f>HYPERLINK("http://141.218.60.56/~jnz1568/getInfo.php?workbook=09_01.xlsx&amp;sheet=A0&amp;row=277&amp;col=17&amp;number=&amp;sourceID=12","")</f>
        <v/>
      </c>
      <c r="R277" s="4" t="str">
        <f>HYPERLINK("http://141.218.60.56/~jnz1568/getInfo.php?workbook=09_01.xlsx&amp;sheet=A0&amp;row=277&amp;col=18&amp;number=&amp;sourceID=12","")</f>
        <v/>
      </c>
      <c r="S277" s="4" t="str">
        <f>HYPERLINK("http://141.218.60.56/~jnz1568/getInfo.php?workbook=09_01.xlsx&amp;sheet=A0&amp;row=277&amp;col=19&amp;number=&amp;sourceID=12","")</f>
        <v/>
      </c>
      <c r="T277" s="4" t="str">
        <f>HYPERLINK("http://141.218.60.56/~jnz1568/getInfo.php?workbook=09_01.xlsx&amp;sheet=A0&amp;row=277&amp;col=20&amp;number=0.00035002&amp;sourceID=12","0.00035002")</f>
        <v>0.00035002</v>
      </c>
      <c r="U277" s="4" t="str">
        <f>HYPERLINK("http://141.218.60.56/~jnz1568/getInfo.php?workbook=09_01.xlsx&amp;sheet=A0&amp;row=277&amp;col=21&amp;number=531700&amp;sourceID=30","531700")</f>
        <v>531700</v>
      </c>
      <c r="V277" s="4" t="str">
        <f>HYPERLINK("http://141.218.60.56/~jnz1568/getInfo.php?workbook=09_01.xlsx&amp;sheet=A0&amp;row=277&amp;col=22&amp;number=&amp;sourceID=30","")</f>
        <v/>
      </c>
      <c r="W277" s="4" t="str">
        <f>HYPERLINK("http://141.218.60.56/~jnz1568/getInfo.php?workbook=09_01.xlsx&amp;sheet=A0&amp;row=277&amp;col=23&amp;number=531700&amp;sourceID=30","531700")</f>
        <v>531700</v>
      </c>
      <c r="X277" s="4" t="str">
        <f>HYPERLINK("http://141.218.60.56/~jnz1568/getInfo.php?workbook=09_01.xlsx&amp;sheet=A0&amp;row=277&amp;col=24&amp;number=&amp;sourceID=30","")</f>
        <v/>
      </c>
      <c r="Y277" s="4" t="str">
        <f>HYPERLINK("http://141.218.60.56/~jnz1568/getInfo.php?workbook=09_01.xlsx&amp;sheet=A0&amp;row=277&amp;col=25&amp;number=&amp;sourceID=30","")</f>
        <v/>
      </c>
      <c r="Z277" s="4" t="str">
        <f>HYPERLINK("http://141.218.60.56/~jnz1568/getInfo.php?workbook=09_01.xlsx&amp;sheet=A0&amp;row=277&amp;col=26&amp;number=&amp;sourceID=13","")</f>
        <v/>
      </c>
      <c r="AA277" s="4" t="str">
        <f>HYPERLINK("http://141.218.60.56/~jnz1568/getInfo.php?workbook=09_01.xlsx&amp;sheet=A0&amp;row=277&amp;col=27&amp;number=&amp;sourceID=13","")</f>
        <v/>
      </c>
      <c r="AB277" s="4" t="str">
        <f>HYPERLINK("http://141.218.60.56/~jnz1568/getInfo.php?workbook=09_01.xlsx&amp;sheet=A0&amp;row=277&amp;col=28&amp;number=&amp;sourceID=13","")</f>
        <v/>
      </c>
      <c r="AC277" s="4" t="str">
        <f>HYPERLINK("http://141.218.60.56/~jnz1568/getInfo.php?workbook=09_01.xlsx&amp;sheet=A0&amp;row=277&amp;col=29&amp;number=&amp;sourceID=13","")</f>
        <v/>
      </c>
      <c r="AD277" s="4" t="str">
        <f>HYPERLINK("http://141.218.60.56/~jnz1568/getInfo.php?workbook=09_01.xlsx&amp;sheet=A0&amp;row=277&amp;col=30&amp;number=&amp;sourceID=13","")</f>
        <v/>
      </c>
      <c r="AE277" s="4" t="str">
        <f>HYPERLINK("http://141.218.60.56/~jnz1568/getInfo.php?workbook=09_01.xlsx&amp;sheet=A0&amp;row=277&amp;col=31&amp;number=&amp;sourceID=13","")</f>
        <v/>
      </c>
    </row>
    <row r="278" spans="1:31">
      <c r="A278" s="3">
        <v>9</v>
      </c>
      <c r="B278" s="3">
        <v>1</v>
      </c>
      <c r="C278" s="3">
        <v>25</v>
      </c>
      <c r="D278" s="3">
        <v>16</v>
      </c>
      <c r="E278" s="3">
        <f>((1/(INDEX(E0!J$4:J$28,C278,1)-INDEX(E0!J$4:J$28,D278,1))))*100000000</f>
        <v>0</v>
      </c>
      <c r="F278" s="4" t="str">
        <f>HYPERLINK("http://141.218.60.56/~jnz1568/getInfo.php?workbook=09_01.xlsx&amp;sheet=A0&amp;row=278&amp;col=6&amp;number=&amp;sourceID=18","")</f>
        <v/>
      </c>
      <c r="G278" s="4" t="str">
        <f>HYPERLINK("http://141.218.60.56/~jnz1568/getInfo.php?workbook=09_01.xlsx&amp;sheet=A0&amp;row=278&amp;col=7&amp;number==&amp;sourceID=11","=")</f>
        <v>=</v>
      </c>
      <c r="H278" s="4" t="str">
        <f>HYPERLINK("http://141.218.60.56/~jnz1568/getInfo.php?workbook=09_01.xlsx&amp;sheet=A0&amp;row=278&amp;col=8&amp;number=27925000000&amp;sourceID=11","27925000000")</f>
        <v>27925000000</v>
      </c>
      <c r="I278" s="4" t="str">
        <f>HYPERLINK("http://141.218.60.56/~jnz1568/getInfo.php?workbook=09_01.xlsx&amp;sheet=A0&amp;row=278&amp;col=9&amp;number=&amp;sourceID=11","")</f>
        <v/>
      </c>
      <c r="J278" s="4" t="str">
        <f>HYPERLINK("http://141.218.60.56/~jnz1568/getInfo.php?workbook=09_01.xlsx&amp;sheet=A0&amp;row=278&amp;col=10&amp;number=1.5748&amp;sourceID=11","1.5748")</f>
        <v>1.5748</v>
      </c>
      <c r="K278" s="4" t="str">
        <f>HYPERLINK("http://141.218.60.56/~jnz1568/getInfo.php?workbook=09_01.xlsx&amp;sheet=A0&amp;row=278&amp;col=11&amp;number=&amp;sourceID=11","")</f>
        <v/>
      </c>
      <c r="L278" s="4" t="str">
        <f>HYPERLINK("http://141.218.60.56/~jnz1568/getInfo.php?workbook=09_01.xlsx&amp;sheet=A0&amp;row=278&amp;col=12&amp;number=34.878&amp;sourceID=11","34.878")</f>
        <v>34.878</v>
      </c>
      <c r="M278" s="4" t="str">
        <f>HYPERLINK("http://141.218.60.56/~jnz1568/getInfo.php?workbook=09_01.xlsx&amp;sheet=A0&amp;row=278&amp;col=13&amp;number=&amp;sourceID=11","")</f>
        <v/>
      </c>
      <c r="N278" s="4" t="str">
        <f>HYPERLINK("http://141.218.60.56/~jnz1568/getInfo.php?workbook=09_01.xlsx&amp;sheet=A0&amp;row=278&amp;col=14&amp;number=27926000000&amp;sourceID=12","27926000000")</f>
        <v>27926000000</v>
      </c>
      <c r="O278" s="4" t="str">
        <f>HYPERLINK("http://141.218.60.56/~jnz1568/getInfo.php?workbook=09_01.xlsx&amp;sheet=A0&amp;row=278&amp;col=15&amp;number=27926000000&amp;sourceID=12","27926000000")</f>
        <v>27926000000</v>
      </c>
      <c r="P278" s="4" t="str">
        <f>HYPERLINK("http://141.218.60.56/~jnz1568/getInfo.php?workbook=09_01.xlsx&amp;sheet=A0&amp;row=278&amp;col=16&amp;number=&amp;sourceID=12","")</f>
        <v/>
      </c>
      <c r="Q278" s="4" t="str">
        <f>HYPERLINK("http://141.218.60.56/~jnz1568/getInfo.php?workbook=09_01.xlsx&amp;sheet=A0&amp;row=278&amp;col=17&amp;number=1.5749&amp;sourceID=12","1.5749")</f>
        <v>1.5749</v>
      </c>
      <c r="R278" s="4" t="str">
        <f>HYPERLINK("http://141.218.60.56/~jnz1568/getInfo.php?workbook=09_01.xlsx&amp;sheet=A0&amp;row=278&amp;col=18&amp;number=&amp;sourceID=12","")</f>
        <v/>
      </c>
      <c r="S278" s="4" t="str">
        <f>HYPERLINK("http://141.218.60.56/~jnz1568/getInfo.php?workbook=09_01.xlsx&amp;sheet=A0&amp;row=278&amp;col=19&amp;number=34.879&amp;sourceID=12","34.879")</f>
        <v>34.879</v>
      </c>
      <c r="T278" s="4" t="str">
        <f>HYPERLINK("http://141.218.60.56/~jnz1568/getInfo.php?workbook=09_01.xlsx&amp;sheet=A0&amp;row=278&amp;col=20&amp;number=&amp;sourceID=12","")</f>
        <v/>
      </c>
      <c r="U278" s="4" t="str">
        <f>HYPERLINK("http://141.218.60.56/~jnz1568/getInfo.php?workbook=09_01.xlsx&amp;sheet=A0&amp;row=278&amp;col=21&amp;number=27930000034.9&amp;sourceID=30","27930000034.9")</f>
        <v>27930000034.9</v>
      </c>
      <c r="V278" s="4" t="str">
        <f>HYPERLINK("http://141.218.60.56/~jnz1568/getInfo.php?workbook=09_01.xlsx&amp;sheet=A0&amp;row=278&amp;col=22&amp;number=27930000000&amp;sourceID=30","27930000000")</f>
        <v>27930000000</v>
      </c>
      <c r="W278" s="4" t="str">
        <f>HYPERLINK("http://141.218.60.56/~jnz1568/getInfo.php?workbook=09_01.xlsx&amp;sheet=A0&amp;row=278&amp;col=23&amp;number=&amp;sourceID=30","")</f>
        <v/>
      </c>
      <c r="X278" s="4" t="str">
        <f>HYPERLINK("http://141.218.60.56/~jnz1568/getInfo.php?workbook=09_01.xlsx&amp;sheet=A0&amp;row=278&amp;col=24&amp;number=&amp;sourceID=30","")</f>
        <v/>
      </c>
      <c r="Y278" s="4" t="str">
        <f>HYPERLINK("http://141.218.60.56/~jnz1568/getInfo.php?workbook=09_01.xlsx&amp;sheet=A0&amp;row=278&amp;col=25&amp;number=34.88&amp;sourceID=30","34.88")</f>
        <v>34.88</v>
      </c>
      <c r="Z278" s="4" t="str">
        <f>HYPERLINK("http://141.218.60.56/~jnz1568/getInfo.php?workbook=09_01.xlsx&amp;sheet=A0&amp;row=278&amp;col=26&amp;number=&amp;sourceID=13","")</f>
        <v/>
      </c>
      <c r="AA278" s="4" t="str">
        <f>HYPERLINK("http://141.218.60.56/~jnz1568/getInfo.php?workbook=09_01.xlsx&amp;sheet=A0&amp;row=278&amp;col=27&amp;number=&amp;sourceID=13","")</f>
        <v/>
      </c>
      <c r="AB278" s="4" t="str">
        <f>HYPERLINK("http://141.218.60.56/~jnz1568/getInfo.php?workbook=09_01.xlsx&amp;sheet=A0&amp;row=278&amp;col=28&amp;number=&amp;sourceID=13","")</f>
        <v/>
      </c>
      <c r="AC278" s="4" t="str">
        <f>HYPERLINK("http://141.218.60.56/~jnz1568/getInfo.php?workbook=09_01.xlsx&amp;sheet=A0&amp;row=278&amp;col=29&amp;number=&amp;sourceID=13","")</f>
        <v/>
      </c>
      <c r="AD278" s="4" t="str">
        <f>HYPERLINK("http://141.218.60.56/~jnz1568/getInfo.php?workbook=09_01.xlsx&amp;sheet=A0&amp;row=278&amp;col=30&amp;number=&amp;sourceID=13","")</f>
        <v/>
      </c>
      <c r="AE278" s="4" t="str">
        <f>HYPERLINK("http://141.218.60.56/~jnz1568/getInfo.php?workbook=09_01.xlsx&amp;sheet=A0&amp;row=278&amp;col=31&amp;number=&amp;sourceID=13","")</f>
        <v/>
      </c>
    </row>
    <row r="279" spans="1:31">
      <c r="A279" s="3">
        <v>9</v>
      </c>
      <c r="B279" s="3">
        <v>1</v>
      </c>
      <c r="C279" s="3">
        <v>25</v>
      </c>
      <c r="D279" s="3">
        <v>19</v>
      </c>
      <c r="E279" s="3">
        <f>((1/(INDEX(E0!J$4:J$28,C279,1)-INDEX(E0!J$4:J$28,D279,1))))*100000000</f>
        <v>0</v>
      </c>
      <c r="F279" s="4" t="str">
        <f>HYPERLINK("http://141.218.60.56/~jnz1568/getInfo.php?workbook=09_01.xlsx&amp;sheet=A0&amp;row=279&amp;col=6&amp;number=&amp;sourceID=18","")</f>
        <v/>
      </c>
      <c r="G279" s="4" t="str">
        <f>HYPERLINK("http://141.218.60.56/~jnz1568/getInfo.php?workbook=09_01.xlsx&amp;sheet=A0&amp;row=279&amp;col=7&amp;number==&amp;sourceID=11","=")</f>
        <v>=</v>
      </c>
      <c r="H279" s="4" t="str">
        <f>HYPERLINK("http://141.218.60.56/~jnz1568/getInfo.php?workbook=09_01.xlsx&amp;sheet=A0&amp;row=279&amp;col=8&amp;number=&amp;sourceID=11","")</f>
        <v/>
      </c>
      <c r="I279" s="4" t="str">
        <f>HYPERLINK("http://141.218.60.56/~jnz1568/getInfo.php?workbook=09_01.xlsx&amp;sheet=A0&amp;row=279&amp;col=9&amp;number=&amp;sourceID=11","")</f>
        <v/>
      </c>
      <c r="J279" s="4" t="str">
        <f>HYPERLINK("http://141.218.60.56/~jnz1568/getInfo.php?workbook=09_01.xlsx&amp;sheet=A0&amp;row=279&amp;col=10&amp;number=&amp;sourceID=11","")</f>
        <v/>
      </c>
      <c r="K279" s="4" t="str">
        <f>HYPERLINK("http://141.218.60.56/~jnz1568/getInfo.php?workbook=09_01.xlsx&amp;sheet=A0&amp;row=279&amp;col=11&amp;number=&amp;sourceID=11","")</f>
        <v/>
      </c>
      <c r="L279" s="4" t="str">
        <f>HYPERLINK("http://141.218.60.56/~jnz1568/getInfo.php?workbook=09_01.xlsx&amp;sheet=A0&amp;row=279&amp;col=12&amp;number=&amp;sourceID=11","")</f>
        <v/>
      </c>
      <c r="M279" s="4" t="str">
        <f>HYPERLINK("http://141.218.60.56/~jnz1568/getInfo.php?workbook=09_01.xlsx&amp;sheet=A0&amp;row=279&amp;col=13&amp;number=0&amp;sourceID=11","0")</f>
        <v>0</v>
      </c>
      <c r="N279" s="4" t="str">
        <f>HYPERLINK("http://141.218.60.56/~jnz1568/getInfo.php?workbook=09_01.xlsx&amp;sheet=A0&amp;row=279&amp;col=14&amp;number=0&amp;sourceID=12","0")</f>
        <v>0</v>
      </c>
      <c r="O279" s="4" t="str">
        <f>HYPERLINK("http://141.218.60.56/~jnz1568/getInfo.php?workbook=09_01.xlsx&amp;sheet=A0&amp;row=279&amp;col=15&amp;number=&amp;sourceID=12","")</f>
        <v/>
      </c>
      <c r="P279" s="4" t="str">
        <f>HYPERLINK("http://141.218.60.56/~jnz1568/getInfo.php?workbook=09_01.xlsx&amp;sheet=A0&amp;row=279&amp;col=16&amp;number=&amp;sourceID=12","")</f>
        <v/>
      </c>
      <c r="Q279" s="4" t="str">
        <f>HYPERLINK("http://141.218.60.56/~jnz1568/getInfo.php?workbook=09_01.xlsx&amp;sheet=A0&amp;row=279&amp;col=17&amp;number=&amp;sourceID=12","")</f>
        <v/>
      </c>
      <c r="R279" s="4" t="str">
        <f>HYPERLINK("http://141.218.60.56/~jnz1568/getInfo.php?workbook=09_01.xlsx&amp;sheet=A0&amp;row=279&amp;col=18&amp;number=&amp;sourceID=12","")</f>
        <v/>
      </c>
      <c r="S279" s="4" t="str">
        <f>HYPERLINK("http://141.218.60.56/~jnz1568/getInfo.php?workbook=09_01.xlsx&amp;sheet=A0&amp;row=279&amp;col=19&amp;number=&amp;sourceID=12","")</f>
        <v/>
      </c>
      <c r="T279" s="4" t="str">
        <f>HYPERLINK("http://141.218.60.56/~jnz1568/getInfo.php?workbook=09_01.xlsx&amp;sheet=A0&amp;row=279&amp;col=20&amp;number=0&amp;sourceID=12","0")</f>
        <v>0</v>
      </c>
      <c r="U279" s="4" t="str">
        <f>HYPERLINK("http://141.218.60.56/~jnz1568/getInfo.php?workbook=09_01.xlsx&amp;sheet=A0&amp;row=279&amp;col=21&amp;number=&amp;sourceID=30","")</f>
        <v/>
      </c>
      <c r="V279" s="4" t="str">
        <f>HYPERLINK("http://141.218.60.56/~jnz1568/getInfo.php?workbook=09_01.xlsx&amp;sheet=A0&amp;row=279&amp;col=22&amp;number=&amp;sourceID=30","")</f>
        <v/>
      </c>
      <c r="W279" s="4" t="str">
        <f>HYPERLINK("http://141.218.60.56/~jnz1568/getInfo.php?workbook=09_01.xlsx&amp;sheet=A0&amp;row=279&amp;col=23&amp;number=&amp;sourceID=30","")</f>
        <v/>
      </c>
      <c r="X279" s="4" t="str">
        <f>HYPERLINK("http://141.218.60.56/~jnz1568/getInfo.php?workbook=09_01.xlsx&amp;sheet=A0&amp;row=279&amp;col=24&amp;number=&amp;sourceID=30","")</f>
        <v/>
      </c>
      <c r="Y279" s="4" t="str">
        <f>HYPERLINK("http://141.218.60.56/~jnz1568/getInfo.php?workbook=09_01.xlsx&amp;sheet=A0&amp;row=279&amp;col=25&amp;number=&amp;sourceID=30","")</f>
        <v/>
      </c>
      <c r="Z279" s="4" t="str">
        <f>HYPERLINK("http://141.218.60.56/~jnz1568/getInfo.php?workbook=09_01.xlsx&amp;sheet=A0&amp;row=279&amp;col=26&amp;number=&amp;sourceID=13","")</f>
        <v/>
      </c>
      <c r="AA279" s="4" t="str">
        <f>HYPERLINK("http://141.218.60.56/~jnz1568/getInfo.php?workbook=09_01.xlsx&amp;sheet=A0&amp;row=279&amp;col=27&amp;number=&amp;sourceID=13","")</f>
        <v/>
      </c>
      <c r="AB279" s="4" t="str">
        <f>HYPERLINK("http://141.218.60.56/~jnz1568/getInfo.php?workbook=09_01.xlsx&amp;sheet=A0&amp;row=279&amp;col=28&amp;number=&amp;sourceID=13","")</f>
        <v/>
      </c>
      <c r="AC279" s="4" t="str">
        <f>HYPERLINK("http://141.218.60.56/~jnz1568/getInfo.php?workbook=09_01.xlsx&amp;sheet=A0&amp;row=279&amp;col=29&amp;number=&amp;sourceID=13","")</f>
        <v/>
      </c>
      <c r="AD279" s="4" t="str">
        <f>HYPERLINK("http://141.218.60.56/~jnz1568/getInfo.php?workbook=09_01.xlsx&amp;sheet=A0&amp;row=279&amp;col=30&amp;number=&amp;sourceID=13","")</f>
        <v/>
      </c>
      <c r="AE279" s="4" t="str">
        <f>HYPERLINK("http://141.218.60.56/~jnz1568/getInfo.php?workbook=09_01.xlsx&amp;sheet=A0&amp;row=279&amp;col=31&amp;number=&amp;sourceID=13","")</f>
        <v/>
      </c>
    </row>
    <row r="280" spans="1:31">
      <c r="A280" s="3">
        <v>9</v>
      </c>
      <c r="B280" s="3">
        <v>1</v>
      </c>
      <c r="C280" s="3">
        <v>25</v>
      </c>
      <c r="D280" s="3">
        <v>20</v>
      </c>
      <c r="E280" s="3">
        <f>((1/(INDEX(E0!J$4:J$28,C280,1)-INDEX(E0!J$4:J$28,D280,1))))*100000000</f>
        <v>0</v>
      </c>
      <c r="F280" s="4" t="str">
        <f>HYPERLINK("http://141.218.60.56/~jnz1568/getInfo.php?workbook=09_01.xlsx&amp;sheet=A0&amp;row=280&amp;col=6&amp;number=&amp;sourceID=18","")</f>
        <v/>
      </c>
      <c r="G280" s="4" t="str">
        <f>HYPERLINK("http://141.218.60.56/~jnz1568/getInfo.php?workbook=09_01.xlsx&amp;sheet=A0&amp;row=280&amp;col=7&amp;number==&amp;sourceID=11","=")</f>
        <v>=</v>
      </c>
      <c r="H280" s="4" t="str">
        <f>HYPERLINK("http://141.218.60.56/~jnz1568/getInfo.php?workbook=09_01.xlsx&amp;sheet=A0&amp;row=280&amp;col=8&amp;number=&amp;sourceID=11","")</f>
        <v/>
      </c>
      <c r="I280" s="4" t="str">
        <f>HYPERLINK("http://141.218.60.56/~jnz1568/getInfo.php?workbook=09_01.xlsx&amp;sheet=A0&amp;row=280&amp;col=9&amp;number=&amp;sourceID=11","")</f>
        <v/>
      </c>
      <c r="J280" s="4" t="str">
        <f>HYPERLINK("http://141.218.60.56/~jnz1568/getInfo.php?workbook=09_01.xlsx&amp;sheet=A0&amp;row=280&amp;col=10&amp;number=0&amp;sourceID=11","0")</f>
        <v>0</v>
      </c>
      <c r="K280" s="4" t="str">
        <f>HYPERLINK("http://141.218.60.56/~jnz1568/getInfo.php?workbook=09_01.xlsx&amp;sheet=A0&amp;row=280&amp;col=11&amp;number=&amp;sourceID=11","")</f>
        <v/>
      </c>
      <c r="L280" s="4" t="str">
        <f>HYPERLINK("http://141.218.60.56/~jnz1568/getInfo.php?workbook=09_01.xlsx&amp;sheet=A0&amp;row=280&amp;col=12&amp;number=&amp;sourceID=11","")</f>
        <v/>
      </c>
      <c r="M280" s="4" t="str">
        <f>HYPERLINK("http://141.218.60.56/~jnz1568/getInfo.php?workbook=09_01.xlsx&amp;sheet=A0&amp;row=280&amp;col=13&amp;number=&amp;sourceID=11","")</f>
        <v/>
      </c>
      <c r="N280" s="4" t="str">
        <f>HYPERLINK("http://141.218.60.56/~jnz1568/getInfo.php?workbook=09_01.xlsx&amp;sheet=A0&amp;row=280&amp;col=14&amp;number=0&amp;sourceID=12","0")</f>
        <v>0</v>
      </c>
      <c r="O280" s="4" t="str">
        <f>HYPERLINK("http://141.218.60.56/~jnz1568/getInfo.php?workbook=09_01.xlsx&amp;sheet=A0&amp;row=280&amp;col=15&amp;number=&amp;sourceID=12","")</f>
        <v/>
      </c>
      <c r="P280" s="4" t="str">
        <f>HYPERLINK("http://141.218.60.56/~jnz1568/getInfo.php?workbook=09_01.xlsx&amp;sheet=A0&amp;row=280&amp;col=16&amp;number=&amp;sourceID=12","")</f>
        <v/>
      </c>
      <c r="Q280" s="4" t="str">
        <f>HYPERLINK("http://141.218.60.56/~jnz1568/getInfo.php?workbook=09_01.xlsx&amp;sheet=A0&amp;row=280&amp;col=17&amp;number=0&amp;sourceID=12","0")</f>
        <v>0</v>
      </c>
      <c r="R280" s="4" t="str">
        <f>HYPERLINK("http://141.218.60.56/~jnz1568/getInfo.php?workbook=09_01.xlsx&amp;sheet=A0&amp;row=280&amp;col=18&amp;number=&amp;sourceID=12","")</f>
        <v/>
      </c>
      <c r="S280" s="4" t="str">
        <f>HYPERLINK("http://141.218.60.56/~jnz1568/getInfo.php?workbook=09_01.xlsx&amp;sheet=A0&amp;row=280&amp;col=19&amp;number=&amp;sourceID=12","")</f>
        <v/>
      </c>
      <c r="T280" s="4" t="str">
        <f>HYPERLINK("http://141.218.60.56/~jnz1568/getInfo.php?workbook=09_01.xlsx&amp;sheet=A0&amp;row=280&amp;col=20&amp;number=&amp;sourceID=12","")</f>
        <v/>
      </c>
      <c r="U280" s="4" t="str">
        <f>HYPERLINK("http://141.218.60.56/~jnz1568/getInfo.php?workbook=09_01.xlsx&amp;sheet=A0&amp;row=280&amp;col=21&amp;number=&amp;sourceID=30","")</f>
        <v/>
      </c>
      <c r="V280" s="4" t="str">
        <f>HYPERLINK("http://141.218.60.56/~jnz1568/getInfo.php?workbook=09_01.xlsx&amp;sheet=A0&amp;row=280&amp;col=22&amp;number=&amp;sourceID=30","")</f>
        <v/>
      </c>
      <c r="W280" s="4" t="str">
        <f>HYPERLINK("http://141.218.60.56/~jnz1568/getInfo.php?workbook=09_01.xlsx&amp;sheet=A0&amp;row=280&amp;col=23&amp;number=&amp;sourceID=30","")</f>
        <v/>
      </c>
      <c r="X280" s="4" t="str">
        <f>HYPERLINK("http://141.218.60.56/~jnz1568/getInfo.php?workbook=09_01.xlsx&amp;sheet=A0&amp;row=280&amp;col=24&amp;number=&amp;sourceID=30","")</f>
        <v/>
      </c>
      <c r="Y280" s="4" t="str">
        <f>HYPERLINK("http://141.218.60.56/~jnz1568/getInfo.php?workbook=09_01.xlsx&amp;sheet=A0&amp;row=280&amp;col=25&amp;number=&amp;sourceID=30","")</f>
        <v/>
      </c>
      <c r="Z280" s="4" t="str">
        <f>HYPERLINK("http://141.218.60.56/~jnz1568/getInfo.php?workbook=09_01.xlsx&amp;sheet=A0&amp;row=280&amp;col=26&amp;number=&amp;sourceID=13","")</f>
        <v/>
      </c>
      <c r="AA280" s="4" t="str">
        <f>HYPERLINK("http://141.218.60.56/~jnz1568/getInfo.php?workbook=09_01.xlsx&amp;sheet=A0&amp;row=280&amp;col=27&amp;number=&amp;sourceID=13","")</f>
        <v/>
      </c>
      <c r="AB280" s="4" t="str">
        <f>HYPERLINK("http://141.218.60.56/~jnz1568/getInfo.php?workbook=09_01.xlsx&amp;sheet=A0&amp;row=280&amp;col=28&amp;number=&amp;sourceID=13","")</f>
        <v/>
      </c>
      <c r="AC280" s="4" t="str">
        <f>HYPERLINK("http://141.218.60.56/~jnz1568/getInfo.php?workbook=09_01.xlsx&amp;sheet=A0&amp;row=280&amp;col=29&amp;number=&amp;sourceID=13","")</f>
        <v/>
      </c>
      <c r="AD280" s="4" t="str">
        <f>HYPERLINK("http://141.218.60.56/~jnz1568/getInfo.php?workbook=09_01.xlsx&amp;sheet=A0&amp;row=280&amp;col=30&amp;number=&amp;sourceID=13","")</f>
        <v/>
      </c>
      <c r="AE280" s="4" t="str">
        <f>HYPERLINK("http://141.218.60.56/~jnz1568/getInfo.php?workbook=09_01.xlsx&amp;sheet=A0&amp;row=280&amp;col=31&amp;number=&amp;sourceID=13","")</f>
        <v/>
      </c>
    </row>
    <row r="281" spans="1:31">
      <c r="A281" s="3">
        <v>9</v>
      </c>
      <c r="B281" s="3">
        <v>1</v>
      </c>
      <c r="C281" s="3">
        <v>25</v>
      </c>
      <c r="D281" s="3">
        <v>21</v>
      </c>
      <c r="E281" s="3">
        <f>((1/(INDEX(E0!J$4:J$28,C281,1)-INDEX(E0!J$4:J$28,D281,1))))*100000000</f>
        <v>0</v>
      </c>
      <c r="F281" s="4" t="str">
        <f>HYPERLINK("http://141.218.60.56/~jnz1568/getInfo.php?workbook=09_01.xlsx&amp;sheet=A0&amp;row=281&amp;col=6&amp;number=&amp;sourceID=18","")</f>
        <v/>
      </c>
      <c r="G281" s="4" t="str">
        <f>HYPERLINK("http://141.218.60.56/~jnz1568/getInfo.php?workbook=09_01.xlsx&amp;sheet=A0&amp;row=281&amp;col=7&amp;number==&amp;sourceID=11","=")</f>
        <v>=</v>
      </c>
      <c r="H281" s="4" t="str">
        <f>HYPERLINK("http://141.218.60.56/~jnz1568/getInfo.php?workbook=09_01.xlsx&amp;sheet=A0&amp;row=281&amp;col=8&amp;number=&amp;sourceID=11","")</f>
        <v/>
      </c>
      <c r="I281" s="4" t="str">
        <f>HYPERLINK("http://141.218.60.56/~jnz1568/getInfo.php?workbook=09_01.xlsx&amp;sheet=A0&amp;row=281&amp;col=9&amp;number=&amp;sourceID=11","")</f>
        <v/>
      </c>
      <c r="J281" s="4" t="str">
        <f>HYPERLINK("http://141.218.60.56/~jnz1568/getInfo.php?workbook=09_01.xlsx&amp;sheet=A0&amp;row=281&amp;col=10&amp;number=0&amp;sourceID=11","0")</f>
        <v>0</v>
      </c>
      <c r="K281" s="4" t="str">
        <f>HYPERLINK("http://141.218.60.56/~jnz1568/getInfo.php?workbook=09_01.xlsx&amp;sheet=A0&amp;row=281&amp;col=11&amp;number=&amp;sourceID=11","")</f>
        <v/>
      </c>
      <c r="L281" s="4" t="str">
        <f>HYPERLINK("http://141.218.60.56/~jnz1568/getInfo.php?workbook=09_01.xlsx&amp;sheet=A0&amp;row=281&amp;col=12&amp;number=0&amp;sourceID=11","0")</f>
        <v>0</v>
      </c>
      <c r="M281" s="4" t="str">
        <f>HYPERLINK("http://141.218.60.56/~jnz1568/getInfo.php?workbook=09_01.xlsx&amp;sheet=A0&amp;row=281&amp;col=13&amp;number=&amp;sourceID=11","")</f>
        <v/>
      </c>
      <c r="N281" s="4" t="str">
        <f>HYPERLINK("http://141.218.60.56/~jnz1568/getInfo.php?workbook=09_01.xlsx&amp;sheet=A0&amp;row=281&amp;col=14&amp;number=0&amp;sourceID=12","0")</f>
        <v>0</v>
      </c>
      <c r="O281" s="4" t="str">
        <f>HYPERLINK("http://141.218.60.56/~jnz1568/getInfo.php?workbook=09_01.xlsx&amp;sheet=A0&amp;row=281&amp;col=15&amp;number=&amp;sourceID=12","")</f>
        <v/>
      </c>
      <c r="P281" s="4" t="str">
        <f>HYPERLINK("http://141.218.60.56/~jnz1568/getInfo.php?workbook=09_01.xlsx&amp;sheet=A0&amp;row=281&amp;col=16&amp;number=&amp;sourceID=12","")</f>
        <v/>
      </c>
      <c r="Q281" s="4" t="str">
        <f>HYPERLINK("http://141.218.60.56/~jnz1568/getInfo.php?workbook=09_01.xlsx&amp;sheet=A0&amp;row=281&amp;col=17&amp;number=0&amp;sourceID=12","0")</f>
        <v>0</v>
      </c>
      <c r="R281" s="4" t="str">
        <f>HYPERLINK("http://141.218.60.56/~jnz1568/getInfo.php?workbook=09_01.xlsx&amp;sheet=A0&amp;row=281&amp;col=18&amp;number=&amp;sourceID=12","")</f>
        <v/>
      </c>
      <c r="S281" s="4" t="str">
        <f>HYPERLINK("http://141.218.60.56/~jnz1568/getInfo.php?workbook=09_01.xlsx&amp;sheet=A0&amp;row=281&amp;col=19&amp;number=0&amp;sourceID=12","0")</f>
        <v>0</v>
      </c>
      <c r="T281" s="4" t="str">
        <f>HYPERLINK("http://141.218.60.56/~jnz1568/getInfo.php?workbook=09_01.xlsx&amp;sheet=A0&amp;row=281&amp;col=20&amp;number=&amp;sourceID=12","")</f>
        <v/>
      </c>
      <c r="U281" s="4" t="str">
        <f>HYPERLINK("http://141.218.60.56/~jnz1568/getInfo.php?workbook=09_01.xlsx&amp;sheet=A0&amp;row=281&amp;col=21&amp;number=0&amp;sourceID=30","0")</f>
        <v>0</v>
      </c>
      <c r="V281" s="4" t="str">
        <f>HYPERLINK("http://141.218.60.56/~jnz1568/getInfo.php?workbook=09_01.xlsx&amp;sheet=A0&amp;row=281&amp;col=22&amp;number=&amp;sourceID=30","")</f>
        <v/>
      </c>
      <c r="W281" s="4" t="str">
        <f>HYPERLINK("http://141.218.60.56/~jnz1568/getInfo.php?workbook=09_01.xlsx&amp;sheet=A0&amp;row=281&amp;col=23&amp;number=&amp;sourceID=30","")</f>
        <v/>
      </c>
      <c r="X281" s="4" t="str">
        <f>HYPERLINK("http://141.218.60.56/~jnz1568/getInfo.php?workbook=09_01.xlsx&amp;sheet=A0&amp;row=281&amp;col=24&amp;number=&amp;sourceID=30","")</f>
        <v/>
      </c>
      <c r="Y281" s="4" t="str">
        <f>HYPERLINK("http://141.218.60.56/~jnz1568/getInfo.php?workbook=09_01.xlsx&amp;sheet=A0&amp;row=281&amp;col=25&amp;number=0&amp;sourceID=30","0")</f>
        <v>0</v>
      </c>
      <c r="Z281" s="4" t="str">
        <f>HYPERLINK("http://141.218.60.56/~jnz1568/getInfo.php?workbook=09_01.xlsx&amp;sheet=A0&amp;row=281&amp;col=26&amp;number=&amp;sourceID=13","")</f>
        <v/>
      </c>
      <c r="AA281" s="4" t="str">
        <f>HYPERLINK("http://141.218.60.56/~jnz1568/getInfo.php?workbook=09_01.xlsx&amp;sheet=A0&amp;row=281&amp;col=27&amp;number=&amp;sourceID=13","")</f>
        <v/>
      </c>
      <c r="AB281" s="4" t="str">
        <f>HYPERLINK("http://141.218.60.56/~jnz1568/getInfo.php?workbook=09_01.xlsx&amp;sheet=A0&amp;row=281&amp;col=28&amp;number=&amp;sourceID=13","")</f>
        <v/>
      </c>
      <c r="AC281" s="4" t="str">
        <f>HYPERLINK("http://141.218.60.56/~jnz1568/getInfo.php?workbook=09_01.xlsx&amp;sheet=A0&amp;row=281&amp;col=29&amp;number=&amp;sourceID=13","")</f>
        <v/>
      </c>
      <c r="AD281" s="4" t="str">
        <f>HYPERLINK("http://141.218.60.56/~jnz1568/getInfo.php?workbook=09_01.xlsx&amp;sheet=A0&amp;row=281&amp;col=30&amp;number=&amp;sourceID=13","")</f>
        <v/>
      </c>
      <c r="AE281" s="4" t="str">
        <f>HYPERLINK("http://141.218.60.56/~jnz1568/getInfo.php?workbook=09_01.xlsx&amp;sheet=A0&amp;row=281&amp;col=31&amp;number=&amp;sourceID=13","")</f>
        <v/>
      </c>
    </row>
    <row r="282" spans="1:31">
      <c r="A282" s="3">
        <v>9</v>
      </c>
      <c r="B282" s="3">
        <v>1</v>
      </c>
      <c r="C282" s="3">
        <v>25</v>
      </c>
      <c r="D282" s="3">
        <v>22</v>
      </c>
      <c r="E282" s="3">
        <f>((1/(INDEX(E0!J$4:J$28,C282,1)-INDEX(E0!J$4:J$28,D282,1))))*100000000</f>
        <v>0</v>
      </c>
      <c r="F282" s="4" t="str">
        <f>HYPERLINK("http://141.218.60.56/~jnz1568/getInfo.php?workbook=09_01.xlsx&amp;sheet=A0&amp;row=282&amp;col=6&amp;number=&amp;sourceID=18","")</f>
        <v/>
      </c>
      <c r="G282" s="4" t="str">
        <f>HYPERLINK("http://141.218.60.56/~jnz1568/getInfo.php?workbook=09_01.xlsx&amp;sheet=A0&amp;row=282&amp;col=7&amp;number==&amp;sourceID=11","=")</f>
        <v>=</v>
      </c>
      <c r="H282" s="4" t="str">
        <f>HYPERLINK("http://141.218.60.56/~jnz1568/getInfo.php?workbook=09_01.xlsx&amp;sheet=A0&amp;row=282&amp;col=8&amp;number=&amp;sourceID=11","")</f>
        <v/>
      </c>
      <c r="I282" s="4" t="str">
        <f>HYPERLINK("http://141.218.60.56/~jnz1568/getInfo.php?workbook=09_01.xlsx&amp;sheet=A0&amp;row=282&amp;col=9&amp;number=3.14e-13&amp;sourceID=11","3.14e-13")</f>
        <v>3.14e-13</v>
      </c>
      <c r="J282" s="4" t="str">
        <f>HYPERLINK("http://141.218.60.56/~jnz1568/getInfo.php?workbook=09_01.xlsx&amp;sheet=A0&amp;row=282&amp;col=10&amp;number=&amp;sourceID=11","")</f>
        <v/>
      </c>
      <c r="K282" s="4" t="str">
        <f>HYPERLINK("http://141.218.60.56/~jnz1568/getInfo.php?workbook=09_01.xlsx&amp;sheet=A0&amp;row=282&amp;col=11&amp;number=&amp;sourceID=11","")</f>
        <v/>
      </c>
      <c r="L282" s="4" t="str">
        <f>HYPERLINK("http://141.218.60.56/~jnz1568/getInfo.php?workbook=09_01.xlsx&amp;sheet=A0&amp;row=282&amp;col=12&amp;number=&amp;sourceID=11","")</f>
        <v/>
      </c>
      <c r="M282" s="4" t="str">
        <f>HYPERLINK("http://141.218.60.56/~jnz1568/getInfo.php?workbook=09_01.xlsx&amp;sheet=A0&amp;row=282&amp;col=13&amp;number=0&amp;sourceID=11","0")</f>
        <v>0</v>
      </c>
      <c r="N282" s="4" t="str">
        <f>HYPERLINK("http://141.218.60.56/~jnz1568/getInfo.php?workbook=09_01.xlsx&amp;sheet=A0&amp;row=282&amp;col=14&amp;number=3.14e-13&amp;sourceID=12","3.14e-13")</f>
        <v>3.14e-13</v>
      </c>
      <c r="O282" s="4" t="str">
        <f>HYPERLINK("http://141.218.60.56/~jnz1568/getInfo.php?workbook=09_01.xlsx&amp;sheet=A0&amp;row=282&amp;col=15&amp;number=&amp;sourceID=12","")</f>
        <v/>
      </c>
      <c r="P282" s="4" t="str">
        <f>HYPERLINK("http://141.218.60.56/~jnz1568/getInfo.php?workbook=09_01.xlsx&amp;sheet=A0&amp;row=282&amp;col=16&amp;number=3.14e-13&amp;sourceID=12","3.14e-13")</f>
        <v>3.14e-13</v>
      </c>
      <c r="Q282" s="4" t="str">
        <f>HYPERLINK("http://141.218.60.56/~jnz1568/getInfo.php?workbook=09_01.xlsx&amp;sheet=A0&amp;row=282&amp;col=17&amp;number=&amp;sourceID=12","")</f>
        <v/>
      </c>
      <c r="R282" s="4" t="str">
        <f>HYPERLINK("http://141.218.60.56/~jnz1568/getInfo.php?workbook=09_01.xlsx&amp;sheet=A0&amp;row=282&amp;col=18&amp;number=&amp;sourceID=12","")</f>
        <v/>
      </c>
      <c r="S282" s="4" t="str">
        <f>HYPERLINK("http://141.218.60.56/~jnz1568/getInfo.php?workbook=09_01.xlsx&amp;sheet=A0&amp;row=282&amp;col=19&amp;number=&amp;sourceID=12","")</f>
        <v/>
      </c>
      <c r="T282" s="4" t="str">
        <f>HYPERLINK("http://141.218.60.56/~jnz1568/getInfo.php?workbook=09_01.xlsx&amp;sheet=A0&amp;row=282&amp;col=20&amp;number=0&amp;sourceID=12","0")</f>
        <v>0</v>
      </c>
      <c r="U282" s="4" t="str">
        <f>HYPERLINK("http://141.218.60.56/~jnz1568/getInfo.php?workbook=09_01.xlsx&amp;sheet=A0&amp;row=282&amp;col=21&amp;number=3.14e-13&amp;sourceID=30","3.14e-13")</f>
        <v>3.14e-13</v>
      </c>
      <c r="V282" s="4" t="str">
        <f>HYPERLINK("http://141.218.60.56/~jnz1568/getInfo.php?workbook=09_01.xlsx&amp;sheet=A0&amp;row=282&amp;col=22&amp;number=&amp;sourceID=30","")</f>
        <v/>
      </c>
      <c r="W282" s="4" t="str">
        <f>HYPERLINK("http://141.218.60.56/~jnz1568/getInfo.php?workbook=09_01.xlsx&amp;sheet=A0&amp;row=282&amp;col=23&amp;number=3.14e-13&amp;sourceID=30","3.14e-13")</f>
        <v>3.14e-13</v>
      </c>
      <c r="X282" s="4" t="str">
        <f>HYPERLINK("http://141.218.60.56/~jnz1568/getInfo.php?workbook=09_01.xlsx&amp;sheet=A0&amp;row=282&amp;col=24&amp;number=&amp;sourceID=30","")</f>
        <v/>
      </c>
      <c r="Y282" s="4" t="str">
        <f>HYPERLINK("http://141.218.60.56/~jnz1568/getInfo.php?workbook=09_01.xlsx&amp;sheet=A0&amp;row=282&amp;col=25&amp;number=&amp;sourceID=30","")</f>
        <v/>
      </c>
      <c r="Z282" s="4" t="str">
        <f>HYPERLINK("http://141.218.60.56/~jnz1568/getInfo.php?workbook=09_01.xlsx&amp;sheet=A0&amp;row=282&amp;col=26&amp;number=&amp;sourceID=13","")</f>
        <v/>
      </c>
      <c r="AA282" s="4" t="str">
        <f>HYPERLINK("http://141.218.60.56/~jnz1568/getInfo.php?workbook=09_01.xlsx&amp;sheet=A0&amp;row=282&amp;col=27&amp;number=&amp;sourceID=13","")</f>
        <v/>
      </c>
      <c r="AB282" s="4" t="str">
        <f>HYPERLINK("http://141.218.60.56/~jnz1568/getInfo.php?workbook=09_01.xlsx&amp;sheet=A0&amp;row=282&amp;col=28&amp;number=&amp;sourceID=13","")</f>
        <v/>
      </c>
      <c r="AC282" s="4" t="str">
        <f>HYPERLINK("http://141.218.60.56/~jnz1568/getInfo.php?workbook=09_01.xlsx&amp;sheet=A0&amp;row=282&amp;col=29&amp;number=&amp;sourceID=13","")</f>
        <v/>
      </c>
      <c r="AD282" s="4" t="str">
        <f>HYPERLINK("http://141.218.60.56/~jnz1568/getInfo.php?workbook=09_01.xlsx&amp;sheet=A0&amp;row=282&amp;col=30&amp;number=&amp;sourceID=13","")</f>
        <v/>
      </c>
      <c r="AE282" s="4" t="str">
        <f>HYPERLINK("http://141.218.60.56/~jnz1568/getInfo.php?workbook=09_01.xlsx&amp;sheet=A0&amp;row=282&amp;col=31&amp;number=&amp;sourceID=13","")</f>
        <v/>
      </c>
    </row>
    <row r="283" spans="1:31">
      <c r="A283" s="3">
        <v>9</v>
      </c>
      <c r="B283" s="3">
        <v>1</v>
      </c>
      <c r="C283" s="3">
        <v>25</v>
      </c>
      <c r="D283" s="3">
        <v>23</v>
      </c>
      <c r="E283" s="3">
        <f>((1/(INDEX(E0!J$4:J$28,C283,1)-INDEX(E0!J$4:J$28,D283,1))))*100000000</f>
        <v>0</v>
      </c>
      <c r="F283" s="4" t="str">
        <f>HYPERLINK("http://141.218.60.56/~jnz1568/getInfo.php?workbook=09_01.xlsx&amp;sheet=A0&amp;row=283&amp;col=6&amp;number=&amp;sourceID=18","")</f>
        <v/>
      </c>
      <c r="G283" s="4" t="str">
        <f>HYPERLINK("http://141.218.60.56/~jnz1568/getInfo.php?workbook=09_01.xlsx&amp;sheet=A0&amp;row=283&amp;col=7&amp;number==&amp;sourceID=11","=")</f>
        <v>=</v>
      </c>
      <c r="H283" s="4" t="str">
        <f>HYPERLINK("http://141.218.60.56/~jnz1568/getInfo.php?workbook=09_01.xlsx&amp;sheet=A0&amp;row=283&amp;col=8&amp;number=&amp;sourceID=11","")</f>
        <v/>
      </c>
      <c r="I283" s="4" t="str">
        <f>HYPERLINK("http://141.218.60.56/~jnz1568/getInfo.php?workbook=09_01.xlsx&amp;sheet=A0&amp;row=283&amp;col=9&amp;number=0&amp;sourceID=11","0")</f>
        <v>0</v>
      </c>
      <c r="J283" s="4" t="str">
        <f>HYPERLINK("http://141.218.60.56/~jnz1568/getInfo.php?workbook=09_01.xlsx&amp;sheet=A0&amp;row=283&amp;col=10&amp;number=&amp;sourceID=11","")</f>
        <v/>
      </c>
      <c r="K283" s="4" t="str">
        <f>HYPERLINK("http://141.218.60.56/~jnz1568/getInfo.php?workbook=09_01.xlsx&amp;sheet=A0&amp;row=283&amp;col=11&amp;number=4.3262e-08&amp;sourceID=11","4.3262e-08")</f>
        <v>4.3262e-08</v>
      </c>
      <c r="L283" s="4" t="str">
        <f>HYPERLINK("http://141.218.60.56/~jnz1568/getInfo.php?workbook=09_01.xlsx&amp;sheet=A0&amp;row=283&amp;col=12&amp;number=&amp;sourceID=11","")</f>
        <v/>
      </c>
      <c r="M283" s="4" t="str">
        <f>HYPERLINK("http://141.218.60.56/~jnz1568/getInfo.php?workbook=09_01.xlsx&amp;sheet=A0&amp;row=283&amp;col=13&amp;number=0&amp;sourceID=11","0")</f>
        <v>0</v>
      </c>
      <c r="N283" s="4" t="str">
        <f>HYPERLINK("http://141.218.60.56/~jnz1568/getInfo.php?workbook=09_01.xlsx&amp;sheet=A0&amp;row=283&amp;col=14&amp;number=4.3266e-08&amp;sourceID=12","4.3266e-08")</f>
        <v>4.3266e-08</v>
      </c>
      <c r="O283" s="4" t="str">
        <f>HYPERLINK("http://141.218.60.56/~jnz1568/getInfo.php?workbook=09_01.xlsx&amp;sheet=A0&amp;row=283&amp;col=15&amp;number=&amp;sourceID=12","")</f>
        <v/>
      </c>
      <c r="P283" s="4" t="str">
        <f>HYPERLINK("http://141.218.60.56/~jnz1568/getInfo.php?workbook=09_01.xlsx&amp;sheet=A0&amp;row=283&amp;col=16&amp;number=0&amp;sourceID=12","0")</f>
        <v>0</v>
      </c>
      <c r="Q283" s="4" t="str">
        <f>HYPERLINK("http://141.218.60.56/~jnz1568/getInfo.php?workbook=09_01.xlsx&amp;sheet=A0&amp;row=283&amp;col=17&amp;number=&amp;sourceID=12","")</f>
        <v/>
      </c>
      <c r="R283" s="4" t="str">
        <f>HYPERLINK("http://141.218.60.56/~jnz1568/getInfo.php?workbook=09_01.xlsx&amp;sheet=A0&amp;row=283&amp;col=18&amp;number=4.3266e-08&amp;sourceID=12","4.3266e-08")</f>
        <v>4.3266e-08</v>
      </c>
      <c r="S283" s="4" t="str">
        <f>HYPERLINK("http://141.218.60.56/~jnz1568/getInfo.php?workbook=09_01.xlsx&amp;sheet=A0&amp;row=283&amp;col=19&amp;number=&amp;sourceID=12","")</f>
        <v/>
      </c>
      <c r="T283" s="4" t="str">
        <f>HYPERLINK("http://141.218.60.56/~jnz1568/getInfo.php?workbook=09_01.xlsx&amp;sheet=A0&amp;row=283&amp;col=20&amp;number=0&amp;sourceID=12","0")</f>
        <v>0</v>
      </c>
      <c r="U283" s="4" t="str">
        <f>HYPERLINK("http://141.218.60.56/~jnz1568/getInfo.php?workbook=09_01.xlsx&amp;sheet=A0&amp;row=283&amp;col=21&amp;number=4.327e-08&amp;sourceID=30","4.327e-08")</f>
        <v>4.327e-08</v>
      </c>
      <c r="V283" s="4" t="str">
        <f>HYPERLINK("http://141.218.60.56/~jnz1568/getInfo.php?workbook=09_01.xlsx&amp;sheet=A0&amp;row=283&amp;col=22&amp;number=&amp;sourceID=30","")</f>
        <v/>
      </c>
      <c r="W283" s="4" t="str">
        <f>HYPERLINK("http://141.218.60.56/~jnz1568/getInfo.php?workbook=09_01.xlsx&amp;sheet=A0&amp;row=283&amp;col=23&amp;number=0&amp;sourceID=30","0")</f>
        <v>0</v>
      </c>
      <c r="X283" s="4" t="str">
        <f>HYPERLINK("http://141.218.60.56/~jnz1568/getInfo.php?workbook=09_01.xlsx&amp;sheet=A0&amp;row=283&amp;col=24&amp;number=4.327e-08&amp;sourceID=30","4.327e-08")</f>
        <v>4.327e-08</v>
      </c>
      <c r="Y283" s="4" t="str">
        <f>HYPERLINK("http://141.218.60.56/~jnz1568/getInfo.php?workbook=09_01.xlsx&amp;sheet=A0&amp;row=283&amp;col=25&amp;number=&amp;sourceID=30","")</f>
        <v/>
      </c>
      <c r="Z283" s="4" t="str">
        <f>HYPERLINK("http://141.218.60.56/~jnz1568/getInfo.php?workbook=09_01.xlsx&amp;sheet=A0&amp;row=283&amp;col=26&amp;number=&amp;sourceID=13","")</f>
        <v/>
      </c>
      <c r="AA283" s="4" t="str">
        <f>HYPERLINK("http://141.218.60.56/~jnz1568/getInfo.php?workbook=09_01.xlsx&amp;sheet=A0&amp;row=283&amp;col=27&amp;number=&amp;sourceID=13","")</f>
        <v/>
      </c>
      <c r="AB283" s="4" t="str">
        <f>HYPERLINK("http://141.218.60.56/~jnz1568/getInfo.php?workbook=09_01.xlsx&amp;sheet=A0&amp;row=283&amp;col=28&amp;number=&amp;sourceID=13","")</f>
        <v/>
      </c>
      <c r="AC283" s="4" t="str">
        <f>HYPERLINK("http://141.218.60.56/~jnz1568/getInfo.php?workbook=09_01.xlsx&amp;sheet=A0&amp;row=283&amp;col=29&amp;number=&amp;sourceID=13","")</f>
        <v/>
      </c>
      <c r="AD283" s="4" t="str">
        <f>HYPERLINK("http://141.218.60.56/~jnz1568/getInfo.php?workbook=09_01.xlsx&amp;sheet=A0&amp;row=283&amp;col=30&amp;number=&amp;sourceID=13","")</f>
        <v/>
      </c>
      <c r="AE283" s="4" t="str">
        <f>HYPERLINK("http://141.218.60.56/~jnz1568/getInfo.php?workbook=09_01.xlsx&amp;sheet=A0&amp;row=283&amp;col=31&amp;number=&amp;sourceID=13","")</f>
        <v/>
      </c>
    </row>
    <row r="284" spans="1:31">
      <c r="A284" s="3">
        <v>9</v>
      </c>
      <c r="B284" s="3">
        <v>1</v>
      </c>
      <c r="C284" s="3">
        <v>25</v>
      </c>
      <c r="D284" s="3">
        <v>24</v>
      </c>
      <c r="E284" s="3">
        <f>((1/(INDEX(E0!J$4:J$28,C284,1)-INDEX(E0!J$4:J$28,D284,1))))*100000000</f>
        <v>0</v>
      </c>
      <c r="F284" s="4" t="str">
        <f>HYPERLINK("http://141.218.60.56/~jnz1568/getInfo.php?workbook=09_01.xlsx&amp;sheet=A0&amp;row=284&amp;col=6&amp;number=&amp;sourceID=18","")</f>
        <v/>
      </c>
      <c r="G284" s="4" t="str">
        <f>HYPERLINK("http://141.218.60.56/~jnz1568/getInfo.php?workbook=09_01.xlsx&amp;sheet=A0&amp;row=284&amp;col=7&amp;number==&amp;sourceID=11","=")</f>
        <v>=</v>
      </c>
      <c r="H284" s="4" t="str">
        <f>HYPERLINK("http://141.218.60.56/~jnz1568/getInfo.php?workbook=09_01.xlsx&amp;sheet=A0&amp;row=284&amp;col=8&amp;number=0.02031&amp;sourceID=11","0.02031")</f>
        <v>0.02031</v>
      </c>
      <c r="I284" s="4" t="str">
        <f>HYPERLINK("http://141.218.60.56/~jnz1568/getInfo.php?workbook=09_01.xlsx&amp;sheet=A0&amp;row=284&amp;col=9&amp;number=&amp;sourceID=11","")</f>
        <v/>
      </c>
      <c r="J284" s="4" t="str">
        <f>HYPERLINK("http://141.218.60.56/~jnz1568/getInfo.php?workbook=09_01.xlsx&amp;sheet=A0&amp;row=284&amp;col=10&amp;number=0&amp;sourceID=11","0")</f>
        <v>0</v>
      </c>
      <c r="K284" s="4" t="str">
        <f>HYPERLINK("http://141.218.60.56/~jnz1568/getInfo.php?workbook=09_01.xlsx&amp;sheet=A0&amp;row=284&amp;col=11&amp;number=&amp;sourceID=11","")</f>
        <v/>
      </c>
      <c r="L284" s="4" t="str">
        <f>HYPERLINK("http://141.218.60.56/~jnz1568/getInfo.php?workbook=09_01.xlsx&amp;sheet=A0&amp;row=284&amp;col=12&amp;number=0&amp;sourceID=11","0")</f>
        <v>0</v>
      </c>
      <c r="M284" s="4" t="str">
        <f>HYPERLINK("http://141.218.60.56/~jnz1568/getInfo.php?workbook=09_01.xlsx&amp;sheet=A0&amp;row=284&amp;col=13&amp;number=&amp;sourceID=11","")</f>
        <v/>
      </c>
      <c r="N284" s="4" t="str">
        <f>HYPERLINK("http://141.218.60.56/~jnz1568/getInfo.php?workbook=09_01.xlsx&amp;sheet=A0&amp;row=284&amp;col=14&amp;number=0.020311&amp;sourceID=12","0.020311")</f>
        <v>0.020311</v>
      </c>
      <c r="O284" s="4" t="str">
        <f>HYPERLINK("http://141.218.60.56/~jnz1568/getInfo.php?workbook=09_01.xlsx&amp;sheet=A0&amp;row=284&amp;col=15&amp;number=0.020311&amp;sourceID=12","0.020311")</f>
        <v>0.020311</v>
      </c>
      <c r="P284" s="4" t="str">
        <f>HYPERLINK("http://141.218.60.56/~jnz1568/getInfo.php?workbook=09_01.xlsx&amp;sheet=A0&amp;row=284&amp;col=16&amp;number=&amp;sourceID=12","")</f>
        <v/>
      </c>
      <c r="Q284" s="4" t="str">
        <f>HYPERLINK("http://141.218.60.56/~jnz1568/getInfo.php?workbook=09_01.xlsx&amp;sheet=A0&amp;row=284&amp;col=17&amp;number=0&amp;sourceID=12","0")</f>
        <v>0</v>
      </c>
      <c r="R284" s="4" t="str">
        <f>HYPERLINK("http://141.218.60.56/~jnz1568/getInfo.php?workbook=09_01.xlsx&amp;sheet=A0&amp;row=284&amp;col=18&amp;number=&amp;sourceID=12","")</f>
        <v/>
      </c>
      <c r="S284" s="4" t="str">
        <f>HYPERLINK("http://141.218.60.56/~jnz1568/getInfo.php?workbook=09_01.xlsx&amp;sheet=A0&amp;row=284&amp;col=19&amp;number=0&amp;sourceID=12","0")</f>
        <v>0</v>
      </c>
      <c r="T284" s="4" t="str">
        <f>HYPERLINK("http://141.218.60.56/~jnz1568/getInfo.php?workbook=09_01.xlsx&amp;sheet=A0&amp;row=284&amp;col=20&amp;number=&amp;sourceID=12","")</f>
        <v/>
      </c>
      <c r="U284" s="4" t="str">
        <f>HYPERLINK("http://141.218.60.56/~jnz1568/getInfo.php?workbook=09_01.xlsx&amp;sheet=A0&amp;row=284&amp;col=21&amp;number=0.02031&amp;sourceID=30","0.02031")</f>
        <v>0.02031</v>
      </c>
      <c r="V284" s="4" t="str">
        <f>HYPERLINK("http://141.218.60.56/~jnz1568/getInfo.php?workbook=09_01.xlsx&amp;sheet=A0&amp;row=284&amp;col=22&amp;number=0.02031&amp;sourceID=30","0.02031")</f>
        <v>0.02031</v>
      </c>
      <c r="W284" s="4" t="str">
        <f>HYPERLINK("http://141.218.60.56/~jnz1568/getInfo.php?workbook=09_01.xlsx&amp;sheet=A0&amp;row=284&amp;col=23&amp;number=&amp;sourceID=30","")</f>
        <v/>
      </c>
      <c r="X284" s="4" t="str">
        <f>HYPERLINK("http://141.218.60.56/~jnz1568/getInfo.php?workbook=09_01.xlsx&amp;sheet=A0&amp;row=284&amp;col=24&amp;number=&amp;sourceID=30","")</f>
        <v/>
      </c>
      <c r="Y284" s="4" t="str">
        <f>HYPERLINK("http://141.218.60.56/~jnz1568/getInfo.php?workbook=09_01.xlsx&amp;sheet=A0&amp;row=284&amp;col=25&amp;number=0&amp;sourceID=30","0")</f>
        <v>0</v>
      </c>
      <c r="Z284" s="4" t="str">
        <f>HYPERLINK("http://141.218.60.56/~jnz1568/getInfo.php?workbook=09_01.xlsx&amp;sheet=A0&amp;row=284&amp;col=26&amp;number=&amp;sourceID=13","")</f>
        <v/>
      </c>
      <c r="AA284" s="4" t="str">
        <f>HYPERLINK("http://141.218.60.56/~jnz1568/getInfo.php?workbook=09_01.xlsx&amp;sheet=A0&amp;row=284&amp;col=27&amp;number=&amp;sourceID=13","")</f>
        <v/>
      </c>
      <c r="AB284" s="4" t="str">
        <f>HYPERLINK("http://141.218.60.56/~jnz1568/getInfo.php?workbook=09_01.xlsx&amp;sheet=A0&amp;row=284&amp;col=28&amp;number=&amp;sourceID=13","")</f>
        <v/>
      </c>
      <c r="AC284" s="4" t="str">
        <f>HYPERLINK("http://141.218.60.56/~jnz1568/getInfo.php?workbook=09_01.xlsx&amp;sheet=A0&amp;row=284&amp;col=29&amp;number=&amp;sourceID=13","")</f>
        <v/>
      </c>
      <c r="AD284" s="4" t="str">
        <f>HYPERLINK("http://141.218.60.56/~jnz1568/getInfo.php?workbook=09_01.xlsx&amp;sheet=A0&amp;row=284&amp;col=30&amp;number=&amp;sourceID=13","")</f>
        <v/>
      </c>
      <c r="AE284" s="4" t="str">
        <f>HYPERLINK("http://141.218.60.56/~jnz1568/getInfo.php?workbook=09_01.xlsx&amp;sheet=A0&amp;row=284&amp;col=31&amp;number=&amp;sourceID=13","")</f>
        <v/>
      </c>
    </row>
  </sheetData>
  <mergeCells count="1">
    <mergeCell ref="A1:A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E0</vt:lpstr>
      <vt:lpstr>A0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2015-04-13T07:18:12Z</dcterms:created>
  <dcterms:modified xsi:type="dcterms:W3CDTF">2015-04-13T07:18:12Z</dcterms:modified>
</cp:coreProperties>
</file>