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</sheets>
  <calcPr calcId="124519" fullCalcOnLoad="1"/>
</workbook>
</file>

<file path=xl/sharedStrings.xml><?xml version="1.0" encoding="utf-8"?>
<sst xmlns="http://schemas.openxmlformats.org/spreadsheetml/2006/main" count="132" uniqueCount="50">
  <si>
    <t>Fine-Structure Energy Levels for  Ne X</t>
  </si>
  <si>
    <t>S2</t>
  </si>
  <si>
    <t>S11</t>
  </si>
  <si>
    <t>S12</t>
  </si>
  <si>
    <t>S30</t>
  </si>
  <si>
    <t>S13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</si>
  <si>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</si>
  <si>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</si>
  <si>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</si>
  <si>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</si>
  <si>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</si>
  <si>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</si>
  <si>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</si>
  <si>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</si>
  <si>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</si>
  <si>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</si>
  <si>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E(cm-1)</t>
  </si>
  <si>
    <t>1s</t>
  </si>
  <si>
    <t>2S</t>
  </si>
  <si>
    <t>2p</t>
  </si>
  <si>
    <t>2P*</t>
  </si>
  <si>
    <t>2s</t>
  </si>
  <si>
    <t>3p</t>
  </si>
  <si>
    <t>3s</t>
  </si>
  <si>
    <t>3d</t>
  </si>
  <si>
    <t>2D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</si>
  <si>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</si>
  <si>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</si>
  <si>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</si>
  <si>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</si>
  <si>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</si>
  <si>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</si>
  <si>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</si>
  <si>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</si>
  <si>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</si>
  <si>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</si>
  <si>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</t>
  </si>
  <si>
    <t>A-values for fine structure transitions in  Ne X</t>
  </si>
  <si>
    <t>S18</t>
  </si>
  <si>
    <t>S20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</si>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</sst>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15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4.7109375" customWidth="1"/>
    <col min="11" max="11" width="13.7109375" customWidth="1"/>
    <col min="12" max="12" width="14.7109375" customWidth="1"/>
    <col min="13" max="13" width="14.7109375" customWidth="1"/>
    <col min="14" max="14" width="14.7109375" customWidth="1"/>
    <col min="15" max="15" width="9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2" t="s">
        <v>2</v>
      </c>
      <c r="L2" s="2" t="s">
        <v>3</v>
      </c>
      <c r="M2" s="2" t="s">
        <v>4</v>
      </c>
      <c r="N2" s="2" t="s">
        <v>4</v>
      </c>
      <c r="O2" s="2" t="s">
        <v>5</v>
      </c>
    </row>
    <row r="3" spans="1:1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15</v>
      </c>
      <c r="L3" s="2" t="s">
        <v>15</v>
      </c>
      <c r="M3" s="2" t="s">
        <v>15</v>
      </c>
      <c r="N3" s="2" t="s">
        <v>15</v>
      </c>
      <c r="O3" s="2" t="s">
        <v>16</v>
      </c>
    </row>
    <row r="4" spans="1:15">
      <c r="A4" s="3">
        <v>10</v>
      </c>
      <c r="B4" s="3">
        <v>1</v>
      </c>
      <c r="C4" s="3">
        <v>1</v>
      </c>
      <c r="D4" s="3" t="s">
        <v>17</v>
      </c>
      <c r="E4" s="3" t="s">
        <v>18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HYPERLINK("http://141.218.60.56/~jnz1568/getInfo.php?workbook=10_01.xlsx&amp;sheet=E0&amp;row=4&amp;col=10&amp;number=0&amp;sourceID=2","0")</f>
        <v>0</v>
      </c>
      <c r="K4" s="4" t="str">
        <f>HYPERLINK("http://141.218.60.56/~jnz1568/getInfo.php?workbook=10_01.xlsx&amp;sheet=E0&amp;row=4&amp;col=11&amp;number=0&amp;sourceID=11","0")</f>
        <v>0</v>
      </c>
      <c r="L4" s="4" t="str">
        <f>HYPERLINK("http://141.218.60.56/~jnz1568/getInfo.php?workbook=10_01.xlsx&amp;sheet=E0&amp;row=4&amp;col=12&amp;number=0&amp;sourceID=12","0")</f>
        <v>0</v>
      </c>
      <c r="M4" s="4" t="str">
        <f>HYPERLINK("http://141.218.60.56/~jnz1568/getInfo.php?workbook=10_01.xlsx&amp;sheet=E0&amp;row=4&amp;col=13&amp;number=0&amp;sourceID=30","0")</f>
        <v>0</v>
      </c>
      <c r="N4" s="4" t="str">
        <f>HYPERLINK("http://141.218.60.56/~jnz1568/getInfo.php?workbook=10_01.xlsx&amp;sheet=E0&amp;row=4&amp;col=14&amp;number=0&amp;sourceID=30","0")</f>
        <v>0</v>
      </c>
      <c r="O4" s="4" t="str">
        <f>HYPERLINK("http://141.218.60.56/~jnz1568/getInfo.php?workbook=10_01.xlsx&amp;sheet=E0&amp;row=4&amp;col=15&amp;number=0&amp;sourceID=13","0")</f>
        <v>0</v>
      </c>
    </row>
    <row r="5" spans="1:15">
      <c r="A5" s="3">
        <v>10</v>
      </c>
      <c r="B5" s="3">
        <v>1</v>
      </c>
      <c r="C5" s="3">
        <f>+C4+1</f>
        <v>0</v>
      </c>
      <c r="D5" s="3" t="s">
        <v>19</v>
      </c>
      <c r="E5" s="3" t="s">
        <v>20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HYPERLINK("http://141.218.60.56/~jnz1568/getInfo.php?workbook=10_01.xlsx&amp;sheet=E0&amp;row=5&amp;col=10&amp;number=8238933.44&amp;sourceID=2","8238933.44")</f>
        <v>8238933.44</v>
      </c>
      <c r="K5" s="4" t="str">
        <f>HYPERLINK("http://141.218.60.56/~jnz1568/getInfo.php?workbook=10_01.xlsx&amp;sheet=E0&amp;row=5&amp;col=11&amp;number=8240142.5227&amp;sourceID=11","8240142.5227")</f>
        <v>8240142.5227</v>
      </c>
      <c r="L5" s="4" t="str">
        <f>HYPERLINK("http://141.218.60.56/~jnz1568/getInfo.php?workbook=10_01.xlsx&amp;sheet=E0&amp;row=5&amp;col=12&amp;number=8238939.8234&amp;sourceID=12","8238939.8234")</f>
        <v>8238939.8234</v>
      </c>
      <c r="M5" s="4" t="str">
        <f>HYPERLINK("http://141.218.60.56/~jnz1568/getInfo.php?workbook=10_01.xlsx&amp;sheet=E0&amp;row=5&amp;col=13&amp;number=8240369.26986&amp;sourceID=30","8240369.26986")</f>
        <v>8240369.26986</v>
      </c>
      <c r="N5" s="4" t="str">
        <f>HYPERLINK("http://141.218.60.56/~jnz1568/getInfo.php?workbook=10_01.xlsx&amp;sheet=E0&amp;row=5&amp;col=14&amp;number=8239168.74363&amp;sourceID=30","8239168.74363")</f>
        <v>8239168.74363</v>
      </c>
      <c r="O5" s="4" t="str">
        <f>HYPERLINK("http://141.218.60.56/~jnz1568/getInfo.php?workbook=10_01.xlsx&amp;sheet=E0&amp;row=5&amp;col=15&amp;number=8240352&amp;sourceID=13","8240352")</f>
        <v>8240352</v>
      </c>
    </row>
    <row r="6" spans="1:15">
      <c r="A6" s="3">
        <v>10</v>
      </c>
      <c r="B6" s="3">
        <v>1</v>
      </c>
      <c r="C6" s="3">
        <f/>
        <v>0</v>
      </c>
      <c r="D6" s="3" t="s">
        <v>21</v>
      </c>
      <c r="E6" s="3" t="s">
        <v>18</v>
      </c>
      <c r="F6" s="3">
        <v>2</v>
      </c>
      <c r="G6" s="3">
        <v>0</v>
      </c>
      <c r="H6" s="3">
        <v>0</v>
      </c>
      <c r="I6" s="3">
        <v>0.5</v>
      </c>
      <c r="J6" s="4" t="str">
        <f>HYPERLINK("http://141.218.60.56/~jnz1568/getInfo.php?workbook=10_01.xlsx&amp;sheet=E0&amp;row=6&amp;col=10&amp;number=8239096.5&amp;sourceID=2","8239096.5")</f>
        <v>8239096.5</v>
      </c>
      <c r="K6" s="4" t="str">
        <f>HYPERLINK("http://141.218.60.56/~jnz1568/getInfo.php?workbook=10_01.xlsx&amp;sheet=E0&amp;row=6&amp;col=11&amp;number=8240142.5227&amp;sourceID=11","8240142.5227")</f>
        <v>8240142.5227</v>
      </c>
      <c r="L6" s="4" t="str">
        <f>HYPERLINK("http://141.218.60.56/~jnz1568/getInfo.php?workbook=10_01.xlsx&amp;sheet=E0&amp;row=6&amp;col=12&amp;number=8239101.5903&amp;sourceID=12","8239101.5903")</f>
        <v>8239101.5903</v>
      </c>
      <c r="M6" s="4" t="str">
        <f>HYPERLINK("http://141.218.60.56/~jnz1568/getInfo.php?workbook=10_01.xlsx&amp;sheet=E0&amp;row=6&amp;col=13&amp;number=8240369.26986&amp;sourceID=30","8240369.26986")</f>
        <v>8240369.26986</v>
      </c>
      <c r="N6" s="4" t="str">
        <f>HYPERLINK("http://141.218.60.56/~jnz1568/getInfo.php?workbook=10_01.xlsx&amp;sheet=E0&amp;row=6&amp;col=14&amp;number=8239331.15486&amp;sourceID=30","8239331.15486")</f>
        <v>8239331.15486</v>
      </c>
      <c r="O6" s="4" t="str">
        <f>HYPERLINK("http://141.218.60.56/~jnz1568/getInfo.php?workbook=10_01.xlsx&amp;sheet=E0&amp;row=6&amp;col=15&amp;number=8240360&amp;sourceID=13","8240360")</f>
        <v>8240360</v>
      </c>
    </row>
    <row r="7" spans="1:15">
      <c r="A7" s="3">
        <v>10</v>
      </c>
      <c r="B7" s="3">
        <v>1</v>
      </c>
      <c r="C7" s="3">
        <f/>
        <v>0</v>
      </c>
      <c r="D7" s="3" t="s">
        <v>19</v>
      </c>
      <c r="E7" s="3" t="s">
        <v>20</v>
      </c>
      <c r="F7" s="3">
        <v>2</v>
      </c>
      <c r="G7" s="3">
        <v>1</v>
      </c>
      <c r="H7" s="3">
        <v>1</v>
      </c>
      <c r="I7" s="3">
        <v>1.5</v>
      </c>
      <c r="J7" s="4" t="str">
        <f>HYPERLINK("http://141.218.60.56/~jnz1568/getInfo.php?workbook=10_01.xlsx&amp;sheet=E0&amp;row=7&amp;col=10&amp;number=8242606.05&amp;sourceID=2","8242606.05")</f>
        <v>8242606.05</v>
      </c>
      <c r="K7" s="4" t="str">
        <f>HYPERLINK("http://141.218.60.56/~jnz1568/getInfo.php?workbook=10_01.xlsx&amp;sheet=E0&amp;row=7&amp;col=11&amp;number=8243806.9086&amp;sourceID=11","8243806.9086")</f>
        <v>8243806.9086</v>
      </c>
      <c r="L7" s="4" t="str">
        <f>HYPERLINK("http://141.218.60.56/~jnz1568/getInfo.php?workbook=10_01.xlsx&amp;sheet=E0&amp;row=7&amp;col=12&amp;number=8242612.5593&amp;sourceID=12","8242612.5593")</f>
        <v>8242612.5593</v>
      </c>
      <c r="M7" s="4" t="str">
        <f>HYPERLINK("http://141.218.60.56/~jnz1568/getInfo.php?workbook=10_01.xlsx&amp;sheet=E0&amp;row=7&amp;col=13&amp;number=8244033.39884&amp;sourceID=30","8244033.39884")</f>
        <v>8244033.39884</v>
      </c>
      <c r="N7" s="4" t="str">
        <f>HYPERLINK("http://141.218.60.56/~jnz1568/getInfo.php?workbook=10_01.xlsx&amp;sheet=E0&amp;row=7&amp;col=14&amp;number=8242841.65159&amp;sourceID=30","8242841.65159")</f>
        <v>8242841.65159</v>
      </c>
      <c r="O7" s="4" t="str">
        <f>HYPERLINK("http://141.218.60.56/~jnz1568/getInfo.php?workbook=10_01.xlsx&amp;sheet=E0&amp;row=7&amp;col=15&amp;number=8244009&amp;sourceID=13","8244009")</f>
        <v>8244009</v>
      </c>
    </row>
    <row r="8" spans="1:15">
      <c r="A8" s="3">
        <v>10</v>
      </c>
      <c r="B8" s="3">
        <v>1</v>
      </c>
      <c r="C8" s="3">
        <f/>
        <v>0</v>
      </c>
      <c r="D8" s="3" t="s">
        <v>22</v>
      </c>
      <c r="E8" s="3" t="s">
        <v>20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HYPERLINK("http://141.218.60.56/~jnz1568/getInfo.php?workbook=10_01.xlsx&amp;sheet=E0&amp;row=8&amp;col=10&amp;number=9765974.61&amp;sourceID=2","9765974.61")</f>
        <v>9765974.61</v>
      </c>
      <c r="K8" s="4" t="str">
        <f>HYPERLINK("http://141.218.60.56/~jnz1568/getInfo.php?workbook=10_01.xlsx&amp;sheet=E0&amp;row=8&amp;col=11&amp;number=9767180.8006&amp;sourceID=11","9767180.8006")</f>
        <v>9767180.8006</v>
      </c>
      <c r="L8" s="4" t="str">
        <f>HYPERLINK("http://141.218.60.56/~jnz1568/getInfo.php?workbook=10_01.xlsx&amp;sheet=E0&amp;row=8&amp;col=12&amp;number=9765981.1441&amp;sourceID=12","9765981.1441")</f>
        <v>9765981.1441</v>
      </c>
      <c r="M8" s="4" t="str">
        <f>HYPERLINK("http://141.218.60.56/~jnz1568/getInfo.php?workbook=10_01.xlsx&amp;sheet=E0&amp;row=8&amp;col=13&amp;number=9767449.61273&amp;sourceID=30","9767449.61273")</f>
        <v>9767449.61273</v>
      </c>
      <c r="N8" s="4" t="str">
        <f>HYPERLINK("http://141.218.60.56/~jnz1568/getInfo.php?workbook=10_01.xlsx&amp;sheet=E0&amp;row=8&amp;col=14&amp;number=9766252.37862&amp;sourceID=30","9766252.37862")</f>
        <v>9766252.37862</v>
      </c>
      <c r="O8" s="4" t="str">
        <f>HYPERLINK("http://141.218.60.56/~jnz1568/getInfo.php?workbook=10_01.xlsx&amp;sheet=E0&amp;row=8&amp;col=15&amp;number=9767431&amp;sourceID=13","9767431")</f>
        <v>9767431</v>
      </c>
    </row>
    <row r="9" spans="1:15">
      <c r="A9" s="3">
        <v>10</v>
      </c>
      <c r="B9" s="3">
        <v>1</v>
      </c>
      <c r="C9" s="3">
        <f/>
        <v>0</v>
      </c>
      <c r="D9" s="3" t="s">
        <v>23</v>
      </c>
      <c r="E9" s="3" t="s">
        <v>18</v>
      </c>
      <c r="F9" s="3">
        <v>2</v>
      </c>
      <c r="G9" s="3">
        <v>0</v>
      </c>
      <c r="H9" s="3">
        <v>0</v>
      </c>
      <c r="I9" s="3">
        <v>0.5</v>
      </c>
      <c r="J9" s="4" t="str">
        <f>HYPERLINK("http://141.218.60.56/~jnz1568/getInfo.php?workbook=10_01.xlsx&amp;sheet=E0&amp;row=9&amp;col=10&amp;number=9766023.39&amp;sourceID=2","9766023.39")</f>
        <v>9766023.39</v>
      </c>
      <c r="K9" s="4" t="str">
        <f>HYPERLINK("http://141.218.60.56/~jnz1568/getInfo.php?workbook=10_01.xlsx&amp;sheet=E0&amp;row=9&amp;col=11&amp;number=9767180.8006&amp;sourceID=11","9767180.8006")</f>
        <v>9767180.8006</v>
      </c>
      <c r="L9" s="4" t="str">
        <f>HYPERLINK("http://141.218.60.56/~jnz1568/getInfo.php?workbook=10_01.xlsx&amp;sheet=E0&amp;row=9&amp;col=12&amp;number=9766029.9241&amp;sourceID=12","9766029.9241")</f>
        <v>9766029.9241</v>
      </c>
      <c r="M9" s="4" t="str">
        <f>HYPERLINK("http://141.218.60.56/~jnz1568/getInfo.php?workbook=10_01.xlsx&amp;sheet=E0&amp;row=9&amp;col=13&amp;number=9767449.61273&amp;sourceID=30","9767449.61273")</f>
        <v>9767449.61273</v>
      </c>
      <c r="N9" s="4" t="str">
        <f>HYPERLINK("http://141.218.60.56/~jnz1568/getInfo.php?workbook=10_01.xlsx&amp;sheet=E0&amp;row=9&amp;col=14&amp;number=9766300.66304&amp;sourceID=30","9766300.66304")</f>
        <v>9766300.66304</v>
      </c>
      <c r="O9" s="4" t="str">
        <f>HYPERLINK("http://141.218.60.56/~jnz1568/getInfo.php?workbook=10_01.xlsx&amp;sheet=E0&amp;row=9&amp;col=15&amp;number=9767434&amp;sourceID=13","9767434")</f>
        <v>9767434</v>
      </c>
    </row>
    <row r="10" spans="1:15">
      <c r="A10" s="3">
        <v>10</v>
      </c>
      <c r="B10" s="3">
        <v>1</v>
      </c>
      <c r="C10" s="3">
        <f/>
        <v>0</v>
      </c>
      <c r="D10" s="3" t="s">
        <v>24</v>
      </c>
      <c r="E10" s="3" t="s">
        <v>25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HYPERLINK("http://141.218.60.56/~jnz1568/getInfo.php?workbook=10_01.xlsx&amp;sheet=E0&amp;row=10&amp;col=10&amp;number=9767061.0483&amp;sourceID=2","9767061.0483")</f>
        <v>9767061.0483</v>
      </c>
      <c r="K10" s="4" t="str">
        <f>HYPERLINK("http://141.218.60.56/~jnz1568/getInfo.php?workbook=10_01.xlsx&amp;sheet=E0&amp;row=10&amp;col=11&amp;number=9768266.6649&amp;sourceID=11","9768266.6649")</f>
        <v>9768266.6649</v>
      </c>
      <c r="L10" s="4" t="str">
        <f>HYPERLINK("http://141.218.60.56/~jnz1568/getInfo.php?workbook=10_01.xlsx&amp;sheet=E0&amp;row=10&amp;col=12&amp;number=9767067.5824&amp;sourceID=12","9767067.5824")</f>
        <v>9767067.5824</v>
      </c>
      <c r="M10" s="4" t="str">
        <f>HYPERLINK("http://141.218.60.56/~jnz1568/getInfo.php?workbook=10_01.xlsx&amp;sheet=E0&amp;row=10&amp;col=13&amp;number=9768534.91479&amp;sourceID=30","9768534.91479")</f>
        <v>9768534.91479</v>
      </c>
      <c r="N10" s="4" t="str">
        <f>HYPERLINK("http://141.218.60.56/~jnz1568/getInfo.php?workbook=10_01.xlsx&amp;sheet=E0&amp;row=10&amp;col=14&amp;number=9767339.87542&amp;sourceID=30","9767339.87542")</f>
        <v>9767339.87542</v>
      </c>
      <c r="O10" s="4" t="str">
        <f>HYPERLINK("http://141.218.60.56/~jnz1568/getInfo.php?workbook=10_01.xlsx&amp;sheet=E0&amp;row=10&amp;col=15&amp;number=9768511&amp;sourceID=13","9768511")</f>
        <v>9768511</v>
      </c>
    </row>
    <row r="11" spans="1:15">
      <c r="A11" s="3">
        <v>10</v>
      </c>
      <c r="B11" s="3">
        <v>1</v>
      </c>
      <c r="C11" s="3">
        <f/>
        <v>0</v>
      </c>
      <c r="D11" s="3" t="s">
        <v>22</v>
      </c>
      <c r="E11" s="3" t="s">
        <v>20</v>
      </c>
      <c r="F11" s="3">
        <v>2</v>
      </c>
      <c r="G11" s="3">
        <v>1</v>
      </c>
      <c r="H11" s="3">
        <v>1</v>
      </c>
      <c r="I11" s="3">
        <v>1.5</v>
      </c>
      <c r="J11" s="4" t="str">
        <f>HYPERLINK("http://141.218.60.56/~jnz1568/getInfo.php?workbook=10_01.xlsx&amp;sheet=E0&amp;row=11&amp;col=10&amp;number=9767062.89&amp;sourceID=2","9767062.89")</f>
        <v>9767062.89</v>
      </c>
      <c r="K11" s="4" t="str">
        <f>HYPERLINK("http://141.218.60.56/~jnz1568/getInfo.php?workbook=10_01.xlsx&amp;sheet=E0&amp;row=11&amp;col=11&amp;number=9768266.6649&amp;sourceID=11","9768266.6649")</f>
        <v>9768266.6649</v>
      </c>
      <c r="L11" s="4" t="str">
        <f>HYPERLINK("http://141.218.60.56/~jnz1568/getInfo.php?workbook=10_01.xlsx&amp;sheet=E0&amp;row=11&amp;col=12&amp;number=9767069.4241&amp;sourceID=12","9767069.4241")</f>
        <v>9767069.4241</v>
      </c>
      <c r="M11" s="4" t="str">
        <f>HYPERLINK("http://141.218.60.56/~jnz1568/getInfo.php?workbook=10_01.xlsx&amp;sheet=E0&amp;row=11&amp;col=13&amp;number=9768534.91479&amp;sourceID=30","9768534.91479")</f>
        <v>9768534.91479</v>
      </c>
      <c r="N11" s="4" t="str">
        <f>HYPERLINK("http://141.218.60.56/~jnz1568/getInfo.php?workbook=10_01.xlsx&amp;sheet=E0&amp;row=11&amp;col=14&amp;number=9767340.97279&amp;sourceID=30","9767340.97279")</f>
        <v>9767340.97279</v>
      </c>
      <c r="O11" s="4" t="str">
        <f>HYPERLINK("http://141.218.60.56/~jnz1568/getInfo.php?workbook=10_01.xlsx&amp;sheet=E0&amp;row=11&amp;col=15&amp;number=9768511&amp;sourceID=13","9768511")</f>
        <v>9768511</v>
      </c>
    </row>
    <row r="12" spans="1:15">
      <c r="A12" s="3">
        <v>10</v>
      </c>
      <c r="B12" s="3">
        <v>1</v>
      </c>
      <c r="C12" s="3">
        <f/>
        <v>0</v>
      </c>
      <c r="D12" s="3" t="s">
        <v>24</v>
      </c>
      <c r="E12" s="3" t="s">
        <v>25</v>
      </c>
      <c r="F12" s="3">
        <v>2</v>
      </c>
      <c r="G12" s="3">
        <v>2</v>
      </c>
      <c r="H12" s="3">
        <v>0</v>
      </c>
      <c r="I12" s="3">
        <v>2.5</v>
      </c>
      <c r="J12" s="4" t="str">
        <f>HYPERLINK("http://141.218.60.56/~jnz1568/getInfo.php?workbook=10_01.xlsx&amp;sheet=E0&amp;row=12&amp;col=10&amp;number=9767422.9278&amp;sourceID=2","9767422.9278")</f>
        <v>9767422.9278</v>
      </c>
      <c r="K12" s="4" t="str">
        <f>HYPERLINK("http://141.218.60.56/~jnz1568/getInfo.php?workbook=10_01.xlsx&amp;sheet=E0&amp;row=12&amp;col=11&amp;number=9768627.7085&amp;sourceID=11","9768627.7085")</f>
        <v>9768627.7085</v>
      </c>
      <c r="L12" s="4" t="str">
        <f>HYPERLINK("http://141.218.60.56/~jnz1568/getInfo.php?workbook=10_01.xlsx&amp;sheet=E0&amp;row=12&amp;col=12&amp;number=9767429.4619&amp;sourceID=12","9767429.4619")</f>
        <v>9767429.4619</v>
      </c>
      <c r="M12" s="4" t="str">
        <f>HYPERLINK("http://141.218.60.56/~jnz1568/getInfo.php?workbook=10_01.xlsx&amp;sheet=E0&amp;row=12&amp;col=13&amp;number=9768895.95055&amp;sourceID=30","9768895.95055")</f>
        <v>9768895.95055</v>
      </c>
      <c r="N12" s="4" t="str">
        <f>HYPERLINK("http://141.218.60.56/~jnz1568/getInfo.php?workbook=10_01.xlsx&amp;sheet=E0&amp;row=12&amp;col=14&amp;number=9767699.81381&amp;sourceID=30","9767699.81381")</f>
        <v>9767699.81381</v>
      </c>
      <c r="O12" s="4" t="str">
        <f>HYPERLINK("http://141.218.60.56/~jnz1568/getInfo.php?workbook=10_01.xlsx&amp;sheet=E0&amp;row=12&amp;col=15&amp;number=9768871&amp;sourceID=13","9768871")</f>
        <v>9768871</v>
      </c>
    </row>
    <row r="13" spans="1:15">
      <c r="A13" s="3">
        <v>10</v>
      </c>
      <c r="B13" s="3">
        <v>1</v>
      </c>
      <c r="C13" s="3">
        <f/>
        <v>0</v>
      </c>
      <c r="D13" s="3" t="s">
        <v>26</v>
      </c>
      <c r="E13" s="3" t="s">
        <v>20</v>
      </c>
      <c r="F13" s="3">
        <v>2</v>
      </c>
      <c r="G13" s="3">
        <v>1</v>
      </c>
      <c r="H13" s="3">
        <v>1</v>
      </c>
      <c r="I13" s="3">
        <v>0.5</v>
      </c>
      <c r="J13" s="4" t="str">
        <f>HYPERLINK("http://141.218.60.56/~jnz1568/getInfo.php?workbook=10_01.xlsx&amp;sheet=E0&amp;row=13&amp;col=10&amp;number=10300289.61&amp;sourceID=2","10300289.61")</f>
        <v>10300289.61</v>
      </c>
      <c r="K13" s="4" t="str">
        <f>HYPERLINK("http://141.218.60.56/~jnz1568/getInfo.php?workbook=10_01.xlsx&amp;sheet=E0&amp;row=13&amp;col=11&amp;number=10301495.186&amp;sourceID=11","10301495.186")</f>
        <v>10301495.186</v>
      </c>
      <c r="L13" s="4" t="str">
        <f>HYPERLINK("http://141.218.60.56/~jnz1568/getInfo.php?workbook=10_01.xlsx&amp;sheet=E0&amp;row=13&amp;col=12&amp;number=10300296.1441&amp;sourceID=12","10300296.1441")</f>
        <v>10300296.1441</v>
      </c>
      <c r="M13" s="4" t="str">
        <f>HYPERLINK("http://141.218.60.56/~jnz1568/getInfo.php?workbook=10_01.xlsx&amp;sheet=E0&amp;row=13&amp;col=13&amp;number=10301778.1608&amp;sourceID=30","10301778.1608")</f>
        <v>10301778.1608</v>
      </c>
      <c r="N13" s="4" t="str">
        <f>HYPERLINK("http://141.218.60.56/~jnz1568/getInfo.php?workbook=10_01.xlsx&amp;sheet=E0&amp;row=13&amp;col=14&amp;number=10300582.024&amp;sourceID=30","10300582.024")</f>
        <v>10300582.024</v>
      </c>
      <c r="O13" s="4" t="str">
        <f>HYPERLINK("http://141.218.60.56/~jnz1568/getInfo.php?workbook=10_01.xlsx&amp;sheet=E0&amp;row=13&amp;col=15&amp;number=10301759&amp;sourceID=13","10301759")</f>
        <v>10301759</v>
      </c>
    </row>
    <row r="14" spans="1:15">
      <c r="A14" s="3">
        <v>10</v>
      </c>
      <c r="B14" s="3">
        <v>1</v>
      </c>
      <c r="C14" s="3">
        <f/>
        <v>0</v>
      </c>
      <c r="D14" s="3" t="s">
        <v>27</v>
      </c>
      <c r="E14" s="3" t="s">
        <v>18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HYPERLINK("http://141.218.60.56/~jnz1568/getInfo.php?workbook=10_01.xlsx&amp;sheet=E0&amp;row=14&amp;col=10&amp;number=10300310.26&amp;sourceID=2","10300310.26")</f>
        <v>10300310.26</v>
      </c>
      <c r="K14" s="4" t="str">
        <f>HYPERLINK("http://141.218.60.56/~jnz1568/getInfo.php?workbook=10_01.xlsx&amp;sheet=E0&amp;row=14&amp;col=11&amp;number=10301495.186&amp;sourceID=11","10301495.186")</f>
        <v>10301495.186</v>
      </c>
      <c r="L14" s="4" t="str">
        <f>HYPERLINK("http://141.218.60.56/~jnz1568/getInfo.php?workbook=10_01.xlsx&amp;sheet=E0&amp;row=14&amp;col=12&amp;number=10300316.7941&amp;sourceID=12","10300316.7941")</f>
        <v>10300316.7941</v>
      </c>
      <c r="M14" s="4" t="str">
        <f>HYPERLINK("http://141.218.60.56/~jnz1568/getInfo.php?workbook=10_01.xlsx&amp;sheet=E0&amp;row=14&amp;col=13&amp;number=10301778.1608&amp;sourceID=30","10301778.1608")</f>
        <v>10301778.1608</v>
      </c>
      <c r="N14" s="4" t="str">
        <f>HYPERLINK("http://141.218.60.56/~jnz1568/getInfo.php?workbook=10_01.xlsx&amp;sheet=E0&amp;row=14&amp;col=14&amp;number=10300602.8741&amp;sourceID=30","10300602.8741")</f>
        <v>10300602.8741</v>
      </c>
      <c r="O14" s="4" t="str">
        <f>HYPERLINK("http://141.218.60.56/~jnz1568/getInfo.php?workbook=10_01.xlsx&amp;sheet=E0&amp;row=14&amp;col=15&amp;number=10301760&amp;sourceID=13","10301760")</f>
        <v>10301760</v>
      </c>
    </row>
    <row r="15" spans="1:15">
      <c r="A15" s="3">
        <v>10</v>
      </c>
      <c r="B15" s="3">
        <v>1</v>
      </c>
      <c r="C15" s="3">
        <f/>
        <v>0</v>
      </c>
      <c r="D15" s="3" t="s">
        <v>28</v>
      </c>
      <c r="E15" s="3" t="s">
        <v>25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HYPERLINK("http://141.218.60.56/~jnz1568/getInfo.php?workbook=10_01.xlsx&amp;sheet=E0&amp;row=15&amp;col=10&amp;number=10300747.891&amp;sourceID=2","10300747.891")</f>
        <v>10300747.891</v>
      </c>
      <c r="K15" s="4" t="str">
        <f>HYPERLINK("http://141.218.60.56/~jnz1568/getInfo.php?workbook=10_01.xlsx&amp;sheet=E0&amp;row=15&amp;col=11&amp;number=10301953.234&amp;sourceID=11","10301953.234")</f>
        <v>10301953.234</v>
      </c>
      <c r="L15" s="4" t="str">
        <f>HYPERLINK("http://141.218.60.56/~jnz1568/getInfo.php?workbook=10_01.xlsx&amp;sheet=E0&amp;row=15&amp;col=12&amp;number=10300754.4251&amp;sourceID=12","10300754.4251")</f>
        <v>10300754.4251</v>
      </c>
      <c r="M15" s="4" t="str">
        <f>HYPERLINK("http://141.218.60.56/~jnz1568/getInfo.php?workbook=10_01.xlsx&amp;sheet=E0&amp;row=15&amp;col=13&amp;number=10302235.7654&amp;sourceID=30","10302235.7654")</f>
        <v>10302235.7654</v>
      </c>
      <c r="N15" s="4" t="str">
        <f>HYPERLINK("http://141.218.60.56/~jnz1568/getInfo.php?workbook=10_01.xlsx&amp;sheet=E0&amp;row=15&amp;col=14&amp;number=10301040.726&amp;sourceID=30","10301040.726")</f>
        <v>10301040.726</v>
      </c>
      <c r="O15" s="4" t="str">
        <f>HYPERLINK("http://141.218.60.56/~jnz1568/getInfo.php?workbook=10_01.xlsx&amp;sheet=E0&amp;row=15&amp;col=15&amp;number=10302241&amp;sourceID=13","10302241")</f>
        <v>10302241</v>
      </c>
    </row>
    <row r="16" spans="1:15">
      <c r="A16" s="3">
        <v>10</v>
      </c>
      <c r="B16" s="3">
        <v>1</v>
      </c>
      <c r="C16" s="3">
        <f/>
        <v>0</v>
      </c>
      <c r="D16" s="3" t="s">
        <v>26</v>
      </c>
      <c r="E16" s="3" t="s">
        <v>20</v>
      </c>
      <c r="F16" s="3">
        <v>2</v>
      </c>
      <c r="G16" s="3">
        <v>1</v>
      </c>
      <c r="H16" s="3">
        <v>1</v>
      </c>
      <c r="I16" s="3">
        <v>1.5</v>
      </c>
      <c r="J16" s="4" t="str">
        <f>HYPERLINK("http://141.218.60.56/~jnz1568/getInfo.php?workbook=10_01.xlsx&amp;sheet=E0&amp;row=16&amp;col=10&amp;number=10300748.68&amp;sourceID=2","10300748.68")</f>
        <v>10300748.68</v>
      </c>
      <c r="K16" s="4" t="str">
        <f>HYPERLINK("http://141.218.60.56/~jnz1568/getInfo.php?workbook=10_01.xlsx&amp;sheet=E0&amp;row=16&amp;col=11&amp;number=10301953.234&amp;sourceID=11","10301953.234")</f>
        <v>10301953.234</v>
      </c>
      <c r="L16" s="4" t="str">
        <f>HYPERLINK("http://141.218.60.56/~jnz1568/getInfo.php?workbook=10_01.xlsx&amp;sheet=E0&amp;row=16&amp;col=12&amp;number=10300755.2141&amp;sourceID=12","10300755.2141")</f>
        <v>10300755.2141</v>
      </c>
      <c r="M16" s="4" t="str">
        <f>HYPERLINK("http://141.218.60.56/~jnz1568/getInfo.php?workbook=10_01.xlsx&amp;sheet=E0&amp;row=16&amp;col=13&amp;number=10302235.7654&amp;sourceID=30","10302235.7654")</f>
        <v>10302235.7654</v>
      </c>
      <c r="N16" s="4" t="str">
        <f>HYPERLINK("http://141.218.60.56/~jnz1568/getInfo.php?workbook=10_01.xlsx&amp;sheet=E0&amp;row=16&amp;col=14&amp;number=10301041.8234&amp;sourceID=30","10301041.8234")</f>
        <v>10301041.8234</v>
      </c>
      <c r="O16" s="4" t="str">
        <f>HYPERLINK("http://141.218.60.56/~jnz1568/getInfo.php?workbook=10_01.xlsx&amp;sheet=E0&amp;row=16&amp;col=15&amp;number=10302212&amp;sourceID=13","10302212")</f>
        <v>10302212</v>
      </c>
    </row>
    <row r="17" spans="1:15">
      <c r="A17" s="3">
        <v>10</v>
      </c>
      <c r="B17" s="3">
        <v>1</v>
      </c>
      <c r="C17" s="3">
        <f/>
        <v>0</v>
      </c>
      <c r="D17" s="3" t="s">
        <v>29</v>
      </c>
      <c r="E17" s="3" t="s">
        <v>30</v>
      </c>
      <c r="F17" s="3">
        <v>2</v>
      </c>
      <c r="G17" s="3">
        <v>3</v>
      </c>
      <c r="H17" s="3">
        <v>1</v>
      </c>
      <c r="I17" s="3">
        <v>2.5</v>
      </c>
      <c r="J17" s="4" t="str">
        <f>HYPERLINK("http://141.218.60.56/~jnz1568/getInfo.php?workbook=10_01.xlsx&amp;sheet=E0&amp;row=17&amp;col=10&amp;number=10300900.301&amp;sourceID=2","10300900.301")</f>
        <v>10300900.301</v>
      </c>
      <c r="K17" s="4" t="str">
        <f>HYPERLINK("http://141.218.60.56/~jnz1568/getInfo.php?workbook=10_01.xlsx&amp;sheet=E0&amp;row=17&amp;col=11&amp;number=10302105.566&amp;sourceID=11","10302105.566")</f>
        <v>10302105.566</v>
      </c>
      <c r="L17" s="4" t="str">
        <f>HYPERLINK("http://141.218.60.56/~jnz1568/getInfo.php?workbook=10_01.xlsx&amp;sheet=E0&amp;row=17&amp;col=12&amp;number=10300906.8351&amp;sourceID=12","10300906.8351")</f>
        <v>10300906.8351</v>
      </c>
      <c r="M17" s="4" t="str">
        <f>HYPERLINK("http://141.218.60.56/~jnz1568/getInfo.php?workbook=10_01.xlsx&amp;sheet=E0&amp;row=17&amp;col=13&amp;number=10302388.3003&amp;sourceID=30","10302388.3003")</f>
        <v>10302388.3003</v>
      </c>
      <c r="N17" s="4" t="str">
        <f>HYPERLINK("http://141.218.60.56/~jnz1568/getInfo.php?workbook=10_01.xlsx&amp;sheet=E0&amp;row=17&amp;col=14&amp;number=10301193.2609&amp;sourceID=30","10301193.2609")</f>
        <v>10301193.2609</v>
      </c>
      <c r="O17" s="4" t="str">
        <f>HYPERLINK("http://141.218.60.56/~jnz1568/getInfo.php?workbook=10_01.xlsx&amp;sheet=E0&amp;row=17&amp;col=15&amp;number=10302364&amp;sourceID=13","10302364")</f>
        <v>10302364</v>
      </c>
    </row>
    <row r="18" spans="1:15">
      <c r="A18" s="3">
        <v>10</v>
      </c>
      <c r="B18" s="3">
        <v>1</v>
      </c>
      <c r="C18" s="3">
        <f/>
        <v>0</v>
      </c>
      <c r="D18" s="3" t="s">
        <v>28</v>
      </c>
      <c r="E18" s="3" t="s">
        <v>25</v>
      </c>
      <c r="F18" s="3">
        <v>2</v>
      </c>
      <c r="G18" s="3">
        <v>2</v>
      </c>
      <c r="H18" s="3">
        <v>0</v>
      </c>
      <c r="I18" s="3">
        <v>2.5</v>
      </c>
      <c r="J18" s="4" t="str">
        <f>HYPERLINK("http://141.218.60.56/~jnz1568/getInfo.php?workbook=10_01.xlsx&amp;sheet=E0&amp;row=18&amp;col=10&amp;number=10300900.576&amp;sourceID=2","10300900.576")</f>
        <v>10300900.576</v>
      </c>
      <c r="K18" s="4" t="str">
        <f>HYPERLINK("http://141.218.60.56/~jnz1568/getInfo.php?workbook=10_01.xlsx&amp;sheet=E0&amp;row=18&amp;col=11&amp;number=10302105.566&amp;sourceID=11","10302105.566")</f>
        <v>10302105.566</v>
      </c>
      <c r="L18" s="4" t="str">
        <f>HYPERLINK("http://141.218.60.56/~jnz1568/getInfo.php?workbook=10_01.xlsx&amp;sheet=E0&amp;row=18&amp;col=12&amp;number=10300907.1101&amp;sourceID=12","10300907.1101")</f>
        <v>10300907.1101</v>
      </c>
      <c r="M18" s="4" t="str">
        <f>HYPERLINK("http://141.218.60.56/~jnz1568/getInfo.php?workbook=10_01.xlsx&amp;sheet=E0&amp;row=18&amp;col=13&amp;number=10302388.3003&amp;sourceID=30","10302388.3003")</f>
        <v>10302388.3003</v>
      </c>
      <c r="N18" s="4" t="str">
        <f>HYPERLINK("http://141.218.60.56/~jnz1568/getInfo.php?workbook=10_01.xlsx&amp;sheet=E0&amp;row=18&amp;col=14&amp;number=10301193.2609&amp;sourceID=30","10301193.2609")</f>
        <v>10301193.2609</v>
      </c>
      <c r="O18" s="4" t="str">
        <f>HYPERLINK("http://141.218.60.56/~jnz1568/getInfo.php?workbook=10_01.xlsx&amp;sheet=E0&amp;row=18&amp;col=15&amp;number=10302393&amp;sourceID=13","10302393")</f>
        <v>10302393</v>
      </c>
    </row>
    <row r="19" spans="1:15">
      <c r="A19" s="3">
        <v>10</v>
      </c>
      <c r="B19" s="3">
        <v>1</v>
      </c>
      <c r="C19" s="3">
        <f/>
        <v>0</v>
      </c>
      <c r="D19" s="3" t="s">
        <v>29</v>
      </c>
      <c r="E19" s="3" t="s">
        <v>30</v>
      </c>
      <c r="F19" s="3">
        <v>2</v>
      </c>
      <c r="G19" s="3">
        <v>3</v>
      </c>
      <c r="H19" s="3">
        <v>1</v>
      </c>
      <c r="I19" s="3">
        <v>3.5</v>
      </c>
      <c r="J19" s="4" t="str">
        <f>HYPERLINK("http://141.218.60.56/~jnz1568/getInfo.php?workbook=10_01.xlsx&amp;sheet=E0&amp;row=19&amp;col=10&amp;number=10300976.597&amp;sourceID=2","10300976.597")</f>
        <v>10300976.597</v>
      </c>
      <c r="K19" s="4" t="str">
        <f>HYPERLINK("http://141.218.60.56/~jnz1568/getInfo.php?workbook=10_01.xlsx&amp;sheet=E0&amp;row=19&amp;col=11&amp;number=10302181.685&amp;sourceID=11","10302181.685")</f>
        <v>10302181.685</v>
      </c>
      <c r="L19" s="4" t="str">
        <f>HYPERLINK("http://141.218.60.56/~jnz1568/getInfo.php?workbook=10_01.xlsx&amp;sheet=E0&amp;row=19&amp;col=12&amp;number=10300983.1311&amp;sourceID=12","10300983.1311")</f>
        <v>10300983.1311</v>
      </c>
      <c r="M19" s="4" t="str">
        <f>HYPERLINK("http://141.218.60.56/~jnz1568/getInfo.php?workbook=10_01.xlsx&amp;sheet=E0&amp;row=19&amp;col=13&amp;number=10302465.1164&amp;sourceID=30","10302465.1164")</f>
        <v>10302465.1164</v>
      </c>
      <c r="N19" s="4" t="str">
        <f>HYPERLINK("http://141.218.60.56/~jnz1568/getInfo.php?workbook=10_01.xlsx&amp;sheet=E0&amp;row=19&amp;col=14&amp;number=10301268.9796&amp;sourceID=30","10301268.9796")</f>
        <v>10301268.9796</v>
      </c>
      <c r="O19" s="4" t="str">
        <f>HYPERLINK("http://141.218.60.56/~jnz1568/getInfo.php?workbook=10_01.xlsx&amp;sheet=E0&amp;row=19&amp;col=15&amp;number=10302440&amp;sourceID=13","10302440")</f>
        <v>10302440</v>
      </c>
    </row>
    <row r="20" spans="1:15">
      <c r="A20" s="3">
        <v>10</v>
      </c>
      <c r="B20" s="3">
        <v>1</v>
      </c>
      <c r="C20" s="3">
        <f/>
        <v>0</v>
      </c>
      <c r="D20" s="3" t="s">
        <v>31</v>
      </c>
      <c r="E20" s="3" t="s">
        <v>20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HYPERLINK("http://141.218.60.56/~jnz1568/getInfo.php?workbook=10_01.xlsx&amp;sheet=E0&amp;row=20&amp;col=10&amp;number=10547537.358&amp;sourceID=2","10547537.358")</f>
        <v>10547537.358</v>
      </c>
      <c r="K20" s="4" t="str">
        <f>HYPERLINK("http://141.218.60.56/~jnz1568/getInfo.php?workbook=10_01.xlsx&amp;sheet=E0&amp;row=20&amp;col=11&amp;number=10548742.725&amp;sourceID=11","10548742.725")</f>
        <v>10548742.725</v>
      </c>
      <c r="L20" s="4" t="str">
        <f>HYPERLINK("http://141.218.60.56/~jnz1568/getInfo.php?workbook=10_01.xlsx&amp;sheet=E0&amp;row=20&amp;col=12&amp;number=10547543.8921&amp;sourceID=12","10547543.8921")</f>
        <v>10547543.8921</v>
      </c>
      <c r="M20" s="4" t="str">
        <f>HYPERLINK("http://141.218.60.56/~jnz1568/getInfo.php?workbook=10_01.xlsx&amp;sheet=E0&amp;row=20&amp;col=13&amp;number=10549031.6962&amp;sourceID=30","10549031.6962")</f>
        <v>10549031.6962</v>
      </c>
      <c r="N20" s="4" t="str">
        <f>HYPERLINK("http://141.218.60.56/~jnz1568/getInfo.php?workbook=10_01.xlsx&amp;sheet=E0&amp;row=20&amp;col=14&amp;number=10547836.6569&amp;sourceID=30","10547836.6569")</f>
        <v>10547836.6569</v>
      </c>
      <c r="O20" s="4" t="str">
        <f>HYPERLINK("http://141.218.60.56/~jnz1568/getInfo.php?workbook=10_01.xlsx&amp;sheet=E0&amp;row=20&amp;col=15&amp;number=&amp;sourceID=13","")</f>
        <v/>
      </c>
    </row>
    <row r="21" spans="1:15">
      <c r="A21" s="3">
        <v>10</v>
      </c>
      <c r="B21" s="3">
        <v>1</v>
      </c>
      <c r="C21" s="3">
        <f/>
        <v>0</v>
      </c>
      <c r="D21" s="3" t="s">
        <v>32</v>
      </c>
      <c r="E21" s="3" t="s">
        <v>18</v>
      </c>
      <c r="F21" s="3">
        <v>2</v>
      </c>
      <c r="G21" s="3">
        <v>0</v>
      </c>
      <c r="H21" s="3">
        <v>0</v>
      </c>
      <c r="I21" s="3">
        <v>0.5</v>
      </c>
      <c r="J21" s="4" t="str">
        <f>HYPERLINK("http://141.218.60.56/~jnz1568/getInfo.php?workbook=10_01.xlsx&amp;sheet=E0&amp;row=21&amp;col=10&amp;number=10547547.949&amp;sourceID=2","10547547.949")</f>
        <v>10547547.949</v>
      </c>
      <c r="K21" s="4" t="str">
        <f>HYPERLINK("http://141.218.60.56/~jnz1568/getInfo.php?workbook=10_01.xlsx&amp;sheet=E0&amp;row=21&amp;col=11&amp;number=10548742.725&amp;sourceID=11","10548742.725")</f>
        <v>10548742.725</v>
      </c>
      <c r="L21" s="4" t="str">
        <f>HYPERLINK("http://141.218.60.56/~jnz1568/getInfo.php?workbook=10_01.xlsx&amp;sheet=E0&amp;row=21&amp;col=12&amp;number=10547554.4831&amp;sourceID=12","10547554.4831")</f>
        <v>10547554.4831</v>
      </c>
      <c r="M21" s="4" t="str">
        <f>HYPERLINK("http://141.218.60.56/~jnz1568/getInfo.php?workbook=10_01.xlsx&amp;sheet=E0&amp;row=21&amp;col=13&amp;number=10549031.6962&amp;sourceID=30","10549031.6962")</f>
        <v>10549031.6962</v>
      </c>
      <c r="N21" s="4" t="str">
        <f>HYPERLINK("http://141.218.60.56/~jnz1568/getInfo.php?workbook=10_01.xlsx&amp;sheet=E0&amp;row=21&amp;col=14&amp;number=10547847.6306&amp;sourceID=30","10547847.6306")</f>
        <v>10547847.6306</v>
      </c>
      <c r="O21" s="4" t="str">
        <f>HYPERLINK("http://141.218.60.56/~jnz1568/getInfo.php?workbook=10_01.xlsx&amp;sheet=E0&amp;row=21&amp;col=15&amp;number=&amp;sourceID=13","")</f>
        <v/>
      </c>
    </row>
    <row r="22" spans="1:15">
      <c r="A22" s="3">
        <v>10</v>
      </c>
      <c r="B22" s="3">
        <v>1</v>
      </c>
      <c r="C22" s="3">
        <f/>
        <v>0</v>
      </c>
      <c r="D22" s="3" t="s">
        <v>33</v>
      </c>
      <c r="E22" s="3" t="s">
        <v>25</v>
      </c>
      <c r="F22" s="3">
        <v>2</v>
      </c>
      <c r="G22" s="3">
        <v>2</v>
      </c>
      <c r="H22" s="3">
        <v>0</v>
      </c>
      <c r="I22" s="3">
        <v>1.5</v>
      </c>
      <c r="J22" s="4" t="str">
        <f>HYPERLINK("http://141.218.60.56/~jnz1568/getInfo.php?workbook=10_01.xlsx&amp;sheet=E0&amp;row=22&amp;col=10&amp;number=10547771.966&amp;sourceID=2","10547771.966")</f>
        <v>10547771.966</v>
      </c>
      <c r="K22" s="4" t="str">
        <f>HYPERLINK("http://141.218.60.56/~jnz1568/getInfo.php?workbook=10_01.xlsx&amp;sheet=E0&amp;row=22&amp;col=11&amp;number=10548977.217&amp;sourceID=11","10548977.217")</f>
        <v>10548977.217</v>
      </c>
      <c r="L22" s="4" t="str">
        <f>HYPERLINK("http://141.218.60.56/~jnz1568/getInfo.php?workbook=10_01.xlsx&amp;sheet=E0&amp;row=22&amp;col=12&amp;number=10547778.5001&amp;sourceID=12","10547778.5001")</f>
        <v>10547778.5001</v>
      </c>
      <c r="M22" s="4" t="str">
        <f>HYPERLINK("http://141.218.60.56/~jnz1568/getInfo.php?workbook=10_01.xlsx&amp;sheet=E0&amp;row=22&amp;col=13&amp;number=10549266.5341&amp;sourceID=30","10549266.5341")</f>
        <v>10549266.5341</v>
      </c>
      <c r="N22" s="4" t="str">
        <f>HYPERLINK("http://141.218.60.56/~jnz1568/getInfo.php?workbook=10_01.xlsx&amp;sheet=E0&amp;row=22&amp;col=14&amp;number=10548071.4947&amp;sourceID=30","10548071.4947")</f>
        <v>10548071.4947</v>
      </c>
      <c r="O22" s="4" t="str">
        <f>HYPERLINK("http://141.218.60.56/~jnz1568/getInfo.php?workbook=10_01.xlsx&amp;sheet=E0&amp;row=22&amp;col=15&amp;number=&amp;sourceID=13","")</f>
        <v/>
      </c>
    </row>
    <row r="23" spans="1:15">
      <c r="A23" s="3">
        <v>10</v>
      </c>
      <c r="B23" s="3">
        <v>1</v>
      </c>
      <c r="C23" s="3">
        <f/>
        <v>0</v>
      </c>
      <c r="D23" s="3" t="s">
        <v>31</v>
      </c>
      <c r="E23" s="3" t="s">
        <v>20</v>
      </c>
      <c r="F23" s="3">
        <v>2</v>
      </c>
      <c r="G23" s="3">
        <v>1</v>
      </c>
      <c r="H23" s="3">
        <v>1</v>
      </c>
      <c r="I23" s="3">
        <v>1.5</v>
      </c>
      <c r="J23" s="4" t="str">
        <f>HYPERLINK("http://141.218.60.56/~jnz1568/getInfo.php?workbook=10_01.xlsx&amp;sheet=E0&amp;row=23&amp;col=10&amp;number=10547772.373&amp;sourceID=2","10547772.373")</f>
        <v>10547772.373</v>
      </c>
      <c r="K23" s="4" t="str">
        <f>HYPERLINK("http://141.218.60.56/~jnz1568/getInfo.php?workbook=10_01.xlsx&amp;sheet=E0&amp;row=23&amp;col=11&amp;number=10548977.217&amp;sourceID=11","10548977.217")</f>
        <v>10548977.217</v>
      </c>
      <c r="L23" s="4" t="str">
        <f>HYPERLINK("http://141.218.60.56/~jnz1568/getInfo.php?workbook=10_01.xlsx&amp;sheet=E0&amp;row=23&amp;col=12&amp;number=10547778.9071&amp;sourceID=12","10547778.9071")</f>
        <v>10547778.9071</v>
      </c>
      <c r="M23" s="4" t="str">
        <f>HYPERLINK("http://141.218.60.56/~jnz1568/getInfo.php?workbook=10_01.xlsx&amp;sheet=E0&amp;row=23&amp;col=13&amp;number=10549266.5341&amp;sourceID=30","10549266.5341")</f>
        <v>10549266.5341</v>
      </c>
      <c r="N23" s="4" t="str">
        <f>HYPERLINK("http://141.218.60.56/~jnz1568/getInfo.php?workbook=10_01.xlsx&amp;sheet=E0&amp;row=23&amp;col=14&amp;number=10548071.4947&amp;sourceID=30","10548071.4947")</f>
        <v>10548071.4947</v>
      </c>
      <c r="O23" s="4" t="str">
        <f>HYPERLINK("http://141.218.60.56/~jnz1568/getInfo.php?workbook=10_01.xlsx&amp;sheet=E0&amp;row=23&amp;col=15&amp;number=&amp;sourceID=13","")</f>
        <v/>
      </c>
    </row>
    <row r="24" spans="1:15">
      <c r="A24" s="3">
        <v>10</v>
      </c>
      <c r="B24" s="3">
        <v>1</v>
      </c>
      <c r="C24" s="3">
        <f/>
        <v>0</v>
      </c>
      <c r="D24" s="3" t="s">
        <v>34</v>
      </c>
      <c r="E24" s="3" t="s">
        <v>30</v>
      </c>
      <c r="F24" s="3">
        <v>2</v>
      </c>
      <c r="G24" s="3">
        <v>3</v>
      </c>
      <c r="H24" s="3">
        <v>1</v>
      </c>
      <c r="I24" s="3">
        <v>2.5</v>
      </c>
      <c r="J24" s="4" t="str">
        <f>HYPERLINK("http://141.218.60.56/~jnz1568/getInfo.php?workbook=10_01.xlsx&amp;sheet=E0&amp;row=24&amp;col=10&amp;number=10547850&amp;sourceID=2","10547850")</f>
        <v>10547850</v>
      </c>
      <c r="K24" s="4" t="str">
        <f>HYPERLINK("http://141.218.60.56/~jnz1568/getInfo.php?workbook=10_01.xlsx&amp;sheet=E0&amp;row=24&amp;col=11&amp;number=10549055.212&amp;sourceID=11","10549055.212")</f>
        <v>10549055.212</v>
      </c>
      <c r="L24" s="4" t="str">
        <f>HYPERLINK("http://141.218.60.56/~jnz1568/getInfo.php?workbook=10_01.xlsx&amp;sheet=E0&amp;row=24&amp;col=12&amp;number=10547856.5341&amp;sourceID=12","10547856.5341")</f>
        <v>10547856.5341</v>
      </c>
      <c r="M24" s="4" t="str">
        <f>HYPERLINK("http://141.218.60.56/~jnz1568/getInfo.php?workbook=10_01.xlsx&amp;sheet=E0&amp;row=24&amp;col=13&amp;number=10549345.545&amp;sourceID=30","10549345.545")</f>
        <v>10549345.545</v>
      </c>
      <c r="N24" s="4" t="str">
        <f>HYPERLINK("http://141.218.60.56/~jnz1568/getInfo.php?workbook=10_01.xlsx&amp;sheet=E0&amp;row=24&amp;col=14&amp;number=10548149.4082&amp;sourceID=30","10548149.4082")</f>
        <v>10548149.4082</v>
      </c>
      <c r="O24" s="4" t="str">
        <f>HYPERLINK("http://141.218.60.56/~jnz1568/getInfo.php?workbook=10_01.xlsx&amp;sheet=E0&amp;row=24&amp;col=15&amp;number=&amp;sourceID=13","")</f>
        <v/>
      </c>
    </row>
    <row r="25" spans="1:15">
      <c r="A25" s="3">
        <v>10</v>
      </c>
      <c r="B25" s="3">
        <v>1</v>
      </c>
      <c r="C25" s="3">
        <f/>
        <v>0</v>
      </c>
      <c r="D25" s="3" t="s">
        <v>33</v>
      </c>
      <c r="E25" s="3" t="s">
        <v>25</v>
      </c>
      <c r="F25" s="3">
        <v>2</v>
      </c>
      <c r="G25" s="3">
        <v>2</v>
      </c>
      <c r="H25" s="3">
        <v>0</v>
      </c>
      <c r="I25" s="3">
        <v>2.5</v>
      </c>
      <c r="J25" s="4" t="str">
        <f>HYPERLINK("http://141.218.60.56/~jnz1568/getInfo.php?workbook=10_01.xlsx&amp;sheet=E0&amp;row=25&amp;col=10&amp;number=10547850.142&amp;sourceID=2","10547850.142")</f>
        <v>10547850.142</v>
      </c>
      <c r="K25" s="4" t="str">
        <f>HYPERLINK("http://141.218.60.56/~jnz1568/getInfo.php?workbook=10_01.xlsx&amp;sheet=E0&amp;row=25&amp;col=11&amp;number=10549055.212&amp;sourceID=11","10549055.212")</f>
        <v>10549055.212</v>
      </c>
      <c r="L25" s="4" t="str">
        <f>HYPERLINK("http://141.218.60.56/~jnz1568/getInfo.php?workbook=10_01.xlsx&amp;sheet=E0&amp;row=25&amp;col=12&amp;number=10547856.6761&amp;sourceID=12","10547856.6761")</f>
        <v>10547856.6761</v>
      </c>
      <c r="M25" s="4" t="str">
        <f>HYPERLINK("http://141.218.60.56/~jnz1568/getInfo.php?workbook=10_01.xlsx&amp;sheet=E0&amp;row=25&amp;col=13&amp;number=10549345.545&amp;sourceID=30","10549345.545")</f>
        <v>10549345.545</v>
      </c>
      <c r="N25" s="4" t="str">
        <f>HYPERLINK("http://141.218.60.56/~jnz1568/getInfo.php?workbook=10_01.xlsx&amp;sheet=E0&amp;row=25&amp;col=14&amp;number=10548149.4082&amp;sourceID=30","10548149.4082")</f>
        <v>10548149.4082</v>
      </c>
      <c r="O25" s="4" t="str">
        <f>HYPERLINK("http://141.218.60.56/~jnz1568/getInfo.php?workbook=10_01.xlsx&amp;sheet=E0&amp;row=25&amp;col=15&amp;number=&amp;sourceID=13","")</f>
        <v/>
      </c>
    </row>
    <row r="26" spans="1:15">
      <c r="A26" s="3">
        <v>10</v>
      </c>
      <c r="B26" s="3">
        <v>1</v>
      </c>
      <c r="C26" s="3">
        <f/>
        <v>0</v>
      </c>
      <c r="D26" s="3" t="s">
        <v>35</v>
      </c>
      <c r="E26" s="3" t="s">
        <v>36</v>
      </c>
      <c r="F26" s="3">
        <v>2</v>
      </c>
      <c r="G26" s="3">
        <v>4</v>
      </c>
      <c r="H26" s="3">
        <v>0</v>
      </c>
      <c r="I26" s="3">
        <v>3.5</v>
      </c>
      <c r="J26" s="4" t="str">
        <f>HYPERLINK("http://141.218.60.56/~jnz1568/getInfo.php?workbook=10_01.xlsx&amp;sheet=E0&amp;row=26&amp;col=10&amp;number=10547888.9916&amp;sourceID=2","10547888.9916")</f>
        <v>10547888.9916</v>
      </c>
      <c r="K26" s="4" t="str">
        <f>HYPERLINK("http://141.218.60.56/~jnz1568/getInfo.php?workbook=10_01.xlsx&amp;sheet=E0&amp;row=26&amp;col=11&amp;number=10549094.188&amp;sourceID=11","10549094.188")</f>
        <v>10549094.188</v>
      </c>
      <c r="L26" s="4" t="str">
        <f>HYPERLINK("http://141.218.60.56/~jnz1568/getInfo.php?workbook=10_01.xlsx&amp;sheet=E0&amp;row=26&amp;col=12&amp;number=10547895.5257&amp;sourceID=12","10547895.5257")</f>
        <v>10547895.5257</v>
      </c>
      <c r="M26" s="4" t="str">
        <f>HYPERLINK("http://141.218.60.56/~jnz1568/getInfo.php?workbook=10_01.xlsx&amp;sheet=E0&amp;row=26&amp;col=13&amp;number=10549383.953&amp;sourceID=30","10549383.953")</f>
        <v>10549383.953</v>
      </c>
      <c r="N26" s="4" t="str">
        <f>HYPERLINK("http://141.218.60.56/~jnz1568/getInfo.php?workbook=10_01.xlsx&amp;sheet=E0&amp;row=26&amp;col=14&amp;number=10548187.8163&amp;sourceID=30","10548187.8163")</f>
        <v>10548187.8163</v>
      </c>
      <c r="O26" s="4" t="str">
        <f>HYPERLINK("http://141.218.60.56/~jnz1568/getInfo.php?workbook=10_01.xlsx&amp;sheet=E0&amp;row=26&amp;col=15&amp;number=&amp;sourceID=13","")</f>
        <v/>
      </c>
    </row>
    <row r="27" spans="1:15">
      <c r="A27" s="3">
        <v>10</v>
      </c>
      <c r="B27" s="3">
        <v>1</v>
      </c>
      <c r="C27" s="3">
        <f/>
        <v>0</v>
      </c>
      <c r="D27" s="3" t="s">
        <v>34</v>
      </c>
      <c r="E27" s="3" t="s">
        <v>30</v>
      </c>
      <c r="F27" s="3">
        <v>2</v>
      </c>
      <c r="G27" s="3">
        <v>3</v>
      </c>
      <c r="H27" s="3">
        <v>1</v>
      </c>
      <c r="I27" s="3">
        <v>3.5</v>
      </c>
      <c r="J27" s="4" t="str">
        <f>HYPERLINK("http://141.218.60.56/~jnz1568/getInfo.php?workbook=10_01.xlsx&amp;sheet=E0&amp;row=27&amp;col=10&amp;number=10547889.066&amp;sourceID=2","10547889.066")</f>
        <v>10547889.066</v>
      </c>
      <c r="K27" s="4" t="str">
        <f>HYPERLINK("http://141.218.60.56/~jnz1568/getInfo.php?workbook=10_01.xlsx&amp;sheet=E0&amp;row=27&amp;col=11&amp;number=10549094.188&amp;sourceID=11","10549094.188")</f>
        <v>10549094.188</v>
      </c>
      <c r="L27" s="4" t="str">
        <f>HYPERLINK("http://141.218.60.56/~jnz1568/getInfo.php?workbook=10_01.xlsx&amp;sheet=E0&amp;row=27&amp;col=12&amp;number=10547895.6001&amp;sourceID=12","10547895.6001")</f>
        <v>10547895.6001</v>
      </c>
      <c r="M27" s="4" t="str">
        <f>HYPERLINK("http://141.218.60.56/~jnz1568/getInfo.php?workbook=10_01.xlsx&amp;sheet=E0&amp;row=27&amp;col=13&amp;number=10549383.953&amp;sourceID=30","10549383.953")</f>
        <v>10549383.953</v>
      </c>
      <c r="N27" s="4" t="str">
        <f>HYPERLINK("http://141.218.60.56/~jnz1568/getInfo.php?workbook=10_01.xlsx&amp;sheet=E0&amp;row=27&amp;col=14&amp;number=10548187.8163&amp;sourceID=30","10548187.8163")</f>
        <v>10548187.8163</v>
      </c>
      <c r="O27" s="4" t="str">
        <f>HYPERLINK("http://141.218.60.56/~jnz1568/getInfo.php?workbook=10_01.xlsx&amp;sheet=E0&amp;row=27&amp;col=15&amp;number=&amp;sourceID=13","")</f>
        <v/>
      </c>
    </row>
    <row r="28" spans="1:15">
      <c r="A28" s="3">
        <v>10</v>
      </c>
      <c r="B28" s="3">
        <v>1</v>
      </c>
      <c r="C28" s="3">
        <f/>
        <v>0</v>
      </c>
      <c r="D28" s="3" t="s">
        <v>35</v>
      </c>
      <c r="E28" s="3" t="s">
        <v>36</v>
      </c>
      <c r="F28" s="3">
        <v>2</v>
      </c>
      <c r="G28" s="3">
        <v>4</v>
      </c>
      <c r="H28" s="3">
        <v>0</v>
      </c>
      <c r="I28" s="3">
        <v>4.5</v>
      </c>
      <c r="J28" s="4" t="str">
        <f>HYPERLINK("http://141.218.60.56/~jnz1568/getInfo.php?workbook=10_01.xlsx&amp;sheet=E0&amp;row=28&amp;col=10&amp;number=10547912.4255&amp;sourceID=2","10547912.4255")</f>
        <v>10547912.4255</v>
      </c>
      <c r="K28" s="4" t="str">
        <f>HYPERLINK("http://141.218.60.56/~jnz1568/getInfo.php?workbook=10_01.xlsx&amp;sheet=E0&amp;row=28&amp;col=11&amp;number=10549117.568&amp;sourceID=11","10549117.568")</f>
        <v>10549117.568</v>
      </c>
      <c r="L28" s="4" t="str">
        <f>HYPERLINK("http://141.218.60.56/~jnz1568/getInfo.php?workbook=10_01.xlsx&amp;sheet=E0&amp;row=28&amp;col=12&amp;number=10547919.0196&amp;sourceID=12","10547919.0196")</f>
        <v>10547919.0196</v>
      </c>
      <c r="M28" s="4" t="str">
        <f>HYPERLINK("http://141.218.60.56/~jnz1568/getInfo.php?workbook=10_01.xlsx&amp;sheet=E0&amp;row=28&amp;col=13&amp;number=10549406.9979&amp;sourceID=30","10549406.9979")</f>
        <v>10549406.9979</v>
      </c>
      <c r="N28" s="4" t="str">
        <f>HYPERLINK("http://141.218.60.56/~jnz1568/getInfo.php?workbook=10_01.xlsx&amp;sheet=E0&amp;row=28&amp;col=14&amp;number=10548211.9585&amp;sourceID=30","10548211.9585")</f>
        <v>10548211.9585</v>
      </c>
      <c r="O28" s="4" t="str">
        <f>HYPERLINK("http://141.218.60.56/~jnz1568/getInfo.php?workbook=10_01.xlsx&amp;sheet=E0&amp;row=28&amp;col=15&amp;number=&amp;sourceID=13","")</f>
        <v/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84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5.7109375" customWidth="1"/>
    <col min="6" max="6" width="11.7109375" customWidth="1"/>
    <col min="7" max="7" width="15.7109375" customWidth="1"/>
    <col min="8" max="8" width="14.7109375" customWidth="1"/>
    <col min="9" max="9" width="11.7109375" customWidth="1"/>
    <col min="10" max="10" width="11.7109375" customWidth="1"/>
    <col min="11" max="11" width="11.7109375" customWidth="1"/>
    <col min="12" max="12" width="11.7109375" customWidth="1"/>
    <col min="13" max="13" width="11.7109375" customWidth="1"/>
    <col min="14" max="14" width="14.7109375" customWidth="1"/>
    <col min="15" max="15" width="14.7109375" customWidth="1"/>
    <col min="16" max="16" width="11.7109375" customWidth="1"/>
    <col min="17" max="17" width="11.7109375" customWidth="1"/>
    <col min="18" max="18" width="11.7109375" customWidth="1"/>
    <col min="19" max="19" width="11.7109375" customWidth="1"/>
    <col min="20" max="20" width="11.7109375" customWidth="1"/>
    <col min="21" max="21" width="18.7109375" customWidth="1"/>
    <col min="22" max="22" width="14.7109375" customWidth="1"/>
    <col min="23" max="23" width="10.7109375" customWidth="1"/>
    <col min="24" max="24" width="10.7109375" customWidth="1"/>
    <col min="25" max="25" width="10.7109375" customWidth="1"/>
    <col min="26" max="26" width="15.7109375" customWidth="1"/>
    <col min="27" max="27" width="14.7109375" customWidth="1"/>
    <col min="28" max="28" width="10.7109375" customWidth="1"/>
    <col min="29" max="29" width="10.7109375" customWidth="1"/>
    <col min="30" max="30" width="10.7109375" customWidth="1"/>
    <col min="31" max="31" width="10.7109375" customWidth="1"/>
    <col min="32" max="32" width="14.7109375" customWidth="1"/>
  </cols>
  <sheetData>
    <row r="1" spans="1:32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2"/>
      <c r="B2" s="2"/>
      <c r="C2" s="2"/>
      <c r="D2" s="2"/>
      <c r="E2" s="2"/>
      <c r="F2" s="2" t="s">
        <v>38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2" t="s">
        <v>3</v>
      </c>
      <c r="U2" s="2" t="s">
        <v>4</v>
      </c>
      <c r="V2" s="2" t="s">
        <v>4</v>
      </c>
      <c r="W2" s="2" t="s">
        <v>4</v>
      </c>
      <c r="X2" s="2" t="s">
        <v>4</v>
      </c>
      <c r="Y2" s="2" t="s">
        <v>4</v>
      </c>
      <c r="Z2" s="2" t="s">
        <v>5</v>
      </c>
      <c r="AA2" s="2" t="s">
        <v>5</v>
      </c>
      <c r="AB2" s="2" t="s">
        <v>5</v>
      </c>
      <c r="AC2" s="2" t="s">
        <v>5</v>
      </c>
      <c r="AD2" s="2" t="s">
        <v>5</v>
      </c>
      <c r="AE2" s="2" t="s">
        <v>5</v>
      </c>
      <c r="AF2" s="2" t="s">
        <v>39</v>
      </c>
    </row>
    <row r="3" spans="1:32">
      <c r="A3" s="2" t="s">
        <v>6</v>
      </c>
      <c r="B3" s="2" t="s">
        <v>7</v>
      </c>
      <c r="C3" s="2" t="s">
        <v>40</v>
      </c>
      <c r="D3" s="2" t="s">
        <v>8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  <c r="L3" s="2" t="s">
        <v>48</v>
      </c>
      <c r="M3" s="2" t="s">
        <v>49</v>
      </c>
      <c r="N3" s="2" t="s">
        <v>43</v>
      </c>
      <c r="O3" s="2" t="s">
        <v>44</v>
      </c>
      <c r="P3" s="2" t="s">
        <v>45</v>
      </c>
      <c r="Q3" s="2" t="s">
        <v>46</v>
      </c>
      <c r="R3" s="2" t="s">
        <v>47</v>
      </c>
      <c r="S3" s="2" t="s">
        <v>48</v>
      </c>
      <c r="T3" s="2" t="s">
        <v>49</v>
      </c>
      <c r="U3" s="2" t="s">
        <v>43</v>
      </c>
      <c r="V3" s="2" t="s">
        <v>44</v>
      </c>
      <c r="W3" s="2" t="s">
        <v>45</v>
      </c>
      <c r="X3" s="2" t="s">
        <v>47</v>
      </c>
      <c r="Y3" s="2" t="s">
        <v>48</v>
      </c>
      <c r="Z3" s="2" t="s">
        <v>43</v>
      </c>
      <c r="AA3" s="2" t="s">
        <v>44</v>
      </c>
      <c r="AB3" s="2" t="s">
        <v>45</v>
      </c>
      <c r="AC3" s="2" t="s">
        <v>46</v>
      </c>
      <c r="AD3" s="2" t="s">
        <v>47</v>
      </c>
      <c r="AE3" s="2" t="s">
        <v>48</v>
      </c>
      <c r="AF3" s="2" t="s">
        <v>43</v>
      </c>
    </row>
    <row r="4" spans="1:32">
      <c r="A4" s="3">
        <v>10</v>
      </c>
      <c r="B4" s="3">
        <v>1</v>
      </c>
      <c r="C4" s="3">
        <v>2</v>
      </c>
      <c r="D4" s="3">
        <v>1</v>
      </c>
      <c r="E4" s="3">
        <f>((1/(INDEX(E0!J$4:J$28,C4,1)-INDEX(E0!J$4:J$28,D4,1))))*100000000</f>
        <v>0</v>
      </c>
      <c r="F4" s="4" t="str">
        <f>HYPERLINK("http://141.218.60.56/~jnz1568/getInfo.php?workbook=10_01.xlsx&amp;sheet=A0&amp;row=4&amp;col=6&amp;number=&amp;sourceID=18","")</f>
        <v/>
      </c>
      <c r="G4" s="4" t="str">
        <f>HYPERLINK("http://141.218.60.56/~jnz1568/getInfo.php?workbook=10_01.xlsx&amp;sheet=A0&amp;row=4&amp;col=7&amp;number==SUM(H4:M4)&amp;sourceID=11","=SUM(H4:M4)")</f>
        <v>=SUM(H4:M4)</v>
      </c>
      <c r="H4" s="4" t="str">
        <f>HYPERLINK("http://141.218.60.56/~jnz1568/getInfo.php?workbook=10_01.xlsx&amp;sheet=A0&amp;row=4&amp;col=8&amp;number=6272100000000&amp;sourceID=11","6272100000000")</f>
        <v>6272100000000</v>
      </c>
      <c r="I4" s="4" t="str">
        <f>HYPERLINK("http://141.218.60.56/~jnz1568/getInfo.php?workbook=10_01.xlsx&amp;sheet=A0&amp;row=4&amp;col=9&amp;number=&amp;sourceID=11","")</f>
        <v/>
      </c>
      <c r="J4" s="4" t="str">
        <f>HYPERLINK("http://141.218.60.56/~jnz1568/getInfo.php?workbook=10_01.xlsx&amp;sheet=A0&amp;row=4&amp;col=10&amp;number=&amp;sourceID=11","")</f>
        <v/>
      </c>
      <c r="K4" s="4" t="str">
        <f>HYPERLINK("http://141.218.60.56/~jnz1568/getInfo.php?workbook=10_01.xlsx&amp;sheet=A0&amp;row=4&amp;col=11&amp;number=&amp;sourceID=11","")</f>
        <v/>
      </c>
      <c r="L4" s="4" t="str">
        <f>HYPERLINK("http://141.218.60.56/~jnz1568/getInfo.php?workbook=10_01.xlsx&amp;sheet=A0&amp;row=4&amp;col=12&amp;number=&amp;sourceID=11","")</f>
        <v/>
      </c>
      <c r="M4" s="4" t="str">
        <f>HYPERLINK("http://141.218.60.56/~jnz1568/getInfo.php?workbook=10_01.xlsx&amp;sheet=A0&amp;row=4&amp;col=13&amp;number=&amp;sourceID=11","")</f>
        <v/>
      </c>
      <c r="N4" s="4" t="str">
        <f>HYPERLINK("http://141.218.60.56/~jnz1568/getInfo.php?workbook=10_01.xlsx&amp;sheet=A0&amp;row=4&amp;col=14&amp;number=6272200000000&amp;sourceID=12","6272200000000")</f>
        <v>6272200000000</v>
      </c>
      <c r="O4" s="4" t="str">
        <f>HYPERLINK("http://141.218.60.56/~jnz1568/getInfo.php?workbook=10_01.xlsx&amp;sheet=A0&amp;row=4&amp;col=15&amp;number=6272200000000&amp;sourceID=12","6272200000000")</f>
        <v>6272200000000</v>
      </c>
      <c r="P4" s="4" t="str">
        <f>HYPERLINK("http://141.218.60.56/~jnz1568/getInfo.php?workbook=10_01.xlsx&amp;sheet=A0&amp;row=4&amp;col=16&amp;number=&amp;sourceID=12","")</f>
        <v/>
      </c>
      <c r="Q4" s="4" t="str">
        <f>HYPERLINK("http://141.218.60.56/~jnz1568/getInfo.php?workbook=10_01.xlsx&amp;sheet=A0&amp;row=4&amp;col=17&amp;number=&amp;sourceID=12","")</f>
        <v/>
      </c>
      <c r="R4" s="4" t="str">
        <f>HYPERLINK("http://141.218.60.56/~jnz1568/getInfo.php?workbook=10_01.xlsx&amp;sheet=A0&amp;row=4&amp;col=18&amp;number=&amp;sourceID=12","")</f>
        <v/>
      </c>
      <c r="S4" s="4" t="str">
        <f>HYPERLINK("http://141.218.60.56/~jnz1568/getInfo.php?workbook=10_01.xlsx&amp;sheet=A0&amp;row=4&amp;col=19&amp;number=&amp;sourceID=12","")</f>
        <v/>
      </c>
      <c r="T4" s="4" t="str">
        <f>HYPERLINK("http://141.218.60.56/~jnz1568/getInfo.php?workbook=10_01.xlsx&amp;sheet=A0&amp;row=4&amp;col=20&amp;number=&amp;sourceID=12","")</f>
        <v/>
      </c>
      <c r="U4" s="4" t="str">
        <f>HYPERLINK("http://141.218.60.56/~jnz1568/getInfo.php?workbook=10_01.xlsx&amp;sheet=A0&amp;row=4&amp;col=21&amp;number=6272000000000&amp;sourceID=30","6272000000000")</f>
        <v>6272000000000</v>
      </c>
      <c r="V4" s="4" t="str">
        <f>HYPERLINK("http://141.218.60.56/~jnz1568/getInfo.php?workbook=10_01.xlsx&amp;sheet=A0&amp;row=4&amp;col=22&amp;number=6272000000000&amp;sourceID=30","6272000000000")</f>
        <v>6272000000000</v>
      </c>
      <c r="W4" s="4" t="str">
        <f>HYPERLINK("http://141.218.60.56/~jnz1568/getInfo.php?workbook=10_01.xlsx&amp;sheet=A0&amp;row=4&amp;col=23&amp;number=&amp;sourceID=30","")</f>
        <v/>
      </c>
      <c r="X4" s="4" t="str">
        <f>HYPERLINK("http://141.218.60.56/~jnz1568/getInfo.php?workbook=10_01.xlsx&amp;sheet=A0&amp;row=4&amp;col=24&amp;number=&amp;sourceID=30","")</f>
        <v/>
      </c>
      <c r="Y4" s="4" t="str">
        <f>HYPERLINK("http://141.218.60.56/~jnz1568/getInfo.php?workbook=10_01.xlsx&amp;sheet=A0&amp;row=4&amp;col=25&amp;number=&amp;sourceID=30","")</f>
        <v/>
      </c>
      <c r="Z4" s="4" t="str">
        <f>HYPERLINK("http://141.218.60.56/~jnz1568/getInfo.php?workbook=10_01.xlsx&amp;sheet=A0&amp;row=4&amp;col=26&amp;number==SUM(AA4:AE4)&amp;sourceID=13","=SUM(AA4:AE4)")</f>
        <v>=SUM(AA4:AE4)</v>
      </c>
      <c r="AA4" s="4" t="str">
        <f>HYPERLINK("http://141.218.60.56/~jnz1568/getInfo.php?workbook=10_01.xlsx&amp;sheet=A0&amp;row=4&amp;col=27&amp;number=6260000000000&amp;sourceID=13","6260000000000")</f>
        <v>6260000000000</v>
      </c>
      <c r="AB4" s="4" t="str">
        <f>HYPERLINK("http://141.218.60.56/~jnz1568/getInfo.php?workbook=10_01.xlsx&amp;sheet=A0&amp;row=4&amp;col=28&amp;number=&amp;sourceID=13","")</f>
        <v/>
      </c>
      <c r="AC4" s="4" t="str">
        <f>HYPERLINK("http://141.218.60.56/~jnz1568/getInfo.php?workbook=10_01.xlsx&amp;sheet=A0&amp;row=4&amp;col=29&amp;number=&amp;sourceID=13","")</f>
        <v/>
      </c>
      <c r="AD4" s="4" t="str">
        <f>HYPERLINK("http://141.218.60.56/~jnz1568/getInfo.php?workbook=10_01.xlsx&amp;sheet=A0&amp;row=4&amp;col=30&amp;number=&amp;sourceID=13","")</f>
        <v/>
      </c>
      <c r="AE4" s="4" t="str">
        <f>HYPERLINK("http://141.218.60.56/~jnz1568/getInfo.php?workbook=10_01.xlsx&amp;sheet=A0&amp;row=4&amp;col=31&amp;number=&amp;sourceID=13","")</f>
        <v/>
      </c>
      <c r="AF4" s="4" t="str">
        <f>HYPERLINK("http://141.218.60.56/~jnz1568/getInfo.php?workbook=10_01.xlsx&amp;sheet=A0&amp;row=4&amp;col=32&amp;number=6272100000000&amp;sourceID=20","6272100000000")</f>
        <v>6272100000000</v>
      </c>
    </row>
    <row r="5" spans="1:32">
      <c r="A5" s="3">
        <v>10</v>
      </c>
      <c r="B5" s="3">
        <v>1</v>
      </c>
      <c r="C5" s="3">
        <v>3</v>
      </c>
      <c r="D5" s="3">
        <v>1</v>
      </c>
      <c r="E5" s="3">
        <f>((1/(INDEX(E0!J$4:J$28,C5,1)-INDEX(E0!J$4:J$28,D5,1))))*100000000</f>
        <v>0</v>
      </c>
      <c r="F5" s="4" t="str">
        <f>HYPERLINK("http://141.218.60.56/~jnz1568/getInfo.php?workbook=10_01.xlsx&amp;sheet=A0&amp;row=5&amp;col=6&amp;number=8201000&amp;sourceID=18","8201000")</f>
        <v>8201000</v>
      </c>
      <c r="G5" s="4" t="str">
        <f>HYPERLINK("http://141.218.60.56/~jnz1568/getInfo.php?workbook=10_01.xlsx&amp;sheet=A0&amp;row=5&amp;col=7&amp;number=&amp;sourceID=11","")</f>
        <v/>
      </c>
      <c r="H5" s="4" t="str">
        <f>HYPERLINK("http://141.218.60.56/~jnz1568/getInfo.php?workbook=10_01.xlsx&amp;sheet=A0&amp;row=5&amp;col=8&amp;number=&amp;sourceID=11","")</f>
        <v/>
      </c>
      <c r="I5" s="4" t="str">
        <f>HYPERLINK("http://141.218.60.56/~jnz1568/getInfo.php?workbook=10_01.xlsx&amp;sheet=A0&amp;row=5&amp;col=9&amp;number=&amp;sourceID=11","")</f>
        <v/>
      </c>
      <c r="J5" s="4" t="str">
        <f>HYPERLINK("http://141.218.60.56/~jnz1568/getInfo.php?workbook=10_01.xlsx&amp;sheet=A0&amp;row=5&amp;col=10&amp;number=&amp;sourceID=11","")</f>
        <v/>
      </c>
      <c r="K5" s="4" t="str">
        <f>HYPERLINK("http://141.218.60.56/~jnz1568/getInfo.php?workbook=10_01.xlsx&amp;sheet=A0&amp;row=5&amp;col=11&amp;number=25100&amp;sourceID=11","25100")</f>
        <v>25100</v>
      </c>
      <c r="L5" s="4" t="str">
        <f>HYPERLINK("http://141.218.60.56/~jnz1568/getInfo.php?workbook=10_01.xlsx&amp;sheet=A0&amp;row=5&amp;col=12&amp;number=&amp;sourceID=11","")</f>
        <v/>
      </c>
      <c r="M5" s="4" t="str">
        <f>HYPERLINK("http://141.218.60.56/~jnz1568/getInfo.php?workbook=10_01.xlsx&amp;sheet=A0&amp;row=5&amp;col=13&amp;number=&amp;sourceID=11","")</f>
        <v/>
      </c>
      <c r="N5" s="4" t="str">
        <f>HYPERLINK("http://141.218.60.56/~jnz1568/getInfo.php?workbook=10_01.xlsx&amp;sheet=A0&amp;row=5&amp;col=14&amp;number=&amp;sourceID=12","")</f>
        <v/>
      </c>
      <c r="O5" s="4" t="str">
        <f>HYPERLINK("http://141.218.60.56/~jnz1568/getInfo.php?workbook=10_01.xlsx&amp;sheet=A0&amp;row=5&amp;col=15&amp;number=&amp;sourceID=12","")</f>
        <v/>
      </c>
      <c r="P5" s="4" t="str">
        <f>HYPERLINK("http://141.218.60.56/~jnz1568/getInfo.php?workbook=10_01.xlsx&amp;sheet=A0&amp;row=5&amp;col=16&amp;number=&amp;sourceID=12","")</f>
        <v/>
      </c>
      <c r="Q5" s="4" t="str">
        <f>HYPERLINK("http://141.218.60.56/~jnz1568/getInfo.php?workbook=10_01.xlsx&amp;sheet=A0&amp;row=5&amp;col=17&amp;number=&amp;sourceID=12","")</f>
        <v/>
      </c>
      <c r="R5" s="4" t="str">
        <f>HYPERLINK("http://141.218.60.56/~jnz1568/getInfo.php?workbook=10_01.xlsx&amp;sheet=A0&amp;row=5&amp;col=18&amp;number=25100&amp;sourceID=12","25100")</f>
        <v>25100</v>
      </c>
      <c r="S5" s="4" t="str">
        <f>HYPERLINK("http://141.218.60.56/~jnz1568/getInfo.php?workbook=10_01.xlsx&amp;sheet=A0&amp;row=5&amp;col=19&amp;number=&amp;sourceID=12","")</f>
        <v/>
      </c>
      <c r="T5" s="4" t="str">
        <f>HYPERLINK("http://141.218.60.56/~jnz1568/getInfo.php?workbook=10_01.xlsx&amp;sheet=A0&amp;row=5&amp;col=20&amp;number=&amp;sourceID=12","")</f>
        <v/>
      </c>
      <c r="U5" s="4" t="str">
        <f>HYPERLINK("http://141.218.60.56/~jnz1568/getInfo.php?workbook=10_01.xlsx&amp;sheet=A0&amp;row=5&amp;col=21&amp;number=&amp;sourceID=30","")</f>
        <v/>
      </c>
      <c r="V5" s="4" t="str">
        <f>HYPERLINK("http://141.218.60.56/~jnz1568/getInfo.php?workbook=10_01.xlsx&amp;sheet=A0&amp;row=5&amp;col=22&amp;number=&amp;sourceID=30","")</f>
        <v/>
      </c>
      <c r="W5" s="4" t="str">
        <f>HYPERLINK("http://141.218.60.56/~jnz1568/getInfo.php?workbook=10_01.xlsx&amp;sheet=A0&amp;row=5&amp;col=23&amp;number=&amp;sourceID=30","")</f>
        <v/>
      </c>
      <c r="X5" s="4" t="str">
        <f>HYPERLINK("http://141.218.60.56/~jnz1568/getInfo.php?workbook=10_01.xlsx&amp;sheet=A0&amp;row=5&amp;col=24&amp;number=25100&amp;sourceID=30","25100")</f>
        <v>25100</v>
      </c>
      <c r="Y5" s="4" t="str">
        <f>HYPERLINK("http://141.218.60.56/~jnz1568/getInfo.php?workbook=10_01.xlsx&amp;sheet=A0&amp;row=5&amp;col=25&amp;number=&amp;sourceID=30","")</f>
        <v/>
      </c>
      <c r="Z5" s="4" t="str">
        <f>HYPERLINK("http://141.218.60.56/~jnz1568/getInfo.php?workbook=10_01.xlsx&amp;sheet=A0&amp;row=5&amp;col=26&amp;number==&amp;sourceID=13","=")</f>
        <v>=</v>
      </c>
      <c r="AA5" s="4" t="str">
        <f>HYPERLINK("http://141.218.60.56/~jnz1568/getInfo.php?workbook=10_01.xlsx&amp;sheet=A0&amp;row=5&amp;col=27&amp;number=&amp;sourceID=13","")</f>
        <v/>
      </c>
      <c r="AB5" s="4" t="str">
        <f>HYPERLINK("http://141.218.60.56/~jnz1568/getInfo.php?workbook=10_01.xlsx&amp;sheet=A0&amp;row=5&amp;col=28&amp;number=&amp;sourceID=13","")</f>
        <v/>
      </c>
      <c r="AC5" s="4" t="str">
        <f>HYPERLINK("http://141.218.60.56/~jnz1568/getInfo.php?workbook=10_01.xlsx&amp;sheet=A0&amp;row=5&amp;col=29&amp;number=&amp;sourceID=13","")</f>
        <v/>
      </c>
      <c r="AD5" s="4" t="str">
        <f>HYPERLINK("http://141.218.60.56/~jnz1568/getInfo.php?workbook=10_01.xlsx&amp;sheet=A0&amp;row=5&amp;col=30&amp;number=25200&amp;sourceID=13","25200")</f>
        <v>25200</v>
      </c>
      <c r="AE5" s="4" t="str">
        <f>HYPERLINK("http://141.218.60.56/~jnz1568/getInfo.php?workbook=10_01.xlsx&amp;sheet=A0&amp;row=5&amp;col=31&amp;number=&amp;sourceID=13","")</f>
        <v/>
      </c>
      <c r="AF5" s="4" t="str">
        <f>HYPERLINK("http://141.218.60.56/~jnz1568/getInfo.php?workbook=10_01.xlsx&amp;sheet=A0&amp;row=5&amp;col=32&amp;number=&amp;sourceID=20","")</f>
        <v/>
      </c>
    </row>
    <row r="6" spans="1:32">
      <c r="A6" s="3">
        <v>10</v>
      </c>
      <c r="B6" s="3">
        <v>1</v>
      </c>
      <c r="C6" s="3">
        <v>4</v>
      </c>
      <c r="D6" s="3">
        <v>1</v>
      </c>
      <c r="E6" s="3">
        <f>((1/(INDEX(E0!J$4:J$28,C6,1)-INDEX(E0!J$4:J$28,D6,1))))*100000000</f>
        <v>0</v>
      </c>
      <c r="F6" s="4" t="str">
        <f>HYPERLINK("http://141.218.60.56/~jnz1568/getInfo.php?workbook=10_01.xlsx&amp;sheet=A0&amp;row=6&amp;col=6&amp;number=&amp;sourceID=18","")</f>
        <v/>
      </c>
      <c r="G6" s="4" t="str">
        <f>HYPERLINK("http://141.218.60.56/~jnz1568/getInfo.php?workbook=10_01.xlsx&amp;sheet=A0&amp;row=6&amp;col=7&amp;number==SUM(H6:M6)&amp;sourceID=11","=SUM(H6:M6)")</f>
        <v>=SUM(H6:M6)</v>
      </c>
      <c r="H6" s="4" t="str">
        <f>HYPERLINK("http://141.218.60.56/~jnz1568/getInfo.php?workbook=10_01.xlsx&amp;sheet=A0&amp;row=6&amp;col=8&amp;number=6260400000000&amp;sourceID=11","6260400000000")</f>
        <v>6260400000000</v>
      </c>
      <c r="I6" s="4" t="str">
        <f>HYPERLINK("http://141.218.60.56/~jnz1568/getInfo.php?workbook=10_01.xlsx&amp;sheet=A0&amp;row=6&amp;col=9&amp;number=&amp;sourceID=11","")</f>
        <v/>
      </c>
      <c r="J6" s="4" t="str">
        <f>HYPERLINK("http://141.218.60.56/~jnz1568/getInfo.php?workbook=10_01.xlsx&amp;sheet=A0&amp;row=6&amp;col=10&amp;number=&amp;sourceID=11","")</f>
        <v/>
      </c>
      <c r="K6" s="4" t="str">
        <f>HYPERLINK("http://141.218.60.56/~jnz1568/getInfo.php?workbook=10_01.xlsx&amp;sheet=A0&amp;row=6&amp;col=11&amp;number=&amp;sourceID=11","")</f>
        <v/>
      </c>
      <c r="L6" s="4" t="str">
        <f>HYPERLINK("http://141.218.60.56/~jnz1568/getInfo.php?workbook=10_01.xlsx&amp;sheet=A0&amp;row=6&amp;col=12&amp;number=4693700&amp;sourceID=11","4693700")</f>
        <v>4693700</v>
      </c>
      <c r="M6" s="4" t="str">
        <f>HYPERLINK("http://141.218.60.56/~jnz1568/getInfo.php?workbook=10_01.xlsx&amp;sheet=A0&amp;row=6&amp;col=13&amp;number=&amp;sourceID=11","")</f>
        <v/>
      </c>
      <c r="N6" s="4" t="str">
        <f>HYPERLINK("http://141.218.60.56/~jnz1568/getInfo.php?workbook=10_01.xlsx&amp;sheet=A0&amp;row=6&amp;col=14&amp;number=6260600000000&amp;sourceID=12","6260600000000")</f>
        <v>6260600000000</v>
      </c>
      <c r="O6" s="4" t="str">
        <f>HYPERLINK("http://141.218.60.56/~jnz1568/getInfo.php?workbook=10_01.xlsx&amp;sheet=A0&amp;row=6&amp;col=15&amp;number=6260600000000&amp;sourceID=12","6260600000000")</f>
        <v>6260600000000</v>
      </c>
      <c r="P6" s="4" t="str">
        <f>HYPERLINK("http://141.218.60.56/~jnz1568/getInfo.php?workbook=10_01.xlsx&amp;sheet=A0&amp;row=6&amp;col=16&amp;number=&amp;sourceID=12","")</f>
        <v/>
      </c>
      <c r="Q6" s="4" t="str">
        <f>HYPERLINK("http://141.218.60.56/~jnz1568/getInfo.php?workbook=10_01.xlsx&amp;sheet=A0&amp;row=6&amp;col=17&amp;number=&amp;sourceID=12","")</f>
        <v/>
      </c>
      <c r="R6" s="4" t="str">
        <f>HYPERLINK("http://141.218.60.56/~jnz1568/getInfo.php?workbook=10_01.xlsx&amp;sheet=A0&amp;row=6&amp;col=18&amp;number=&amp;sourceID=12","")</f>
        <v/>
      </c>
      <c r="S6" s="4" t="str">
        <f>HYPERLINK("http://141.218.60.56/~jnz1568/getInfo.php?workbook=10_01.xlsx&amp;sheet=A0&amp;row=6&amp;col=19&amp;number=4693800&amp;sourceID=12","4693800")</f>
        <v>4693800</v>
      </c>
      <c r="T6" s="4" t="str">
        <f>HYPERLINK("http://141.218.60.56/~jnz1568/getInfo.php?workbook=10_01.xlsx&amp;sheet=A0&amp;row=6&amp;col=20&amp;number=&amp;sourceID=12","")</f>
        <v/>
      </c>
      <c r="U6" s="4" t="str">
        <f>HYPERLINK("http://141.218.60.56/~jnz1568/getInfo.php?workbook=10_01.xlsx&amp;sheet=A0&amp;row=6&amp;col=21&amp;number=6261004694000&amp;sourceID=30","6261004694000")</f>
        <v>6261004694000</v>
      </c>
      <c r="V6" s="4" t="str">
        <f>HYPERLINK("http://141.218.60.56/~jnz1568/getInfo.php?workbook=10_01.xlsx&amp;sheet=A0&amp;row=6&amp;col=22&amp;number=6261000000000&amp;sourceID=30","6261000000000")</f>
        <v>6261000000000</v>
      </c>
      <c r="W6" s="4" t="str">
        <f>HYPERLINK("http://141.218.60.56/~jnz1568/getInfo.php?workbook=10_01.xlsx&amp;sheet=A0&amp;row=6&amp;col=23&amp;number=&amp;sourceID=30","")</f>
        <v/>
      </c>
      <c r="X6" s="4" t="str">
        <f>HYPERLINK("http://141.218.60.56/~jnz1568/getInfo.php?workbook=10_01.xlsx&amp;sheet=A0&amp;row=6&amp;col=24&amp;number=&amp;sourceID=30","")</f>
        <v/>
      </c>
      <c r="Y6" s="4" t="str">
        <f>HYPERLINK("http://141.218.60.56/~jnz1568/getInfo.php?workbook=10_01.xlsx&amp;sheet=A0&amp;row=6&amp;col=25&amp;number=4694000&amp;sourceID=30","4694000")</f>
        <v>4694000</v>
      </c>
      <c r="Z6" s="4" t="str">
        <f>HYPERLINK("http://141.218.60.56/~jnz1568/getInfo.php?workbook=10_01.xlsx&amp;sheet=A0&amp;row=6&amp;col=26&amp;number==&amp;sourceID=13","=")</f>
        <v>=</v>
      </c>
      <c r="AA6" s="4" t="str">
        <f>HYPERLINK("http://141.218.60.56/~jnz1568/getInfo.php?workbook=10_01.xlsx&amp;sheet=A0&amp;row=6&amp;col=27&amp;number=6260000000000&amp;sourceID=13","6260000000000")</f>
        <v>6260000000000</v>
      </c>
      <c r="AB6" s="4" t="str">
        <f>HYPERLINK("http://141.218.60.56/~jnz1568/getInfo.php?workbook=10_01.xlsx&amp;sheet=A0&amp;row=6&amp;col=28&amp;number=&amp;sourceID=13","")</f>
        <v/>
      </c>
      <c r="AC6" s="4" t="str">
        <f>HYPERLINK("http://141.218.60.56/~jnz1568/getInfo.php?workbook=10_01.xlsx&amp;sheet=A0&amp;row=6&amp;col=29&amp;number=&amp;sourceID=13","")</f>
        <v/>
      </c>
      <c r="AD6" s="4" t="str">
        <f>HYPERLINK("http://141.218.60.56/~jnz1568/getInfo.php?workbook=10_01.xlsx&amp;sheet=A0&amp;row=6&amp;col=30&amp;number=&amp;sourceID=13","")</f>
        <v/>
      </c>
      <c r="AE6" s="4" t="str">
        <f>HYPERLINK("http://141.218.60.56/~jnz1568/getInfo.php?workbook=10_01.xlsx&amp;sheet=A0&amp;row=6&amp;col=31&amp;number=&amp;sourceID=13","")</f>
        <v/>
      </c>
      <c r="AF6" s="4" t="str">
        <f>HYPERLINK("http://141.218.60.56/~jnz1568/getInfo.php?workbook=10_01.xlsx&amp;sheet=A0&amp;row=6&amp;col=32&amp;number=6260400000000&amp;sourceID=20","6260400000000")</f>
        <v>6260400000000</v>
      </c>
    </row>
    <row r="7" spans="1:32">
      <c r="A7" s="3">
        <v>10</v>
      </c>
      <c r="B7" s="3">
        <v>1</v>
      </c>
      <c r="C7" s="3">
        <v>4</v>
      </c>
      <c r="D7" s="3">
        <v>2</v>
      </c>
      <c r="E7" s="3">
        <f>((1/(INDEX(E0!J$4:J$28,C7,1)-INDEX(E0!J$4:J$28,D7,1))))*100000000</f>
        <v>0</v>
      </c>
      <c r="F7" s="4" t="str">
        <f>HYPERLINK("http://141.218.60.56/~jnz1568/getInfo.php?workbook=10_01.xlsx&amp;sheet=A0&amp;row=7&amp;col=6&amp;number=&amp;sourceID=18","")</f>
        <v/>
      </c>
      <c r="G7" s="4" t="str">
        <f>HYPERLINK("http://141.218.60.56/~jnz1568/getInfo.php?workbook=10_01.xlsx&amp;sheet=A0&amp;row=7&amp;col=7&amp;number==&amp;sourceID=11","=")</f>
        <v>=</v>
      </c>
      <c r="H7" s="4" t="str">
        <f>HYPERLINK("http://141.218.60.56/~jnz1568/getInfo.php?workbook=10_01.xlsx&amp;sheet=A0&amp;row=7&amp;col=8&amp;number=&amp;sourceID=11","")</f>
        <v/>
      </c>
      <c r="I7" s="4" t="str">
        <f>HYPERLINK("http://141.218.60.56/~jnz1568/getInfo.php?workbook=10_01.xlsx&amp;sheet=A0&amp;row=7&amp;col=9&amp;number=1.3246e-06&amp;sourceID=11","1.3246e-06")</f>
        <v>1.3246e-06</v>
      </c>
      <c r="J7" s="4" t="str">
        <f>HYPERLINK("http://141.218.60.56/~jnz1568/getInfo.php?workbook=10_01.xlsx&amp;sheet=A0&amp;row=7&amp;col=10&amp;number=&amp;sourceID=11","")</f>
        <v/>
      </c>
      <c r="K7" s="4" t="str">
        <f>HYPERLINK("http://141.218.60.56/~jnz1568/getInfo.php?workbook=10_01.xlsx&amp;sheet=A0&amp;row=7&amp;col=11&amp;number=0.44213&amp;sourceID=11","0.44213")</f>
        <v>0.44213</v>
      </c>
      <c r="L7" s="4" t="str">
        <f>HYPERLINK("http://141.218.60.56/~jnz1568/getInfo.php?workbook=10_01.xlsx&amp;sheet=A0&amp;row=7&amp;col=12&amp;number=&amp;sourceID=11","")</f>
        <v/>
      </c>
      <c r="M7" s="4" t="str">
        <f>HYPERLINK("http://141.218.60.56/~jnz1568/getInfo.php?workbook=10_01.xlsx&amp;sheet=A0&amp;row=7&amp;col=13&amp;number=&amp;sourceID=11","")</f>
        <v/>
      </c>
      <c r="N7" s="4" t="str">
        <f>HYPERLINK("http://141.218.60.56/~jnz1568/getInfo.php?workbook=10_01.xlsx&amp;sheet=A0&amp;row=7&amp;col=14&amp;number=0.44214&amp;sourceID=12","0.44214")</f>
        <v>0.44214</v>
      </c>
      <c r="O7" s="4" t="str">
        <f>HYPERLINK("http://141.218.60.56/~jnz1568/getInfo.php?workbook=10_01.xlsx&amp;sheet=A0&amp;row=7&amp;col=15&amp;number=&amp;sourceID=12","")</f>
        <v/>
      </c>
      <c r="P7" s="4" t="str">
        <f>HYPERLINK("http://141.218.60.56/~jnz1568/getInfo.php?workbook=10_01.xlsx&amp;sheet=A0&amp;row=7&amp;col=16&amp;number=1.3247e-06&amp;sourceID=12","1.3247e-06")</f>
        <v>1.3247e-06</v>
      </c>
      <c r="Q7" s="4" t="str">
        <f>HYPERLINK("http://141.218.60.56/~jnz1568/getInfo.php?workbook=10_01.xlsx&amp;sheet=A0&amp;row=7&amp;col=17&amp;number=&amp;sourceID=12","")</f>
        <v/>
      </c>
      <c r="R7" s="4" t="str">
        <f>HYPERLINK("http://141.218.60.56/~jnz1568/getInfo.php?workbook=10_01.xlsx&amp;sheet=A0&amp;row=7&amp;col=18&amp;number=0.44214&amp;sourceID=12","0.44214")</f>
        <v>0.44214</v>
      </c>
      <c r="S7" s="4" t="str">
        <f>HYPERLINK("http://141.218.60.56/~jnz1568/getInfo.php?workbook=10_01.xlsx&amp;sheet=A0&amp;row=7&amp;col=19&amp;number=&amp;sourceID=12","")</f>
        <v/>
      </c>
      <c r="T7" s="4" t="str">
        <f>HYPERLINK("http://141.218.60.56/~jnz1568/getInfo.php?workbook=10_01.xlsx&amp;sheet=A0&amp;row=7&amp;col=20&amp;number=&amp;sourceID=12","")</f>
        <v/>
      </c>
      <c r="U7" s="4" t="str">
        <f>HYPERLINK("http://141.218.60.56/~jnz1568/getInfo.php?workbook=10_01.xlsx&amp;sheet=A0&amp;row=7&amp;col=21&amp;number=0.442101325&amp;sourceID=30","0.442101325")</f>
        <v>0.442101325</v>
      </c>
      <c r="V7" s="4" t="str">
        <f>HYPERLINK("http://141.218.60.56/~jnz1568/getInfo.php?workbook=10_01.xlsx&amp;sheet=A0&amp;row=7&amp;col=22&amp;number=&amp;sourceID=30","")</f>
        <v/>
      </c>
      <c r="W7" s="4" t="str">
        <f>HYPERLINK("http://141.218.60.56/~jnz1568/getInfo.php?workbook=10_01.xlsx&amp;sheet=A0&amp;row=7&amp;col=23&amp;number=1.325e-06&amp;sourceID=30","1.325e-06")</f>
        <v>1.325e-06</v>
      </c>
      <c r="X7" s="4" t="str">
        <f>HYPERLINK("http://141.218.60.56/~jnz1568/getInfo.php?workbook=10_01.xlsx&amp;sheet=A0&amp;row=7&amp;col=24&amp;number=0.4421&amp;sourceID=30","0.4421")</f>
        <v>0.4421</v>
      </c>
      <c r="Y7" s="4" t="str">
        <f>HYPERLINK("http://141.218.60.56/~jnz1568/getInfo.php?workbook=10_01.xlsx&amp;sheet=A0&amp;row=7&amp;col=25&amp;number=&amp;sourceID=30","")</f>
        <v/>
      </c>
      <c r="Z7" s="4" t="str">
        <f>HYPERLINK("http://141.218.60.56/~jnz1568/getInfo.php?workbook=10_01.xlsx&amp;sheet=A0&amp;row=7&amp;col=26&amp;number==&amp;sourceID=13","=")</f>
        <v>=</v>
      </c>
      <c r="AA7" s="4" t="str">
        <f>HYPERLINK("http://141.218.60.56/~jnz1568/getInfo.php?workbook=10_01.xlsx&amp;sheet=A0&amp;row=7&amp;col=27&amp;number=&amp;sourceID=13","")</f>
        <v/>
      </c>
      <c r="AB7" s="4" t="str">
        <f>HYPERLINK("http://141.218.60.56/~jnz1568/getInfo.php?workbook=10_01.xlsx&amp;sheet=A0&amp;row=7&amp;col=28&amp;number=1.31e-06&amp;sourceID=13","1.31e-06")</f>
        <v>1.31e-06</v>
      </c>
      <c r="AC7" s="4" t="str">
        <f>HYPERLINK("http://141.218.60.56/~jnz1568/getInfo.php?workbook=10_01.xlsx&amp;sheet=A0&amp;row=7&amp;col=29&amp;number=&amp;sourceID=13","")</f>
        <v/>
      </c>
      <c r="AD7" s="4" t="str">
        <f>HYPERLINK("http://141.218.60.56/~jnz1568/getInfo.php?workbook=10_01.xlsx&amp;sheet=A0&amp;row=7&amp;col=30&amp;number=0.44&amp;sourceID=13","0.44")</f>
        <v>0.44</v>
      </c>
      <c r="AE7" s="4" t="str">
        <f>HYPERLINK("http://141.218.60.56/~jnz1568/getInfo.php?workbook=10_01.xlsx&amp;sheet=A0&amp;row=7&amp;col=31&amp;number=&amp;sourceID=13","")</f>
        <v/>
      </c>
      <c r="AF7" s="4" t="str">
        <f>HYPERLINK("http://141.218.60.56/~jnz1568/getInfo.php?workbook=10_01.xlsx&amp;sheet=A0&amp;row=7&amp;col=32&amp;number=&amp;sourceID=20","")</f>
        <v/>
      </c>
    </row>
    <row r="8" spans="1:32">
      <c r="A8" s="3">
        <v>10</v>
      </c>
      <c r="B8" s="3">
        <v>1</v>
      </c>
      <c r="C8" s="3">
        <v>4</v>
      </c>
      <c r="D8" s="3">
        <v>3</v>
      </c>
      <c r="E8" s="3">
        <f>((1/(INDEX(E0!J$4:J$28,C8,1)-INDEX(E0!J$4:J$28,D8,1))))*100000000</f>
        <v>0</v>
      </c>
      <c r="F8" s="4" t="str">
        <f>HYPERLINK("http://141.218.60.56/~jnz1568/getInfo.php?workbook=10_01.xlsx&amp;sheet=A0&amp;row=8&amp;col=6&amp;number=&amp;sourceID=18","")</f>
        <v/>
      </c>
      <c r="G8" s="4" t="str">
        <f>HYPERLINK("http://141.218.60.56/~jnz1568/getInfo.php?workbook=10_01.xlsx&amp;sheet=A0&amp;row=8&amp;col=7&amp;number==&amp;sourceID=11","=")</f>
        <v>=</v>
      </c>
      <c r="H8" s="4" t="str">
        <f>HYPERLINK("http://141.218.60.56/~jnz1568/getInfo.php?workbook=10_01.xlsx&amp;sheet=A0&amp;row=8&amp;col=8&amp;number=8957&amp;sourceID=11","8957")</f>
        <v>8957</v>
      </c>
      <c r="I8" s="4" t="str">
        <f>HYPERLINK("http://141.218.60.56/~jnz1568/getInfo.php?workbook=10_01.xlsx&amp;sheet=A0&amp;row=8&amp;col=9&amp;number=&amp;sourceID=11","")</f>
        <v/>
      </c>
      <c r="J8" s="4" t="str">
        <f>HYPERLINK("http://141.218.60.56/~jnz1568/getInfo.php?workbook=10_01.xlsx&amp;sheet=A0&amp;row=8&amp;col=10&amp;number=&amp;sourceID=11","")</f>
        <v/>
      </c>
      <c r="K8" s="4" t="str">
        <f>HYPERLINK("http://141.218.60.56/~jnz1568/getInfo.php?workbook=10_01.xlsx&amp;sheet=A0&amp;row=8&amp;col=11&amp;number=&amp;sourceID=11","")</f>
        <v/>
      </c>
      <c r="L8" s="4" t="str">
        <f>HYPERLINK("http://141.218.60.56/~jnz1568/getInfo.php?workbook=10_01.xlsx&amp;sheet=A0&amp;row=8&amp;col=12&amp;number=1.3273e-09&amp;sourceID=11","1.3273e-09")</f>
        <v>1.3273e-09</v>
      </c>
      <c r="M8" s="4" t="str">
        <f>HYPERLINK("http://141.218.60.56/~jnz1568/getInfo.php?workbook=10_01.xlsx&amp;sheet=A0&amp;row=8&amp;col=13&amp;number=&amp;sourceID=11","")</f>
        <v/>
      </c>
      <c r="N8" s="4" t="str">
        <f>HYPERLINK("http://141.218.60.56/~jnz1568/getInfo.php?workbook=10_01.xlsx&amp;sheet=A0&amp;row=8&amp;col=14&amp;number=8957.3&amp;sourceID=12","8957.3")</f>
        <v>8957.3</v>
      </c>
      <c r="O8" s="4" t="str">
        <f>HYPERLINK("http://141.218.60.56/~jnz1568/getInfo.php?workbook=10_01.xlsx&amp;sheet=A0&amp;row=8&amp;col=15&amp;number=8957.3&amp;sourceID=12","8957.3")</f>
        <v>8957.3</v>
      </c>
      <c r="P8" s="4" t="str">
        <f>HYPERLINK("http://141.218.60.56/~jnz1568/getInfo.php?workbook=10_01.xlsx&amp;sheet=A0&amp;row=8&amp;col=16&amp;number=&amp;sourceID=12","")</f>
        <v/>
      </c>
      <c r="Q8" s="4" t="str">
        <f>HYPERLINK("http://141.218.60.56/~jnz1568/getInfo.php?workbook=10_01.xlsx&amp;sheet=A0&amp;row=8&amp;col=17&amp;number=&amp;sourceID=12","")</f>
        <v/>
      </c>
      <c r="R8" s="4" t="str">
        <f>HYPERLINK("http://141.218.60.56/~jnz1568/getInfo.php?workbook=10_01.xlsx&amp;sheet=A0&amp;row=8&amp;col=18&amp;number=&amp;sourceID=12","")</f>
        <v/>
      </c>
      <c r="S8" s="4" t="str">
        <f>HYPERLINK("http://141.218.60.56/~jnz1568/getInfo.php?workbook=10_01.xlsx&amp;sheet=A0&amp;row=8&amp;col=19&amp;number=1.3273e-09&amp;sourceID=12","1.3273e-09")</f>
        <v>1.3273e-09</v>
      </c>
      <c r="T8" s="4" t="str">
        <f>HYPERLINK("http://141.218.60.56/~jnz1568/getInfo.php?workbook=10_01.xlsx&amp;sheet=A0&amp;row=8&amp;col=20&amp;number=&amp;sourceID=12","")</f>
        <v/>
      </c>
      <c r="U8" s="4" t="str">
        <f>HYPERLINK("http://141.218.60.56/~jnz1568/getInfo.php?workbook=10_01.xlsx&amp;sheet=A0&amp;row=8&amp;col=21&amp;number=8957.0&amp;sourceID=30","8957.0")</f>
        <v>8957.0</v>
      </c>
      <c r="V8" s="4" t="str">
        <f>HYPERLINK("http://141.218.60.56/~jnz1568/getInfo.php?workbook=10_01.xlsx&amp;sheet=A0&amp;row=8&amp;col=22&amp;number=8957&amp;sourceID=30","8957")</f>
        <v>8957</v>
      </c>
      <c r="W8" s="4" t="str">
        <f>HYPERLINK("http://141.218.60.56/~jnz1568/getInfo.php?workbook=10_01.xlsx&amp;sheet=A0&amp;row=8&amp;col=23&amp;number=&amp;sourceID=30","")</f>
        <v/>
      </c>
      <c r="X8" s="4" t="str">
        <f>HYPERLINK("http://141.218.60.56/~jnz1568/getInfo.php?workbook=10_01.xlsx&amp;sheet=A0&amp;row=8&amp;col=24&amp;number=&amp;sourceID=30","")</f>
        <v/>
      </c>
      <c r="Y8" s="4" t="str">
        <f>HYPERLINK("http://141.218.60.56/~jnz1568/getInfo.php?workbook=10_01.xlsx&amp;sheet=A0&amp;row=8&amp;col=25&amp;number=1.327e-09&amp;sourceID=30","1.327e-09")</f>
        <v>1.327e-09</v>
      </c>
      <c r="Z8" s="4" t="str">
        <f>HYPERLINK("http://141.218.60.56/~jnz1568/getInfo.php?workbook=10_01.xlsx&amp;sheet=A0&amp;row=8&amp;col=26&amp;number==&amp;sourceID=13","=")</f>
        <v>=</v>
      </c>
      <c r="AA8" s="4" t="str">
        <f>HYPERLINK("http://141.218.60.56/~jnz1568/getInfo.php?workbook=10_01.xlsx&amp;sheet=A0&amp;row=8&amp;col=27&amp;number=8850&amp;sourceID=13","8850")</f>
        <v>8850</v>
      </c>
      <c r="AB8" s="4" t="str">
        <f>HYPERLINK("http://141.218.60.56/~jnz1568/getInfo.php?workbook=10_01.xlsx&amp;sheet=A0&amp;row=8&amp;col=28&amp;number=&amp;sourceID=13","")</f>
        <v/>
      </c>
      <c r="AC8" s="4" t="str">
        <f>HYPERLINK("http://141.218.60.56/~jnz1568/getInfo.php?workbook=10_01.xlsx&amp;sheet=A0&amp;row=8&amp;col=29&amp;number=&amp;sourceID=13","")</f>
        <v/>
      </c>
      <c r="AD8" s="4" t="str">
        <f>HYPERLINK("http://141.218.60.56/~jnz1568/getInfo.php?workbook=10_01.xlsx&amp;sheet=A0&amp;row=8&amp;col=30&amp;number=&amp;sourceID=13","")</f>
        <v/>
      </c>
      <c r="AE8" s="4" t="str">
        <f>HYPERLINK("http://141.218.60.56/~jnz1568/getInfo.php?workbook=10_01.xlsx&amp;sheet=A0&amp;row=8&amp;col=31&amp;number=&amp;sourceID=13","")</f>
        <v/>
      </c>
      <c r="AF8" s="4" t="str">
        <f>HYPERLINK("http://141.218.60.56/~jnz1568/getInfo.php?workbook=10_01.xlsx&amp;sheet=A0&amp;row=8&amp;col=32&amp;number=&amp;sourceID=20","")</f>
        <v/>
      </c>
    </row>
    <row r="9" spans="1:32">
      <c r="A9" s="3">
        <v>10</v>
      </c>
      <c r="B9" s="3">
        <v>1</v>
      </c>
      <c r="C9" s="3">
        <v>5</v>
      </c>
      <c r="D9" s="3">
        <v>1</v>
      </c>
      <c r="E9" s="3">
        <f>((1/(INDEX(E0!J$4:J$28,C9,1)-INDEX(E0!J$4:J$28,D9,1))))*100000000</f>
        <v>0</v>
      </c>
      <c r="F9" s="4" t="str">
        <f>HYPERLINK("http://141.218.60.56/~jnz1568/getInfo.php?workbook=10_01.xlsx&amp;sheet=A0&amp;row=9&amp;col=6&amp;number=&amp;sourceID=18","")</f>
        <v/>
      </c>
      <c r="G9" s="4" t="str">
        <f>HYPERLINK("http://141.218.60.56/~jnz1568/getInfo.php?workbook=10_01.xlsx&amp;sheet=A0&amp;row=9&amp;col=7&amp;number==&amp;sourceID=11","=")</f>
        <v>=</v>
      </c>
      <c r="H9" s="4" t="str">
        <f>HYPERLINK("http://141.218.60.56/~jnz1568/getInfo.php?workbook=10_01.xlsx&amp;sheet=A0&amp;row=9&amp;col=8&amp;number=1672000000000&amp;sourceID=11","1672000000000")</f>
        <v>1672000000000</v>
      </c>
      <c r="I9" s="4" t="str">
        <f>HYPERLINK("http://141.218.60.56/~jnz1568/getInfo.php?workbook=10_01.xlsx&amp;sheet=A0&amp;row=9&amp;col=9&amp;number=&amp;sourceID=11","")</f>
        <v/>
      </c>
      <c r="J9" s="4" t="str">
        <f>HYPERLINK("http://141.218.60.56/~jnz1568/getInfo.php?workbook=10_01.xlsx&amp;sheet=A0&amp;row=9&amp;col=10&amp;number=&amp;sourceID=11","")</f>
        <v/>
      </c>
      <c r="K9" s="4" t="str">
        <f>HYPERLINK("http://141.218.60.56/~jnz1568/getInfo.php?workbook=10_01.xlsx&amp;sheet=A0&amp;row=9&amp;col=11&amp;number=&amp;sourceID=11","")</f>
        <v/>
      </c>
      <c r="L9" s="4" t="str">
        <f>HYPERLINK("http://141.218.60.56/~jnz1568/getInfo.php?workbook=10_01.xlsx&amp;sheet=A0&amp;row=9&amp;col=12&amp;number=&amp;sourceID=11","")</f>
        <v/>
      </c>
      <c r="M9" s="4" t="str">
        <f>HYPERLINK("http://141.218.60.56/~jnz1568/getInfo.php?workbook=10_01.xlsx&amp;sheet=A0&amp;row=9&amp;col=13&amp;number=&amp;sourceID=11","")</f>
        <v/>
      </c>
      <c r="N9" s="4" t="str">
        <f>HYPERLINK("http://141.218.60.56/~jnz1568/getInfo.php?workbook=10_01.xlsx&amp;sheet=A0&amp;row=9&amp;col=14&amp;number=1672000000000&amp;sourceID=12","1672000000000")</f>
        <v>1672000000000</v>
      </c>
      <c r="O9" s="4" t="str">
        <f>HYPERLINK("http://141.218.60.56/~jnz1568/getInfo.php?workbook=10_01.xlsx&amp;sheet=A0&amp;row=9&amp;col=15&amp;number=1672000000000&amp;sourceID=12","1672000000000")</f>
        <v>1672000000000</v>
      </c>
      <c r="P9" s="4" t="str">
        <f>HYPERLINK("http://141.218.60.56/~jnz1568/getInfo.php?workbook=10_01.xlsx&amp;sheet=A0&amp;row=9&amp;col=16&amp;number=&amp;sourceID=12","")</f>
        <v/>
      </c>
      <c r="Q9" s="4" t="str">
        <f>HYPERLINK("http://141.218.60.56/~jnz1568/getInfo.php?workbook=10_01.xlsx&amp;sheet=A0&amp;row=9&amp;col=17&amp;number=&amp;sourceID=12","")</f>
        <v/>
      </c>
      <c r="R9" s="4" t="str">
        <f>HYPERLINK("http://141.218.60.56/~jnz1568/getInfo.php?workbook=10_01.xlsx&amp;sheet=A0&amp;row=9&amp;col=18&amp;number=&amp;sourceID=12","")</f>
        <v/>
      </c>
      <c r="S9" s="4" t="str">
        <f>HYPERLINK("http://141.218.60.56/~jnz1568/getInfo.php?workbook=10_01.xlsx&amp;sheet=A0&amp;row=9&amp;col=19&amp;number=&amp;sourceID=12","")</f>
        <v/>
      </c>
      <c r="T9" s="4" t="str">
        <f>HYPERLINK("http://141.218.60.56/~jnz1568/getInfo.php?workbook=10_01.xlsx&amp;sheet=A0&amp;row=9&amp;col=20&amp;number=&amp;sourceID=12","")</f>
        <v/>
      </c>
      <c r="U9" s="4" t="str">
        <f>HYPERLINK("http://141.218.60.56/~jnz1568/getInfo.php?workbook=10_01.xlsx&amp;sheet=A0&amp;row=9&amp;col=21&amp;number=1672000000000&amp;sourceID=30","1672000000000")</f>
        <v>1672000000000</v>
      </c>
      <c r="V9" s="4" t="str">
        <f>HYPERLINK("http://141.218.60.56/~jnz1568/getInfo.php?workbook=10_01.xlsx&amp;sheet=A0&amp;row=9&amp;col=22&amp;number=1672000000000&amp;sourceID=30","1672000000000")</f>
        <v>1672000000000</v>
      </c>
      <c r="W9" s="4" t="str">
        <f>HYPERLINK("http://141.218.60.56/~jnz1568/getInfo.php?workbook=10_01.xlsx&amp;sheet=A0&amp;row=9&amp;col=23&amp;number=&amp;sourceID=30","")</f>
        <v/>
      </c>
      <c r="X9" s="4" t="str">
        <f>HYPERLINK("http://141.218.60.56/~jnz1568/getInfo.php?workbook=10_01.xlsx&amp;sheet=A0&amp;row=9&amp;col=24&amp;number=&amp;sourceID=30","")</f>
        <v/>
      </c>
      <c r="Y9" s="4" t="str">
        <f>HYPERLINK("http://141.218.60.56/~jnz1568/getInfo.php?workbook=10_01.xlsx&amp;sheet=A0&amp;row=9&amp;col=25&amp;number=&amp;sourceID=30","")</f>
        <v/>
      </c>
      <c r="Z9" s="4" t="str">
        <f>HYPERLINK("http://141.218.60.56/~jnz1568/getInfo.php?workbook=10_01.xlsx&amp;sheet=A0&amp;row=9&amp;col=26&amp;number==&amp;sourceID=13","=")</f>
        <v>=</v>
      </c>
      <c r="AA9" s="4" t="str">
        <f>HYPERLINK("http://141.218.60.56/~jnz1568/getInfo.php?workbook=10_01.xlsx&amp;sheet=A0&amp;row=9&amp;col=27&amp;number=1650000000000&amp;sourceID=13","1650000000000")</f>
        <v>1650000000000</v>
      </c>
      <c r="AB9" s="4" t="str">
        <f>HYPERLINK("http://141.218.60.56/~jnz1568/getInfo.php?workbook=10_01.xlsx&amp;sheet=A0&amp;row=9&amp;col=28&amp;number=&amp;sourceID=13","")</f>
        <v/>
      </c>
      <c r="AC9" s="4" t="str">
        <f>HYPERLINK("http://141.218.60.56/~jnz1568/getInfo.php?workbook=10_01.xlsx&amp;sheet=A0&amp;row=9&amp;col=29&amp;number=&amp;sourceID=13","")</f>
        <v/>
      </c>
      <c r="AD9" s="4" t="str">
        <f>HYPERLINK("http://141.218.60.56/~jnz1568/getInfo.php?workbook=10_01.xlsx&amp;sheet=A0&amp;row=9&amp;col=30&amp;number=&amp;sourceID=13","")</f>
        <v/>
      </c>
      <c r="AE9" s="4" t="str">
        <f>HYPERLINK("http://141.218.60.56/~jnz1568/getInfo.php?workbook=10_01.xlsx&amp;sheet=A0&amp;row=9&amp;col=31&amp;number=&amp;sourceID=13","")</f>
        <v/>
      </c>
      <c r="AF9" s="4" t="str">
        <f>HYPERLINK("http://141.218.60.56/~jnz1568/getInfo.php?workbook=10_01.xlsx&amp;sheet=A0&amp;row=9&amp;col=32&amp;number=1672000000000&amp;sourceID=20","1672000000000")</f>
        <v>1672000000000</v>
      </c>
    </row>
    <row r="10" spans="1:32">
      <c r="A10" s="3">
        <v>10</v>
      </c>
      <c r="B10" s="3">
        <v>1</v>
      </c>
      <c r="C10" s="3">
        <v>5</v>
      </c>
      <c r="D10" s="3">
        <v>2</v>
      </c>
      <c r="E10" s="3">
        <f>((1/(INDEX(E0!J$4:J$28,C10,1)-INDEX(E0!J$4:J$28,D10,1))))*100000000</f>
        <v>0</v>
      </c>
      <c r="F10" s="4" t="str">
        <f>HYPERLINK("http://141.218.60.56/~jnz1568/getInfo.php?workbook=10_01.xlsx&amp;sheet=A0&amp;row=10&amp;col=6&amp;number=&amp;sourceID=18","")</f>
        <v/>
      </c>
      <c r="G10" s="4" t="str">
        <f>HYPERLINK("http://141.218.60.56/~jnz1568/getInfo.php?workbook=10_01.xlsx&amp;sheet=A0&amp;row=10&amp;col=7&amp;number==&amp;sourceID=11","=")</f>
        <v>=</v>
      </c>
      <c r="H10" s="4" t="str">
        <f>HYPERLINK("http://141.218.60.56/~jnz1568/getInfo.php?workbook=10_01.xlsx&amp;sheet=A0&amp;row=10&amp;col=8&amp;number=&amp;sourceID=11","")</f>
        <v/>
      </c>
      <c r="I10" s="4" t="str">
        <f>HYPERLINK("http://141.218.60.56/~jnz1568/getInfo.php?workbook=10_01.xlsx&amp;sheet=A0&amp;row=10&amp;col=9&amp;number=&amp;sourceID=11","")</f>
        <v/>
      </c>
      <c r="J10" s="4" t="str">
        <f>HYPERLINK("http://141.218.60.56/~jnz1568/getInfo.php?workbook=10_01.xlsx&amp;sheet=A0&amp;row=10&amp;col=10&amp;number=&amp;sourceID=11","")</f>
        <v/>
      </c>
      <c r="K10" s="4" t="str">
        <f>HYPERLINK("http://141.218.60.56/~jnz1568/getInfo.php?workbook=10_01.xlsx&amp;sheet=A0&amp;row=10&amp;col=11&amp;number=4.949&amp;sourceID=11","4.949")</f>
        <v>4.949</v>
      </c>
      <c r="L10" s="4" t="str">
        <f>HYPERLINK("http://141.218.60.56/~jnz1568/getInfo.php?workbook=10_01.xlsx&amp;sheet=A0&amp;row=10&amp;col=12&amp;number=&amp;sourceID=11","")</f>
        <v/>
      </c>
      <c r="M10" s="4" t="str">
        <f>HYPERLINK("http://141.218.60.56/~jnz1568/getInfo.php?workbook=10_01.xlsx&amp;sheet=A0&amp;row=10&amp;col=13&amp;number=&amp;sourceID=11","")</f>
        <v/>
      </c>
      <c r="N10" s="4" t="str">
        <f>HYPERLINK("http://141.218.60.56/~jnz1568/getInfo.php?workbook=10_01.xlsx&amp;sheet=A0&amp;row=10&amp;col=14&amp;number=4.9491&amp;sourceID=12","4.9491")</f>
        <v>4.9491</v>
      </c>
      <c r="O10" s="4" t="str">
        <f>HYPERLINK("http://141.218.60.56/~jnz1568/getInfo.php?workbook=10_01.xlsx&amp;sheet=A0&amp;row=10&amp;col=15&amp;number=&amp;sourceID=12","")</f>
        <v/>
      </c>
      <c r="P10" s="4" t="str">
        <f>HYPERLINK("http://141.218.60.56/~jnz1568/getInfo.php?workbook=10_01.xlsx&amp;sheet=A0&amp;row=10&amp;col=16&amp;number=&amp;sourceID=12","")</f>
        <v/>
      </c>
      <c r="Q10" s="4" t="str">
        <f>HYPERLINK("http://141.218.60.56/~jnz1568/getInfo.php?workbook=10_01.xlsx&amp;sheet=A0&amp;row=10&amp;col=17&amp;number=&amp;sourceID=12","")</f>
        <v/>
      </c>
      <c r="R10" s="4" t="str">
        <f>HYPERLINK("http://141.218.60.56/~jnz1568/getInfo.php?workbook=10_01.xlsx&amp;sheet=A0&amp;row=10&amp;col=18&amp;number=4.9491&amp;sourceID=12","4.9491")</f>
        <v>4.9491</v>
      </c>
      <c r="S10" s="4" t="str">
        <f>HYPERLINK("http://141.218.60.56/~jnz1568/getInfo.php?workbook=10_01.xlsx&amp;sheet=A0&amp;row=10&amp;col=19&amp;number=&amp;sourceID=12","")</f>
        <v/>
      </c>
      <c r="T10" s="4" t="str">
        <f>HYPERLINK("http://141.218.60.56/~jnz1568/getInfo.php?workbook=10_01.xlsx&amp;sheet=A0&amp;row=10&amp;col=20&amp;number=&amp;sourceID=12","")</f>
        <v/>
      </c>
      <c r="U10" s="4" t="str">
        <f>HYPERLINK("http://141.218.60.56/~jnz1568/getInfo.php?workbook=10_01.xlsx&amp;sheet=A0&amp;row=10&amp;col=21&amp;number=4.949&amp;sourceID=30","4.949")</f>
        <v>4.949</v>
      </c>
      <c r="V10" s="4" t="str">
        <f>HYPERLINK("http://141.218.60.56/~jnz1568/getInfo.php?workbook=10_01.xlsx&amp;sheet=A0&amp;row=10&amp;col=22&amp;number=&amp;sourceID=30","")</f>
        <v/>
      </c>
      <c r="W10" s="4" t="str">
        <f>HYPERLINK("http://141.218.60.56/~jnz1568/getInfo.php?workbook=10_01.xlsx&amp;sheet=A0&amp;row=10&amp;col=23&amp;number=&amp;sourceID=30","")</f>
        <v/>
      </c>
      <c r="X10" s="4" t="str">
        <f>HYPERLINK("http://141.218.60.56/~jnz1568/getInfo.php?workbook=10_01.xlsx&amp;sheet=A0&amp;row=10&amp;col=24&amp;number=4.949&amp;sourceID=30","4.949")</f>
        <v>4.949</v>
      </c>
      <c r="Y10" s="4" t="str">
        <f>HYPERLINK("http://141.218.60.56/~jnz1568/getInfo.php?workbook=10_01.xlsx&amp;sheet=A0&amp;row=10&amp;col=25&amp;number=&amp;sourceID=30","")</f>
        <v/>
      </c>
      <c r="Z10" s="4" t="str">
        <f>HYPERLINK("http://141.218.60.56/~jnz1568/getInfo.php?workbook=10_01.xlsx&amp;sheet=A0&amp;row=10&amp;col=26&amp;number==&amp;sourceID=13","=")</f>
        <v>=</v>
      </c>
      <c r="AA10" s="4" t="str">
        <f>HYPERLINK("http://141.218.60.56/~jnz1568/getInfo.php?workbook=10_01.xlsx&amp;sheet=A0&amp;row=10&amp;col=27&amp;number=&amp;sourceID=13","")</f>
        <v/>
      </c>
      <c r="AB10" s="4" t="str">
        <f>HYPERLINK("http://141.218.60.56/~jnz1568/getInfo.php?workbook=10_01.xlsx&amp;sheet=A0&amp;row=10&amp;col=28&amp;number=&amp;sourceID=13","")</f>
        <v/>
      </c>
      <c r="AC10" s="4" t="str">
        <f>HYPERLINK("http://141.218.60.56/~jnz1568/getInfo.php?workbook=10_01.xlsx&amp;sheet=A0&amp;row=10&amp;col=29&amp;number=&amp;sourceID=13","")</f>
        <v/>
      </c>
      <c r="AD10" s="4" t="str">
        <f>HYPERLINK("http://141.218.60.56/~jnz1568/getInfo.php?workbook=10_01.xlsx&amp;sheet=A0&amp;row=10&amp;col=30&amp;number=4.91&amp;sourceID=13","4.91")</f>
        <v>4.91</v>
      </c>
      <c r="AE10" s="4" t="str">
        <f>HYPERLINK("http://141.218.60.56/~jnz1568/getInfo.php?workbook=10_01.xlsx&amp;sheet=A0&amp;row=10&amp;col=31&amp;number=&amp;sourceID=13","")</f>
        <v/>
      </c>
      <c r="AF10" s="4" t="str">
        <f>HYPERLINK("http://141.218.60.56/~jnz1568/getInfo.php?workbook=10_01.xlsx&amp;sheet=A0&amp;row=10&amp;col=32&amp;number=4.949&amp;sourceID=20","4.949")</f>
        <v>4.949</v>
      </c>
    </row>
    <row r="11" spans="1:32">
      <c r="A11" s="3">
        <v>10</v>
      </c>
      <c r="B11" s="3">
        <v>1</v>
      </c>
      <c r="C11" s="3">
        <v>5</v>
      </c>
      <c r="D11" s="3">
        <v>3</v>
      </c>
      <c r="E11" s="3">
        <f>((1/(INDEX(E0!J$4:J$28,C11,1)-INDEX(E0!J$4:J$28,D11,1))))*100000000</f>
        <v>0</v>
      </c>
      <c r="F11" s="4" t="str">
        <f>HYPERLINK("http://141.218.60.56/~jnz1568/getInfo.php?workbook=10_01.xlsx&amp;sheet=A0&amp;row=11&amp;col=6&amp;number=&amp;sourceID=18","")</f>
        <v/>
      </c>
      <c r="G11" s="4" t="str">
        <f>HYPERLINK("http://141.218.60.56/~jnz1568/getInfo.php?workbook=10_01.xlsx&amp;sheet=A0&amp;row=11&amp;col=7&amp;number==&amp;sourceID=11","=")</f>
        <v>=</v>
      </c>
      <c r="H11" s="4" t="str">
        <f>HYPERLINK("http://141.218.60.56/~jnz1568/getInfo.php?workbook=10_01.xlsx&amp;sheet=A0&amp;row=11&amp;col=8&amp;number=225400000000&amp;sourceID=11","225400000000")</f>
        <v>225400000000</v>
      </c>
      <c r="I11" s="4" t="str">
        <f>HYPERLINK("http://141.218.60.56/~jnz1568/getInfo.php?workbook=10_01.xlsx&amp;sheet=A0&amp;row=11&amp;col=9&amp;number=&amp;sourceID=11","")</f>
        <v/>
      </c>
      <c r="J11" s="4" t="str">
        <f>HYPERLINK("http://141.218.60.56/~jnz1568/getInfo.php?workbook=10_01.xlsx&amp;sheet=A0&amp;row=11&amp;col=10&amp;number=&amp;sourceID=11","")</f>
        <v/>
      </c>
      <c r="K11" s="4" t="str">
        <f>HYPERLINK("http://141.218.60.56/~jnz1568/getInfo.php?workbook=10_01.xlsx&amp;sheet=A0&amp;row=11&amp;col=11&amp;number=&amp;sourceID=11","")</f>
        <v/>
      </c>
      <c r="L11" s="4" t="str">
        <f>HYPERLINK("http://141.218.60.56/~jnz1568/getInfo.php?workbook=10_01.xlsx&amp;sheet=A0&amp;row=11&amp;col=12&amp;number=&amp;sourceID=11","")</f>
        <v/>
      </c>
      <c r="M11" s="4" t="str">
        <f>HYPERLINK("http://141.218.60.56/~jnz1568/getInfo.php?workbook=10_01.xlsx&amp;sheet=A0&amp;row=11&amp;col=13&amp;number=&amp;sourceID=11","")</f>
        <v/>
      </c>
      <c r="N11" s="4" t="str">
        <f>HYPERLINK("http://141.218.60.56/~jnz1568/getInfo.php?workbook=10_01.xlsx&amp;sheet=A0&amp;row=11&amp;col=14&amp;number=225410000000&amp;sourceID=12","225410000000")</f>
        <v>225410000000</v>
      </c>
      <c r="O11" s="4" t="str">
        <f>HYPERLINK("http://141.218.60.56/~jnz1568/getInfo.php?workbook=10_01.xlsx&amp;sheet=A0&amp;row=11&amp;col=15&amp;number=225410000000&amp;sourceID=12","225410000000")</f>
        <v>225410000000</v>
      </c>
      <c r="P11" s="4" t="str">
        <f>HYPERLINK("http://141.218.60.56/~jnz1568/getInfo.php?workbook=10_01.xlsx&amp;sheet=A0&amp;row=11&amp;col=16&amp;number=&amp;sourceID=12","")</f>
        <v/>
      </c>
      <c r="Q11" s="4" t="str">
        <f>HYPERLINK("http://141.218.60.56/~jnz1568/getInfo.php?workbook=10_01.xlsx&amp;sheet=A0&amp;row=11&amp;col=17&amp;number=&amp;sourceID=12","")</f>
        <v/>
      </c>
      <c r="R11" s="4" t="str">
        <f>HYPERLINK("http://141.218.60.56/~jnz1568/getInfo.php?workbook=10_01.xlsx&amp;sheet=A0&amp;row=11&amp;col=18&amp;number=&amp;sourceID=12","")</f>
        <v/>
      </c>
      <c r="S11" s="4" t="str">
        <f>HYPERLINK("http://141.218.60.56/~jnz1568/getInfo.php?workbook=10_01.xlsx&amp;sheet=A0&amp;row=11&amp;col=19&amp;number=&amp;sourceID=12","")</f>
        <v/>
      </c>
      <c r="T11" s="4" t="str">
        <f>HYPERLINK("http://141.218.60.56/~jnz1568/getInfo.php?workbook=10_01.xlsx&amp;sheet=A0&amp;row=11&amp;col=20&amp;number=&amp;sourceID=12","")</f>
        <v/>
      </c>
      <c r="U11" s="4" t="str">
        <f>HYPERLINK("http://141.218.60.56/~jnz1568/getInfo.php?workbook=10_01.xlsx&amp;sheet=A0&amp;row=11&amp;col=21&amp;number=225400000000&amp;sourceID=30","225400000000")</f>
        <v>225400000000</v>
      </c>
      <c r="V11" s="4" t="str">
        <f>HYPERLINK("http://141.218.60.56/~jnz1568/getInfo.php?workbook=10_01.xlsx&amp;sheet=A0&amp;row=11&amp;col=22&amp;number=225400000000&amp;sourceID=30","225400000000")</f>
        <v>225400000000</v>
      </c>
      <c r="W11" s="4" t="str">
        <f>HYPERLINK("http://141.218.60.56/~jnz1568/getInfo.php?workbook=10_01.xlsx&amp;sheet=A0&amp;row=11&amp;col=23&amp;number=&amp;sourceID=30","")</f>
        <v/>
      </c>
      <c r="X11" s="4" t="str">
        <f>HYPERLINK("http://141.218.60.56/~jnz1568/getInfo.php?workbook=10_01.xlsx&amp;sheet=A0&amp;row=11&amp;col=24&amp;number=&amp;sourceID=30","")</f>
        <v/>
      </c>
      <c r="Y11" s="4" t="str">
        <f>HYPERLINK("http://141.218.60.56/~jnz1568/getInfo.php?workbook=10_01.xlsx&amp;sheet=A0&amp;row=11&amp;col=25&amp;number=&amp;sourceID=30","")</f>
        <v/>
      </c>
      <c r="Z11" s="4" t="str">
        <f>HYPERLINK("http://141.218.60.56/~jnz1568/getInfo.php?workbook=10_01.xlsx&amp;sheet=A0&amp;row=11&amp;col=26&amp;number==&amp;sourceID=13","=")</f>
        <v>=</v>
      </c>
      <c r="AA11" s="4" t="str">
        <f>HYPERLINK("http://141.218.60.56/~jnz1568/getInfo.php?workbook=10_01.xlsx&amp;sheet=A0&amp;row=11&amp;col=27&amp;number=225000000000&amp;sourceID=13","225000000000")</f>
        <v>225000000000</v>
      </c>
      <c r="AB11" s="4" t="str">
        <f>HYPERLINK("http://141.218.60.56/~jnz1568/getInfo.php?workbook=10_01.xlsx&amp;sheet=A0&amp;row=11&amp;col=28&amp;number=&amp;sourceID=13","")</f>
        <v/>
      </c>
      <c r="AC11" s="4" t="str">
        <f>HYPERLINK("http://141.218.60.56/~jnz1568/getInfo.php?workbook=10_01.xlsx&amp;sheet=A0&amp;row=11&amp;col=29&amp;number=&amp;sourceID=13","")</f>
        <v/>
      </c>
      <c r="AD11" s="4" t="str">
        <f>HYPERLINK("http://141.218.60.56/~jnz1568/getInfo.php?workbook=10_01.xlsx&amp;sheet=A0&amp;row=11&amp;col=30&amp;number=&amp;sourceID=13","")</f>
        <v/>
      </c>
      <c r="AE11" s="4" t="str">
        <f>HYPERLINK("http://141.218.60.56/~jnz1568/getInfo.php?workbook=10_01.xlsx&amp;sheet=A0&amp;row=11&amp;col=31&amp;number=&amp;sourceID=13","")</f>
        <v/>
      </c>
      <c r="AF11" s="4" t="str">
        <f>HYPERLINK("http://141.218.60.56/~jnz1568/getInfo.php?workbook=10_01.xlsx&amp;sheet=A0&amp;row=11&amp;col=32&amp;number=225410000000&amp;sourceID=20","225410000000")</f>
        <v>225410000000</v>
      </c>
    </row>
    <row r="12" spans="1:32">
      <c r="A12" s="3">
        <v>10</v>
      </c>
      <c r="B12" s="3">
        <v>1</v>
      </c>
      <c r="C12" s="3">
        <v>5</v>
      </c>
      <c r="D12" s="3">
        <v>4</v>
      </c>
      <c r="E12" s="3">
        <f>((1/(INDEX(E0!J$4:J$28,C12,1)-INDEX(E0!J$4:J$28,D12,1))))*100000000</f>
        <v>0</v>
      </c>
      <c r="F12" s="4" t="str">
        <f>HYPERLINK("http://141.218.60.56/~jnz1568/getInfo.php?workbook=10_01.xlsx&amp;sheet=A0&amp;row=12&amp;col=6&amp;number=&amp;sourceID=18","")</f>
        <v/>
      </c>
      <c r="G12" s="4" t="str">
        <f>HYPERLINK("http://141.218.60.56/~jnz1568/getInfo.php?workbook=10_01.xlsx&amp;sheet=A0&amp;row=12&amp;col=7&amp;number==&amp;sourceID=11","=")</f>
        <v>=</v>
      </c>
      <c r="H12" s="4" t="str">
        <f>HYPERLINK("http://141.218.60.56/~jnz1568/getInfo.php?workbook=10_01.xlsx&amp;sheet=A0&amp;row=12&amp;col=8&amp;number=&amp;sourceID=11","")</f>
        <v/>
      </c>
      <c r="I12" s="4" t="str">
        <f>HYPERLINK("http://141.218.60.56/~jnz1568/getInfo.php?workbook=10_01.xlsx&amp;sheet=A0&amp;row=12&amp;col=9&amp;number=23939000&amp;sourceID=11","23939000")</f>
        <v>23939000</v>
      </c>
      <c r="J12" s="4" t="str">
        <f>HYPERLINK("http://141.218.60.56/~jnz1568/getInfo.php?workbook=10_01.xlsx&amp;sheet=A0&amp;row=12&amp;col=10&amp;number=&amp;sourceID=11","")</f>
        <v/>
      </c>
      <c r="K12" s="4" t="str">
        <f>HYPERLINK("http://141.218.60.56/~jnz1568/getInfo.php?workbook=10_01.xlsx&amp;sheet=A0&amp;row=12&amp;col=11&amp;number=129.56&amp;sourceID=11","129.56")</f>
        <v>129.56</v>
      </c>
      <c r="L12" s="4" t="str">
        <f>HYPERLINK("http://141.218.60.56/~jnz1568/getInfo.php?workbook=10_01.xlsx&amp;sheet=A0&amp;row=12&amp;col=12&amp;number=&amp;sourceID=11","")</f>
        <v/>
      </c>
      <c r="M12" s="4" t="str">
        <f>HYPERLINK("http://141.218.60.56/~jnz1568/getInfo.php?workbook=10_01.xlsx&amp;sheet=A0&amp;row=12&amp;col=13&amp;number=&amp;sourceID=11","")</f>
        <v/>
      </c>
      <c r="N12" s="4" t="str">
        <f>HYPERLINK("http://141.218.60.56/~jnz1568/getInfo.php?workbook=10_01.xlsx&amp;sheet=A0&amp;row=12&amp;col=14&amp;number=23940000&amp;sourceID=12","23940000")</f>
        <v>23940000</v>
      </c>
      <c r="O12" s="4" t="str">
        <f>HYPERLINK("http://141.218.60.56/~jnz1568/getInfo.php?workbook=10_01.xlsx&amp;sheet=A0&amp;row=12&amp;col=15&amp;number=&amp;sourceID=12","")</f>
        <v/>
      </c>
      <c r="P12" s="4" t="str">
        <f>HYPERLINK("http://141.218.60.56/~jnz1568/getInfo.php?workbook=10_01.xlsx&amp;sheet=A0&amp;row=12&amp;col=16&amp;number=23940000&amp;sourceID=12","23940000")</f>
        <v>23940000</v>
      </c>
      <c r="Q12" s="4" t="str">
        <f>HYPERLINK("http://141.218.60.56/~jnz1568/getInfo.php?workbook=10_01.xlsx&amp;sheet=A0&amp;row=12&amp;col=17&amp;number=&amp;sourceID=12","")</f>
        <v/>
      </c>
      <c r="R12" s="4" t="str">
        <f>HYPERLINK("http://141.218.60.56/~jnz1568/getInfo.php?workbook=10_01.xlsx&amp;sheet=A0&amp;row=12&amp;col=18&amp;number=129.56&amp;sourceID=12","129.56")</f>
        <v>129.56</v>
      </c>
      <c r="S12" s="4" t="str">
        <f>HYPERLINK("http://141.218.60.56/~jnz1568/getInfo.php?workbook=10_01.xlsx&amp;sheet=A0&amp;row=12&amp;col=19&amp;number=&amp;sourceID=12","")</f>
        <v/>
      </c>
      <c r="T12" s="4" t="str">
        <f>HYPERLINK("http://141.218.60.56/~jnz1568/getInfo.php?workbook=10_01.xlsx&amp;sheet=A0&amp;row=12&amp;col=20&amp;number=&amp;sourceID=12","")</f>
        <v/>
      </c>
      <c r="U12" s="4" t="str">
        <f>HYPERLINK("http://141.218.60.56/~jnz1568/getInfo.php?workbook=10_01.xlsx&amp;sheet=A0&amp;row=12&amp;col=21&amp;number=23940129.6&amp;sourceID=30","23940129.6")</f>
        <v>23940129.6</v>
      </c>
      <c r="V12" s="4" t="str">
        <f>HYPERLINK("http://141.218.60.56/~jnz1568/getInfo.php?workbook=10_01.xlsx&amp;sheet=A0&amp;row=12&amp;col=22&amp;number=&amp;sourceID=30","")</f>
        <v/>
      </c>
      <c r="W12" s="4" t="str">
        <f>HYPERLINK("http://141.218.60.56/~jnz1568/getInfo.php?workbook=10_01.xlsx&amp;sheet=A0&amp;row=12&amp;col=23&amp;number=23940000&amp;sourceID=30","23940000")</f>
        <v>23940000</v>
      </c>
      <c r="X12" s="4" t="str">
        <f>HYPERLINK("http://141.218.60.56/~jnz1568/getInfo.php?workbook=10_01.xlsx&amp;sheet=A0&amp;row=12&amp;col=24&amp;number=129.6&amp;sourceID=30","129.6")</f>
        <v>129.6</v>
      </c>
      <c r="Y12" s="4" t="str">
        <f>HYPERLINK("http://141.218.60.56/~jnz1568/getInfo.php?workbook=10_01.xlsx&amp;sheet=A0&amp;row=12&amp;col=25&amp;number=&amp;sourceID=30","")</f>
        <v/>
      </c>
      <c r="Z12" s="4" t="str">
        <f>HYPERLINK("http://141.218.60.56/~jnz1568/getInfo.php?workbook=10_01.xlsx&amp;sheet=A0&amp;row=12&amp;col=26&amp;number==&amp;sourceID=13","=")</f>
        <v>=</v>
      </c>
      <c r="AA12" s="4" t="str">
        <f>HYPERLINK("http://141.218.60.56/~jnz1568/getInfo.php?workbook=10_01.xlsx&amp;sheet=A0&amp;row=12&amp;col=27&amp;number=&amp;sourceID=13","")</f>
        <v/>
      </c>
      <c r="AB12" s="4" t="str">
        <f>HYPERLINK("http://141.218.60.56/~jnz1568/getInfo.php?workbook=10_01.xlsx&amp;sheet=A0&amp;row=12&amp;col=28&amp;number=23900000&amp;sourceID=13","23900000")</f>
        <v>23900000</v>
      </c>
      <c r="AC12" s="4" t="str">
        <f>HYPERLINK("http://141.218.60.56/~jnz1568/getInfo.php?workbook=10_01.xlsx&amp;sheet=A0&amp;row=12&amp;col=29&amp;number=&amp;sourceID=13","")</f>
        <v/>
      </c>
      <c r="AD12" s="4" t="str">
        <f>HYPERLINK("http://141.218.60.56/~jnz1568/getInfo.php?workbook=10_01.xlsx&amp;sheet=A0&amp;row=12&amp;col=30&amp;number=141&amp;sourceID=13","141")</f>
        <v>141</v>
      </c>
      <c r="AE12" s="4" t="str">
        <f>HYPERLINK("http://141.218.60.56/~jnz1568/getInfo.php?workbook=10_01.xlsx&amp;sheet=A0&amp;row=12&amp;col=31&amp;number=&amp;sourceID=13","")</f>
        <v/>
      </c>
      <c r="AF12" s="4" t="str">
        <f>HYPERLINK("http://141.218.60.56/~jnz1568/getInfo.php?workbook=10_01.xlsx&amp;sheet=A0&amp;row=12&amp;col=32&amp;number=23940000&amp;sourceID=20","23940000")</f>
        <v>23940000</v>
      </c>
    </row>
    <row r="13" spans="1:32">
      <c r="A13" s="3">
        <v>10</v>
      </c>
      <c r="B13" s="3">
        <v>1</v>
      </c>
      <c r="C13" s="3">
        <v>6</v>
      </c>
      <c r="D13" s="3">
        <v>1</v>
      </c>
      <c r="E13" s="3">
        <f>((1/(INDEX(E0!J$4:J$28,C13,1)-INDEX(E0!J$4:J$28,D13,1))))*100000000</f>
        <v>0</v>
      </c>
      <c r="F13" s="4" t="str">
        <f>HYPERLINK("http://141.218.60.56/~jnz1568/getInfo.php?workbook=10_01.xlsx&amp;sheet=A0&amp;row=13&amp;col=6&amp;number=&amp;sourceID=18","")</f>
        <v/>
      </c>
      <c r="G13" s="4" t="str">
        <f>HYPERLINK("http://141.218.60.56/~jnz1568/getInfo.php?workbook=10_01.xlsx&amp;sheet=A0&amp;row=13&amp;col=7&amp;number==&amp;sourceID=11","=")</f>
        <v>=</v>
      </c>
      <c r="H13" s="4" t="str">
        <f>HYPERLINK("http://141.218.60.56/~jnz1568/getInfo.php?workbook=10_01.xlsx&amp;sheet=A0&amp;row=13&amp;col=8&amp;number=&amp;sourceID=11","")</f>
        <v/>
      </c>
      <c r="I13" s="4" t="str">
        <f>HYPERLINK("http://141.218.60.56/~jnz1568/getInfo.php?workbook=10_01.xlsx&amp;sheet=A0&amp;row=13&amp;col=9&amp;number=&amp;sourceID=11","")</f>
        <v/>
      </c>
      <c r="J13" s="4" t="str">
        <f>HYPERLINK("http://141.218.60.56/~jnz1568/getInfo.php?workbook=10_01.xlsx&amp;sheet=A0&amp;row=13&amp;col=10&amp;number=&amp;sourceID=11","")</f>
        <v/>
      </c>
      <c r="K13" s="4" t="str">
        <f>HYPERLINK("http://141.218.60.56/~jnz1568/getInfo.php?workbook=10_01.xlsx&amp;sheet=A0&amp;row=13&amp;col=11&amp;number=11149&amp;sourceID=11","11149")</f>
        <v>11149</v>
      </c>
      <c r="L13" s="4" t="str">
        <f>HYPERLINK("http://141.218.60.56/~jnz1568/getInfo.php?workbook=10_01.xlsx&amp;sheet=A0&amp;row=13&amp;col=12&amp;number=&amp;sourceID=11","")</f>
        <v/>
      </c>
      <c r="M13" s="4" t="str">
        <f>HYPERLINK("http://141.218.60.56/~jnz1568/getInfo.php?workbook=10_01.xlsx&amp;sheet=A0&amp;row=13&amp;col=13&amp;number=&amp;sourceID=11","")</f>
        <v/>
      </c>
      <c r="N13" s="4" t="str">
        <f>HYPERLINK("http://141.218.60.56/~jnz1568/getInfo.php?workbook=10_01.xlsx&amp;sheet=A0&amp;row=13&amp;col=14&amp;number=11149&amp;sourceID=12","11149")</f>
        <v>11149</v>
      </c>
      <c r="O13" s="4" t="str">
        <f>HYPERLINK("http://141.218.60.56/~jnz1568/getInfo.php?workbook=10_01.xlsx&amp;sheet=A0&amp;row=13&amp;col=15&amp;number=&amp;sourceID=12","")</f>
        <v/>
      </c>
      <c r="P13" s="4" t="str">
        <f>HYPERLINK("http://141.218.60.56/~jnz1568/getInfo.php?workbook=10_01.xlsx&amp;sheet=A0&amp;row=13&amp;col=16&amp;number=&amp;sourceID=12","")</f>
        <v/>
      </c>
      <c r="Q13" s="4" t="str">
        <f>HYPERLINK("http://141.218.60.56/~jnz1568/getInfo.php?workbook=10_01.xlsx&amp;sheet=A0&amp;row=13&amp;col=17&amp;number=&amp;sourceID=12","")</f>
        <v/>
      </c>
      <c r="R13" s="4" t="str">
        <f>HYPERLINK("http://141.218.60.56/~jnz1568/getInfo.php?workbook=10_01.xlsx&amp;sheet=A0&amp;row=13&amp;col=18&amp;number=11149&amp;sourceID=12","11149")</f>
        <v>11149</v>
      </c>
      <c r="S13" s="4" t="str">
        <f>HYPERLINK("http://141.218.60.56/~jnz1568/getInfo.php?workbook=10_01.xlsx&amp;sheet=A0&amp;row=13&amp;col=19&amp;number=&amp;sourceID=12","")</f>
        <v/>
      </c>
      <c r="T13" s="4" t="str">
        <f>HYPERLINK("http://141.218.60.56/~jnz1568/getInfo.php?workbook=10_01.xlsx&amp;sheet=A0&amp;row=13&amp;col=20&amp;number=&amp;sourceID=12","")</f>
        <v/>
      </c>
      <c r="U13" s="4" t="str">
        <f>HYPERLINK("http://141.218.60.56/~jnz1568/getInfo.php?workbook=10_01.xlsx&amp;sheet=A0&amp;row=13&amp;col=21&amp;number=11150&amp;sourceID=30","11150")</f>
        <v>11150</v>
      </c>
      <c r="V13" s="4" t="str">
        <f>HYPERLINK("http://141.218.60.56/~jnz1568/getInfo.php?workbook=10_01.xlsx&amp;sheet=A0&amp;row=13&amp;col=22&amp;number=&amp;sourceID=30","")</f>
        <v/>
      </c>
      <c r="W13" s="4" t="str">
        <f>HYPERLINK("http://141.218.60.56/~jnz1568/getInfo.php?workbook=10_01.xlsx&amp;sheet=A0&amp;row=13&amp;col=23&amp;number=&amp;sourceID=30","")</f>
        <v/>
      </c>
      <c r="X13" s="4" t="str">
        <f>HYPERLINK("http://141.218.60.56/~jnz1568/getInfo.php?workbook=10_01.xlsx&amp;sheet=A0&amp;row=13&amp;col=24&amp;number=11150&amp;sourceID=30","11150")</f>
        <v>11150</v>
      </c>
      <c r="Y13" s="4" t="str">
        <f>HYPERLINK("http://141.218.60.56/~jnz1568/getInfo.php?workbook=10_01.xlsx&amp;sheet=A0&amp;row=13&amp;col=25&amp;number=&amp;sourceID=30","")</f>
        <v/>
      </c>
      <c r="Z13" s="4" t="str">
        <f>HYPERLINK("http://141.218.60.56/~jnz1568/getInfo.php?workbook=10_01.xlsx&amp;sheet=A0&amp;row=13&amp;col=26&amp;number==&amp;sourceID=13","=")</f>
        <v>=</v>
      </c>
      <c r="AA13" s="4" t="str">
        <f>HYPERLINK("http://141.218.60.56/~jnz1568/getInfo.php?workbook=10_01.xlsx&amp;sheet=A0&amp;row=13&amp;col=27&amp;number=&amp;sourceID=13","")</f>
        <v/>
      </c>
      <c r="AB13" s="4" t="str">
        <f>HYPERLINK("http://141.218.60.56/~jnz1568/getInfo.php?workbook=10_01.xlsx&amp;sheet=A0&amp;row=13&amp;col=28&amp;number=&amp;sourceID=13","")</f>
        <v/>
      </c>
      <c r="AC13" s="4" t="str">
        <f>HYPERLINK("http://141.218.60.56/~jnz1568/getInfo.php?workbook=10_01.xlsx&amp;sheet=A0&amp;row=13&amp;col=29&amp;number=&amp;sourceID=13","")</f>
        <v/>
      </c>
      <c r="AD13" s="4" t="str">
        <f>HYPERLINK("http://141.218.60.56/~jnz1568/getInfo.php?workbook=10_01.xlsx&amp;sheet=A0&amp;row=13&amp;col=30&amp;number=11400&amp;sourceID=13","11400")</f>
        <v>11400</v>
      </c>
      <c r="AE13" s="4" t="str">
        <f>HYPERLINK("http://141.218.60.56/~jnz1568/getInfo.php?workbook=10_01.xlsx&amp;sheet=A0&amp;row=13&amp;col=31&amp;number=&amp;sourceID=13","")</f>
        <v/>
      </c>
      <c r="AF13" s="4" t="str">
        <f>HYPERLINK("http://141.218.60.56/~jnz1568/getInfo.php?workbook=10_01.xlsx&amp;sheet=A0&amp;row=13&amp;col=32&amp;number=&amp;sourceID=20","")</f>
        <v/>
      </c>
    </row>
    <row r="14" spans="1:32">
      <c r="A14" s="3">
        <v>10</v>
      </c>
      <c r="B14" s="3">
        <v>1</v>
      </c>
      <c r="C14" s="3">
        <v>6</v>
      </c>
      <c r="D14" s="3">
        <v>2</v>
      </c>
      <c r="E14" s="3">
        <f>((1/(INDEX(E0!J$4:J$28,C14,1)-INDEX(E0!J$4:J$28,D14,1))))*100000000</f>
        <v>0</v>
      </c>
      <c r="F14" s="4" t="str">
        <f>HYPERLINK("http://141.218.60.56/~jnz1568/getInfo.php?workbook=10_01.xlsx&amp;sheet=A0&amp;row=14&amp;col=6&amp;number=&amp;sourceID=18","")</f>
        <v/>
      </c>
      <c r="G14" s="4" t="str">
        <f>HYPERLINK("http://141.218.60.56/~jnz1568/getInfo.php?workbook=10_01.xlsx&amp;sheet=A0&amp;row=14&amp;col=7&amp;number==&amp;sourceID=11","=")</f>
        <v>=</v>
      </c>
      <c r="H14" s="4" t="str">
        <f>HYPERLINK("http://141.218.60.56/~jnz1568/getInfo.php?workbook=10_01.xlsx&amp;sheet=A0&amp;row=14&amp;col=8&amp;number=21127000000&amp;sourceID=11","21127000000")</f>
        <v>21127000000</v>
      </c>
      <c r="I14" s="4" t="str">
        <f>HYPERLINK("http://141.218.60.56/~jnz1568/getInfo.php?workbook=10_01.xlsx&amp;sheet=A0&amp;row=14&amp;col=9&amp;number=&amp;sourceID=11","")</f>
        <v/>
      </c>
      <c r="J14" s="4" t="str">
        <f>HYPERLINK("http://141.218.60.56/~jnz1568/getInfo.php?workbook=10_01.xlsx&amp;sheet=A0&amp;row=14&amp;col=10&amp;number=&amp;sourceID=11","")</f>
        <v/>
      </c>
      <c r="K14" s="4" t="str">
        <f>HYPERLINK("http://141.218.60.56/~jnz1568/getInfo.php?workbook=10_01.xlsx&amp;sheet=A0&amp;row=14&amp;col=11&amp;number=&amp;sourceID=11","")</f>
        <v/>
      </c>
      <c r="L14" s="4" t="str">
        <f>HYPERLINK("http://141.218.60.56/~jnz1568/getInfo.php?workbook=10_01.xlsx&amp;sheet=A0&amp;row=14&amp;col=12&amp;number=&amp;sourceID=11","")</f>
        <v/>
      </c>
      <c r="M14" s="4" t="str">
        <f>HYPERLINK("http://141.218.60.56/~jnz1568/getInfo.php?workbook=10_01.xlsx&amp;sheet=A0&amp;row=14&amp;col=13&amp;number=&amp;sourceID=11","")</f>
        <v/>
      </c>
      <c r="N14" s="4" t="str">
        <f>HYPERLINK("http://141.218.60.56/~jnz1568/getInfo.php?workbook=10_01.xlsx&amp;sheet=A0&amp;row=14&amp;col=14&amp;number=21128000000&amp;sourceID=12","21128000000")</f>
        <v>21128000000</v>
      </c>
      <c r="O14" s="4" t="str">
        <f>HYPERLINK("http://141.218.60.56/~jnz1568/getInfo.php?workbook=10_01.xlsx&amp;sheet=A0&amp;row=14&amp;col=15&amp;number=21128000000&amp;sourceID=12","21128000000")</f>
        <v>21128000000</v>
      </c>
      <c r="P14" s="4" t="str">
        <f>HYPERLINK("http://141.218.60.56/~jnz1568/getInfo.php?workbook=10_01.xlsx&amp;sheet=A0&amp;row=14&amp;col=16&amp;number=&amp;sourceID=12","")</f>
        <v/>
      </c>
      <c r="Q14" s="4" t="str">
        <f>HYPERLINK("http://141.218.60.56/~jnz1568/getInfo.php?workbook=10_01.xlsx&amp;sheet=A0&amp;row=14&amp;col=17&amp;number=&amp;sourceID=12","")</f>
        <v/>
      </c>
      <c r="R14" s="4" t="str">
        <f>HYPERLINK("http://141.218.60.56/~jnz1568/getInfo.php?workbook=10_01.xlsx&amp;sheet=A0&amp;row=14&amp;col=18&amp;number=&amp;sourceID=12","")</f>
        <v/>
      </c>
      <c r="S14" s="4" t="str">
        <f>HYPERLINK("http://141.218.60.56/~jnz1568/getInfo.php?workbook=10_01.xlsx&amp;sheet=A0&amp;row=14&amp;col=19&amp;number=&amp;sourceID=12","")</f>
        <v/>
      </c>
      <c r="T14" s="4" t="str">
        <f>HYPERLINK("http://141.218.60.56/~jnz1568/getInfo.php?workbook=10_01.xlsx&amp;sheet=A0&amp;row=14&amp;col=20&amp;number=&amp;sourceID=12","")</f>
        <v/>
      </c>
      <c r="U14" s="4" t="str">
        <f>HYPERLINK("http://141.218.60.56/~jnz1568/getInfo.php?workbook=10_01.xlsx&amp;sheet=A0&amp;row=14&amp;col=21&amp;number=21130000000&amp;sourceID=30","21130000000")</f>
        <v>21130000000</v>
      </c>
      <c r="V14" s="4" t="str">
        <f>HYPERLINK("http://141.218.60.56/~jnz1568/getInfo.php?workbook=10_01.xlsx&amp;sheet=A0&amp;row=14&amp;col=22&amp;number=21130000000&amp;sourceID=30","21130000000")</f>
        <v>21130000000</v>
      </c>
      <c r="W14" s="4" t="str">
        <f>HYPERLINK("http://141.218.60.56/~jnz1568/getInfo.php?workbook=10_01.xlsx&amp;sheet=A0&amp;row=14&amp;col=23&amp;number=&amp;sourceID=30","")</f>
        <v/>
      </c>
      <c r="X14" s="4" t="str">
        <f>HYPERLINK("http://141.218.60.56/~jnz1568/getInfo.php?workbook=10_01.xlsx&amp;sheet=A0&amp;row=14&amp;col=24&amp;number=&amp;sourceID=30","")</f>
        <v/>
      </c>
      <c r="Y14" s="4" t="str">
        <f>HYPERLINK("http://141.218.60.56/~jnz1568/getInfo.php?workbook=10_01.xlsx&amp;sheet=A0&amp;row=14&amp;col=25&amp;number=&amp;sourceID=30","")</f>
        <v/>
      </c>
      <c r="Z14" s="4" t="str">
        <f>HYPERLINK("http://141.218.60.56/~jnz1568/getInfo.php?workbook=10_01.xlsx&amp;sheet=A0&amp;row=14&amp;col=26&amp;number==&amp;sourceID=13","=")</f>
        <v>=</v>
      </c>
      <c r="AA14" s="4" t="str">
        <f>HYPERLINK("http://141.218.60.56/~jnz1568/getInfo.php?workbook=10_01.xlsx&amp;sheet=A0&amp;row=14&amp;col=27&amp;number=20800000000&amp;sourceID=13","20800000000")</f>
        <v>20800000000</v>
      </c>
      <c r="AB14" s="4" t="str">
        <f>HYPERLINK("http://141.218.60.56/~jnz1568/getInfo.php?workbook=10_01.xlsx&amp;sheet=A0&amp;row=14&amp;col=28&amp;number=&amp;sourceID=13","")</f>
        <v/>
      </c>
      <c r="AC14" s="4" t="str">
        <f>HYPERLINK("http://141.218.60.56/~jnz1568/getInfo.php?workbook=10_01.xlsx&amp;sheet=A0&amp;row=14&amp;col=29&amp;number=&amp;sourceID=13","")</f>
        <v/>
      </c>
      <c r="AD14" s="4" t="str">
        <f>HYPERLINK("http://141.218.60.56/~jnz1568/getInfo.php?workbook=10_01.xlsx&amp;sheet=A0&amp;row=14&amp;col=30&amp;number=&amp;sourceID=13","")</f>
        <v/>
      </c>
      <c r="AE14" s="4" t="str">
        <f>HYPERLINK("http://141.218.60.56/~jnz1568/getInfo.php?workbook=10_01.xlsx&amp;sheet=A0&amp;row=14&amp;col=31&amp;number=&amp;sourceID=13","")</f>
        <v/>
      </c>
      <c r="AF14" s="4" t="str">
        <f>HYPERLINK("http://141.218.60.56/~jnz1568/getInfo.php?workbook=10_01.xlsx&amp;sheet=A0&amp;row=14&amp;col=32&amp;number=21127000000&amp;sourceID=20","21127000000")</f>
        <v>21127000000</v>
      </c>
    </row>
    <row r="15" spans="1:32">
      <c r="A15" s="3">
        <v>10</v>
      </c>
      <c r="B15" s="3">
        <v>1</v>
      </c>
      <c r="C15" s="3">
        <v>6</v>
      </c>
      <c r="D15" s="3">
        <v>3</v>
      </c>
      <c r="E15" s="3">
        <f>((1/(INDEX(E0!J$4:J$28,C15,1)-INDEX(E0!J$4:J$28,D15,1))))*100000000</f>
        <v>0</v>
      </c>
      <c r="F15" s="4" t="str">
        <f>HYPERLINK("http://141.218.60.56/~jnz1568/getInfo.php?workbook=10_01.xlsx&amp;sheet=A0&amp;row=15&amp;col=6&amp;number=&amp;sourceID=18","")</f>
        <v/>
      </c>
      <c r="G15" s="4" t="str">
        <f>HYPERLINK("http://141.218.60.56/~jnz1568/getInfo.php?workbook=10_01.xlsx&amp;sheet=A0&amp;row=15&amp;col=7&amp;number==&amp;sourceID=11","=")</f>
        <v>=</v>
      </c>
      <c r="H15" s="4" t="str">
        <f>HYPERLINK("http://141.218.60.56/~jnz1568/getInfo.php?workbook=10_01.xlsx&amp;sheet=A0&amp;row=15&amp;col=8&amp;number=&amp;sourceID=11","")</f>
        <v/>
      </c>
      <c r="I15" s="4" t="str">
        <f>HYPERLINK("http://141.218.60.56/~jnz1568/getInfo.php?workbook=10_01.xlsx&amp;sheet=A0&amp;row=15&amp;col=9&amp;number=&amp;sourceID=11","")</f>
        <v/>
      </c>
      <c r="J15" s="4" t="str">
        <f>HYPERLINK("http://141.218.60.56/~jnz1568/getInfo.php?workbook=10_01.xlsx&amp;sheet=A0&amp;row=15&amp;col=10&amp;number=&amp;sourceID=11","")</f>
        <v/>
      </c>
      <c r="K15" s="4" t="str">
        <f>HYPERLINK("http://141.218.60.56/~jnz1568/getInfo.php?workbook=10_01.xlsx&amp;sheet=A0&amp;row=15&amp;col=11&amp;number=18.937&amp;sourceID=11","18.937")</f>
        <v>18.937</v>
      </c>
      <c r="L15" s="4" t="str">
        <f>HYPERLINK("http://141.218.60.56/~jnz1568/getInfo.php?workbook=10_01.xlsx&amp;sheet=A0&amp;row=15&amp;col=12&amp;number=&amp;sourceID=11","")</f>
        <v/>
      </c>
      <c r="M15" s="4" t="str">
        <f>HYPERLINK("http://141.218.60.56/~jnz1568/getInfo.php?workbook=10_01.xlsx&amp;sheet=A0&amp;row=15&amp;col=13&amp;number=&amp;sourceID=11","")</f>
        <v/>
      </c>
      <c r="N15" s="4" t="str">
        <f>HYPERLINK("http://141.218.60.56/~jnz1568/getInfo.php?workbook=10_01.xlsx&amp;sheet=A0&amp;row=15&amp;col=14&amp;number=18.937&amp;sourceID=12","18.937")</f>
        <v>18.937</v>
      </c>
      <c r="O15" s="4" t="str">
        <f>HYPERLINK("http://141.218.60.56/~jnz1568/getInfo.php?workbook=10_01.xlsx&amp;sheet=A0&amp;row=15&amp;col=15&amp;number=&amp;sourceID=12","")</f>
        <v/>
      </c>
      <c r="P15" s="4" t="str">
        <f>HYPERLINK("http://141.218.60.56/~jnz1568/getInfo.php?workbook=10_01.xlsx&amp;sheet=A0&amp;row=15&amp;col=16&amp;number=&amp;sourceID=12","")</f>
        <v/>
      </c>
      <c r="Q15" s="4" t="str">
        <f>HYPERLINK("http://141.218.60.56/~jnz1568/getInfo.php?workbook=10_01.xlsx&amp;sheet=A0&amp;row=15&amp;col=17&amp;number=&amp;sourceID=12","")</f>
        <v/>
      </c>
      <c r="R15" s="4" t="str">
        <f>HYPERLINK("http://141.218.60.56/~jnz1568/getInfo.php?workbook=10_01.xlsx&amp;sheet=A0&amp;row=15&amp;col=18&amp;number=18.937&amp;sourceID=12","18.937")</f>
        <v>18.937</v>
      </c>
      <c r="S15" s="4" t="str">
        <f>HYPERLINK("http://141.218.60.56/~jnz1568/getInfo.php?workbook=10_01.xlsx&amp;sheet=A0&amp;row=15&amp;col=19&amp;number=&amp;sourceID=12","")</f>
        <v/>
      </c>
      <c r="T15" s="4" t="str">
        <f>HYPERLINK("http://141.218.60.56/~jnz1568/getInfo.php?workbook=10_01.xlsx&amp;sheet=A0&amp;row=15&amp;col=20&amp;number=&amp;sourceID=12","")</f>
        <v/>
      </c>
      <c r="U15" s="4" t="str">
        <f>HYPERLINK("http://141.218.60.56/~jnz1568/getInfo.php?workbook=10_01.xlsx&amp;sheet=A0&amp;row=15&amp;col=21&amp;number=18.94&amp;sourceID=30","18.94")</f>
        <v>18.94</v>
      </c>
      <c r="V15" s="4" t="str">
        <f>HYPERLINK("http://141.218.60.56/~jnz1568/getInfo.php?workbook=10_01.xlsx&amp;sheet=A0&amp;row=15&amp;col=22&amp;number=&amp;sourceID=30","")</f>
        <v/>
      </c>
      <c r="W15" s="4" t="str">
        <f>HYPERLINK("http://141.218.60.56/~jnz1568/getInfo.php?workbook=10_01.xlsx&amp;sheet=A0&amp;row=15&amp;col=23&amp;number=&amp;sourceID=30","")</f>
        <v/>
      </c>
      <c r="X15" s="4" t="str">
        <f>HYPERLINK("http://141.218.60.56/~jnz1568/getInfo.php?workbook=10_01.xlsx&amp;sheet=A0&amp;row=15&amp;col=24&amp;number=18.94&amp;sourceID=30","18.94")</f>
        <v>18.94</v>
      </c>
      <c r="Y15" s="4" t="str">
        <f>HYPERLINK("http://141.218.60.56/~jnz1568/getInfo.php?workbook=10_01.xlsx&amp;sheet=A0&amp;row=15&amp;col=25&amp;number=&amp;sourceID=30","")</f>
        <v/>
      </c>
      <c r="Z15" s="4" t="str">
        <f>HYPERLINK("http://141.218.60.56/~jnz1568/getInfo.php?workbook=10_01.xlsx&amp;sheet=A0&amp;row=15&amp;col=26&amp;number==&amp;sourceID=13","=")</f>
        <v>=</v>
      </c>
      <c r="AA15" s="4" t="str">
        <f>HYPERLINK("http://141.218.60.56/~jnz1568/getInfo.php?workbook=10_01.xlsx&amp;sheet=A0&amp;row=15&amp;col=27&amp;number=&amp;sourceID=13","")</f>
        <v/>
      </c>
      <c r="AB15" s="4" t="str">
        <f>HYPERLINK("http://141.218.60.56/~jnz1568/getInfo.php?workbook=10_01.xlsx&amp;sheet=A0&amp;row=15&amp;col=28&amp;number=&amp;sourceID=13","")</f>
        <v/>
      </c>
      <c r="AC15" s="4" t="str">
        <f>HYPERLINK("http://141.218.60.56/~jnz1568/getInfo.php?workbook=10_01.xlsx&amp;sheet=A0&amp;row=15&amp;col=29&amp;number=&amp;sourceID=13","")</f>
        <v/>
      </c>
      <c r="AD15" s="4" t="str">
        <f>HYPERLINK("http://141.218.60.56/~jnz1568/getInfo.php?workbook=10_01.xlsx&amp;sheet=A0&amp;row=15&amp;col=30&amp;number=18.8&amp;sourceID=13","18.8")</f>
        <v>18.8</v>
      </c>
      <c r="AE15" s="4" t="str">
        <f>HYPERLINK("http://141.218.60.56/~jnz1568/getInfo.php?workbook=10_01.xlsx&amp;sheet=A0&amp;row=15&amp;col=31&amp;number=&amp;sourceID=13","")</f>
        <v/>
      </c>
      <c r="AF15" s="4" t="str">
        <f>HYPERLINK("http://141.218.60.56/~jnz1568/getInfo.php?workbook=10_01.xlsx&amp;sheet=A0&amp;row=15&amp;col=32&amp;number=18.937&amp;sourceID=20","18.937")</f>
        <v>18.937</v>
      </c>
    </row>
    <row r="16" spans="1:32">
      <c r="A16" s="3">
        <v>10</v>
      </c>
      <c r="B16" s="3">
        <v>1</v>
      </c>
      <c r="C16" s="3">
        <v>6</v>
      </c>
      <c r="D16" s="3">
        <v>4</v>
      </c>
      <c r="E16" s="3">
        <f>((1/(INDEX(E0!J$4:J$28,C16,1)-INDEX(E0!J$4:J$28,D16,1))))*100000000</f>
        <v>0</v>
      </c>
      <c r="F16" s="4" t="str">
        <f>HYPERLINK("http://141.218.60.56/~jnz1568/getInfo.php?workbook=10_01.xlsx&amp;sheet=A0&amp;row=16&amp;col=6&amp;number=&amp;sourceID=18","")</f>
        <v/>
      </c>
      <c r="G16" s="4" t="str">
        <f>HYPERLINK("http://141.218.60.56/~jnz1568/getInfo.php?workbook=10_01.xlsx&amp;sheet=A0&amp;row=16&amp;col=7&amp;number==&amp;sourceID=11","=")</f>
        <v>=</v>
      </c>
      <c r="H16" s="4" t="str">
        <f>HYPERLINK("http://141.218.60.56/~jnz1568/getInfo.php?workbook=10_01.xlsx&amp;sheet=A0&amp;row=16&amp;col=8&amp;number=42723000000&amp;sourceID=11","42723000000")</f>
        <v>42723000000</v>
      </c>
      <c r="I16" s="4" t="str">
        <f>HYPERLINK("http://141.218.60.56/~jnz1568/getInfo.php?workbook=10_01.xlsx&amp;sheet=A0&amp;row=16&amp;col=9&amp;number=&amp;sourceID=11","")</f>
        <v/>
      </c>
      <c r="J16" s="4" t="str">
        <f>HYPERLINK("http://141.218.60.56/~jnz1568/getInfo.php?workbook=10_01.xlsx&amp;sheet=A0&amp;row=16&amp;col=10&amp;number=&amp;sourceID=11","")</f>
        <v/>
      </c>
      <c r="K16" s="4" t="str">
        <f>HYPERLINK("http://141.218.60.56/~jnz1568/getInfo.php?workbook=10_01.xlsx&amp;sheet=A0&amp;row=16&amp;col=11&amp;number=&amp;sourceID=11","")</f>
        <v/>
      </c>
      <c r="L16" s="4" t="str">
        <f>HYPERLINK("http://141.218.60.56/~jnz1568/getInfo.php?workbook=10_01.xlsx&amp;sheet=A0&amp;row=16&amp;col=12&amp;number=1095.6&amp;sourceID=11","1095.6")</f>
        <v>1095.6</v>
      </c>
      <c r="M16" s="4" t="str">
        <f>HYPERLINK("http://141.218.60.56/~jnz1568/getInfo.php?workbook=10_01.xlsx&amp;sheet=A0&amp;row=16&amp;col=13&amp;number=&amp;sourceID=11","")</f>
        <v/>
      </c>
      <c r="N16" s="4" t="str">
        <f>HYPERLINK("http://141.218.60.56/~jnz1568/getInfo.php?workbook=10_01.xlsx&amp;sheet=A0&amp;row=16&amp;col=14&amp;number=42724000000&amp;sourceID=12","42724000000")</f>
        <v>42724000000</v>
      </c>
      <c r="O16" s="4" t="str">
        <f>HYPERLINK("http://141.218.60.56/~jnz1568/getInfo.php?workbook=10_01.xlsx&amp;sheet=A0&amp;row=16&amp;col=15&amp;number=42724000000&amp;sourceID=12","42724000000")</f>
        <v>42724000000</v>
      </c>
      <c r="P16" s="4" t="str">
        <f>HYPERLINK("http://141.218.60.56/~jnz1568/getInfo.php?workbook=10_01.xlsx&amp;sheet=A0&amp;row=16&amp;col=16&amp;number=&amp;sourceID=12","")</f>
        <v/>
      </c>
      <c r="Q16" s="4" t="str">
        <f>HYPERLINK("http://141.218.60.56/~jnz1568/getInfo.php?workbook=10_01.xlsx&amp;sheet=A0&amp;row=16&amp;col=17&amp;number=&amp;sourceID=12","")</f>
        <v/>
      </c>
      <c r="R16" s="4" t="str">
        <f>HYPERLINK("http://141.218.60.56/~jnz1568/getInfo.php?workbook=10_01.xlsx&amp;sheet=A0&amp;row=16&amp;col=18&amp;number=&amp;sourceID=12","")</f>
        <v/>
      </c>
      <c r="S16" s="4" t="str">
        <f>HYPERLINK("http://141.218.60.56/~jnz1568/getInfo.php?workbook=10_01.xlsx&amp;sheet=A0&amp;row=16&amp;col=19&amp;number=1095.6&amp;sourceID=12","1095.6")</f>
        <v>1095.6</v>
      </c>
      <c r="T16" s="4" t="str">
        <f>HYPERLINK("http://141.218.60.56/~jnz1568/getInfo.php?workbook=10_01.xlsx&amp;sheet=A0&amp;row=16&amp;col=20&amp;number=&amp;sourceID=12","")</f>
        <v/>
      </c>
      <c r="U16" s="4" t="str">
        <f>HYPERLINK("http://141.218.60.56/~jnz1568/getInfo.php?workbook=10_01.xlsx&amp;sheet=A0&amp;row=16&amp;col=21&amp;number=42720001096&amp;sourceID=30","42720001096")</f>
        <v>42720001096</v>
      </c>
      <c r="V16" s="4" t="str">
        <f>HYPERLINK("http://141.218.60.56/~jnz1568/getInfo.php?workbook=10_01.xlsx&amp;sheet=A0&amp;row=16&amp;col=22&amp;number=42720000000&amp;sourceID=30","42720000000")</f>
        <v>42720000000</v>
      </c>
      <c r="W16" s="4" t="str">
        <f>HYPERLINK("http://141.218.60.56/~jnz1568/getInfo.php?workbook=10_01.xlsx&amp;sheet=A0&amp;row=16&amp;col=23&amp;number=&amp;sourceID=30","")</f>
        <v/>
      </c>
      <c r="X16" s="4" t="str">
        <f>HYPERLINK("http://141.218.60.56/~jnz1568/getInfo.php?workbook=10_01.xlsx&amp;sheet=A0&amp;row=16&amp;col=24&amp;number=&amp;sourceID=30","")</f>
        <v/>
      </c>
      <c r="Y16" s="4" t="str">
        <f>HYPERLINK("http://141.218.60.56/~jnz1568/getInfo.php?workbook=10_01.xlsx&amp;sheet=A0&amp;row=16&amp;col=25&amp;number=1096&amp;sourceID=30","1096")</f>
        <v>1096</v>
      </c>
      <c r="Z16" s="4" t="str">
        <f>HYPERLINK("http://141.218.60.56/~jnz1568/getInfo.php?workbook=10_01.xlsx&amp;sheet=A0&amp;row=16&amp;col=26&amp;number==&amp;sourceID=13","=")</f>
        <v>=</v>
      </c>
      <c r="AA16" s="4" t="str">
        <f>HYPERLINK("http://141.218.60.56/~jnz1568/getInfo.php?workbook=10_01.xlsx&amp;sheet=A0&amp;row=16&amp;col=27&amp;number=42500000000&amp;sourceID=13","42500000000")</f>
        <v>42500000000</v>
      </c>
      <c r="AB16" s="4" t="str">
        <f>HYPERLINK("http://141.218.60.56/~jnz1568/getInfo.php?workbook=10_01.xlsx&amp;sheet=A0&amp;row=16&amp;col=28&amp;number=&amp;sourceID=13","")</f>
        <v/>
      </c>
      <c r="AC16" s="4" t="str">
        <f>HYPERLINK("http://141.218.60.56/~jnz1568/getInfo.php?workbook=10_01.xlsx&amp;sheet=A0&amp;row=16&amp;col=29&amp;number=&amp;sourceID=13","")</f>
        <v/>
      </c>
      <c r="AD16" s="4" t="str">
        <f>HYPERLINK("http://141.218.60.56/~jnz1568/getInfo.php?workbook=10_01.xlsx&amp;sheet=A0&amp;row=16&amp;col=30&amp;number=&amp;sourceID=13","")</f>
        <v/>
      </c>
      <c r="AE16" s="4" t="str">
        <f>HYPERLINK("http://141.218.60.56/~jnz1568/getInfo.php?workbook=10_01.xlsx&amp;sheet=A0&amp;row=16&amp;col=31&amp;number=&amp;sourceID=13","")</f>
        <v/>
      </c>
      <c r="AF16" s="4" t="str">
        <f>HYPERLINK("http://141.218.60.56/~jnz1568/getInfo.php?workbook=10_01.xlsx&amp;sheet=A0&amp;row=16&amp;col=32&amp;number=42723000000&amp;sourceID=20","42723000000")</f>
        <v>42723000000</v>
      </c>
    </row>
    <row r="17" spans="1:32">
      <c r="A17" s="3">
        <v>10</v>
      </c>
      <c r="B17" s="3">
        <v>1</v>
      </c>
      <c r="C17" s="3">
        <v>7</v>
      </c>
      <c r="D17" s="3">
        <v>1</v>
      </c>
      <c r="E17" s="3">
        <f>((1/(INDEX(E0!J$4:J$28,C17,1)-INDEX(E0!J$4:J$28,D17,1))))*100000000</f>
        <v>0</v>
      </c>
      <c r="F17" s="4" t="str">
        <f>HYPERLINK("http://141.218.60.56/~jnz1568/getInfo.php?workbook=10_01.xlsx&amp;sheet=A0&amp;row=17&amp;col=6&amp;number=&amp;sourceID=18","")</f>
        <v/>
      </c>
      <c r="G17" s="4" t="str">
        <f>HYPERLINK("http://141.218.60.56/~jnz1568/getInfo.php?workbook=10_01.xlsx&amp;sheet=A0&amp;row=17&amp;col=7&amp;number==&amp;sourceID=11","=")</f>
        <v>=</v>
      </c>
      <c r="H17" s="4" t="str">
        <f>HYPERLINK("http://141.218.60.56/~jnz1568/getInfo.php?workbook=10_01.xlsx&amp;sheet=A0&amp;row=17&amp;col=8&amp;number=&amp;sourceID=11","")</f>
        <v/>
      </c>
      <c r="I17" s="4" t="str">
        <f>HYPERLINK("http://141.218.60.56/~jnz1568/getInfo.php?workbook=10_01.xlsx&amp;sheet=A0&amp;row=17&amp;col=9&amp;number=593090000&amp;sourceID=11","593090000")</f>
        <v>593090000</v>
      </c>
      <c r="J17" s="4" t="str">
        <f>HYPERLINK("http://141.218.60.56/~jnz1568/getInfo.php?workbook=10_01.xlsx&amp;sheet=A0&amp;row=17&amp;col=10&amp;number=&amp;sourceID=11","")</f>
        <v/>
      </c>
      <c r="K17" s="4" t="str">
        <f>HYPERLINK("http://141.218.60.56/~jnz1568/getInfo.php?workbook=10_01.xlsx&amp;sheet=A0&amp;row=17&amp;col=11&amp;number=69.421&amp;sourceID=11","69.421")</f>
        <v>69.421</v>
      </c>
      <c r="L17" s="4" t="str">
        <f>HYPERLINK("http://141.218.60.56/~jnz1568/getInfo.php?workbook=10_01.xlsx&amp;sheet=A0&amp;row=17&amp;col=12&amp;number=&amp;sourceID=11","")</f>
        <v/>
      </c>
      <c r="M17" s="4" t="str">
        <f>HYPERLINK("http://141.218.60.56/~jnz1568/getInfo.php?workbook=10_01.xlsx&amp;sheet=A0&amp;row=17&amp;col=13&amp;number=&amp;sourceID=11","")</f>
        <v/>
      </c>
      <c r="N17" s="4" t="str">
        <f>HYPERLINK("http://141.218.60.56/~jnz1568/getInfo.php?workbook=10_01.xlsx&amp;sheet=A0&amp;row=17&amp;col=14&amp;number=593110000&amp;sourceID=12","593110000")</f>
        <v>593110000</v>
      </c>
      <c r="O17" s="4" t="str">
        <f>HYPERLINK("http://141.218.60.56/~jnz1568/getInfo.php?workbook=10_01.xlsx&amp;sheet=A0&amp;row=17&amp;col=15&amp;number=&amp;sourceID=12","")</f>
        <v/>
      </c>
      <c r="P17" s="4" t="str">
        <f>HYPERLINK("http://141.218.60.56/~jnz1568/getInfo.php?workbook=10_01.xlsx&amp;sheet=A0&amp;row=17&amp;col=16&amp;number=593110000&amp;sourceID=12","593110000")</f>
        <v>593110000</v>
      </c>
      <c r="Q17" s="4" t="str">
        <f>HYPERLINK("http://141.218.60.56/~jnz1568/getInfo.php?workbook=10_01.xlsx&amp;sheet=A0&amp;row=17&amp;col=17&amp;number=&amp;sourceID=12","")</f>
        <v/>
      </c>
      <c r="R17" s="4" t="str">
        <f>HYPERLINK("http://141.218.60.56/~jnz1568/getInfo.php?workbook=10_01.xlsx&amp;sheet=A0&amp;row=17&amp;col=18&amp;number=69.422&amp;sourceID=12","69.422")</f>
        <v>69.422</v>
      </c>
      <c r="S17" s="4" t="str">
        <f>HYPERLINK("http://141.218.60.56/~jnz1568/getInfo.php?workbook=10_01.xlsx&amp;sheet=A0&amp;row=17&amp;col=19&amp;number=&amp;sourceID=12","")</f>
        <v/>
      </c>
      <c r="T17" s="4" t="str">
        <f>HYPERLINK("http://141.218.60.56/~jnz1568/getInfo.php?workbook=10_01.xlsx&amp;sheet=A0&amp;row=17&amp;col=20&amp;number=&amp;sourceID=12","")</f>
        <v/>
      </c>
      <c r="U17" s="4" t="str">
        <f>HYPERLINK("http://141.218.60.56/~jnz1568/getInfo.php?workbook=10_01.xlsx&amp;sheet=A0&amp;row=17&amp;col=21&amp;number=593100069.42&amp;sourceID=30","593100069.42")</f>
        <v>593100069.42</v>
      </c>
      <c r="V17" s="4" t="str">
        <f>HYPERLINK("http://141.218.60.56/~jnz1568/getInfo.php?workbook=10_01.xlsx&amp;sheet=A0&amp;row=17&amp;col=22&amp;number=&amp;sourceID=30","")</f>
        <v/>
      </c>
      <c r="W17" s="4" t="str">
        <f>HYPERLINK("http://141.218.60.56/~jnz1568/getInfo.php?workbook=10_01.xlsx&amp;sheet=A0&amp;row=17&amp;col=23&amp;number=593100000&amp;sourceID=30","593100000")</f>
        <v>593100000</v>
      </c>
      <c r="X17" s="4" t="str">
        <f>HYPERLINK("http://141.218.60.56/~jnz1568/getInfo.php?workbook=10_01.xlsx&amp;sheet=A0&amp;row=17&amp;col=24&amp;number=69.42&amp;sourceID=30","69.42")</f>
        <v>69.42</v>
      </c>
      <c r="Y17" s="4" t="str">
        <f>HYPERLINK("http://141.218.60.56/~jnz1568/getInfo.php?workbook=10_01.xlsx&amp;sheet=A0&amp;row=17&amp;col=25&amp;number=&amp;sourceID=30","")</f>
        <v/>
      </c>
      <c r="Z17" s="4" t="str">
        <f>HYPERLINK("http://141.218.60.56/~jnz1568/getInfo.php?workbook=10_01.xlsx&amp;sheet=A0&amp;row=17&amp;col=26&amp;number==&amp;sourceID=13","=")</f>
        <v>=</v>
      </c>
      <c r="AA17" s="4" t="str">
        <f>HYPERLINK("http://141.218.60.56/~jnz1568/getInfo.php?workbook=10_01.xlsx&amp;sheet=A0&amp;row=17&amp;col=27&amp;number=&amp;sourceID=13","")</f>
        <v/>
      </c>
      <c r="AB17" s="4" t="str">
        <f>HYPERLINK("http://141.218.60.56/~jnz1568/getInfo.php?workbook=10_01.xlsx&amp;sheet=A0&amp;row=17&amp;col=28&amp;number=601000000&amp;sourceID=13","601000000")</f>
        <v>601000000</v>
      </c>
      <c r="AC17" s="4" t="str">
        <f>HYPERLINK("http://141.218.60.56/~jnz1568/getInfo.php?workbook=10_01.xlsx&amp;sheet=A0&amp;row=17&amp;col=29&amp;number=&amp;sourceID=13","")</f>
        <v/>
      </c>
      <c r="AD17" s="4" t="str">
        <f>HYPERLINK("http://141.218.60.56/~jnz1568/getInfo.php?workbook=10_01.xlsx&amp;sheet=A0&amp;row=17&amp;col=30&amp;number=190&amp;sourceID=13","190")</f>
        <v>190</v>
      </c>
      <c r="AE17" s="4" t="str">
        <f>HYPERLINK("http://141.218.60.56/~jnz1568/getInfo.php?workbook=10_01.xlsx&amp;sheet=A0&amp;row=17&amp;col=31&amp;number=&amp;sourceID=13","")</f>
        <v/>
      </c>
      <c r="AF17" s="4" t="str">
        <f>HYPERLINK("http://141.218.60.56/~jnz1568/getInfo.php?workbook=10_01.xlsx&amp;sheet=A0&amp;row=17&amp;col=32&amp;number=&amp;sourceID=20","")</f>
        <v/>
      </c>
    </row>
    <row r="18" spans="1:32">
      <c r="A18" s="3">
        <v>10</v>
      </c>
      <c r="B18" s="3">
        <v>1</v>
      </c>
      <c r="C18" s="3">
        <v>7</v>
      </c>
      <c r="D18" s="3">
        <v>2</v>
      </c>
      <c r="E18" s="3">
        <f>((1/(INDEX(E0!J$4:J$28,C18,1)-INDEX(E0!J$4:J$28,D18,1))))*100000000</f>
        <v>0</v>
      </c>
      <c r="F18" s="4" t="str">
        <f>HYPERLINK("http://141.218.60.56/~jnz1568/getInfo.php?workbook=10_01.xlsx&amp;sheet=A0&amp;row=18&amp;col=6&amp;number=&amp;sourceID=18","")</f>
        <v/>
      </c>
      <c r="G18" s="4" t="str">
        <f>HYPERLINK("http://141.218.60.56/~jnz1568/getInfo.php?workbook=10_01.xlsx&amp;sheet=A0&amp;row=18&amp;col=7&amp;number==&amp;sourceID=11","=")</f>
        <v>=</v>
      </c>
      <c r="H18" s="4" t="str">
        <f>HYPERLINK("http://141.218.60.56/~jnz1568/getInfo.php?workbook=10_01.xlsx&amp;sheet=A0&amp;row=18&amp;col=8&amp;number=540240000000&amp;sourceID=11","540240000000")</f>
        <v>540240000000</v>
      </c>
      <c r="I18" s="4" t="str">
        <f>HYPERLINK("http://141.218.60.56/~jnz1568/getInfo.php?workbook=10_01.xlsx&amp;sheet=A0&amp;row=18&amp;col=9&amp;number=&amp;sourceID=11","")</f>
        <v/>
      </c>
      <c r="J18" s="4" t="str">
        <f>HYPERLINK("http://141.218.60.56/~jnz1568/getInfo.php?workbook=10_01.xlsx&amp;sheet=A0&amp;row=18&amp;col=10&amp;number=&amp;sourceID=11","")</f>
        <v/>
      </c>
      <c r="K18" s="4" t="str">
        <f>HYPERLINK("http://141.218.60.56/~jnz1568/getInfo.php?workbook=10_01.xlsx&amp;sheet=A0&amp;row=18&amp;col=11&amp;number=&amp;sourceID=11","")</f>
        <v/>
      </c>
      <c r="L18" s="4" t="str">
        <f>HYPERLINK("http://141.218.60.56/~jnz1568/getInfo.php?workbook=10_01.xlsx&amp;sheet=A0&amp;row=18&amp;col=12&amp;number=556.36&amp;sourceID=11","556.36")</f>
        <v>556.36</v>
      </c>
      <c r="M18" s="4" t="str">
        <f>HYPERLINK("http://141.218.60.56/~jnz1568/getInfo.php?workbook=10_01.xlsx&amp;sheet=A0&amp;row=18&amp;col=13&amp;number=&amp;sourceID=11","")</f>
        <v/>
      </c>
      <c r="N18" s="4" t="str">
        <f>HYPERLINK("http://141.218.60.56/~jnz1568/getInfo.php?workbook=10_01.xlsx&amp;sheet=A0&amp;row=18&amp;col=14&amp;number=540250000000&amp;sourceID=12","540250000000")</f>
        <v>540250000000</v>
      </c>
      <c r="O18" s="4" t="str">
        <f>HYPERLINK("http://141.218.60.56/~jnz1568/getInfo.php?workbook=10_01.xlsx&amp;sheet=A0&amp;row=18&amp;col=15&amp;number=540250000000&amp;sourceID=12","540250000000")</f>
        <v>540250000000</v>
      </c>
      <c r="P18" s="4" t="str">
        <f>HYPERLINK("http://141.218.60.56/~jnz1568/getInfo.php?workbook=10_01.xlsx&amp;sheet=A0&amp;row=18&amp;col=16&amp;number=&amp;sourceID=12","")</f>
        <v/>
      </c>
      <c r="Q18" s="4" t="str">
        <f>HYPERLINK("http://141.218.60.56/~jnz1568/getInfo.php?workbook=10_01.xlsx&amp;sheet=A0&amp;row=18&amp;col=17&amp;number=&amp;sourceID=12","")</f>
        <v/>
      </c>
      <c r="R18" s="4" t="str">
        <f>HYPERLINK("http://141.218.60.56/~jnz1568/getInfo.php?workbook=10_01.xlsx&amp;sheet=A0&amp;row=18&amp;col=18&amp;number=&amp;sourceID=12","")</f>
        <v/>
      </c>
      <c r="S18" s="4" t="str">
        <f>HYPERLINK("http://141.218.60.56/~jnz1568/getInfo.php?workbook=10_01.xlsx&amp;sheet=A0&amp;row=18&amp;col=19&amp;number=556.38&amp;sourceID=12","556.38")</f>
        <v>556.38</v>
      </c>
      <c r="T18" s="4" t="str">
        <f>HYPERLINK("http://141.218.60.56/~jnz1568/getInfo.php?workbook=10_01.xlsx&amp;sheet=A0&amp;row=18&amp;col=20&amp;number=&amp;sourceID=12","")</f>
        <v/>
      </c>
      <c r="U18" s="4" t="str">
        <f>HYPERLINK("http://141.218.60.56/~jnz1568/getInfo.php?workbook=10_01.xlsx&amp;sheet=A0&amp;row=18&amp;col=21&amp;number=5.40300000556e+11&amp;sourceID=30","5.40300000556e+11")</f>
        <v>5.40300000556e+11</v>
      </c>
      <c r="V18" s="4" t="str">
        <f>HYPERLINK("http://141.218.60.56/~jnz1568/getInfo.php?workbook=10_01.xlsx&amp;sheet=A0&amp;row=18&amp;col=22&amp;number=540300000000&amp;sourceID=30","540300000000")</f>
        <v>540300000000</v>
      </c>
      <c r="W18" s="4" t="str">
        <f>HYPERLINK("http://141.218.60.56/~jnz1568/getInfo.php?workbook=10_01.xlsx&amp;sheet=A0&amp;row=18&amp;col=23&amp;number=&amp;sourceID=30","")</f>
        <v/>
      </c>
      <c r="X18" s="4" t="str">
        <f>HYPERLINK("http://141.218.60.56/~jnz1568/getInfo.php?workbook=10_01.xlsx&amp;sheet=A0&amp;row=18&amp;col=24&amp;number=&amp;sourceID=30","")</f>
        <v/>
      </c>
      <c r="Y18" s="4" t="str">
        <f>HYPERLINK("http://141.218.60.56/~jnz1568/getInfo.php?workbook=10_01.xlsx&amp;sheet=A0&amp;row=18&amp;col=25&amp;number=556.4&amp;sourceID=30","556.4")</f>
        <v>556.4</v>
      </c>
      <c r="Z18" s="4" t="str">
        <f>HYPERLINK("http://141.218.60.56/~jnz1568/getInfo.php?workbook=10_01.xlsx&amp;sheet=A0&amp;row=18&amp;col=26&amp;number==&amp;sourceID=13","=")</f>
        <v>=</v>
      </c>
      <c r="AA18" s="4" t="str">
        <f>HYPERLINK("http://141.218.60.56/~jnz1568/getInfo.php?workbook=10_01.xlsx&amp;sheet=A0&amp;row=18&amp;col=27&amp;number=540000000000&amp;sourceID=13","540000000000")</f>
        <v>540000000000</v>
      </c>
      <c r="AB18" s="4" t="str">
        <f>HYPERLINK("http://141.218.60.56/~jnz1568/getInfo.php?workbook=10_01.xlsx&amp;sheet=A0&amp;row=18&amp;col=28&amp;number=&amp;sourceID=13","")</f>
        <v/>
      </c>
      <c r="AC18" s="4" t="str">
        <f>HYPERLINK("http://141.218.60.56/~jnz1568/getInfo.php?workbook=10_01.xlsx&amp;sheet=A0&amp;row=18&amp;col=29&amp;number=&amp;sourceID=13","")</f>
        <v/>
      </c>
      <c r="AD18" s="4" t="str">
        <f>HYPERLINK("http://141.218.60.56/~jnz1568/getInfo.php?workbook=10_01.xlsx&amp;sheet=A0&amp;row=18&amp;col=30&amp;number=&amp;sourceID=13","")</f>
        <v/>
      </c>
      <c r="AE18" s="4" t="str">
        <f>HYPERLINK("http://141.218.60.56/~jnz1568/getInfo.php?workbook=10_01.xlsx&amp;sheet=A0&amp;row=18&amp;col=31&amp;number=&amp;sourceID=13","")</f>
        <v/>
      </c>
      <c r="AF18" s="4" t="str">
        <f>HYPERLINK("http://141.218.60.56/~jnz1568/getInfo.php?workbook=10_01.xlsx&amp;sheet=A0&amp;row=18&amp;col=32&amp;number=540240000000&amp;sourceID=20","540240000000")</f>
        <v>540240000000</v>
      </c>
    </row>
    <row r="19" spans="1:32">
      <c r="A19" s="3">
        <v>10</v>
      </c>
      <c r="B19" s="3">
        <v>1</v>
      </c>
      <c r="C19" s="3">
        <v>7</v>
      </c>
      <c r="D19" s="3">
        <v>3</v>
      </c>
      <c r="E19" s="3">
        <f>((1/(INDEX(E0!J$4:J$28,C19,1)-INDEX(E0!J$4:J$28,D19,1))))*100000000</f>
        <v>0</v>
      </c>
      <c r="F19" s="4" t="str">
        <f>HYPERLINK("http://141.218.60.56/~jnz1568/getInfo.php?workbook=10_01.xlsx&amp;sheet=A0&amp;row=19&amp;col=6&amp;number=&amp;sourceID=18","")</f>
        <v/>
      </c>
      <c r="G19" s="4" t="str">
        <f>HYPERLINK("http://141.218.60.56/~jnz1568/getInfo.php?workbook=10_01.xlsx&amp;sheet=A0&amp;row=19&amp;col=7&amp;number==&amp;sourceID=11","=")</f>
        <v>=</v>
      </c>
      <c r="H19" s="4" t="str">
        <f>HYPERLINK("http://141.218.60.56/~jnz1568/getInfo.php?workbook=10_01.xlsx&amp;sheet=A0&amp;row=19&amp;col=8&amp;number=&amp;sourceID=11","")</f>
        <v/>
      </c>
      <c r="I19" s="4" t="str">
        <f>HYPERLINK("http://141.218.60.56/~jnz1568/getInfo.php?workbook=10_01.xlsx&amp;sheet=A0&amp;row=19&amp;col=9&amp;number=51339000&amp;sourceID=11","51339000")</f>
        <v>51339000</v>
      </c>
      <c r="J19" s="4" t="str">
        <f>HYPERLINK("http://141.218.60.56/~jnz1568/getInfo.php?workbook=10_01.xlsx&amp;sheet=A0&amp;row=19&amp;col=10&amp;number=&amp;sourceID=11","")</f>
        <v/>
      </c>
      <c r="K19" s="4" t="str">
        <f>HYPERLINK("http://141.218.60.56/~jnz1568/getInfo.php?workbook=10_01.xlsx&amp;sheet=A0&amp;row=19&amp;col=11&amp;number=1.0591&amp;sourceID=11","1.0591")</f>
        <v>1.0591</v>
      </c>
      <c r="L19" s="4" t="str">
        <f>HYPERLINK("http://141.218.60.56/~jnz1568/getInfo.php?workbook=10_01.xlsx&amp;sheet=A0&amp;row=19&amp;col=12&amp;number=&amp;sourceID=11","")</f>
        <v/>
      </c>
      <c r="M19" s="4" t="str">
        <f>HYPERLINK("http://141.218.60.56/~jnz1568/getInfo.php?workbook=10_01.xlsx&amp;sheet=A0&amp;row=19&amp;col=13&amp;number=&amp;sourceID=11","")</f>
        <v/>
      </c>
      <c r="N19" s="4" t="str">
        <f>HYPERLINK("http://141.218.60.56/~jnz1568/getInfo.php?workbook=10_01.xlsx&amp;sheet=A0&amp;row=19&amp;col=14&amp;number=51340000&amp;sourceID=12","51340000")</f>
        <v>51340000</v>
      </c>
      <c r="O19" s="4" t="str">
        <f>HYPERLINK("http://141.218.60.56/~jnz1568/getInfo.php?workbook=10_01.xlsx&amp;sheet=A0&amp;row=19&amp;col=15&amp;number=&amp;sourceID=12","")</f>
        <v/>
      </c>
      <c r="P19" s="4" t="str">
        <f>HYPERLINK("http://141.218.60.56/~jnz1568/getInfo.php?workbook=10_01.xlsx&amp;sheet=A0&amp;row=19&amp;col=16&amp;number=51340000&amp;sourceID=12","51340000")</f>
        <v>51340000</v>
      </c>
      <c r="Q19" s="4" t="str">
        <f>HYPERLINK("http://141.218.60.56/~jnz1568/getInfo.php?workbook=10_01.xlsx&amp;sheet=A0&amp;row=19&amp;col=17&amp;number=&amp;sourceID=12","")</f>
        <v/>
      </c>
      <c r="R19" s="4" t="str">
        <f>HYPERLINK("http://141.218.60.56/~jnz1568/getInfo.php?workbook=10_01.xlsx&amp;sheet=A0&amp;row=19&amp;col=18&amp;number=1.0592&amp;sourceID=12","1.0592")</f>
        <v>1.0592</v>
      </c>
      <c r="S19" s="4" t="str">
        <f>HYPERLINK("http://141.218.60.56/~jnz1568/getInfo.php?workbook=10_01.xlsx&amp;sheet=A0&amp;row=19&amp;col=19&amp;number=&amp;sourceID=12","")</f>
        <v/>
      </c>
      <c r="T19" s="4" t="str">
        <f>HYPERLINK("http://141.218.60.56/~jnz1568/getInfo.php?workbook=10_01.xlsx&amp;sheet=A0&amp;row=19&amp;col=20&amp;number=&amp;sourceID=12","")</f>
        <v/>
      </c>
      <c r="U19" s="4" t="str">
        <f>HYPERLINK("http://141.218.60.56/~jnz1568/getInfo.php?workbook=10_01.xlsx&amp;sheet=A0&amp;row=19&amp;col=21&amp;number=51340001.059&amp;sourceID=30","51340001.059")</f>
        <v>51340001.059</v>
      </c>
      <c r="V19" s="4" t="str">
        <f>HYPERLINK("http://141.218.60.56/~jnz1568/getInfo.php?workbook=10_01.xlsx&amp;sheet=A0&amp;row=19&amp;col=22&amp;number=&amp;sourceID=30","")</f>
        <v/>
      </c>
      <c r="W19" s="4" t="str">
        <f>HYPERLINK("http://141.218.60.56/~jnz1568/getInfo.php?workbook=10_01.xlsx&amp;sheet=A0&amp;row=19&amp;col=23&amp;number=51340000&amp;sourceID=30","51340000")</f>
        <v>51340000</v>
      </c>
      <c r="X19" s="4" t="str">
        <f>HYPERLINK("http://141.218.60.56/~jnz1568/getInfo.php?workbook=10_01.xlsx&amp;sheet=A0&amp;row=19&amp;col=24&amp;number=1.059&amp;sourceID=30","1.059")</f>
        <v>1.059</v>
      </c>
      <c r="Y19" s="4" t="str">
        <f>HYPERLINK("http://141.218.60.56/~jnz1568/getInfo.php?workbook=10_01.xlsx&amp;sheet=A0&amp;row=19&amp;col=25&amp;number=&amp;sourceID=30","")</f>
        <v/>
      </c>
      <c r="Z19" s="4" t="str">
        <f>HYPERLINK("http://141.218.60.56/~jnz1568/getInfo.php?workbook=10_01.xlsx&amp;sheet=A0&amp;row=19&amp;col=26&amp;number==&amp;sourceID=13","=")</f>
        <v>=</v>
      </c>
      <c r="AA19" s="4" t="str">
        <f>HYPERLINK("http://141.218.60.56/~jnz1568/getInfo.php?workbook=10_01.xlsx&amp;sheet=A0&amp;row=19&amp;col=27&amp;number=&amp;sourceID=13","")</f>
        <v/>
      </c>
      <c r="AB19" s="4" t="str">
        <f>HYPERLINK("http://141.218.60.56/~jnz1568/getInfo.php?workbook=10_01.xlsx&amp;sheet=A0&amp;row=19&amp;col=28&amp;number=51300000&amp;sourceID=13","51300000")</f>
        <v>51300000</v>
      </c>
      <c r="AC19" s="4" t="str">
        <f>HYPERLINK("http://141.218.60.56/~jnz1568/getInfo.php?workbook=10_01.xlsx&amp;sheet=A0&amp;row=19&amp;col=29&amp;number=&amp;sourceID=13","")</f>
        <v/>
      </c>
      <c r="AD19" s="4" t="str">
        <f>HYPERLINK("http://141.218.60.56/~jnz1568/getInfo.php?workbook=10_01.xlsx&amp;sheet=A0&amp;row=19&amp;col=30&amp;number=2.04&amp;sourceID=13","2.04")</f>
        <v>2.04</v>
      </c>
      <c r="AE19" s="4" t="str">
        <f>HYPERLINK("http://141.218.60.56/~jnz1568/getInfo.php?workbook=10_01.xlsx&amp;sheet=A0&amp;row=19&amp;col=31&amp;number=&amp;sourceID=13","")</f>
        <v/>
      </c>
      <c r="AF19" s="4" t="str">
        <f>HYPERLINK("http://141.218.60.56/~jnz1568/getInfo.php?workbook=10_01.xlsx&amp;sheet=A0&amp;row=19&amp;col=32&amp;number=51339000&amp;sourceID=20","51339000")</f>
        <v>51339000</v>
      </c>
    </row>
    <row r="20" spans="1:32">
      <c r="A20" s="3">
        <v>10</v>
      </c>
      <c r="B20" s="3">
        <v>1</v>
      </c>
      <c r="C20" s="3">
        <v>7</v>
      </c>
      <c r="D20" s="3">
        <v>4</v>
      </c>
      <c r="E20" s="3">
        <f>((1/(INDEX(E0!J$4:J$28,C20,1)-INDEX(E0!J$4:J$28,D20,1))))*100000000</f>
        <v>0</v>
      </c>
      <c r="F20" s="4" t="str">
        <f>HYPERLINK("http://141.218.60.56/~jnz1568/getInfo.php?workbook=10_01.xlsx&amp;sheet=A0&amp;row=20&amp;col=6&amp;number=&amp;sourceID=18","")</f>
        <v/>
      </c>
      <c r="G20" s="4" t="str">
        <f>HYPERLINK("http://141.218.60.56/~jnz1568/getInfo.php?workbook=10_01.xlsx&amp;sheet=A0&amp;row=20&amp;col=7&amp;number==&amp;sourceID=11","=")</f>
        <v>=</v>
      </c>
      <c r="H20" s="4" t="str">
        <f>HYPERLINK("http://141.218.60.56/~jnz1568/getInfo.php?workbook=10_01.xlsx&amp;sheet=A0&amp;row=20&amp;col=8&amp;number=107770000000&amp;sourceID=11","107770000000")</f>
        <v>107770000000</v>
      </c>
      <c r="I20" s="4" t="str">
        <f>HYPERLINK("http://141.218.60.56/~jnz1568/getInfo.php?workbook=10_01.xlsx&amp;sheet=A0&amp;row=20&amp;col=9&amp;number=&amp;sourceID=11","")</f>
        <v/>
      </c>
      <c r="J20" s="4" t="str">
        <f>HYPERLINK("http://141.218.60.56/~jnz1568/getInfo.php?workbook=10_01.xlsx&amp;sheet=A0&amp;row=20&amp;col=10&amp;number=2261.5&amp;sourceID=11","2261.5")</f>
        <v>2261.5</v>
      </c>
      <c r="K20" s="4" t="str">
        <f>HYPERLINK("http://141.218.60.56/~jnz1568/getInfo.php?workbook=10_01.xlsx&amp;sheet=A0&amp;row=20&amp;col=11&amp;number=&amp;sourceID=11","")</f>
        <v/>
      </c>
      <c r="L20" s="4" t="str">
        <f>HYPERLINK("http://141.218.60.56/~jnz1568/getInfo.php?workbook=10_01.xlsx&amp;sheet=A0&amp;row=20&amp;col=12&amp;number=&amp;sourceID=11","")</f>
        <v/>
      </c>
      <c r="M20" s="4" t="str">
        <f>HYPERLINK("http://141.218.60.56/~jnz1568/getInfo.php?workbook=10_01.xlsx&amp;sheet=A0&amp;row=20&amp;col=13&amp;number=&amp;sourceID=11","")</f>
        <v/>
      </c>
      <c r="N20" s="4" t="str">
        <f>HYPERLINK("http://141.218.60.56/~jnz1568/getInfo.php?workbook=10_01.xlsx&amp;sheet=A0&amp;row=20&amp;col=14&amp;number=107770000000&amp;sourceID=12","107770000000")</f>
        <v>107770000000</v>
      </c>
      <c r="O20" s="4" t="str">
        <f>HYPERLINK("http://141.218.60.56/~jnz1568/getInfo.php?workbook=10_01.xlsx&amp;sheet=A0&amp;row=20&amp;col=15&amp;number=107770000000&amp;sourceID=12","107770000000")</f>
        <v>107770000000</v>
      </c>
      <c r="P20" s="4" t="str">
        <f>HYPERLINK("http://141.218.60.56/~jnz1568/getInfo.php?workbook=10_01.xlsx&amp;sheet=A0&amp;row=20&amp;col=16&amp;number=&amp;sourceID=12","")</f>
        <v/>
      </c>
      <c r="Q20" s="4" t="str">
        <f>HYPERLINK("http://141.218.60.56/~jnz1568/getInfo.php?workbook=10_01.xlsx&amp;sheet=A0&amp;row=20&amp;col=17&amp;number=2261.6&amp;sourceID=12","2261.6")</f>
        <v>2261.6</v>
      </c>
      <c r="R20" s="4" t="str">
        <f>HYPERLINK("http://141.218.60.56/~jnz1568/getInfo.php?workbook=10_01.xlsx&amp;sheet=A0&amp;row=20&amp;col=18&amp;number=&amp;sourceID=12","")</f>
        <v/>
      </c>
      <c r="S20" s="4" t="str">
        <f>HYPERLINK("http://141.218.60.56/~jnz1568/getInfo.php?workbook=10_01.xlsx&amp;sheet=A0&amp;row=20&amp;col=19&amp;number=&amp;sourceID=12","")</f>
        <v/>
      </c>
      <c r="T20" s="4" t="str">
        <f>HYPERLINK("http://141.218.60.56/~jnz1568/getInfo.php?workbook=10_01.xlsx&amp;sheet=A0&amp;row=20&amp;col=20&amp;number=&amp;sourceID=12","")</f>
        <v/>
      </c>
      <c r="U20" s="4" t="str">
        <f>HYPERLINK("http://141.218.60.56/~jnz1568/getInfo.php?workbook=10_01.xlsx&amp;sheet=A0&amp;row=20&amp;col=21&amp;number=107800000000&amp;sourceID=30","107800000000")</f>
        <v>107800000000</v>
      </c>
      <c r="V20" s="4" t="str">
        <f>HYPERLINK("http://141.218.60.56/~jnz1568/getInfo.php?workbook=10_01.xlsx&amp;sheet=A0&amp;row=20&amp;col=22&amp;number=107800000000&amp;sourceID=30","107800000000")</f>
        <v>107800000000</v>
      </c>
      <c r="W20" s="4" t="str">
        <f>HYPERLINK("http://141.218.60.56/~jnz1568/getInfo.php?workbook=10_01.xlsx&amp;sheet=A0&amp;row=20&amp;col=23&amp;number=&amp;sourceID=30","")</f>
        <v/>
      </c>
      <c r="X20" s="4" t="str">
        <f>HYPERLINK("http://141.218.60.56/~jnz1568/getInfo.php?workbook=10_01.xlsx&amp;sheet=A0&amp;row=20&amp;col=24&amp;number=&amp;sourceID=30","")</f>
        <v/>
      </c>
      <c r="Y20" s="4" t="str">
        <f>HYPERLINK("http://141.218.60.56/~jnz1568/getInfo.php?workbook=10_01.xlsx&amp;sheet=A0&amp;row=20&amp;col=25&amp;number=&amp;sourceID=30","")</f>
        <v/>
      </c>
      <c r="Z20" s="4" t="str">
        <f>HYPERLINK("http://141.218.60.56/~jnz1568/getInfo.php?workbook=10_01.xlsx&amp;sheet=A0&amp;row=20&amp;col=26&amp;number==&amp;sourceID=13","=")</f>
        <v>=</v>
      </c>
      <c r="AA20" s="4" t="str">
        <f>HYPERLINK("http://141.218.60.56/~jnz1568/getInfo.php?workbook=10_01.xlsx&amp;sheet=A0&amp;row=20&amp;col=27&amp;number=108000000000&amp;sourceID=13","108000000000")</f>
        <v>108000000000</v>
      </c>
      <c r="AB20" s="4" t="str">
        <f>HYPERLINK("http://141.218.60.56/~jnz1568/getInfo.php?workbook=10_01.xlsx&amp;sheet=A0&amp;row=20&amp;col=28&amp;number=&amp;sourceID=13","")</f>
        <v/>
      </c>
      <c r="AC20" s="4" t="str">
        <f>HYPERLINK("http://141.218.60.56/~jnz1568/getInfo.php?workbook=10_01.xlsx&amp;sheet=A0&amp;row=20&amp;col=29&amp;number=&amp;sourceID=13","")</f>
        <v/>
      </c>
      <c r="AD20" s="4" t="str">
        <f>HYPERLINK("http://141.218.60.56/~jnz1568/getInfo.php?workbook=10_01.xlsx&amp;sheet=A0&amp;row=20&amp;col=30&amp;number=&amp;sourceID=13","")</f>
        <v/>
      </c>
      <c r="AE20" s="4" t="str">
        <f>HYPERLINK("http://141.218.60.56/~jnz1568/getInfo.php?workbook=10_01.xlsx&amp;sheet=A0&amp;row=20&amp;col=31&amp;number=&amp;sourceID=13","")</f>
        <v/>
      </c>
      <c r="AF20" s="4" t="str">
        <f>HYPERLINK("http://141.218.60.56/~jnz1568/getInfo.php?workbook=10_01.xlsx&amp;sheet=A0&amp;row=20&amp;col=32&amp;number=107770000000&amp;sourceID=20","107770000000")</f>
        <v>107770000000</v>
      </c>
    </row>
    <row r="21" spans="1:32">
      <c r="A21" s="3">
        <v>10</v>
      </c>
      <c r="B21" s="3">
        <v>1</v>
      </c>
      <c r="C21" s="3">
        <v>7</v>
      </c>
      <c r="D21" s="3">
        <v>5</v>
      </c>
      <c r="E21" s="3">
        <f>((1/(INDEX(E0!J$4:J$28,C21,1)-INDEX(E0!J$4:J$28,D21,1))))*100000000</f>
        <v>0</v>
      </c>
      <c r="F21" s="4" t="str">
        <f>HYPERLINK("http://141.218.60.56/~jnz1568/getInfo.php?workbook=10_01.xlsx&amp;sheet=A0&amp;row=21&amp;col=6&amp;number=&amp;sourceID=18","")</f>
        <v/>
      </c>
      <c r="G21" s="4" t="str">
        <f>HYPERLINK("http://141.218.60.56/~jnz1568/getInfo.php?workbook=10_01.xlsx&amp;sheet=A0&amp;row=21&amp;col=7&amp;number==&amp;sourceID=11","=")</f>
        <v>=</v>
      </c>
      <c r="H21" s="4" t="str">
        <f>HYPERLINK("http://141.218.60.56/~jnz1568/getInfo.php?workbook=10_01.xlsx&amp;sheet=A0&amp;row=21&amp;col=8&amp;number=874.89&amp;sourceID=11","874.89")</f>
        <v>874.89</v>
      </c>
      <c r="I21" s="4" t="str">
        <f>HYPERLINK("http://141.218.60.56/~jnz1568/getInfo.php?workbook=10_01.xlsx&amp;sheet=A0&amp;row=21&amp;col=9&amp;number=&amp;sourceID=11","")</f>
        <v/>
      </c>
      <c r="J21" s="4" t="str">
        <f>HYPERLINK("http://141.218.60.56/~jnz1568/getInfo.php?workbook=10_01.xlsx&amp;sheet=A0&amp;row=21&amp;col=10&amp;number=&amp;sourceID=11","")</f>
        <v/>
      </c>
      <c r="K21" s="4" t="str">
        <f>HYPERLINK("http://141.218.60.56/~jnz1568/getInfo.php?workbook=10_01.xlsx&amp;sheet=A0&amp;row=21&amp;col=11&amp;number=&amp;sourceID=11","")</f>
        <v/>
      </c>
      <c r="L21" s="4" t="str">
        <f>HYPERLINK("http://141.218.60.56/~jnz1568/getInfo.php?workbook=10_01.xlsx&amp;sheet=A0&amp;row=21&amp;col=12&amp;number=4.55e-13&amp;sourceID=11","4.55e-13")</f>
        <v>4.55e-13</v>
      </c>
      <c r="M21" s="4" t="str">
        <f>HYPERLINK("http://141.218.60.56/~jnz1568/getInfo.php?workbook=10_01.xlsx&amp;sheet=A0&amp;row=21&amp;col=13&amp;number=&amp;sourceID=11","")</f>
        <v/>
      </c>
      <c r="N21" s="4" t="str">
        <f>HYPERLINK("http://141.218.60.56/~jnz1568/getInfo.php?workbook=10_01.xlsx&amp;sheet=A0&amp;row=21&amp;col=14&amp;number=874.92&amp;sourceID=12","874.92")</f>
        <v>874.92</v>
      </c>
      <c r="O21" s="4" t="str">
        <f>HYPERLINK("http://141.218.60.56/~jnz1568/getInfo.php?workbook=10_01.xlsx&amp;sheet=A0&amp;row=21&amp;col=15&amp;number=874.92&amp;sourceID=12","874.92")</f>
        <v>874.92</v>
      </c>
      <c r="P21" s="4" t="str">
        <f>HYPERLINK("http://141.218.60.56/~jnz1568/getInfo.php?workbook=10_01.xlsx&amp;sheet=A0&amp;row=21&amp;col=16&amp;number=&amp;sourceID=12","")</f>
        <v/>
      </c>
      <c r="Q21" s="4" t="str">
        <f>HYPERLINK("http://141.218.60.56/~jnz1568/getInfo.php?workbook=10_01.xlsx&amp;sheet=A0&amp;row=21&amp;col=17&amp;number=&amp;sourceID=12","")</f>
        <v/>
      </c>
      <c r="R21" s="4" t="str">
        <f>HYPERLINK("http://141.218.60.56/~jnz1568/getInfo.php?workbook=10_01.xlsx&amp;sheet=A0&amp;row=21&amp;col=18&amp;number=&amp;sourceID=12","")</f>
        <v/>
      </c>
      <c r="S21" s="4" t="str">
        <f>HYPERLINK("http://141.218.60.56/~jnz1568/getInfo.php?workbook=10_01.xlsx&amp;sheet=A0&amp;row=21&amp;col=19&amp;number=4.55e-13&amp;sourceID=12","4.55e-13")</f>
        <v>4.55e-13</v>
      </c>
      <c r="T21" s="4" t="str">
        <f>HYPERLINK("http://141.218.60.56/~jnz1568/getInfo.php?workbook=10_01.xlsx&amp;sheet=A0&amp;row=21&amp;col=20&amp;number=&amp;sourceID=12","")</f>
        <v/>
      </c>
      <c r="U21" s="4" t="str">
        <f>HYPERLINK("http://141.218.60.56/~jnz1568/getInfo.php?workbook=10_01.xlsx&amp;sheet=A0&amp;row=21&amp;col=21&amp;number=874.9&amp;sourceID=30","874.9")</f>
        <v>874.9</v>
      </c>
      <c r="V21" s="4" t="str">
        <f>HYPERLINK("http://141.218.60.56/~jnz1568/getInfo.php?workbook=10_01.xlsx&amp;sheet=A0&amp;row=21&amp;col=22&amp;number=874.9&amp;sourceID=30","874.9")</f>
        <v>874.9</v>
      </c>
      <c r="W21" s="4" t="str">
        <f>HYPERLINK("http://141.218.60.56/~jnz1568/getInfo.php?workbook=10_01.xlsx&amp;sheet=A0&amp;row=21&amp;col=23&amp;number=&amp;sourceID=30","")</f>
        <v/>
      </c>
      <c r="X21" s="4" t="str">
        <f>HYPERLINK("http://141.218.60.56/~jnz1568/getInfo.php?workbook=10_01.xlsx&amp;sheet=A0&amp;row=21&amp;col=24&amp;number=&amp;sourceID=30","")</f>
        <v/>
      </c>
      <c r="Y21" s="4" t="str">
        <f>HYPERLINK("http://141.218.60.56/~jnz1568/getInfo.php?workbook=10_01.xlsx&amp;sheet=A0&amp;row=21&amp;col=25&amp;number=4.55e-13&amp;sourceID=30","4.55e-13")</f>
        <v>4.55e-13</v>
      </c>
      <c r="Z21" s="4" t="str">
        <f>HYPERLINK("http://141.218.60.56/~jnz1568/getInfo.php?workbook=10_01.xlsx&amp;sheet=A0&amp;row=21&amp;col=26&amp;number==&amp;sourceID=13","=")</f>
        <v>=</v>
      </c>
      <c r="AA21" s="4" t="str">
        <f>HYPERLINK("http://141.218.60.56/~jnz1568/getInfo.php?workbook=10_01.xlsx&amp;sheet=A0&amp;row=21&amp;col=27&amp;number=860&amp;sourceID=13","860")</f>
        <v>860</v>
      </c>
      <c r="AB21" s="4" t="str">
        <f>HYPERLINK("http://141.218.60.56/~jnz1568/getInfo.php?workbook=10_01.xlsx&amp;sheet=A0&amp;row=21&amp;col=28&amp;number=&amp;sourceID=13","")</f>
        <v/>
      </c>
      <c r="AC21" s="4" t="str">
        <f>HYPERLINK("http://141.218.60.56/~jnz1568/getInfo.php?workbook=10_01.xlsx&amp;sheet=A0&amp;row=21&amp;col=29&amp;number=&amp;sourceID=13","")</f>
        <v/>
      </c>
      <c r="AD21" s="4" t="str">
        <f>HYPERLINK("http://141.218.60.56/~jnz1568/getInfo.php?workbook=10_01.xlsx&amp;sheet=A0&amp;row=21&amp;col=30&amp;number=&amp;sourceID=13","")</f>
        <v/>
      </c>
      <c r="AE21" s="4" t="str">
        <f>HYPERLINK("http://141.218.60.56/~jnz1568/getInfo.php?workbook=10_01.xlsx&amp;sheet=A0&amp;row=21&amp;col=31&amp;number=&amp;sourceID=13","")</f>
        <v/>
      </c>
      <c r="AF21" s="4" t="str">
        <f>HYPERLINK("http://141.218.60.56/~jnz1568/getInfo.php?workbook=10_01.xlsx&amp;sheet=A0&amp;row=21&amp;col=32&amp;number=&amp;sourceID=20","")</f>
        <v/>
      </c>
    </row>
    <row r="22" spans="1:32">
      <c r="A22" s="3">
        <v>10</v>
      </c>
      <c r="B22" s="3">
        <v>1</v>
      </c>
      <c r="C22" s="3">
        <v>7</v>
      </c>
      <c r="D22" s="3">
        <v>6</v>
      </c>
      <c r="E22" s="3">
        <f>((1/(INDEX(E0!J$4:J$28,C22,1)-INDEX(E0!J$4:J$28,D22,1))))*100000000</f>
        <v>0</v>
      </c>
      <c r="F22" s="4" t="str">
        <f>HYPERLINK("http://141.218.60.56/~jnz1568/getInfo.php?workbook=10_01.xlsx&amp;sheet=A0&amp;row=22&amp;col=6&amp;number=&amp;sourceID=18","")</f>
        <v/>
      </c>
      <c r="G22" s="4" t="str">
        <f>HYPERLINK("http://141.218.60.56/~jnz1568/getInfo.php?workbook=10_01.xlsx&amp;sheet=A0&amp;row=22&amp;col=7&amp;number==&amp;sourceID=11","=")</f>
        <v>=</v>
      </c>
      <c r="H22" s="4" t="str">
        <f>HYPERLINK("http://141.218.60.56/~jnz1568/getInfo.php?workbook=10_01.xlsx&amp;sheet=A0&amp;row=22&amp;col=8&amp;number=&amp;sourceID=11","")</f>
        <v/>
      </c>
      <c r="I22" s="4" t="str">
        <f>HYPERLINK("http://141.218.60.56/~jnz1568/getInfo.php?workbook=10_01.xlsx&amp;sheet=A0&amp;row=22&amp;col=9&amp;number=6.83e-08&amp;sourceID=11","6.83e-08")</f>
        <v>6.83e-08</v>
      </c>
      <c r="J22" s="4" t="str">
        <f>HYPERLINK("http://141.218.60.56/~jnz1568/getInfo.php?workbook=10_01.xlsx&amp;sheet=A0&amp;row=22&amp;col=10&amp;number=&amp;sourceID=11","")</f>
        <v/>
      </c>
      <c r="K22" s="4" t="str">
        <f>HYPERLINK("http://141.218.60.56/~jnz1568/getInfo.php?workbook=10_01.xlsx&amp;sheet=A0&amp;row=22&amp;col=11&amp;number=2.54e-11&amp;sourceID=11","2.54e-11")</f>
        <v>2.54e-11</v>
      </c>
      <c r="L22" s="4" t="str">
        <f>HYPERLINK("http://141.218.60.56/~jnz1568/getInfo.php?workbook=10_01.xlsx&amp;sheet=A0&amp;row=22&amp;col=12&amp;number=&amp;sourceID=11","")</f>
        <v/>
      </c>
      <c r="M22" s="4" t="str">
        <f>HYPERLINK("http://141.218.60.56/~jnz1568/getInfo.php?workbook=10_01.xlsx&amp;sheet=A0&amp;row=22&amp;col=13&amp;number=&amp;sourceID=11","")</f>
        <v/>
      </c>
      <c r="N22" s="4" t="str">
        <f>HYPERLINK("http://141.218.60.56/~jnz1568/getInfo.php?workbook=10_01.xlsx&amp;sheet=A0&amp;row=22&amp;col=14&amp;number=6.8327e-08&amp;sourceID=12","6.8327e-08")</f>
        <v>6.8327e-08</v>
      </c>
      <c r="O22" s="4" t="str">
        <f>HYPERLINK("http://141.218.60.56/~jnz1568/getInfo.php?workbook=10_01.xlsx&amp;sheet=A0&amp;row=22&amp;col=15&amp;number=&amp;sourceID=12","")</f>
        <v/>
      </c>
      <c r="P22" s="4" t="str">
        <f>HYPERLINK("http://141.218.60.56/~jnz1568/getInfo.php?workbook=10_01.xlsx&amp;sheet=A0&amp;row=22&amp;col=16&amp;number=6.8302e-08&amp;sourceID=12","6.8302e-08")</f>
        <v>6.8302e-08</v>
      </c>
      <c r="Q22" s="4" t="str">
        <f>HYPERLINK("http://141.218.60.56/~jnz1568/getInfo.php?workbook=10_01.xlsx&amp;sheet=A0&amp;row=22&amp;col=17&amp;number=&amp;sourceID=12","")</f>
        <v/>
      </c>
      <c r="R22" s="4" t="str">
        <f>HYPERLINK("http://141.218.60.56/~jnz1568/getInfo.php?workbook=10_01.xlsx&amp;sheet=A0&amp;row=22&amp;col=18&amp;number=2.5401e-11&amp;sourceID=12","2.5401e-11")</f>
        <v>2.5401e-11</v>
      </c>
      <c r="S22" s="4" t="str">
        <f>HYPERLINK("http://141.218.60.56/~jnz1568/getInfo.php?workbook=10_01.xlsx&amp;sheet=A0&amp;row=22&amp;col=19&amp;number=&amp;sourceID=12","")</f>
        <v/>
      </c>
      <c r="T22" s="4" t="str">
        <f>HYPERLINK("http://141.218.60.56/~jnz1568/getInfo.php?workbook=10_01.xlsx&amp;sheet=A0&amp;row=22&amp;col=20&amp;number=&amp;sourceID=12","")</f>
        <v/>
      </c>
      <c r="U22" s="4" t="str">
        <f>HYPERLINK("http://141.218.60.56/~jnz1568/getInfo.php?workbook=10_01.xlsx&amp;sheet=A0&amp;row=22&amp;col=21&amp;number=6.832541e-08&amp;sourceID=30","6.832541e-08")</f>
        <v>6.832541e-08</v>
      </c>
      <c r="V22" s="4" t="str">
        <f>HYPERLINK("http://141.218.60.56/~jnz1568/getInfo.php?workbook=10_01.xlsx&amp;sheet=A0&amp;row=22&amp;col=22&amp;number=&amp;sourceID=30","")</f>
        <v/>
      </c>
      <c r="W22" s="4" t="str">
        <f>HYPERLINK("http://141.218.60.56/~jnz1568/getInfo.php?workbook=10_01.xlsx&amp;sheet=A0&amp;row=22&amp;col=23&amp;number=6.83e-08&amp;sourceID=30","6.83e-08")</f>
        <v>6.83e-08</v>
      </c>
      <c r="X22" s="4" t="str">
        <f>HYPERLINK("http://141.218.60.56/~jnz1568/getInfo.php?workbook=10_01.xlsx&amp;sheet=A0&amp;row=22&amp;col=24&amp;number=2.541e-11&amp;sourceID=30","2.541e-11")</f>
        <v>2.541e-11</v>
      </c>
      <c r="Y22" s="4" t="str">
        <f>HYPERLINK("http://141.218.60.56/~jnz1568/getInfo.php?workbook=10_01.xlsx&amp;sheet=A0&amp;row=22&amp;col=25&amp;number=&amp;sourceID=30","")</f>
        <v/>
      </c>
      <c r="Z22" s="4" t="str">
        <f>HYPERLINK("http://141.218.60.56/~jnz1568/getInfo.php?workbook=10_01.xlsx&amp;sheet=A0&amp;row=22&amp;col=26&amp;number=&amp;sourceID=13","")</f>
        <v/>
      </c>
      <c r="AA22" s="4" t="str">
        <f>HYPERLINK("http://141.218.60.56/~jnz1568/getInfo.php?workbook=10_01.xlsx&amp;sheet=A0&amp;row=22&amp;col=27&amp;number=&amp;sourceID=13","")</f>
        <v/>
      </c>
      <c r="AB22" s="4" t="str">
        <f>HYPERLINK("http://141.218.60.56/~jnz1568/getInfo.php?workbook=10_01.xlsx&amp;sheet=A0&amp;row=22&amp;col=28&amp;number=&amp;sourceID=13","")</f>
        <v/>
      </c>
      <c r="AC22" s="4" t="str">
        <f>HYPERLINK("http://141.218.60.56/~jnz1568/getInfo.php?workbook=10_01.xlsx&amp;sheet=A0&amp;row=22&amp;col=29&amp;number=&amp;sourceID=13","")</f>
        <v/>
      </c>
      <c r="AD22" s="4" t="str">
        <f>HYPERLINK("http://141.218.60.56/~jnz1568/getInfo.php?workbook=10_01.xlsx&amp;sheet=A0&amp;row=22&amp;col=30&amp;number=&amp;sourceID=13","")</f>
        <v/>
      </c>
      <c r="AE22" s="4" t="str">
        <f>HYPERLINK("http://141.218.60.56/~jnz1568/getInfo.php?workbook=10_01.xlsx&amp;sheet=A0&amp;row=22&amp;col=31&amp;number=&amp;sourceID=13","")</f>
        <v/>
      </c>
      <c r="AF22" s="4" t="str">
        <f>HYPERLINK("http://141.218.60.56/~jnz1568/getInfo.php?workbook=10_01.xlsx&amp;sheet=A0&amp;row=22&amp;col=32&amp;number=&amp;sourceID=20","")</f>
        <v/>
      </c>
    </row>
    <row r="23" spans="1:32">
      <c r="A23" s="3">
        <v>10</v>
      </c>
      <c r="B23" s="3">
        <v>1</v>
      </c>
      <c r="C23" s="3">
        <v>8</v>
      </c>
      <c r="D23" s="3">
        <v>1</v>
      </c>
      <c r="E23" s="3">
        <f>((1/(INDEX(E0!J$4:J$28,C23,1)-INDEX(E0!J$4:J$28,D23,1))))*100000000</f>
        <v>0</v>
      </c>
      <c r="F23" s="4" t="str">
        <f>HYPERLINK("http://141.218.60.56/~jnz1568/getInfo.php?workbook=10_01.xlsx&amp;sheet=A0&amp;row=23&amp;col=6&amp;number=&amp;sourceID=18","")</f>
        <v/>
      </c>
      <c r="G23" s="4" t="str">
        <f>HYPERLINK("http://141.218.60.56/~jnz1568/getInfo.php?workbook=10_01.xlsx&amp;sheet=A0&amp;row=23&amp;col=7&amp;number==&amp;sourceID=11","=")</f>
        <v>=</v>
      </c>
      <c r="H23" s="4" t="str">
        <f>HYPERLINK("http://141.218.60.56/~jnz1568/getInfo.php?workbook=10_01.xlsx&amp;sheet=A0&amp;row=23&amp;col=8&amp;number=1672400000000&amp;sourceID=11","1672400000000")</f>
        <v>1672400000000</v>
      </c>
      <c r="I23" s="4" t="str">
        <f>HYPERLINK("http://141.218.60.56/~jnz1568/getInfo.php?workbook=10_01.xlsx&amp;sheet=A0&amp;row=23&amp;col=9&amp;number=&amp;sourceID=11","")</f>
        <v/>
      </c>
      <c r="J23" s="4" t="str">
        <f>HYPERLINK("http://141.218.60.56/~jnz1568/getInfo.php?workbook=10_01.xlsx&amp;sheet=A0&amp;row=23&amp;col=10&amp;number=&amp;sourceID=11","")</f>
        <v/>
      </c>
      <c r="K23" s="4" t="str">
        <f>HYPERLINK("http://141.218.60.56/~jnz1568/getInfo.php?workbook=10_01.xlsx&amp;sheet=A0&amp;row=23&amp;col=11&amp;number=&amp;sourceID=11","")</f>
        <v/>
      </c>
      <c r="L23" s="4" t="str">
        <f>HYPERLINK("http://141.218.60.56/~jnz1568/getInfo.php?workbook=10_01.xlsx&amp;sheet=A0&amp;row=23&amp;col=12&amp;number=1759300&amp;sourceID=11","1759300")</f>
        <v>1759300</v>
      </c>
      <c r="M23" s="4" t="str">
        <f>HYPERLINK("http://141.218.60.56/~jnz1568/getInfo.php?workbook=10_01.xlsx&amp;sheet=A0&amp;row=23&amp;col=13&amp;number=&amp;sourceID=11","")</f>
        <v/>
      </c>
      <c r="N23" s="4" t="str">
        <f>HYPERLINK("http://141.218.60.56/~jnz1568/getInfo.php?workbook=10_01.xlsx&amp;sheet=A0&amp;row=23&amp;col=14&amp;number=1672500000000&amp;sourceID=12","1672500000000")</f>
        <v>1672500000000</v>
      </c>
      <c r="O23" s="4" t="str">
        <f>HYPERLINK("http://141.218.60.56/~jnz1568/getInfo.php?workbook=10_01.xlsx&amp;sheet=A0&amp;row=23&amp;col=15&amp;number=1672500000000&amp;sourceID=12","1672500000000")</f>
        <v>1672500000000</v>
      </c>
      <c r="P23" s="4" t="str">
        <f>HYPERLINK("http://141.218.60.56/~jnz1568/getInfo.php?workbook=10_01.xlsx&amp;sheet=A0&amp;row=23&amp;col=16&amp;number=&amp;sourceID=12","")</f>
        <v/>
      </c>
      <c r="Q23" s="4" t="str">
        <f>HYPERLINK("http://141.218.60.56/~jnz1568/getInfo.php?workbook=10_01.xlsx&amp;sheet=A0&amp;row=23&amp;col=17&amp;number=&amp;sourceID=12","")</f>
        <v/>
      </c>
      <c r="R23" s="4" t="str">
        <f>HYPERLINK("http://141.218.60.56/~jnz1568/getInfo.php?workbook=10_01.xlsx&amp;sheet=A0&amp;row=23&amp;col=18&amp;number=&amp;sourceID=12","")</f>
        <v/>
      </c>
      <c r="S23" s="4" t="str">
        <f>HYPERLINK("http://141.218.60.56/~jnz1568/getInfo.php?workbook=10_01.xlsx&amp;sheet=A0&amp;row=23&amp;col=19&amp;number=1759300&amp;sourceID=12","1759300")</f>
        <v>1759300</v>
      </c>
      <c r="T23" s="4" t="str">
        <f>HYPERLINK("http://141.218.60.56/~jnz1568/getInfo.php?workbook=10_01.xlsx&amp;sheet=A0&amp;row=23&amp;col=20&amp;number=&amp;sourceID=12","")</f>
        <v/>
      </c>
      <c r="U23" s="4" t="str">
        <f>HYPERLINK("http://141.218.60.56/~jnz1568/getInfo.php?workbook=10_01.xlsx&amp;sheet=A0&amp;row=23&amp;col=21&amp;number=1672001759000&amp;sourceID=30","1672001759000")</f>
        <v>1672001759000</v>
      </c>
      <c r="V23" s="4" t="str">
        <f>HYPERLINK("http://141.218.60.56/~jnz1568/getInfo.php?workbook=10_01.xlsx&amp;sheet=A0&amp;row=23&amp;col=22&amp;number=1672000000000&amp;sourceID=30","1672000000000")</f>
        <v>1672000000000</v>
      </c>
      <c r="W23" s="4" t="str">
        <f>HYPERLINK("http://141.218.60.56/~jnz1568/getInfo.php?workbook=10_01.xlsx&amp;sheet=A0&amp;row=23&amp;col=23&amp;number=&amp;sourceID=30","")</f>
        <v/>
      </c>
      <c r="X23" s="4" t="str">
        <f>HYPERLINK("http://141.218.60.56/~jnz1568/getInfo.php?workbook=10_01.xlsx&amp;sheet=A0&amp;row=23&amp;col=24&amp;number=&amp;sourceID=30","")</f>
        <v/>
      </c>
      <c r="Y23" s="4" t="str">
        <f>HYPERLINK("http://141.218.60.56/~jnz1568/getInfo.php?workbook=10_01.xlsx&amp;sheet=A0&amp;row=23&amp;col=25&amp;number=1759000&amp;sourceID=30","1759000")</f>
        <v>1759000</v>
      </c>
      <c r="Z23" s="4" t="str">
        <f>HYPERLINK("http://141.218.60.56/~jnz1568/getInfo.php?workbook=10_01.xlsx&amp;sheet=A0&amp;row=23&amp;col=26&amp;number==SUM(AA23:AE23)&amp;sourceID=13","=SUM(AA23:AE23)")</f>
        <v>=SUM(AA23:AE23)</v>
      </c>
      <c r="AA23" s="4" t="str">
        <f>HYPERLINK("http://141.218.60.56/~jnz1568/getInfo.php?workbook=10_01.xlsx&amp;sheet=A0&amp;row=23&amp;col=27&amp;number=1660000000000&amp;sourceID=13","1660000000000")</f>
        <v>1660000000000</v>
      </c>
      <c r="AB23" s="4" t="str">
        <f>HYPERLINK("http://141.218.60.56/~jnz1568/getInfo.php?workbook=10_01.xlsx&amp;sheet=A0&amp;row=23&amp;col=28&amp;number=&amp;sourceID=13","")</f>
        <v/>
      </c>
      <c r="AC23" s="4" t="str">
        <f>HYPERLINK("http://141.218.60.56/~jnz1568/getInfo.php?workbook=10_01.xlsx&amp;sheet=A0&amp;row=23&amp;col=29&amp;number=&amp;sourceID=13","")</f>
        <v/>
      </c>
      <c r="AD23" s="4" t="str">
        <f>HYPERLINK("http://141.218.60.56/~jnz1568/getInfo.php?workbook=10_01.xlsx&amp;sheet=A0&amp;row=23&amp;col=30&amp;number=&amp;sourceID=13","")</f>
        <v/>
      </c>
      <c r="AE23" s="4" t="str">
        <f>HYPERLINK("http://141.218.60.56/~jnz1568/getInfo.php?workbook=10_01.xlsx&amp;sheet=A0&amp;row=23&amp;col=31&amp;number=&amp;sourceID=13","")</f>
        <v/>
      </c>
      <c r="AF23" s="4" t="str">
        <f>HYPERLINK("http://141.218.60.56/~jnz1568/getInfo.php?workbook=10_01.xlsx&amp;sheet=A0&amp;row=23&amp;col=32&amp;number=1672400000000&amp;sourceID=20","1672400000000")</f>
        <v>1672400000000</v>
      </c>
    </row>
    <row r="24" spans="1:32">
      <c r="A24" s="3">
        <v>10</v>
      </c>
      <c r="B24" s="3">
        <v>1</v>
      </c>
      <c r="C24" s="3">
        <v>8</v>
      </c>
      <c r="D24" s="3">
        <v>2</v>
      </c>
      <c r="E24" s="3">
        <f>((1/(INDEX(E0!J$4:J$28,C24,1)-INDEX(E0!J$4:J$28,D24,1))))*100000000</f>
        <v>0</v>
      </c>
      <c r="F24" s="4" t="str">
        <f>HYPERLINK("http://141.218.60.56/~jnz1568/getInfo.php?workbook=10_01.xlsx&amp;sheet=A0&amp;row=24&amp;col=6&amp;number=&amp;sourceID=18","")</f>
        <v/>
      </c>
      <c r="G24" s="4" t="str">
        <f>HYPERLINK("http://141.218.60.56/~jnz1568/getInfo.php?workbook=10_01.xlsx&amp;sheet=A0&amp;row=24&amp;col=7&amp;number==&amp;sourceID=11","=")</f>
        <v>=</v>
      </c>
      <c r="H24" s="4" t="str">
        <f>HYPERLINK("http://141.218.60.56/~jnz1568/getInfo.php?workbook=10_01.xlsx&amp;sheet=A0&amp;row=24&amp;col=8&amp;number=&amp;sourceID=11","")</f>
        <v/>
      </c>
      <c r="I24" s="4" t="str">
        <f>HYPERLINK("http://141.218.60.56/~jnz1568/getInfo.php?workbook=10_01.xlsx&amp;sheet=A0&amp;row=24&amp;col=9&amp;number=11988000&amp;sourceID=11","11988000")</f>
        <v>11988000</v>
      </c>
      <c r="J24" s="4" t="str">
        <f>HYPERLINK("http://141.218.60.56/~jnz1568/getInfo.php?workbook=10_01.xlsx&amp;sheet=A0&amp;row=24&amp;col=10&amp;number=&amp;sourceID=11","")</f>
        <v/>
      </c>
      <c r="K24" s="4" t="str">
        <f>HYPERLINK("http://141.218.60.56/~jnz1568/getInfo.php?workbook=10_01.xlsx&amp;sheet=A0&amp;row=24&amp;col=11&amp;number=34.145&amp;sourceID=11","34.145")</f>
        <v>34.145</v>
      </c>
      <c r="L24" s="4" t="str">
        <f>HYPERLINK("http://141.218.60.56/~jnz1568/getInfo.php?workbook=10_01.xlsx&amp;sheet=A0&amp;row=24&amp;col=12&amp;number=&amp;sourceID=11","")</f>
        <v/>
      </c>
      <c r="M24" s="4" t="str">
        <f>HYPERLINK("http://141.218.60.56/~jnz1568/getInfo.php?workbook=10_01.xlsx&amp;sheet=A0&amp;row=24&amp;col=13&amp;number=&amp;sourceID=11","")</f>
        <v/>
      </c>
      <c r="N24" s="4" t="str">
        <f>HYPERLINK("http://141.218.60.56/~jnz1568/getInfo.php?workbook=10_01.xlsx&amp;sheet=A0&amp;row=24&amp;col=14&amp;number=11988000&amp;sourceID=12","11988000")</f>
        <v>11988000</v>
      </c>
      <c r="O24" s="4" t="str">
        <f>HYPERLINK("http://141.218.60.56/~jnz1568/getInfo.php?workbook=10_01.xlsx&amp;sheet=A0&amp;row=24&amp;col=15&amp;number=&amp;sourceID=12","")</f>
        <v/>
      </c>
      <c r="P24" s="4" t="str">
        <f>HYPERLINK("http://141.218.60.56/~jnz1568/getInfo.php?workbook=10_01.xlsx&amp;sheet=A0&amp;row=24&amp;col=16&amp;number=11988000&amp;sourceID=12","11988000")</f>
        <v>11988000</v>
      </c>
      <c r="Q24" s="4" t="str">
        <f>HYPERLINK("http://141.218.60.56/~jnz1568/getInfo.php?workbook=10_01.xlsx&amp;sheet=A0&amp;row=24&amp;col=17&amp;number=&amp;sourceID=12","")</f>
        <v/>
      </c>
      <c r="R24" s="4" t="str">
        <f>HYPERLINK("http://141.218.60.56/~jnz1568/getInfo.php?workbook=10_01.xlsx&amp;sheet=A0&amp;row=24&amp;col=18&amp;number=34.146&amp;sourceID=12","34.146")</f>
        <v>34.146</v>
      </c>
      <c r="S24" s="4" t="str">
        <f>HYPERLINK("http://141.218.60.56/~jnz1568/getInfo.php?workbook=10_01.xlsx&amp;sheet=A0&amp;row=24&amp;col=19&amp;number=&amp;sourceID=12","")</f>
        <v/>
      </c>
      <c r="T24" s="4" t="str">
        <f>HYPERLINK("http://141.218.60.56/~jnz1568/getInfo.php?workbook=10_01.xlsx&amp;sheet=A0&amp;row=24&amp;col=20&amp;number=&amp;sourceID=12","")</f>
        <v/>
      </c>
      <c r="U24" s="4" t="str">
        <f>HYPERLINK("http://141.218.60.56/~jnz1568/getInfo.php?workbook=10_01.xlsx&amp;sheet=A0&amp;row=24&amp;col=21&amp;number=11990034.15&amp;sourceID=30","11990034.15")</f>
        <v>11990034.15</v>
      </c>
      <c r="V24" s="4" t="str">
        <f>HYPERLINK("http://141.218.60.56/~jnz1568/getInfo.php?workbook=10_01.xlsx&amp;sheet=A0&amp;row=24&amp;col=22&amp;number=&amp;sourceID=30","")</f>
        <v/>
      </c>
      <c r="W24" s="4" t="str">
        <f>HYPERLINK("http://141.218.60.56/~jnz1568/getInfo.php?workbook=10_01.xlsx&amp;sheet=A0&amp;row=24&amp;col=23&amp;number=11990000&amp;sourceID=30","11990000")</f>
        <v>11990000</v>
      </c>
      <c r="X24" s="4" t="str">
        <f>HYPERLINK("http://141.218.60.56/~jnz1568/getInfo.php?workbook=10_01.xlsx&amp;sheet=A0&amp;row=24&amp;col=24&amp;number=34.15&amp;sourceID=30","34.15")</f>
        <v>34.15</v>
      </c>
      <c r="Y24" s="4" t="str">
        <f>HYPERLINK("http://141.218.60.56/~jnz1568/getInfo.php?workbook=10_01.xlsx&amp;sheet=A0&amp;row=24&amp;col=25&amp;number=&amp;sourceID=30","")</f>
        <v/>
      </c>
      <c r="Z24" s="4" t="str">
        <f>HYPERLINK("http://141.218.60.56/~jnz1568/getInfo.php?workbook=10_01.xlsx&amp;sheet=A0&amp;row=24&amp;col=26&amp;number==&amp;sourceID=13","=")</f>
        <v>=</v>
      </c>
      <c r="AA24" s="4" t="str">
        <f>HYPERLINK("http://141.218.60.56/~jnz1568/getInfo.php?workbook=10_01.xlsx&amp;sheet=A0&amp;row=24&amp;col=27&amp;number=&amp;sourceID=13","")</f>
        <v/>
      </c>
      <c r="AB24" s="4" t="str">
        <f>HYPERLINK("http://141.218.60.56/~jnz1568/getInfo.php?workbook=10_01.xlsx&amp;sheet=A0&amp;row=24&amp;col=28&amp;number=11900000&amp;sourceID=13","11900000")</f>
        <v>11900000</v>
      </c>
      <c r="AC24" s="4" t="str">
        <f>HYPERLINK("http://141.218.60.56/~jnz1568/getInfo.php?workbook=10_01.xlsx&amp;sheet=A0&amp;row=24&amp;col=29&amp;number=&amp;sourceID=13","")</f>
        <v/>
      </c>
      <c r="AD24" s="4" t="str">
        <f>HYPERLINK("http://141.218.60.56/~jnz1568/getInfo.php?workbook=10_01.xlsx&amp;sheet=A0&amp;row=24&amp;col=30&amp;number=29.5&amp;sourceID=13","29.5")</f>
        <v>29.5</v>
      </c>
      <c r="AE24" s="4" t="str">
        <f>HYPERLINK("http://141.218.60.56/~jnz1568/getInfo.php?workbook=10_01.xlsx&amp;sheet=A0&amp;row=24&amp;col=31&amp;number=&amp;sourceID=13","")</f>
        <v/>
      </c>
      <c r="AF24" s="4" t="str">
        <f>HYPERLINK("http://141.218.60.56/~jnz1568/getInfo.php?workbook=10_01.xlsx&amp;sheet=A0&amp;row=24&amp;col=32&amp;number=11988000&amp;sourceID=20","11988000")</f>
        <v>11988000</v>
      </c>
    </row>
    <row r="25" spans="1:32">
      <c r="A25" s="3">
        <v>10</v>
      </c>
      <c r="B25" s="3">
        <v>1</v>
      </c>
      <c r="C25" s="3">
        <v>8</v>
      </c>
      <c r="D25" s="3">
        <v>3</v>
      </c>
      <c r="E25" s="3">
        <f>((1/(INDEX(E0!J$4:J$28,C25,1)-INDEX(E0!J$4:J$28,D25,1))))*100000000</f>
        <v>0</v>
      </c>
      <c r="F25" s="4" t="str">
        <f>HYPERLINK("http://141.218.60.56/~jnz1568/getInfo.php?workbook=10_01.xlsx&amp;sheet=A0&amp;row=25&amp;col=6&amp;number=&amp;sourceID=18","")</f>
        <v/>
      </c>
      <c r="G25" s="4" t="str">
        <f>HYPERLINK("http://141.218.60.56/~jnz1568/getInfo.php?workbook=10_01.xlsx&amp;sheet=A0&amp;row=25&amp;col=7&amp;number==&amp;sourceID=11","=")</f>
        <v>=</v>
      </c>
      <c r="H25" s="4" t="str">
        <f>HYPERLINK("http://141.218.60.56/~jnz1568/getInfo.php?workbook=10_01.xlsx&amp;sheet=A0&amp;row=25&amp;col=8&amp;number=224300000000&amp;sourceID=11","224300000000")</f>
        <v>224300000000</v>
      </c>
      <c r="I25" s="4" t="str">
        <f>HYPERLINK("http://141.218.60.56/~jnz1568/getInfo.php?workbook=10_01.xlsx&amp;sheet=A0&amp;row=25&amp;col=9&amp;number=&amp;sourceID=11","")</f>
        <v/>
      </c>
      <c r="J25" s="4" t="str">
        <f>HYPERLINK("http://141.218.60.56/~jnz1568/getInfo.php?workbook=10_01.xlsx&amp;sheet=A0&amp;row=25&amp;col=10&amp;number=&amp;sourceID=11","")</f>
        <v/>
      </c>
      <c r="K25" s="4" t="str">
        <f>HYPERLINK("http://141.218.60.56/~jnz1568/getInfo.php?workbook=10_01.xlsx&amp;sheet=A0&amp;row=25&amp;col=11&amp;number=&amp;sourceID=11","")</f>
        <v/>
      </c>
      <c r="L25" s="4" t="str">
        <f>HYPERLINK("http://141.218.60.56/~jnz1568/getInfo.php?workbook=10_01.xlsx&amp;sheet=A0&amp;row=25&amp;col=12&amp;number=5782.5&amp;sourceID=11","5782.5")</f>
        <v>5782.5</v>
      </c>
      <c r="M25" s="4" t="str">
        <f>HYPERLINK("http://141.218.60.56/~jnz1568/getInfo.php?workbook=10_01.xlsx&amp;sheet=A0&amp;row=25&amp;col=13&amp;number=&amp;sourceID=11","")</f>
        <v/>
      </c>
      <c r="N25" s="4" t="str">
        <f>HYPERLINK("http://141.218.60.56/~jnz1568/getInfo.php?workbook=10_01.xlsx&amp;sheet=A0&amp;row=25&amp;col=14&amp;number=224310000000&amp;sourceID=12","224310000000")</f>
        <v>224310000000</v>
      </c>
      <c r="O25" s="4" t="str">
        <f>HYPERLINK("http://141.218.60.56/~jnz1568/getInfo.php?workbook=10_01.xlsx&amp;sheet=A0&amp;row=25&amp;col=15&amp;number=224310000000&amp;sourceID=12","224310000000")</f>
        <v>224310000000</v>
      </c>
      <c r="P25" s="4" t="str">
        <f>HYPERLINK("http://141.218.60.56/~jnz1568/getInfo.php?workbook=10_01.xlsx&amp;sheet=A0&amp;row=25&amp;col=16&amp;number=&amp;sourceID=12","")</f>
        <v/>
      </c>
      <c r="Q25" s="4" t="str">
        <f>HYPERLINK("http://141.218.60.56/~jnz1568/getInfo.php?workbook=10_01.xlsx&amp;sheet=A0&amp;row=25&amp;col=17&amp;number=&amp;sourceID=12","")</f>
        <v/>
      </c>
      <c r="R25" s="4" t="str">
        <f>HYPERLINK("http://141.218.60.56/~jnz1568/getInfo.php?workbook=10_01.xlsx&amp;sheet=A0&amp;row=25&amp;col=18&amp;number=&amp;sourceID=12","")</f>
        <v/>
      </c>
      <c r="S25" s="4" t="str">
        <f>HYPERLINK("http://141.218.60.56/~jnz1568/getInfo.php?workbook=10_01.xlsx&amp;sheet=A0&amp;row=25&amp;col=19&amp;number=5782.6&amp;sourceID=12","5782.6")</f>
        <v>5782.6</v>
      </c>
      <c r="T25" s="4" t="str">
        <f>HYPERLINK("http://141.218.60.56/~jnz1568/getInfo.php?workbook=10_01.xlsx&amp;sheet=A0&amp;row=25&amp;col=20&amp;number=&amp;sourceID=12","")</f>
        <v/>
      </c>
      <c r="U25" s="4" t="str">
        <f>HYPERLINK("http://141.218.60.56/~jnz1568/getInfo.php?workbook=10_01.xlsx&amp;sheet=A0&amp;row=25&amp;col=21&amp;number=224300005783&amp;sourceID=30","224300005783")</f>
        <v>224300005783</v>
      </c>
      <c r="V25" s="4" t="str">
        <f>HYPERLINK("http://141.218.60.56/~jnz1568/getInfo.php?workbook=10_01.xlsx&amp;sheet=A0&amp;row=25&amp;col=22&amp;number=224300000000&amp;sourceID=30","224300000000")</f>
        <v>224300000000</v>
      </c>
      <c r="W25" s="4" t="str">
        <f>HYPERLINK("http://141.218.60.56/~jnz1568/getInfo.php?workbook=10_01.xlsx&amp;sheet=A0&amp;row=25&amp;col=23&amp;number=&amp;sourceID=30","")</f>
        <v/>
      </c>
      <c r="X25" s="4" t="str">
        <f>HYPERLINK("http://141.218.60.56/~jnz1568/getInfo.php?workbook=10_01.xlsx&amp;sheet=A0&amp;row=25&amp;col=24&amp;number=&amp;sourceID=30","")</f>
        <v/>
      </c>
      <c r="Y25" s="4" t="str">
        <f>HYPERLINK("http://141.218.60.56/~jnz1568/getInfo.php?workbook=10_01.xlsx&amp;sheet=A0&amp;row=25&amp;col=25&amp;number=5783&amp;sourceID=30","5783")</f>
        <v>5783</v>
      </c>
      <c r="Z25" s="4" t="str">
        <f>HYPERLINK("http://141.218.60.56/~jnz1568/getInfo.php?workbook=10_01.xlsx&amp;sheet=A0&amp;row=25&amp;col=26&amp;number==&amp;sourceID=13","=")</f>
        <v>=</v>
      </c>
      <c r="AA25" s="4" t="str">
        <f>HYPERLINK("http://141.218.60.56/~jnz1568/getInfo.php?workbook=10_01.xlsx&amp;sheet=A0&amp;row=25&amp;col=27&amp;number=224000000000&amp;sourceID=13","224000000000")</f>
        <v>224000000000</v>
      </c>
      <c r="AB25" s="4" t="str">
        <f>HYPERLINK("http://141.218.60.56/~jnz1568/getInfo.php?workbook=10_01.xlsx&amp;sheet=A0&amp;row=25&amp;col=28&amp;number=&amp;sourceID=13","")</f>
        <v/>
      </c>
      <c r="AC25" s="4" t="str">
        <f>HYPERLINK("http://141.218.60.56/~jnz1568/getInfo.php?workbook=10_01.xlsx&amp;sheet=A0&amp;row=25&amp;col=29&amp;number=&amp;sourceID=13","")</f>
        <v/>
      </c>
      <c r="AD25" s="4" t="str">
        <f>HYPERLINK("http://141.218.60.56/~jnz1568/getInfo.php?workbook=10_01.xlsx&amp;sheet=A0&amp;row=25&amp;col=30&amp;number=&amp;sourceID=13","")</f>
        <v/>
      </c>
      <c r="AE25" s="4" t="str">
        <f>HYPERLINK("http://141.218.60.56/~jnz1568/getInfo.php?workbook=10_01.xlsx&amp;sheet=A0&amp;row=25&amp;col=31&amp;number=&amp;sourceID=13","")</f>
        <v/>
      </c>
      <c r="AF25" s="4" t="str">
        <f>HYPERLINK("http://141.218.60.56/~jnz1568/getInfo.php?workbook=10_01.xlsx&amp;sheet=A0&amp;row=25&amp;col=32&amp;number=224300000000&amp;sourceID=20","224300000000")</f>
        <v>224300000000</v>
      </c>
    </row>
    <row r="26" spans="1:32">
      <c r="A26" s="3">
        <v>10</v>
      </c>
      <c r="B26" s="3">
        <v>1</v>
      </c>
      <c r="C26" s="3">
        <v>8</v>
      </c>
      <c r="D26" s="3">
        <v>4</v>
      </c>
      <c r="E26" s="3">
        <f>((1/(INDEX(E0!J$4:J$28,C26,1)-INDEX(E0!J$4:J$28,D26,1))))*100000000</f>
        <v>0</v>
      </c>
      <c r="F26" s="4" t="str">
        <f>HYPERLINK("http://141.218.60.56/~jnz1568/getInfo.php?workbook=10_01.xlsx&amp;sheet=A0&amp;row=26&amp;col=6&amp;number=&amp;sourceID=18","")</f>
        <v/>
      </c>
      <c r="G26" s="4" t="str">
        <f>HYPERLINK("http://141.218.60.56/~jnz1568/getInfo.php?workbook=10_01.xlsx&amp;sheet=A0&amp;row=26&amp;col=7&amp;number==&amp;sourceID=11","=")</f>
        <v>=</v>
      </c>
      <c r="H26" s="4" t="str">
        <f>HYPERLINK("http://141.218.60.56/~jnz1568/getInfo.php?workbook=10_01.xlsx&amp;sheet=A0&amp;row=26&amp;col=8&amp;number=&amp;sourceID=11","")</f>
        <v/>
      </c>
      <c r="I26" s="4" t="str">
        <f>HYPERLINK("http://141.218.60.56/~jnz1568/getInfo.php?workbook=10_01.xlsx&amp;sheet=A0&amp;row=26&amp;col=9&amp;number=11957000&amp;sourceID=11","11957000")</f>
        <v>11957000</v>
      </c>
      <c r="J26" s="4" t="str">
        <f>HYPERLINK("http://141.218.60.56/~jnz1568/getInfo.php?workbook=10_01.xlsx&amp;sheet=A0&amp;row=26&amp;col=10&amp;number=&amp;sourceID=11","")</f>
        <v/>
      </c>
      <c r="K26" s="4" t="str">
        <f>HYPERLINK("http://141.218.60.56/~jnz1568/getInfo.php?workbook=10_01.xlsx&amp;sheet=A0&amp;row=26&amp;col=11&amp;number=35.366&amp;sourceID=11","35.366")</f>
        <v>35.366</v>
      </c>
      <c r="L26" s="4" t="str">
        <f>HYPERLINK("http://141.218.60.56/~jnz1568/getInfo.php?workbook=10_01.xlsx&amp;sheet=A0&amp;row=26&amp;col=12&amp;number=&amp;sourceID=11","")</f>
        <v/>
      </c>
      <c r="M26" s="4" t="str">
        <f>HYPERLINK("http://141.218.60.56/~jnz1568/getInfo.php?workbook=10_01.xlsx&amp;sheet=A0&amp;row=26&amp;col=13&amp;number=0.65446&amp;sourceID=11","0.65446")</f>
        <v>0.65446</v>
      </c>
      <c r="N26" s="4" t="str">
        <f>HYPERLINK("http://141.218.60.56/~jnz1568/getInfo.php?workbook=10_01.xlsx&amp;sheet=A0&amp;row=26&amp;col=14&amp;number=11957000&amp;sourceID=12","11957000")</f>
        <v>11957000</v>
      </c>
      <c r="O26" s="4" t="str">
        <f>HYPERLINK("http://141.218.60.56/~jnz1568/getInfo.php?workbook=10_01.xlsx&amp;sheet=A0&amp;row=26&amp;col=15&amp;number=&amp;sourceID=12","")</f>
        <v/>
      </c>
      <c r="P26" s="4" t="str">
        <f>HYPERLINK("http://141.218.60.56/~jnz1568/getInfo.php?workbook=10_01.xlsx&amp;sheet=A0&amp;row=26&amp;col=16&amp;number=11957000&amp;sourceID=12","11957000")</f>
        <v>11957000</v>
      </c>
      <c r="Q26" s="4" t="str">
        <f>HYPERLINK("http://141.218.60.56/~jnz1568/getInfo.php?workbook=10_01.xlsx&amp;sheet=A0&amp;row=26&amp;col=17&amp;number=&amp;sourceID=12","")</f>
        <v/>
      </c>
      <c r="R26" s="4" t="str">
        <f>HYPERLINK("http://141.218.60.56/~jnz1568/getInfo.php?workbook=10_01.xlsx&amp;sheet=A0&amp;row=26&amp;col=18&amp;number=35.367&amp;sourceID=12","35.367")</f>
        <v>35.367</v>
      </c>
      <c r="S26" s="4" t="str">
        <f>HYPERLINK("http://141.218.60.56/~jnz1568/getInfo.php?workbook=10_01.xlsx&amp;sheet=A0&amp;row=26&amp;col=19&amp;number=&amp;sourceID=12","")</f>
        <v/>
      </c>
      <c r="T26" s="4" t="str">
        <f>HYPERLINK("http://141.218.60.56/~jnz1568/getInfo.php?workbook=10_01.xlsx&amp;sheet=A0&amp;row=26&amp;col=20&amp;number=0.65448&amp;sourceID=12","0.65448")</f>
        <v>0.65448</v>
      </c>
      <c r="U26" s="4" t="str">
        <f>HYPERLINK("http://141.218.60.56/~jnz1568/getInfo.php?workbook=10_01.xlsx&amp;sheet=A0&amp;row=26&amp;col=21&amp;number=11960035.37&amp;sourceID=30","11960035.37")</f>
        <v>11960035.37</v>
      </c>
      <c r="V26" s="4" t="str">
        <f>HYPERLINK("http://141.218.60.56/~jnz1568/getInfo.php?workbook=10_01.xlsx&amp;sheet=A0&amp;row=26&amp;col=22&amp;number=&amp;sourceID=30","")</f>
        <v/>
      </c>
      <c r="W26" s="4" t="str">
        <f>HYPERLINK("http://141.218.60.56/~jnz1568/getInfo.php?workbook=10_01.xlsx&amp;sheet=A0&amp;row=26&amp;col=23&amp;number=11960000&amp;sourceID=30","11960000")</f>
        <v>11960000</v>
      </c>
      <c r="X26" s="4" t="str">
        <f>HYPERLINK("http://141.218.60.56/~jnz1568/getInfo.php?workbook=10_01.xlsx&amp;sheet=A0&amp;row=26&amp;col=24&amp;number=35.37&amp;sourceID=30","35.37")</f>
        <v>35.37</v>
      </c>
      <c r="Y26" s="4" t="str">
        <f>HYPERLINK("http://141.218.60.56/~jnz1568/getInfo.php?workbook=10_01.xlsx&amp;sheet=A0&amp;row=26&amp;col=25&amp;number=&amp;sourceID=30","")</f>
        <v/>
      </c>
      <c r="Z26" s="4" t="str">
        <f>HYPERLINK("http://141.218.60.56/~jnz1568/getInfo.php?workbook=10_01.xlsx&amp;sheet=A0&amp;row=26&amp;col=26&amp;number==&amp;sourceID=13","=")</f>
        <v>=</v>
      </c>
      <c r="AA26" s="4" t="str">
        <f>HYPERLINK("http://141.218.60.56/~jnz1568/getInfo.php?workbook=10_01.xlsx&amp;sheet=A0&amp;row=26&amp;col=27&amp;number=&amp;sourceID=13","")</f>
        <v/>
      </c>
      <c r="AB26" s="4" t="str">
        <f>HYPERLINK("http://141.218.60.56/~jnz1568/getInfo.php?workbook=10_01.xlsx&amp;sheet=A0&amp;row=26&amp;col=28&amp;number=11900000&amp;sourceID=13","11900000")</f>
        <v>11900000</v>
      </c>
      <c r="AC26" s="4" t="str">
        <f>HYPERLINK("http://141.218.60.56/~jnz1568/getInfo.php?workbook=10_01.xlsx&amp;sheet=A0&amp;row=26&amp;col=29&amp;number=&amp;sourceID=13","")</f>
        <v/>
      </c>
      <c r="AD26" s="4" t="str">
        <f>HYPERLINK("http://141.218.60.56/~jnz1568/getInfo.php?workbook=10_01.xlsx&amp;sheet=A0&amp;row=26&amp;col=30&amp;number=35.4&amp;sourceID=13","35.4")</f>
        <v>35.4</v>
      </c>
      <c r="AE26" s="4" t="str">
        <f>HYPERLINK("http://141.218.60.56/~jnz1568/getInfo.php?workbook=10_01.xlsx&amp;sheet=A0&amp;row=26&amp;col=31&amp;number=&amp;sourceID=13","")</f>
        <v/>
      </c>
      <c r="AF26" s="4" t="str">
        <f>HYPERLINK("http://141.218.60.56/~jnz1568/getInfo.php?workbook=10_01.xlsx&amp;sheet=A0&amp;row=26&amp;col=32&amp;number=11957000&amp;sourceID=20","11957000")</f>
        <v>11957000</v>
      </c>
    </row>
    <row r="27" spans="1:32">
      <c r="A27" s="3">
        <v>10</v>
      </c>
      <c r="B27" s="3">
        <v>1</v>
      </c>
      <c r="C27" s="3">
        <v>8</v>
      </c>
      <c r="D27" s="3">
        <v>5</v>
      </c>
      <c r="E27" s="3">
        <f>((1/(INDEX(E0!J$4:J$28,C27,1)-INDEX(E0!J$4:J$28,D27,1))))*100000000</f>
        <v>0</v>
      </c>
      <c r="F27" s="4" t="str">
        <f>HYPERLINK("http://141.218.60.56/~jnz1568/getInfo.php?workbook=10_01.xlsx&amp;sheet=A0&amp;row=27&amp;col=6&amp;number=&amp;sourceID=18","")</f>
        <v/>
      </c>
      <c r="G27" s="4" t="str">
        <f>HYPERLINK("http://141.218.60.56/~jnz1568/getInfo.php?workbook=10_01.xlsx&amp;sheet=A0&amp;row=27&amp;col=7&amp;number==&amp;sourceID=11","=")</f>
        <v>=</v>
      </c>
      <c r="H27" s="4" t="str">
        <f>HYPERLINK("http://141.218.60.56/~jnz1568/getInfo.php?workbook=10_01.xlsx&amp;sheet=A0&amp;row=27&amp;col=8&amp;number=&amp;sourceID=11","")</f>
        <v/>
      </c>
      <c r="I27" s="4" t="str">
        <f>HYPERLINK("http://141.218.60.56/~jnz1568/getInfo.php?workbook=10_01.xlsx&amp;sheet=A0&amp;row=27&amp;col=9&amp;number=1.0912e-07&amp;sourceID=11","1.0912e-07")</f>
        <v>1.0912e-07</v>
      </c>
      <c r="J27" s="4" t="str">
        <f>HYPERLINK("http://141.218.60.56/~jnz1568/getInfo.php?workbook=10_01.xlsx&amp;sheet=A0&amp;row=27&amp;col=10&amp;number=&amp;sourceID=11","")</f>
        <v/>
      </c>
      <c r="K27" s="4" t="str">
        <f>HYPERLINK("http://141.218.60.56/~jnz1568/getInfo.php?workbook=10_01.xlsx&amp;sheet=A0&amp;row=27&amp;col=11&amp;number=0.011509&amp;sourceID=11","0.011509")</f>
        <v>0.011509</v>
      </c>
      <c r="L27" s="4" t="str">
        <f>HYPERLINK("http://141.218.60.56/~jnz1568/getInfo.php?workbook=10_01.xlsx&amp;sheet=A0&amp;row=27&amp;col=12&amp;number=&amp;sourceID=11","")</f>
        <v/>
      </c>
      <c r="M27" s="4" t="str">
        <f>HYPERLINK("http://141.218.60.56/~jnz1568/getInfo.php?workbook=10_01.xlsx&amp;sheet=A0&amp;row=27&amp;col=13&amp;number=&amp;sourceID=11","")</f>
        <v/>
      </c>
      <c r="N27" s="4" t="str">
        <f>HYPERLINK("http://141.218.60.56/~jnz1568/getInfo.php?workbook=10_01.xlsx&amp;sheet=A0&amp;row=27&amp;col=14&amp;number=0.011509&amp;sourceID=12","0.011509")</f>
        <v>0.011509</v>
      </c>
      <c r="O27" s="4" t="str">
        <f>HYPERLINK("http://141.218.60.56/~jnz1568/getInfo.php?workbook=10_01.xlsx&amp;sheet=A0&amp;row=27&amp;col=15&amp;number=&amp;sourceID=12","")</f>
        <v/>
      </c>
      <c r="P27" s="4" t="str">
        <f>HYPERLINK("http://141.218.60.56/~jnz1568/getInfo.php?workbook=10_01.xlsx&amp;sheet=A0&amp;row=27&amp;col=16&amp;number=1.0912e-07&amp;sourceID=12","1.0912e-07")</f>
        <v>1.0912e-07</v>
      </c>
      <c r="Q27" s="4" t="str">
        <f>HYPERLINK("http://141.218.60.56/~jnz1568/getInfo.php?workbook=10_01.xlsx&amp;sheet=A0&amp;row=27&amp;col=17&amp;number=&amp;sourceID=12","")</f>
        <v/>
      </c>
      <c r="R27" s="4" t="str">
        <f>HYPERLINK("http://141.218.60.56/~jnz1568/getInfo.php?workbook=10_01.xlsx&amp;sheet=A0&amp;row=27&amp;col=18&amp;number=0.011509&amp;sourceID=12","0.011509")</f>
        <v>0.011509</v>
      </c>
      <c r="S27" s="4" t="str">
        <f>HYPERLINK("http://141.218.60.56/~jnz1568/getInfo.php?workbook=10_01.xlsx&amp;sheet=A0&amp;row=27&amp;col=19&amp;number=&amp;sourceID=12","")</f>
        <v/>
      </c>
      <c r="T27" s="4" t="str">
        <f>HYPERLINK("http://141.218.60.56/~jnz1568/getInfo.php?workbook=10_01.xlsx&amp;sheet=A0&amp;row=27&amp;col=20&amp;number=&amp;sourceID=12","")</f>
        <v/>
      </c>
      <c r="U27" s="4" t="str">
        <f>HYPERLINK("http://141.218.60.56/~jnz1568/getInfo.php?workbook=10_01.xlsx&amp;sheet=A0&amp;row=27&amp;col=21&amp;number=0.0115101091&amp;sourceID=30","0.0115101091")</f>
        <v>0.0115101091</v>
      </c>
      <c r="V27" s="4" t="str">
        <f>HYPERLINK("http://141.218.60.56/~jnz1568/getInfo.php?workbook=10_01.xlsx&amp;sheet=A0&amp;row=27&amp;col=22&amp;number=&amp;sourceID=30","")</f>
        <v/>
      </c>
      <c r="W27" s="4" t="str">
        <f>HYPERLINK("http://141.218.60.56/~jnz1568/getInfo.php?workbook=10_01.xlsx&amp;sheet=A0&amp;row=27&amp;col=23&amp;number=1.091e-07&amp;sourceID=30","1.091e-07")</f>
        <v>1.091e-07</v>
      </c>
      <c r="X27" s="4" t="str">
        <f>HYPERLINK("http://141.218.60.56/~jnz1568/getInfo.php?workbook=10_01.xlsx&amp;sheet=A0&amp;row=27&amp;col=24&amp;number=0.01151&amp;sourceID=30","0.01151")</f>
        <v>0.01151</v>
      </c>
      <c r="Y27" s="4" t="str">
        <f>HYPERLINK("http://141.218.60.56/~jnz1568/getInfo.php?workbook=10_01.xlsx&amp;sheet=A0&amp;row=27&amp;col=25&amp;number=&amp;sourceID=30","")</f>
        <v/>
      </c>
      <c r="Z27" s="4" t="str">
        <f>HYPERLINK("http://141.218.60.56/~jnz1568/getInfo.php?workbook=10_01.xlsx&amp;sheet=A0&amp;row=27&amp;col=26&amp;number==&amp;sourceID=13","=")</f>
        <v>=</v>
      </c>
      <c r="AA27" s="4" t="str">
        <f>HYPERLINK("http://141.218.60.56/~jnz1568/getInfo.php?workbook=10_01.xlsx&amp;sheet=A0&amp;row=27&amp;col=27&amp;number=&amp;sourceID=13","")</f>
        <v/>
      </c>
      <c r="AB27" s="4" t="str">
        <f>HYPERLINK("http://141.218.60.56/~jnz1568/getInfo.php?workbook=10_01.xlsx&amp;sheet=A0&amp;row=27&amp;col=28&amp;number=1.06e-07&amp;sourceID=13","1.06e-07")</f>
        <v>1.06e-07</v>
      </c>
      <c r="AC27" s="4" t="str">
        <f>HYPERLINK("http://141.218.60.56/~jnz1568/getInfo.php?workbook=10_01.xlsx&amp;sheet=A0&amp;row=27&amp;col=29&amp;number=&amp;sourceID=13","")</f>
        <v/>
      </c>
      <c r="AD27" s="4" t="str">
        <f>HYPERLINK("http://141.218.60.56/~jnz1568/getInfo.php?workbook=10_01.xlsx&amp;sheet=A0&amp;row=27&amp;col=30&amp;number=0.0113&amp;sourceID=13","0.0113")</f>
        <v>0.0113</v>
      </c>
      <c r="AE27" s="4" t="str">
        <f>HYPERLINK("http://141.218.60.56/~jnz1568/getInfo.php?workbook=10_01.xlsx&amp;sheet=A0&amp;row=27&amp;col=31&amp;number=&amp;sourceID=13","")</f>
        <v/>
      </c>
      <c r="AF27" s="4" t="str">
        <f>HYPERLINK("http://141.218.60.56/~jnz1568/getInfo.php?workbook=10_01.xlsx&amp;sheet=A0&amp;row=27&amp;col=32&amp;number=&amp;sourceID=20","")</f>
        <v/>
      </c>
    </row>
    <row r="28" spans="1:32">
      <c r="A28" s="3">
        <v>10</v>
      </c>
      <c r="B28" s="3">
        <v>1</v>
      </c>
      <c r="C28" s="3">
        <v>8</v>
      </c>
      <c r="D28" s="3">
        <v>6</v>
      </c>
      <c r="E28" s="3">
        <f>((1/(INDEX(E0!J$4:J$28,C28,1)-INDEX(E0!J$4:J$28,D28,1))))*100000000</f>
        <v>0</v>
      </c>
      <c r="F28" s="4" t="str">
        <f>HYPERLINK("http://141.218.60.56/~jnz1568/getInfo.php?workbook=10_01.xlsx&amp;sheet=A0&amp;row=28&amp;col=6&amp;number=&amp;sourceID=18","")</f>
        <v/>
      </c>
      <c r="G28" s="4" t="str">
        <f>HYPERLINK("http://141.218.60.56/~jnz1568/getInfo.php?workbook=10_01.xlsx&amp;sheet=A0&amp;row=28&amp;col=7&amp;number==&amp;sourceID=11","=")</f>
        <v>=</v>
      </c>
      <c r="H28" s="4" t="str">
        <f>HYPERLINK("http://141.218.60.56/~jnz1568/getInfo.php?workbook=10_01.xlsx&amp;sheet=A0&amp;row=28&amp;col=8&amp;number=1398.9&amp;sourceID=11","1398.9")</f>
        <v>1398.9</v>
      </c>
      <c r="I28" s="4" t="str">
        <f>HYPERLINK("http://141.218.60.56/~jnz1568/getInfo.php?workbook=10_01.xlsx&amp;sheet=A0&amp;row=28&amp;col=9&amp;number=&amp;sourceID=11","")</f>
        <v/>
      </c>
      <c r="J28" s="4" t="str">
        <f>HYPERLINK("http://141.218.60.56/~jnz1568/getInfo.php?workbook=10_01.xlsx&amp;sheet=A0&amp;row=28&amp;col=10&amp;number=&amp;sourceID=11","")</f>
        <v/>
      </c>
      <c r="K28" s="4" t="str">
        <f>HYPERLINK("http://141.218.60.56/~jnz1568/getInfo.php?workbook=10_01.xlsx&amp;sheet=A0&amp;row=28&amp;col=11&amp;number=&amp;sourceID=11","")</f>
        <v/>
      </c>
      <c r="L28" s="4" t="str">
        <f>HYPERLINK("http://141.218.60.56/~jnz1568/getInfo.php?workbook=10_01.xlsx&amp;sheet=A0&amp;row=28&amp;col=12&amp;number=1.8206e-11&amp;sourceID=11","1.8206e-11")</f>
        <v>1.8206e-11</v>
      </c>
      <c r="M28" s="4" t="str">
        <f>HYPERLINK("http://141.218.60.56/~jnz1568/getInfo.php?workbook=10_01.xlsx&amp;sheet=A0&amp;row=28&amp;col=13&amp;number=&amp;sourceID=11","")</f>
        <v/>
      </c>
      <c r="N28" s="4" t="str">
        <f>HYPERLINK("http://141.218.60.56/~jnz1568/getInfo.php?workbook=10_01.xlsx&amp;sheet=A0&amp;row=28&amp;col=14&amp;number=1399&amp;sourceID=12","1399")</f>
        <v>1399</v>
      </c>
      <c r="O28" s="4" t="str">
        <f>HYPERLINK("http://141.218.60.56/~jnz1568/getInfo.php?workbook=10_01.xlsx&amp;sheet=A0&amp;row=28&amp;col=15&amp;number=1399&amp;sourceID=12","1399")</f>
        <v>1399</v>
      </c>
      <c r="P28" s="4" t="str">
        <f>HYPERLINK("http://141.218.60.56/~jnz1568/getInfo.php?workbook=10_01.xlsx&amp;sheet=A0&amp;row=28&amp;col=16&amp;number=&amp;sourceID=12","")</f>
        <v/>
      </c>
      <c r="Q28" s="4" t="str">
        <f>HYPERLINK("http://141.218.60.56/~jnz1568/getInfo.php?workbook=10_01.xlsx&amp;sheet=A0&amp;row=28&amp;col=17&amp;number=&amp;sourceID=12","")</f>
        <v/>
      </c>
      <c r="R28" s="4" t="str">
        <f>HYPERLINK("http://141.218.60.56/~jnz1568/getInfo.php?workbook=10_01.xlsx&amp;sheet=A0&amp;row=28&amp;col=18&amp;number=&amp;sourceID=12","")</f>
        <v/>
      </c>
      <c r="S28" s="4" t="str">
        <f>HYPERLINK("http://141.218.60.56/~jnz1568/getInfo.php?workbook=10_01.xlsx&amp;sheet=A0&amp;row=28&amp;col=19&amp;number=1.8207e-11&amp;sourceID=12","1.8207e-11")</f>
        <v>1.8207e-11</v>
      </c>
      <c r="T28" s="4" t="str">
        <f>HYPERLINK("http://141.218.60.56/~jnz1568/getInfo.php?workbook=10_01.xlsx&amp;sheet=A0&amp;row=28&amp;col=20&amp;number=&amp;sourceID=12","")</f>
        <v/>
      </c>
      <c r="U28" s="4" t="str">
        <f>HYPERLINK("http://141.218.60.56/~jnz1568/getInfo.php?workbook=10_01.xlsx&amp;sheet=A0&amp;row=28&amp;col=21&amp;number=1399.0&amp;sourceID=30","1399.0")</f>
        <v>1399.0</v>
      </c>
      <c r="V28" s="4" t="str">
        <f>HYPERLINK("http://141.218.60.56/~jnz1568/getInfo.php?workbook=10_01.xlsx&amp;sheet=A0&amp;row=28&amp;col=22&amp;number=1399&amp;sourceID=30","1399")</f>
        <v>1399</v>
      </c>
      <c r="W28" s="4" t="str">
        <f>HYPERLINK("http://141.218.60.56/~jnz1568/getInfo.php?workbook=10_01.xlsx&amp;sheet=A0&amp;row=28&amp;col=23&amp;number=&amp;sourceID=30","")</f>
        <v/>
      </c>
      <c r="X28" s="4" t="str">
        <f>HYPERLINK("http://141.218.60.56/~jnz1568/getInfo.php?workbook=10_01.xlsx&amp;sheet=A0&amp;row=28&amp;col=24&amp;number=&amp;sourceID=30","")</f>
        <v/>
      </c>
      <c r="Y28" s="4" t="str">
        <f>HYPERLINK("http://141.218.60.56/~jnz1568/getInfo.php?workbook=10_01.xlsx&amp;sheet=A0&amp;row=28&amp;col=25&amp;number=1.821e-11&amp;sourceID=30","1.821e-11")</f>
        <v>1.821e-11</v>
      </c>
      <c r="Z28" s="4" t="str">
        <f>HYPERLINK("http://141.218.60.56/~jnz1568/getInfo.php?workbook=10_01.xlsx&amp;sheet=A0&amp;row=28&amp;col=26&amp;number==&amp;sourceID=13","=")</f>
        <v>=</v>
      </c>
      <c r="AA28" s="4" t="str">
        <f>HYPERLINK("http://141.218.60.56/~jnz1568/getInfo.php?workbook=10_01.xlsx&amp;sheet=A0&amp;row=28&amp;col=27&amp;number=1370&amp;sourceID=13","1370")</f>
        <v>1370</v>
      </c>
      <c r="AB28" s="4" t="str">
        <f>HYPERLINK("http://141.218.60.56/~jnz1568/getInfo.php?workbook=10_01.xlsx&amp;sheet=A0&amp;row=28&amp;col=28&amp;number=&amp;sourceID=13","")</f>
        <v/>
      </c>
      <c r="AC28" s="4" t="str">
        <f>HYPERLINK("http://141.218.60.56/~jnz1568/getInfo.php?workbook=10_01.xlsx&amp;sheet=A0&amp;row=28&amp;col=29&amp;number=&amp;sourceID=13","")</f>
        <v/>
      </c>
      <c r="AD28" s="4" t="str">
        <f>HYPERLINK("http://141.218.60.56/~jnz1568/getInfo.php?workbook=10_01.xlsx&amp;sheet=A0&amp;row=28&amp;col=30&amp;number=&amp;sourceID=13","")</f>
        <v/>
      </c>
      <c r="AE28" s="4" t="str">
        <f>HYPERLINK("http://141.218.60.56/~jnz1568/getInfo.php?workbook=10_01.xlsx&amp;sheet=A0&amp;row=28&amp;col=31&amp;number=&amp;sourceID=13","")</f>
        <v/>
      </c>
      <c r="AF28" s="4" t="str">
        <f>HYPERLINK("http://141.218.60.56/~jnz1568/getInfo.php?workbook=10_01.xlsx&amp;sheet=A0&amp;row=28&amp;col=32&amp;number=&amp;sourceID=20","")</f>
        <v/>
      </c>
    </row>
    <row r="29" spans="1:32">
      <c r="A29" s="3">
        <v>10</v>
      </c>
      <c r="B29" s="3">
        <v>1</v>
      </c>
      <c r="C29" s="3">
        <v>9</v>
      </c>
      <c r="D29" s="3">
        <v>1</v>
      </c>
      <c r="E29" s="3">
        <f>((1/(INDEX(E0!J$4:J$28,C29,1)-INDEX(E0!J$4:J$28,D29,1))))*100000000</f>
        <v>0</v>
      </c>
      <c r="F29" s="4" t="str">
        <f>HYPERLINK("http://141.218.60.56/~jnz1568/getInfo.php?workbook=10_01.xlsx&amp;sheet=A0&amp;row=29&amp;col=6&amp;number=&amp;sourceID=18","")</f>
        <v/>
      </c>
      <c r="G29" s="4" t="str">
        <f>HYPERLINK("http://141.218.60.56/~jnz1568/getInfo.php?workbook=10_01.xlsx&amp;sheet=A0&amp;row=29&amp;col=7&amp;number==&amp;sourceID=11","=")</f>
        <v>=</v>
      </c>
      <c r="H29" s="4" t="str">
        <f>HYPERLINK("http://141.218.60.56/~jnz1568/getInfo.php?workbook=10_01.xlsx&amp;sheet=A0&amp;row=29&amp;col=8&amp;number=&amp;sourceID=11","")</f>
        <v/>
      </c>
      <c r="I29" s="4" t="str">
        <f>HYPERLINK("http://141.218.60.56/~jnz1568/getInfo.php?workbook=10_01.xlsx&amp;sheet=A0&amp;row=29&amp;col=9&amp;number=591510000&amp;sourceID=11","591510000")</f>
        <v>591510000</v>
      </c>
      <c r="J29" s="4" t="str">
        <f>HYPERLINK("http://141.218.60.56/~jnz1568/getInfo.php?workbook=10_01.xlsx&amp;sheet=A0&amp;row=29&amp;col=10&amp;number=&amp;sourceID=11","")</f>
        <v/>
      </c>
      <c r="K29" s="4" t="str">
        <f>HYPERLINK("http://141.218.60.56/~jnz1568/getInfo.php?workbook=10_01.xlsx&amp;sheet=A0&amp;row=29&amp;col=11&amp;number=&amp;sourceID=11","")</f>
        <v/>
      </c>
      <c r="L29" s="4" t="str">
        <f>HYPERLINK("http://141.218.60.56/~jnz1568/getInfo.php?workbook=10_01.xlsx&amp;sheet=A0&amp;row=29&amp;col=12&amp;number=&amp;sourceID=11","")</f>
        <v/>
      </c>
      <c r="M29" s="4" t="str">
        <f>HYPERLINK("http://141.218.60.56/~jnz1568/getInfo.php?workbook=10_01.xlsx&amp;sheet=A0&amp;row=29&amp;col=13&amp;number=738.89&amp;sourceID=11","738.89")</f>
        <v>738.89</v>
      </c>
      <c r="N29" s="4" t="str">
        <f>HYPERLINK("http://141.218.60.56/~jnz1568/getInfo.php?workbook=10_01.xlsx&amp;sheet=A0&amp;row=29&amp;col=14&amp;number=591530000&amp;sourceID=12","591530000")</f>
        <v>591530000</v>
      </c>
      <c r="O29" s="4" t="str">
        <f>HYPERLINK("http://141.218.60.56/~jnz1568/getInfo.php?workbook=10_01.xlsx&amp;sheet=A0&amp;row=29&amp;col=15&amp;number=&amp;sourceID=12","")</f>
        <v/>
      </c>
      <c r="P29" s="4" t="str">
        <f>HYPERLINK("http://141.218.60.56/~jnz1568/getInfo.php?workbook=10_01.xlsx&amp;sheet=A0&amp;row=29&amp;col=16&amp;number=591530000&amp;sourceID=12","591530000")</f>
        <v>591530000</v>
      </c>
      <c r="Q29" s="4" t="str">
        <f>HYPERLINK("http://141.218.60.56/~jnz1568/getInfo.php?workbook=10_01.xlsx&amp;sheet=A0&amp;row=29&amp;col=17&amp;number=&amp;sourceID=12","")</f>
        <v/>
      </c>
      <c r="R29" s="4" t="str">
        <f>HYPERLINK("http://141.218.60.56/~jnz1568/getInfo.php?workbook=10_01.xlsx&amp;sheet=A0&amp;row=29&amp;col=18&amp;number=&amp;sourceID=12","")</f>
        <v/>
      </c>
      <c r="S29" s="4" t="str">
        <f>HYPERLINK("http://141.218.60.56/~jnz1568/getInfo.php?workbook=10_01.xlsx&amp;sheet=A0&amp;row=29&amp;col=19&amp;number=&amp;sourceID=12","")</f>
        <v/>
      </c>
      <c r="T29" s="4" t="str">
        <f>HYPERLINK("http://141.218.60.56/~jnz1568/getInfo.php?workbook=10_01.xlsx&amp;sheet=A0&amp;row=29&amp;col=20&amp;number=738.91&amp;sourceID=12","738.91")</f>
        <v>738.91</v>
      </c>
      <c r="U29" s="4" t="str">
        <f>HYPERLINK("http://141.218.60.56/~jnz1568/getInfo.php?workbook=10_01.xlsx&amp;sheet=A0&amp;row=29&amp;col=21&amp;number=591500000&amp;sourceID=30","591500000")</f>
        <v>591500000</v>
      </c>
      <c r="V29" s="4" t="str">
        <f>HYPERLINK("http://141.218.60.56/~jnz1568/getInfo.php?workbook=10_01.xlsx&amp;sheet=A0&amp;row=29&amp;col=22&amp;number=&amp;sourceID=30","")</f>
        <v/>
      </c>
      <c r="W29" s="4" t="str">
        <f>HYPERLINK("http://141.218.60.56/~jnz1568/getInfo.php?workbook=10_01.xlsx&amp;sheet=A0&amp;row=29&amp;col=23&amp;number=591500000&amp;sourceID=30","591500000")</f>
        <v>591500000</v>
      </c>
      <c r="X29" s="4" t="str">
        <f>HYPERLINK("http://141.218.60.56/~jnz1568/getInfo.php?workbook=10_01.xlsx&amp;sheet=A0&amp;row=29&amp;col=24&amp;number=&amp;sourceID=30","")</f>
        <v/>
      </c>
      <c r="Y29" s="4" t="str">
        <f>HYPERLINK("http://141.218.60.56/~jnz1568/getInfo.php?workbook=10_01.xlsx&amp;sheet=A0&amp;row=29&amp;col=25&amp;number=&amp;sourceID=30","")</f>
        <v/>
      </c>
      <c r="Z29" s="4" t="str">
        <f>HYPERLINK("http://141.218.60.56/~jnz1568/getInfo.php?workbook=10_01.xlsx&amp;sheet=A0&amp;row=29&amp;col=26&amp;number==&amp;sourceID=13","=")</f>
        <v>=</v>
      </c>
      <c r="AA29" s="4" t="str">
        <f>HYPERLINK("http://141.218.60.56/~jnz1568/getInfo.php?workbook=10_01.xlsx&amp;sheet=A0&amp;row=29&amp;col=27&amp;number=&amp;sourceID=13","")</f>
        <v/>
      </c>
      <c r="AB29" s="4" t="str">
        <f>HYPERLINK("http://141.218.60.56/~jnz1568/getInfo.php?workbook=10_01.xlsx&amp;sheet=A0&amp;row=29&amp;col=28&amp;number=601000000&amp;sourceID=13","601000000")</f>
        <v>601000000</v>
      </c>
      <c r="AC29" s="4" t="str">
        <f>HYPERLINK("http://141.218.60.56/~jnz1568/getInfo.php?workbook=10_01.xlsx&amp;sheet=A0&amp;row=29&amp;col=29&amp;number=&amp;sourceID=13","")</f>
        <v/>
      </c>
      <c r="AD29" s="4" t="str">
        <f>HYPERLINK("http://141.218.60.56/~jnz1568/getInfo.php?workbook=10_01.xlsx&amp;sheet=A0&amp;row=29&amp;col=30&amp;number=&amp;sourceID=13","")</f>
        <v/>
      </c>
      <c r="AE29" s="4" t="str">
        <f>HYPERLINK("http://141.218.60.56/~jnz1568/getInfo.php?workbook=10_01.xlsx&amp;sheet=A0&amp;row=29&amp;col=31&amp;number=&amp;sourceID=13","")</f>
        <v/>
      </c>
      <c r="AF29" s="4" t="str">
        <f>HYPERLINK("http://141.218.60.56/~jnz1568/getInfo.php?workbook=10_01.xlsx&amp;sheet=A0&amp;row=29&amp;col=32&amp;number=&amp;sourceID=20","")</f>
        <v/>
      </c>
    </row>
    <row r="30" spans="1:32">
      <c r="A30" s="3">
        <v>10</v>
      </c>
      <c r="B30" s="3">
        <v>1</v>
      </c>
      <c r="C30" s="3">
        <v>9</v>
      </c>
      <c r="D30" s="3">
        <v>2</v>
      </c>
      <c r="E30" s="3">
        <f>((1/(INDEX(E0!J$4:J$28,C30,1)-INDEX(E0!J$4:J$28,D30,1))))*100000000</f>
        <v>0</v>
      </c>
      <c r="F30" s="4" t="str">
        <f>HYPERLINK("http://141.218.60.56/~jnz1568/getInfo.php?workbook=10_01.xlsx&amp;sheet=A0&amp;row=30&amp;col=6&amp;number=&amp;sourceID=18","")</f>
        <v/>
      </c>
      <c r="G30" s="4" t="str">
        <f>HYPERLINK("http://141.218.60.56/~jnz1568/getInfo.php?workbook=10_01.xlsx&amp;sheet=A0&amp;row=30&amp;col=7&amp;number==&amp;sourceID=11","=")</f>
        <v>=</v>
      </c>
      <c r="H30" s="4" t="str">
        <f>HYPERLINK("http://141.218.60.56/~jnz1568/getInfo.php?workbook=10_01.xlsx&amp;sheet=A0&amp;row=30&amp;col=8&amp;number=&amp;sourceID=11","")</f>
        <v/>
      </c>
      <c r="I30" s="4" t="str">
        <f>HYPERLINK("http://141.218.60.56/~jnz1568/getInfo.php?workbook=10_01.xlsx&amp;sheet=A0&amp;row=30&amp;col=9&amp;number=&amp;sourceID=11","")</f>
        <v/>
      </c>
      <c r="J30" s="4" t="str">
        <f>HYPERLINK("http://141.218.60.56/~jnz1568/getInfo.php?workbook=10_01.xlsx&amp;sheet=A0&amp;row=30&amp;col=10&amp;number=1270.3&amp;sourceID=11","1270.3")</f>
        <v>1270.3</v>
      </c>
      <c r="K30" s="4" t="str">
        <f>HYPERLINK("http://141.218.60.56/~jnz1568/getInfo.php?workbook=10_01.xlsx&amp;sheet=A0&amp;row=30&amp;col=11&amp;number=&amp;sourceID=11","")</f>
        <v/>
      </c>
      <c r="L30" s="4" t="str">
        <f>HYPERLINK("http://141.218.60.56/~jnz1568/getInfo.php?workbook=10_01.xlsx&amp;sheet=A0&amp;row=30&amp;col=12&amp;number=3961.6&amp;sourceID=11","3961.6")</f>
        <v>3961.6</v>
      </c>
      <c r="M30" s="4" t="str">
        <f>HYPERLINK("http://141.218.60.56/~jnz1568/getInfo.php?workbook=10_01.xlsx&amp;sheet=A0&amp;row=30&amp;col=13&amp;number=&amp;sourceID=11","")</f>
        <v/>
      </c>
      <c r="N30" s="4" t="str">
        <f>HYPERLINK("http://141.218.60.56/~jnz1568/getInfo.php?workbook=10_01.xlsx&amp;sheet=A0&amp;row=30&amp;col=14&amp;number=5232.1&amp;sourceID=12","5232.1")</f>
        <v>5232.1</v>
      </c>
      <c r="O30" s="4" t="str">
        <f>HYPERLINK("http://141.218.60.56/~jnz1568/getInfo.php?workbook=10_01.xlsx&amp;sheet=A0&amp;row=30&amp;col=15&amp;number=&amp;sourceID=12","")</f>
        <v/>
      </c>
      <c r="P30" s="4" t="str">
        <f>HYPERLINK("http://141.218.60.56/~jnz1568/getInfo.php?workbook=10_01.xlsx&amp;sheet=A0&amp;row=30&amp;col=16&amp;number=&amp;sourceID=12","")</f>
        <v/>
      </c>
      <c r="Q30" s="4" t="str">
        <f>HYPERLINK("http://141.218.60.56/~jnz1568/getInfo.php?workbook=10_01.xlsx&amp;sheet=A0&amp;row=30&amp;col=17&amp;number=1270.4&amp;sourceID=12","1270.4")</f>
        <v>1270.4</v>
      </c>
      <c r="R30" s="4" t="str">
        <f>HYPERLINK("http://141.218.60.56/~jnz1568/getInfo.php?workbook=10_01.xlsx&amp;sheet=A0&amp;row=30&amp;col=18&amp;number=&amp;sourceID=12","")</f>
        <v/>
      </c>
      <c r="S30" s="4" t="str">
        <f>HYPERLINK("http://141.218.60.56/~jnz1568/getInfo.php?workbook=10_01.xlsx&amp;sheet=A0&amp;row=30&amp;col=19&amp;number=3961.7&amp;sourceID=12","3961.7")</f>
        <v>3961.7</v>
      </c>
      <c r="T30" s="4" t="str">
        <f>HYPERLINK("http://141.218.60.56/~jnz1568/getInfo.php?workbook=10_01.xlsx&amp;sheet=A0&amp;row=30&amp;col=20&amp;number=&amp;sourceID=12","")</f>
        <v/>
      </c>
      <c r="U30" s="4" t="str">
        <f>HYPERLINK("http://141.218.60.56/~jnz1568/getInfo.php?workbook=10_01.xlsx&amp;sheet=A0&amp;row=30&amp;col=21&amp;number=3962&amp;sourceID=30","3962")</f>
        <v>3962</v>
      </c>
      <c r="V30" s="4" t="str">
        <f>HYPERLINK("http://141.218.60.56/~jnz1568/getInfo.php?workbook=10_01.xlsx&amp;sheet=A0&amp;row=30&amp;col=22&amp;number=&amp;sourceID=30","")</f>
        <v/>
      </c>
      <c r="W30" s="4" t="str">
        <f>HYPERLINK("http://141.218.60.56/~jnz1568/getInfo.php?workbook=10_01.xlsx&amp;sheet=A0&amp;row=30&amp;col=23&amp;number=&amp;sourceID=30","")</f>
        <v/>
      </c>
      <c r="X30" s="4" t="str">
        <f>HYPERLINK("http://141.218.60.56/~jnz1568/getInfo.php?workbook=10_01.xlsx&amp;sheet=A0&amp;row=30&amp;col=24&amp;number=&amp;sourceID=30","")</f>
        <v/>
      </c>
      <c r="Y30" s="4" t="str">
        <f>HYPERLINK("http://141.218.60.56/~jnz1568/getInfo.php?workbook=10_01.xlsx&amp;sheet=A0&amp;row=30&amp;col=25&amp;number=3962&amp;sourceID=30","3962")</f>
        <v>3962</v>
      </c>
      <c r="Z30" s="4" t="str">
        <f>HYPERLINK("http://141.218.60.56/~jnz1568/getInfo.php?workbook=10_01.xlsx&amp;sheet=A0&amp;row=30&amp;col=26&amp;number==&amp;sourceID=13","=")</f>
        <v>=</v>
      </c>
      <c r="AA30" s="4" t="str">
        <f>HYPERLINK("http://141.218.60.56/~jnz1568/getInfo.php?workbook=10_01.xlsx&amp;sheet=A0&amp;row=30&amp;col=27&amp;number=&amp;sourceID=13","")</f>
        <v/>
      </c>
      <c r="AB30" s="4" t="str">
        <f>HYPERLINK("http://141.218.60.56/~jnz1568/getInfo.php?workbook=10_01.xlsx&amp;sheet=A0&amp;row=30&amp;col=28&amp;number=&amp;sourceID=13","")</f>
        <v/>
      </c>
      <c r="AC30" s="4" t="str">
        <f>HYPERLINK("http://141.218.60.56/~jnz1568/getInfo.php?workbook=10_01.xlsx&amp;sheet=A0&amp;row=30&amp;col=29&amp;number=1970&amp;sourceID=13","1970")</f>
        <v>1970</v>
      </c>
      <c r="AD30" s="4" t="str">
        <f>HYPERLINK("http://141.218.60.56/~jnz1568/getInfo.php?workbook=10_01.xlsx&amp;sheet=A0&amp;row=30&amp;col=30&amp;number=&amp;sourceID=13","")</f>
        <v/>
      </c>
      <c r="AE30" s="4" t="str">
        <f>HYPERLINK("http://141.218.60.56/~jnz1568/getInfo.php?workbook=10_01.xlsx&amp;sheet=A0&amp;row=30&amp;col=31&amp;number=15800&amp;sourceID=13","15800")</f>
        <v>15800</v>
      </c>
      <c r="AF30" s="4" t="str">
        <f>HYPERLINK("http://141.218.60.56/~jnz1568/getInfo.php?workbook=10_01.xlsx&amp;sheet=A0&amp;row=30&amp;col=32&amp;number=5232&amp;sourceID=20","5232")</f>
        <v>5232</v>
      </c>
    </row>
    <row r="31" spans="1:32">
      <c r="A31" s="3">
        <v>10</v>
      </c>
      <c r="B31" s="3">
        <v>1</v>
      </c>
      <c r="C31" s="3">
        <v>9</v>
      </c>
      <c r="D31" s="3">
        <v>3</v>
      </c>
      <c r="E31" s="3">
        <f>((1/(INDEX(E0!J$4:J$28,C31,1)-INDEX(E0!J$4:J$28,D31,1))))*100000000</f>
        <v>0</v>
      </c>
      <c r="F31" s="4" t="str">
        <f>HYPERLINK("http://141.218.60.56/~jnz1568/getInfo.php?workbook=10_01.xlsx&amp;sheet=A0&amp;row=31&amp;col=6&amp;number=&amp;sourceID=18","")</f>
        <v/>
      </c>
      <c r="G31" s="4" t="str">
        <f>HYPERLINK("http://141.218.60.56/~jnz1568/getInfo.php?workbook=10_01.xlsx&amp;sheet=A0&amp;row=31&amp;col=7&amp;number==&amp;sourceID=11","=")</f>
        <v>=</v>
      </c>
      <c r="H31" s="4" t="str">
        <f>HYPERLINK("http://141.218.60.56/~jnz1568/getInfo.php?workbook=10_01.xlsx&amp;sheet=A0&amp;row=31&amp;col=8&amp;number=&amp;sourceID=11","")</f>
        <v/>
      </c>
      <c r="I31" s="4" t="str">
        <f>HYPERLINK("http://141.218.60.56/~jnz1568/getInfo.php?workbook=10_01.xlsx&amp;sheet=A0&amp;row=31&amp;col=9&amp;number=51387000&amp;sourceID=11","51387000")</f>
        <v>51387000</v>
      </c>
      <c r="J31" s="4" t="str">
        <f>HYPERLINK("http://141.218.60.56/~jnz1568/getInfo.php?workbook=10_01.xlsx&amp;sheet=A0&amp;row=31&amp;col=10&amp;number=&amp;sourceID=11","")</f>
        <v/>
      </c>
      <c r="K31" s="4" t="str">
        <f>HYPERLINK("http://141.218.60.56/~jnz1568/getInfo.php?workbook=10_01.xlsx&amp;sheet=A0&amp;row=31&amp;col=11&amp;number=&amp;sourceID=11","")</f>
        <v/>
      </c>
      <c r="L31" s="4" t="str">
        <f>HYPERLINK("http://141.218.60.56/~jnz1568/getInfo.php?workbook=10_01.xlsx&amp;sheet=A0&amp;row=31&amp;col=12&amp;number=&amp;sourceID=11","")</f>
        <v/>
      </c>
      <c r="M31" s="4" t="str">
        <f>HYPERLINK("http://141.218.60.56/~jnz1568/getInfo.php?workbook=10_01.xlsx&amp;sheet=A0&amp;row=31&amp;col=13&amp;number=1.5705&amp;sourceID=11","1.5705")</f>
        <v>1.5705</v>
      </c>
      <c r="N31" s="4" t="str">
        <f>HYPERLINK("http://141.218.60.56/~jnz1568/getInfo.php?workbook=10_01.xlsx&amp;sheet=A0&amp;row=31&amp;col=14&amp;number=51388000&amp;sourceID=12","51388000")</f>
        <v>51388000</v>
      </c>
      <c r="O31" s="4" t="str">
        <f>HYPERLINK("http://141.218.60.56/~jnz1568/getInfo.php?workbook=10_01.xlsx&amp;sheet=A0&amp;row=31&amp;col=15&amp;number=&amp;sourceID=12","")</f>
        <v/>
      </c>
      <c r="P31" s="4" t="str">
        <f>HYPERLINK("http://141.218.60.56/~jnz1568/getInfo.php?workbook=10_01.xlsx&amp;sheet=A0&amp;row=31&amp;col=16&amp;number=51388000&amp;sourceID=12","51388000")</f>
        <v>51388000</v>
      </c>
      <c r="Q31" s="4" t="str">
        <f>HYPERLINK("http://141.218.60.56/~jnz1568/getInfo.php?workbook=10_01.xlsx&amp;sheet=A0&amp;row=31&amp;col=17&amp;number=&amp;sourceID=12","")</f>
        <v/>
      </c>
      <c r="R31" s="4" t="str">
        <f>HYPERLINK("http://141.218.60.56/~jnz1568/getInfo.php?workbook=10_01.xlsx&amp;sheet=A0&amp;row=31&amp;col=18&amp;number=&amp;sourceID=12","")</f>
        <v/>
      </c>
      <c r="S31" s="4" t="str">
        <f>HYPERLINK("http://141.218.60.56/~jnz1568/getInfo.php?workbook=10_01.xlsx&amp;sheet=A0&amp;row=31&amp;col=19&amp;number=&amp;sourceID=12","")</f>
        <v/>
      </c>
      <c r="T31" s="4" t="str">
        <f>HYPERLINK("http://141.218.60.56/~jnz1568/getInfo.php?workbook=10_01.xlsx&amp;sheet=A0&amp;row=31&amp;col=20&amp;number=1.5705&amp;sourceID=12","1.5705")</f>
        <v>1.5705</v>
      </c>
      <c r="U31" s="4" t="str">
        <f>HYPERLINK("http://141.218.60.56/~jnz1568/getInfo.php?workbook=10_01.xlsx&amp;sheet=A0&amp;row=31&amp;col=21&amp;number=51390000&amp;sourceID=30","51390000")</f>
        <v>51390000</v>
      </c>
      <c r="V31" s="4" t="str">
        <f>HYPERLINK("http://141.218.60.56/~jnz1568/getInfo.php?workbook=10_01.xlsx&amp;sheet=A0&amp;row=31&amp;col=22&amp;number=&amp;sourceID=30","")</f>
        <v/>
      </c>
      <c r="W31" s="4" t="str">
        <f>HYPERLINK("http://141.218.60.56/~jnz1568/getInfo.php?workbook=10_01.xlsx&amp;sheet=A0&amp;row=31&amp;col=23&amp;number=51390000&amp;sourceID=30","51390000")</f>
        <v>51390000</v>
      </c>
      <c r="X31" s="4" t="str">
        <f>HYPERLINK("http://141.218.60.56/~jnz1568/getInfo.php?workbook=10_01.xlsx&amp;sheet=A0&amp;row=31&amp;col=24&amp;number=&amp;sourceID=30","")</f>
        <v/>
      </c>
      <c r="Y31" s="4" t="str">
        <f>HYPERLINK("http://141.218.60.56/~jnz1568/getInfo.php?workbook=10_01.xlsx&amp;sheet=A0&amp;row=31&amp;col=25&amp;number=&amp;sourceID=30","")</f>
        <v/>
      </c>
      <c r="Z31" s="4" t="str">
        <f>HYPERLINK("http://141.218.60.56/~jnz1568/getInfo.php?workbook=10_01.xlsx&amp;sheet=A0&amp;row=31&amp;col=26&amp;number==&amp;sourceID=13","=")</f>
        <v>=</v>
      </c>
      <c r="AA31" s="4" t="str">
        <f>HYPERLINK("http://141.218.60.56/~jnz1568/getInfo.php?workbook=10_01.xlsx&amp;sheet=A0&amp;row=31&amp;col=27&amp;number=&amp;sourceID=13","")</f>
        <v/>
      </c>
      <c r="AB31" s="4" t="str">
        <f>HYPERLINK("http://141.218.60.56/~jnz1568/getInfo.php?workbook=10_01.xlsx&amp;sheet=A0&amp;row=31&amp;col=28&amp;number=51400000&amp;sourceID=13","51400000")</f>
        <v>51400000</v>
      </c>
      <c r="AC31" s="4" t="str">
        <f>HYPERLINK("http://141.218.60.56/~jnz1568/getInfo.php?workbook=10_01.xlsx&amp;sheet=A0&amp;row=31&amp;col=29&amp;number=&amp;sourceID=13","")</f>
        <v/>
      </c>
      <c r="AD31" s="4" t="str">
        <f>HYPERLINK("http://141.218.60.56/~jnz1568/getInfo.php?workbook=10_01.xlsx&amp;sheet=A0&amp;row=31&amp;col=30&amp;number=&amp;sourceID=13","")</f>
        <v/>
      </c>
      <c r="AE31" s="4" t="str">
        <f>HYPERLINK("http://141.218.60.56/~jnz1568/getInfo.php?workbook=10_01.xlsx&amp;sheet=A0&amp;row=31&amp;col=31&amp;number=&amp;sourceID=13","")</f>
        <v/>
      </c>
      <c r="AF31" s="4" t="str">
        <f>HYPERLINK("http://141.218.60.56/~jnz1568/getInfo.php?workbook=10_01.xlsx&amp;sheet=A0&amp;row=31&amp;col=32&amp;number=51387000&amp;sourceID=20","51387000")</f>
        <v>51387000</v>
      </c>
    </row>
    <row r="32" spans="1:32">
      <c r="A32" s="3">
        <v>10</v>
      </c>
      <c r="B32" s="3">
        <v>1</v>
      </c>
      <c r="C32" s="3">
        <v>9</v>
      </c>
      <c r="D32" s="3">
        <v>4</v>
      </c>
      <c r="E32" s="3">
        <f>((1/(INDEX(E0!J$4:J$28,C32,1)-INDEX(E0!J$4:J$28,D32,1))))*100000000</f>
        <v>0</v>
      </c>
      <c r="F32" s="4" t="str">
        <f>HYPERLINK("http://141.218.60.56/~jnz1568/getInfo.php?workbook=10_01.xlsx&amp;sheet=A0&amp;row=32&amp;col=6&amp;number=&amp;sourceID=18","")</f>
        <v/>
      </c>
      <c r="G32" s="4" t="str">
        <f>HYPERLINK("http://141.218.60.56/~jnz1568/getInfo.php?workbook=10_01.xlsx&amp;sheet=A0&amp;row=32&amp;col=7&amp;number==&amp;sourceID=11","=")</f>
        <v>=</v>
      </c>
      <c r="H32" s="4" t="str">
        <f>HYPERLINK("http://141.218.60.56/~jnz1568/getInfo.php?workbook=10_01.xlsx&amp;sheet=A0&amp;row=32&amp;col=8&amp;number=646700000000&amp;sourceID=11","646700000000")</f>
        <v>646700000000</v>
      </c>
      <c r="I32" s="4" t="str">
        <f>HYPERLINK("http://141.218.60.56/~jnz1568/getInfo.php?workbook=10_01.xlsx&amp;sheet=A0&amp;row=32&amp;col=9&amp;number=&amp;sourceID=11","")</f>
        <v/>
      </c>
      <c r="J32" s="4" t="str">
        <f>HYPERLINK("http://141.218.60.56/~jnz1568/getInfo.php?workbook=10_01.xlsx&amp;sheet=A0&amp;row=32&amp;col=10&amp;number=1007.1&amp;sourceID=11","1007.1")</f>
        <v>1007.1</v>
      </c>
      <c r="K32" s="4" t="str">
        <f>HYPERLINK("http://141.218.60.56/~jnz1568/getInfo.php?workbook=10_01.xlsx&amp;sheet=A0&amp;row=32&amp;col=11&amp;number=&amp;sourceID=11","")</f>
        <v/>
      </c>
      <c r="L32" s="4" t="str">
        <f>HYPERLINK("http://141.218.60.56/~jnz1568/getInfo.php?workbook=10_01.xlsx&amp;sheet=A0&amp;row=32&amp;col=12&amp;number=21508&amp;sourceID=11","21508")</f>
        <v>21508</v>
      </c>
      <c r="M32" s="4" t="str">
        <f>HYPERLINK("http://141.218.60.56/~jnz1568/getInfo.php?workbook=10_01.xlsx&amp;sheet=A0&amp;row=32&amp;col=13&amp;number=&amp;sourceID=11","")</f>
        <v/>
      </c>
      <c r="N32" s="4" t="str">
        <f>HYPERLINK("http://141.218.60.56/~jnz1568/getInfo.php?workbook=10_01.xlsx&amp;sheet=A0&amp;row=32&amp;col=14&amp;number=646710000000&amp;sourceID=12","646710000000")</f>
        <v>646710000000</v>
      </c>
      <c r="O32" s="4" t="str">
        <f>HYPERLINK("http://141.218.60.56/~jnz1568/getInfo.php?workbook=10_01.xlsx&amp;sheet=A0&amp;row=32&amp;col=15&amp;number=646710000000&amp;sourceID=12","646710000000")</f>
        <v>646710000000</v>
      </c>
      <c r="P32" s="4" t="str">
        <f>HYPERLINK("http://141.218.60.56/~jnz1568/getInfo.php?workbook=10_01.xlsx&amp;sheet=A0&amp;row=32&amp;col=16&amp;number=&amp;sourceID=12","")</f>
        <v/>
      </c>
      <c r="Q32" s="4" t="str">
        <f>HYPERLINK("http://141.218.60.56/~jnz1568/getInfo.php?workbook=10_01.xlsx&amp;sheet=A0&amp;row=32&amp;col=17&amp;number=1007.2&amp;sourceID=12","1007.2")</f>
        <v>1007.2</v>
      </c>
      <c r="R32" s="4" t="str">
        <f>HYPERLINK("http://141.218.60.56/~jnz1568/getInfo.php?workbook=10_01.xlsx&amp;sheet=A0&amp;row=32&amp;col=18&amp;number=&amp;sourceID=12","")</f>
        <v/>
      </c>
      <c r="S32" s="4" t="str">
        <f>HYPERLINK("http://141.218.60.56/~jnz1568/getInfo.php?workbook=10_01.xlsx&amp;sheet=A0&amp;row=32&amp;col=19&amp;number=21509&amp;sourceID=12","21509")</f>
        <v>21509</v>
      </c>
      <c r="T32" s="4" t="str">
        <f>HYPERLINK("http://141.218.60.56/~jnz1568/getInfo.php?workbook=10_01.xlsx&amp;sheet=A0&amp;row=32&amp;col=20&amp;number=&amp;sourceID=12","")</f>
        <v/>
      </c>
      <c r="U32" s="4" t="str">
        <f>HYPERLINK("http://141.218.60.56/~jnz1568/getInfo.php?workbook=10_01.xlsx&amp;sheet=A0&amp;row=32&amp;col=21&amp;number=646700021510&amp;sourceID=30","646700021510")</f>
        <v>646700021510</v>
      </c>
      <c r="V32" s="4" t="str">
        <f>HYPERLINK("http://141.218.60.56/~jnz1568/getInfo.php?workbook=10_01.xlsx&amp;sheet=A0&amp;row=32&amp;col=22&amp;number=646700000000&amp;sourceID=30","646700000000")</f>
        <v>646700000000</v>
      </c>
      <c r="W32" s="4" t="str">
        <f>HYPERLINK("http://141.218.60.56/~jnz1568/getInfo.php?workbook=10_01.xlsx&amp;sheet=A0&amp;row=32&amp;col=23&amp;number=&amp;sourceID=30","")</f>
        <v/>
      </c>
      <c r="X32" s="4" t="str">
        <f>HYPERLINK("http://141.218.60.56/~jnz1568/getInfo.php?workbook=10_01.xlsx&amp;sheet=A0&amp;row=32&amp;col=24&amp;number=&amp;sourceID=30","")</f>
        <v/>
      </c>
      <c r="Y32" s="4" t="str">
        <f>HYPERLINK("http://141.218.60.56/~jnz1568/getInfo.php?workbook=10_01.xlsx&amp;sheet=A0&amp;row=32&amp;col=25&amp;number=21510&amp;sourceID=30","21510")</f>
        <v>21510</v>
      </c>
      <c r="Z32" s="4" t="str">
        <f>HYPERLINK("http://141.218.60.56/~jnz1568/getInfo.php?workbook=10_01.xlsx&amp;sheet=A0&amp;row=32&amp;col=26&amp;number==&amp;sourceID=13","=")</f>
        <v>=</v>
      </c>
      <c r="AA32" s="4" t="str">
        <f>HYPERLINK("http://141.218.60.56/~jnz1568/getInfo.php?workbook=10_01.xlsx&amp;sheet=A0&amp;row=32&amp;col=27&amp;number=647000000000&amp;sourceID=13","647000000000")</f>
        <v>647000000000</v>
      </c>
      <c r="AB32" s="4" t="str">
        <f>HYPERLINK("http://141.218.60.56/~jnz1568/getInfo.php?workbook=10_01.xlsx&amp;sheet=A0&amp;row=32&amp;col=28&amp;number=&amp;sourceID=13","")</f>
        <v/>
      </c>
      <c r="AC32" s="4" t="str">
        <f>HYPERLINK("http://141.218.60.56/~jnz1568/getInfo.php?workbook=10_01.xlsx&amp;sheet=A0&amp;row=32&amp;col=29&amp;number=&amp;sourceID=13","")</f>
        <v/>
      </c>
      <c r="AD32" s="4" t="str">
        <f>HYPERLINK("http://141.218.60.56/~jnz1568/getInfo.php?workbook=10_01.xlsx&amp;sheet=A0&amp;row=32&amp;col=30&amp;number=&amp;sourceID=13","")</f>
        <v/>
      </c>
      <c r="AE32" s="4" t="str">
        <f>HYPERLINK("http://141.218.60.56/~jnz1568/getInfo.php?workbook=10_01.xlsx&amp;sheet=A0&amp;row=32&amp;col=31&amp;number=&amp;sourceID=13","")</f>
        <v/>
      </c>
      <c r="AF32" s="4" t="str">
        <f>HYPERLINK("http://141.218.60.56/~jnz1568/getInfo.php?workbook=10_01.xlsx&amp;sheet=A0&amp;row=32&amp;col=32&amp;number=646700000000&amp;sourceID=20","646700000000")</f>
        <v>646700000000</v>
      </c>
    </row>
    <row r="33" spans="1:32">
      <c r="A33" s="3">
        <v>10</v>
      </c>
      <c r="B33" s="3">
        <v>1</v>
      </c>
      <c r="C33" s="3">
        <v>9</v>
      </c>
      <c r="D33" s="3">
        <v>5</v>
      </c>
      <c r="E33" s="3">
        <f>((1/(INDEX(E0!J$4:J$28,C33,1)-INDEX(E0!J$4:J$28,D33,1))))*100000000</f>
        <v>0</v>
      </c>
      <c r="F33" s="4" t="str">
        <f>HYPERLINK("http://141.218.60.56/~jnz1568/getInfo.php?workbook=10_01.xlsx&amp;sheet=A0&amp;row=33&amp;col=6&amp;number=&amp;sourceID=18","")</f>
        <v/>
      </c>
      <c r="G33" s="4" t="str">
        <f>HYPERLINK("http://141.218.60.56/~jnz1568/getInfo.php?workbook=10_01.xlsx&amp;sheet=A0&amp;row=33&amp;col=7&amp;number==&amp;sourceID=11","=")</f>
        <v>=</v>
      </c>
      <c r="H33" s="4" t="str">
        <f>HYPERLINK("http://141.218.60.56/~jnz1568/getInfo.php?workbook=10_01.xlsx&amp;sheet=A0&amp;row=33&amp;col=8&amp;number=&amp;sourceID=11","")</f>
        <v/>
      </c>
      <c r="I33" s="4" t="str">
        <f>HYPERLINK("http://141.218.60.56/~jnz1568/getInfo.php?workbook=10_01.xlsx&amp;sheet=A0&amp;row=33&amp;col=9&amp;number=&amp;sourceID=11","")</f>
        <v/>
      </c>
      <c r="J33" s="4" t="str">
        <f>HYPERLINK("http://141.218.60.56/~jnz1568/getInfo.php?workbook=10_01.xlsx&amp;sheet=A0&amp;row=33&amp;col=10&amp;number=0&amp;sourceID=11","0")</f>
        <v>0</v>
      </c>
      <c r="K33" s="4" t="str">
        <f>HYPERLINK("http://141.218.60.56/~jnz1568/getInfo.php?workbook=10_01.xlsx&amp;sheet=A0&amp;row=33&amp;col=11&amp;number=&amp;sourceID=11","")</f>
        <v/>
      </c>
      <c r="L33" s="4" t="str">
        <f>HYPERLINK("http://141.218.60.56/~jnz1568/getInfo.php?workbook=10_01.xlsx&amp;sheet=A0&amp;row=33&amp;col=12&amp;number=1.3617e-11&amp;sourceID=11","1.3617e-11")</f>
        <v>1.3617e-11</v>
      </c>
      <c r="M33" s="4" t="str">
        <f>HYPERLINK("http://141.218.60.56/~jnz1568/getInfo.php?workbook=10_01.xlsx&amp;sheet=A0&amp;row=33&amp;col=13&amp;number=&amp;sourceID=11","")</f>
        <v/>
      </c>
      <c r="N33" s="4" t="str">
        <f>HYPERLINK("http://141.218.60.56/~jnz1568/getInfo.php?workbook=10_01.xlsx&amp;sheet=A0&amp;row=33&amp;col=14&amp;number=1.3618e-11&amp;sourceID=12","1.3618e-11")</f>
        <v>1.3618e-11</v>
      </c>
      <c r="O33" s="4" t="str">
        <f>HYPERLINK("http://141.218.60.56/~jnz1568/getInfo.php?workbook=10_01.xlsx&amp;sheet=A0&amp;row=33&amp;col=15&amp;number=&amp;sourceID=12","")</f>
        <v/>
      </c>
      <c r="P33" s="4" t="str">
        <f>HYPERLINK("http://141.218.60.56/~jnz1568/getInfo.php?workbook=10_01.xlsx&amp;sheet=A0&amp;row=33&amp;col=16&amp;number=&amp;sourceID=12","")</f>
        <v/>
      </c>
      <c r="Q33" s="4" t="str">
        <f>HYPERLINK("http://141.218.60.56/~jnz1568/getInfo.php?workbook=10_01.xlsx&amp;sheet=A0&amp;row=33&amp;col=17&amp;number=0&amp;sourceID=12","0")</f>
        <v>0</v>
      </c>
      <c r="R33" s="4" t="str">
        <f>HYPERLINK("http://141.218.60.56/~jnz1568/getInfo.php?workbook=10_01.xlsx&amp;sheet=A0&amp;row=33&amp;col=18&amp;number=&amp;sourceID=12","")</f>
        <v/>
      </c>
      <c r="S33" s="4" t="str">
        <f>HYPERLINK("http://141.218.60.56/~jnz1568/getInfo.php?workbook=10_01.xlsx&amp;sheet=A0&amp;row=33&amp;col=19&amp;number=1.3618e-11&amp;sourceID=12","1.3618e-11")</f>
        <v>1.3618e-11</v>
      </c>
      <c r="T33" s="4" t="str">
        <f>HYPERLINK("http://141.218.60.56/~jnz1568/getInfo.php?workbook=10_01.xlsx&amp;sheet=A0&amp;row=33&amp;col=20&amp;number=&amp;sourceID=12","")</f>
        <v/>
      </c>
      <c r="U33" s="4" t="str">
        <f>HYPERLINK("http://141.218.60.56/~jnz1568/getInfo.php?workbook=10_01.xlsx&amp;sheet=A0&amp;row=33&amp;col=21&amp;number=1.362e-11&amp;sourceID=30","1.362e-11")</f>
        <v>1.362e-11</v>
      </c>
      <c r="V33" s="4" t="str">
        <f>HYPERLINK("http://141.218.60.56/~jnz1568/getInfo.php?workbook=10_01.xlsx&amp;sheet=A0&amp;row=33&amp;col=22&amp;number=&amp;sourceID=30","")</f>
        <v/>
      </c>
      <c r="W33" s="4" t="str">
        <f>HYPERLINK("http://141.218.60.56/~jnz1568/getInfo.php?workbook=10_01.xlsx&amp;sheet=A0&amp;row=33&amp;col=23&amp;number=&amp;sourceID=30","")</f>
        <v/>
      </c>
      <c r="X33" s="4" t="str">
        <f>HYPERLINK("http://141.218.60.56/~jnz1568/getInfo.php?workbook=10_01.xlsx&amp;sheet=A0&amp;row=33&amp;col=24&amp;number=&amp;sourceID=30","")</f>
        <v/>
      </c>
      <c r="Y33" s="4" t="str">
        <f>HYPERLINK("http://141.218.60.56/~jnz1568/getInfo.php?workbook=10_01.xlsx&amp;sheet=A0&amp;row=33&amp;col=25&amp;number=1.362e-11&amp;sourceID=30","1.362e-11")</f>
        <v>1.362e-11</v>
      </c>
      <c r="Z33" s="4" t="str">
        <f>HYPERLINK("http://141.218.60.56/~jnz1568/getInfo.php?workbook=10_01.xlsx&amp;sheet=A0&amp;row=33&amp;col=26&amp;number=&amp;sourceID=13","")</f>
        <v/>
      </c>
      <c r="AA33" s="4" t="str">
        <f>HYPERLINK("http://141.218.60.56/~jnz1568/getInfo.php?workbook=10_01.xlsx&amp;sheet=A0&amp;row=33&amp;col=27&amp;number=&amp;sourceID=13","")</f>
        <v/>
      </c>
      <c r="AB33" s="4" t="str">
        <f>HYPERLINK("http://141.218.60.56/~jnz1568/getInfo.php?workbook=10_01.xlsx&amp;sheet=A0&amp;row=33&amp;col=28&amp;number=&amp;sourceID=13","")</f>
        <v/>
      </c>
      <c r="AC33" s="4" t="str">
        <f>HYPERLINK("http://141.218.60.56/~jnz1568/getInfo.php?workbook=10_01.xlsx&amp;sheet=A0&amp;row=33&amp;col=29&amp;number=&amp;sourceID=13","")</f>
        <v/>
      </c>
      <c r="AD33" s="4" t="str">
        <f>HYPERLINK("http://141.218.60.56/~jnz1568/getInfo.php?workbook=10_01.xlsx&amp;sheet=A0&amp;row=33&amp;col=30&amp;number=&amp;sourceID=13","")</f>
        <v/>
      </c>
      <c r="AE33" s="4" t="str">
        <f>HYPERLINK("http://141.218.60.56/~jnz1568/getInfo.php?workbook=10_01.xlsx&amp;sheet=A0&amp;row=33&amp;col=31&amp;number=&amp;sourceID=13","")</f>
        <v/>
      </c>
      <c r="AF33" s="4" t="str">
        <f>HYPERLINK("http://141.218.60.56/~jnz1568/getInfo.php?workbook=10_01.xlsx&amp;sheet=A0&amp;row=33&amp;col=32&amp;number=&amp;sourceID=20","")</f>
        <v/>
      </c>
    </row>
    <row r="34" spans="1:32">
      <c r="A34" s="3">
        <v>10</v>
      </c>
      <c r="B34" s="3">
        <v>1</v>
      </c>
      <c r="C34" s="3">
        <v>9</v>
      </c>
      <c r="D34" s="3">
        <v>6</v>
      </c>
      <c r="E34" s="3">
        <f>((1/(INDEX(E0!J$4:J$28,C34,1)-INDEX(E0!J$4:J$28,D34,1))))*100000000</f>
        <v>0</v>
      </c>
      <c r="F34" s="4" t="str">
        <f>HYPERLINK("http://141.218.60.56/~jnz1568/getInfo.php?workbook=10_01.xlsx&amp;sheet=A0&amp;row=34&amp;col=6&amp;number=&amp;sourceID=18","")</f>
        <v/>
      </c>
      <c r="G34" s="4" t="str">
        <f>HYPERLINK("http://141.218.60.56/~jnz1568/getInfo.php?workbook=10_01.xlsx&amp;sheet=A0&amp;row=34&amp;col=7&amp;number==&amp;sourceID=11","=")</f>
        <v>=</v>
      </c>
      <c r="H34" s="4" t="str">
        <f>HYPERLINK("http://141.218.60.56/~jnz1568/getInfo.php?workbook=10_01.xlsx&amp;sheet=A0&amp;row=34&amp;col=8&amp;number=&amp;sourceID=11","")</f>
        <v/>
      </c>
      <c r="I34" s="4" t="str">
        <f>HYPERLINK("http://141.218.60.56/~jnz1568/getInfo.php?workbook=10_01.xlsx&amp;sheet=A0&amp;row=34&amp;col=9&amp;number=2.8726e-07&amp;sourceID=11","2.8726e-07")</f>
        <v>2.8726e-07</v>
      </c>
      <c r="J34" s="4" t="str">
        <f>HYPERLINK("http://141.218.60.56/~jnz1568/getInfo.php?workbook=10_01.xlsx&amp;sheet=A0&amp;row=34&amp;col=10&amp;number=&amp;sourceID=11","")</f>
        <v/>
      </c>
      <c r="K34" s="4" t="str">
        <f>HYPERLINK("http://141.218.60.56/~jnz1568/getInfo.php?workbook=10_01.xlsx&amp;sheet=A0&amp;row=34&amp;col=11&amp;number=&amp;sourceID=11","")</f>
        <v/>
      </c>
      <c r="L34" s="4" t="str">
        <f>HYPERLINK("http://141.218.60.56/~jnz1568/getInfo.php?workbook=10_01.xlsx&amp;sheet=A0&amp;row=34&amp;col=12&amp;number=&amp;sourceID=11","")</f>
        <v/>
      </c>
      <c r="M34" s="4" t="str">
        <f>HYPERLINK("http://141.218.60.56/~jnz1568/getInfo.php?workbook=10_01.xlsx&amp;sheet=A0&amp;row=34&amp;col=13&amp;number=0&amp;sourceID=11","0")</f>
        <v>0</v>
      </c>
      <c r="N34" s="4" t="str">
        <f>HYPERLINK("http://141.218.60.56/~jnz1568/getInfo.php?workbook=10_01.xlsx&amp;sheet=A0&amp;row=34&amp;col=14&amp;number=2.8727e-07&amp;sourceID=12","2.8727e-07")</f>
        <v>2.8727e-07</v>
      </c>
      <c r="O34" s="4" t="str">
        <f>HYPERLINK("http://141.218.60.56/~jnz1568/getInfo.php?workbook=10_01.xlsx&amp;sheet=A0&amp;row=34&amp;col=15&amp;number=&amp;sourceID=12","")</f>
        <v/>
      </c>
      <c r="P34" s="4" t="str">
        <f>HYPERLINK("http://141.218.60.56/~jnz1568/getInfo.php?workbook=10_01.xlsx&amp;sheet=A0&amp;row=34&amp;col=16&amp;number=2.8727e-07&amp;sourceID=12","2.8727e-07")</f>
        <v>2.8727e-07</v>
      </c>
      <c r="Q34" s="4" t="str">
        <f>HYPERLINK("http://141.218.60.56/~jnz1568/getInfo.php?workbook=10_01.xlsx&amp;sheet=A0&amp;row=34&amp;col=17&amp;number=&amp;sourceID=12","")</f>
        <v/>
      </c>
      <c r="R34" s="4" t="str">
        <f>HYPERLINK("http://141.218.60.56/~jnz1568/getInfo.php?workbook=10_01.xlsx&amp;sheet=A0&amp;row=34&amp;col=18&amp;number=&amp;sourceID=12","")</f>
        <v/>
      </c>
      <c r="S34" s="4" t="str">
        <f>HYPERLINK("http://141.218.60.56/~jnz1568/getInfo.php?workbook=10_01.xlsx&amp;sheet=A0&amp;row=34&amp;col=19&amp;number=&amp;sourceID=12","")</f>
        <v/>
      </c>
      <c r="T34" s="4" t="str">
        <f>HYPERLINK("http://141.218.60.56/~jnz1568/getInfo.php?workbook=10_01.xlsx&amp;sheet=A0&amp;row=34&amp;col=20&amp;number=0&amp;sourceID=12","0")</f>
        <v>0</v>
      </c>
      <c r="U34" s="4" t="str">
        <f>HYPERLINK("http://141.218.60.56/~jnz1568/getInfo.php?workbook=10_01.xlsx&amp;sheet=A0&amp;row=34&amp;col=21&amp;number=2.873e-07&amp;sourceID=30","2.873e-07")</f>
        <v>2.873e-07</v>
      </c>
      <c r="V34" s="4" t="str">
        <f>HYPERLINK("http://141.218.60.56/~jnz1568/getInfo.php?workbook=10_01.xlsx&amp;sheet=A0&amp;row=34&amp;col=22&amp;number=&amp;sourceID=30","")</f>
        <v/>
      </c>
      <c r="W34" s="4" t="str">
        <f>HYPERLINK("http://141.218.60.56/~jnz1568/getInfo.php?workbook=10_01.xlsx&amp;sheet=A0&amp;row=34&amp;col=23&amp;number=2.873e-07&amp;sourceID=30","2.873e-07")</f>
        <v>2.873e-07</v>
      </c>
      <c r="X34" s="4" t="str">
        <f>HYPERLINK("http://141.218.60.56/~jnz1568/getInfo.php?workbook=10_01.xlsx&amp;sheet=A0&amp;row=34&amp;col=24&amp;number=&amp;sourceID=30","")</f>
        <v/>
      </c>
      <c r="Y34" s="4" t="str">
        <f>HYPERLINK("http://141.218.60.56/~jnz1568/getInfo.php?workbook=10_01.xlsx&amp;sheet=A0&amp;row=34&amp;col=25&amp;number=&amp;sourceID=30","")</f>
        <v/>
      </c>
      <c r="Z34" s="4" t="str">
        <f>HYPERLINK("http://141.218.60.56/~jnz1568/getInfo.php?workbook=10_01.xlsx&amp;sheet=A0&amp;row=34&amp;col=26&amp;number=&amp;sourceID=13","")</f>
        <v/>
      </c>
      <c r="AA34" s="4" t="str">
        <f>HYPERLINK("http://141.218.60.56/~jnz1568/getInfo.php?workbook=10_01.xlsx&amp;sheet=A0&amp;row=34&amp;col=27&amp;number=&amp;sourceID=13","")</f>
        <v/>
      </c>
      <c r="AB34" s="4" t="str">
        <f>HYPERLINK("http://141.218.60.56/~jnz1568/getInfo.php?workbook=10_01.xlsx&amp;sheet=A0&amp;row=34&amp;col=28&amp;number=&amp;sourceID=13","")</f>
        <v/>
      </c>
      <c r="AC34" s="4" t="str">
        <f>HYPERLINK("http://141.218.60.56/~jnz1568/getInfo.php?workbook=10_01.xlsx&amp;sheet=A0&amp;row=34&amp;col=29&amp;number=&amp;sourceID=13","")</f>
        <v/>
      </c>
      <c r="AD34" s="4" t="str">
        <f>HYPERLINK("http://141.218.60.56/~jnz1568/getInfo.php?workbook=10_01.xlsx&amp;sheet=A0&amp;row=34&amp;col=30&amp;number=&amp;sourceID=13","")</f>
        <v/>
      </c>
      <c r="AE34" s="4" t="str">
        <f>HYPERLINK("http://141.218.60.56/~jnz1568/getInfo.php?workbook=10_01.xlsx&amp;sheet=A0&amp;row=34&amp;col=31&amp;number=&amp;sourceID=13","")</f>
        <v/>
      </c>
      <c r="AF34" s="4" t="str">
        <f>HYPERLINK("http://141.218.60.56/~jnz1568/getInfo.php?workbook=10_01.xlsx&amp;sheet=A0&amp;row=34&amp;col=32&amp;number=&amp;sourceID=20","")</f>
        <v/>
      </c>
    </row>
    <row r="35" spans="1:32">
      <c r="A35" s="3">
        <v>10</v>
      </c>
      <c r="B35" s="3">
        <v>1</v>
      </c>
      <c r="C35" s="3">
        <v>9</v>
      </c>
      <c r="D35" s="3">
        <v>7</v>
      </c>
      <c r="E35" s="3">
        <f>((1/(INDEX(E0!J$4:J$28,C35,1)-INDEX(E0!J$4:J$28,D35,1))))*100000000</f>
        <v>0</v>
      </c>
      <c r="F35" s="4" t="str">
        <f>HYPERLINK("http://141.218.60.56/~jnz1568/getInfo.php?workbook=10_01.xlsx&amp;sheet=A0&amp;row=35&amp;col=6&amp;number=&amp;sourceID=18","")</f>
        <v/>
      </c>
      <c r="G35" s="4" t="str">
        <f>HYPERLINK("http://141.218.60.56/~jnz1568/getInfo.php?workbook=10_01.xlsx&amp;sheet=A0&amp;row=35&amp;col=7&amp;number==&amp;sourceID=11","=")</f>
        <v>=</v>
      </c>
      <c r="H35" s="4" t="str">
        <f>HYPERLINK("http://141.218.60.56/~jnz1568/getInfo.php?workbook=10_01.xlsx&amp;sheet=A0&amp;row=35&amp;col=8&amp;number=&amp;sourceID=11","")</f>
        <v/>
      </c>
      <c r="I35" s="4" t="str">
        <f>HYPERLINK("http://141.218.60.56/~jnz1568/getInfo.php?workbook=10_01.xlsx&amp;sheet=A0&amp;row=35&amp;col=9&amp;number=6.221e-11&amp;sourceID=11","6.221e-11")</f>
        <v>6.221e-11</v>
      </c>
      <c r="J35" s="4" t="str">
        <f>HYPERLINK("http://141.218.60.56/~jnz1568/getInfo.php?workbook=10_01.xlsx&amp;sheet=A0&amp;row=35&amp;col=10&amp;number=&amp;sourceID=11","")</f>
        <v/>
      </c>
      <c r="K35" s="4" t="str">
        <f>HYPERLINK("http://141.218.60.56/~jnz1568/getInfo.php?workbook=10_01.xlsx&amp;sheet=A0&amp;row=35&amp;col=11&amp;number=0.00050766&amp;sourceID=11","0.00050766")</f>
        <v>0.00050766</v>
      </c>
      <c r="L35" s="4" t="str">
        <f>HYPERLINK("http://141.218.60.56/~jnz1568/getInfo.php?workbook=10_01.xlsx&amp;sheet=A0&amp;row=35&amp;col=12&amp;number=&amp;sourceID=11","")</f>
        <v/>
      </c>
      <c r="M35" s="4" t="str">
        <f>HYPERLINK("http://141.218.60.56/~jnz1568/getInfo.php?workbook=10_01.xlsx&amp;sheet=A0&amp;row=35&amp;col=13&amp;number=0&amp;sourceID=11","0")</f>
        <v>0</v>
      </c>
      <c r="N35" s="4" t="str">
        <f>HYPERLINK("http://141.218.60.56/~jnz1568/getInfo.php?workbook=10_01.xlsx&amp;sheet=A0&amp;row=35&amp;col=14&amp;number=0.00050767&amp;sourceID=12","0.00050767")</f>
        <v>0.00050767</v>
      </c>
      <c r="O35" s="4" t="str">
        <f>HYPERLINK("http://141.218.60.56/~jnz1568/getInfo.php?workbook=10_01.xlsx&amp;sheet=A0&amp;row=35&amp;col=15&amp;number=&amp;sourceID=12","")</f>
        <v/>
      </c>
      <c r="P35" s="4" t="str">
        <f>HYPERLINK("http://141.218.60.56/~jnz1568/getInfo.php?workbook=10_01.xlsx&amp;sheet=A0&amp;row=35&amp;col=16&amp;number=6.2212e-11&amp;sourceID=12","6.2212e-11")</f>
        <v>6.2212e-11</v>
      </c>
      <c r="Q35" s="4" t="str">
        <f>HYPERLINK("http://141.218.60.56/~jnz1568/getInfo.php?workbook=10_01.xlsx&amp;sheet=A0&amp;row=35&amp;col=17&amp;number=&amp;sourceID=12","")</f>
        <v/>
      </c>
      <c r="R35" s="4" t="str">
        <f>HYPERLINK("http://141.218.60.56/~jnz1568/getInfo.php?workbook=10_01.xlsx&amp;sheet=A0&amp;row=35&amp;col=18&amp;number=0.00050767&amp;sourceID=12","0.00050767")</f>
        <v>0.00050767</v>
      </c>
      <c r="S35" s="4" t="str">
        <f>HYPERLINK("http://141.218.60.56/~jnz1568/getInfo.php?workbook=10_01.xlsx&amp;sheet=A0&amp;row=35&amp;col=19&amp;number=&amp;sourceID=12","")</f>
        <v/>
      </c>
      <c r="T35" s="4" t="str">
        <f>HYPERLINK("http://141.218.60.56/~jnz1568/getInfo.php?workbook=10_01.xlsx&amp;sheet=A0&amp;row=35&amp;col=20&amp;number=0&amp;sourceID=12","0")</f>
        <v>0</v>
      </c>
      <c r="U35" s="4" t="str">
        <f>HYPERLINK("http://141.218.60.56/~jnz1568/getInfo.php?workbook=10_01.xlsx&amp;sheet=A0&amp;row=35&amp;col=21&amp;number=0.00050770006221&amp;sourceID=30","0.00050770006221")</f>
        <v>0.00050770006221</v>
      </c>
      <c r="V35" s="4" t="str">
        <f>HYPERLINK("http://141.218.60.56/~jnz1568/getInfo.php?workbook=10_01.xlsx&amp;sheet=A0&amp;row=35&amp;col=22&amp;number=&amp;sourceID=30","")</f>
        <v/>
      </c>
      <c r="W35" s="4" t="str">
        <f>HYPERLINK("http://141.218.60.56/~jnz1568/getInfo.php?workbook=10_01.xlsx&amp;sheet=A0&amp;row=35&amp;col=23&amp;number=6.221e-11&amp;sourceID=30","6.221e-11")</f>
        <v>6.221e-11</v>
      </c>
      <c r="X35" s="4" t="str">
        <f>HYPERLINK("http://141.218.60.56/~jnz1568/getInfo.php?workbook=10_01.xlsx&amp;sheet=A0&amp;row=35&amp;col=24&amp;number=0.0005077&amp;sourceID=30","0.0005077")</f>
        <v>0.0005077</v>
      </c>
      <c r="Y35" s="4" t="str">
        <f>HYPERLINK("http://141.218.60.56/~jnz1568/getInfo.php?workbook=10_01.xlsx&amp;sheet=A0&amp;row=35&amp;col=25&amp;number=&amp;sourceID=30","")</f>
        <v/>
      </c>
      <c r="Z35" s="4" t="str">
        <f>HYPERLINK("http://141.218.60.56/~jnz1568/getInfo.php?workbook=10_01.xlsx&amp;sheet=A0&amp;row=35&amp;col=26&amp;number==SUM(AA35:AE35)&amp;sourceID=13","=SUM(AA35:AE35)")</f>
        <v>=SUM(AA35:AE35)</v>
      </c>
      <c r="AA35" s="4" t="str">
        <f>HYPERLINK("http://141.218.60.56/~jnz1568/getInfo.php?workbook=10_01.xlsx&amp;sheet=A0&amp;row=35&amp;col=27&amp;number=&amp;sourceID=13","")</f>
        <v/>
      </c>
      <c r="AB35" s="4" t="str">
        <f>HYPERLINK("http://141.218.60.56/~jnz1568/getInfo.php?workbook=10_01.xlsx&amp;sheet=A0&amp;row=35&amp;col=28&amp;number=6.21e-11&amp;sourceID=13","6.21e-11")</f>
        <v>6.21e-11</v>
      </c>
      <c r="AC35" s="4" t="str">
        <f>HYPERLINK("http://141.218.60.56/~jnz1568/getInfo.php?workbook=10_01.xlsx&amp;sheet=A0&amp;row=35&amp;col=29&amp;number=&amp;sourceID=13","")</f>
        <v/>
      </c>
      <c r="AD35" s="4" t="str">
        <f>HYPERLINK("http://141.218.60.56/~jnz1568/getInfo.php?workbook=10_01.xlsx&amp;sheet=A0&amp;row=35&amp;col=30&amp;number=0.000507&amp;sourceID=13","0.000507")</f>
        <v>0.000507</v>
      </c>
      <c r="AE35" s="4" t="str">
        <f>HYPERLINK("http://141.218.60.56/~jnz1568/getInfo.php?workbook=10_01.xlsx&amp;sheet=A0&amp;row=35&amp;col=31&amp;number=&amp;sourceID=13","")</f>
        <v/>
      </c>
      <c r="AF35" s="4" t="str">
        <f>HYPERLINK("http://141.218.60.56/~jnz1568/getInfo.php?workbook=10_01.xlsx&amp;sheet=A0&amp;row=35&amp;col=32&amp;number=&amp;sourceID=20","")</f>
        <v/>
      </c>
    </row>
    <row r="36" spans="1:32">
      <c r="A36" s="3">
        <v>10</v>
      </c>
      <c r="B36" s="3">
        <v>1</v>
      </c>
      <c r="C36" s="3">
        <v>9</v>
      </c>
      <c r="D36" s="3">
        <v>8</v>
      </c>
      <c r="E36" s="3">
        <f>((1/(INDEX(E0!J$4:J$28,C36,1)-INDEX(E0!J$4:J$28,D36,1))))*100000000</f>
        <v>0</v>
      </c>
      <c r="F36" s="4" t="str">
        <f>HYPERLINK("http://141.218.60.56/~jnz1568/getInfo.php?workbook=10_01.xlsx&amp;sheet=A0&amp;row=36&amp;col=6&amp;number=&amp;sourceID=18","")</f>
        <v/>
      </c>
      <c r="G36" s="4" t="str">
        <f>HYPERLINK("http://141.218.60.56/~jnz1568/getInfo.php?workbook=10_01.xlsx&amp;sheet=A0&amp;row=36&amp;col=7&amp;number==&amp;sourceID=11","=")</f>
        <v>=</v>
      </c>
      <c r="H36" s="4" t="str">
        <f>HYPERLINK("http://141.218.60.56/~jnz1568/getInfo.php?workbook=10_01.xlsx&amp;sheet=A0&amp;row=36&amp;col=8&amp;number=38.601&amp;sourceID=11","38.601")</f>
        <v>38.601</v>
      </c>
      <c r="I36" s="4" t="str">
        <f>HYPERLINK("http://141.218.60.56/~jnz1568/getInfo.php?workbook=10_01.xlsx&amp;sheet=A0&amp;row=36&amp;col=9&amp;number=&amp;sourceID=11","")</f>
        <v/>
      </c>
      <c r="J36" s="4" t="str">
        <f>HYPERLINK("http://141.218.60.56/~jnz1568/getInfo.php?workbook=10_01.xlsx&amp;sheet=A0&amp;row=36&amp;col=10&amp;number=0&amp;sourceID=11","0")</f>
        <v>0</v>
      </c>
      <c r="K36" s="4" t="str">
        <f>HYPERLINK("http://141.218.60.56/~jnz1568/getInfo.php?workbook=10_01.xlsx&amp;sheet=A0&amp;row=36&amp;col=11&amp;number=&amp;sourceID=11","")</f>
        <v/>
      </c>
      <c r="L36" s="4" t="str">
        <f>HYPERLINK("http://141.218.60.56/~jnz1568/getInfo.php?workbook=10_01.xlsx&amp;sheet=A0&amp;row=36&amp;col=12&amp;number=7.2e-14&amp;sourceID=11","7.2e-14")</f>
        <v>7.2e-14</v>
      </c>
      <c r="M36" s="4" t="str">
        <f>HYPERLINK("http://141.218.60.56/~jnz1568/getInfo.php?workbook=10_01.xlsx&amp;sheet=A0&amp;row=36&amp;col=13&amp;number=&amp;sourceID=11","")</f>
        <v/>
      </c>
      <c r="N36" s="4" t="str">
        <f>HYPERLINK("http://141.218.60.56/~jnz1568/getInfo.php?workbook=10_01.xlsx&amp;sheet=A0&amp;row=36&amp;col=14&amp;number=38.602&amp;sourceID=12","38.602")</f>
        <v>38.602</v>
      </c>
      <c r="O36" s="4" t="str">
        <f>HYPERLINK("http://141.218.60.56/~jnz1568/getInfo.php?workbook=10_01.xlsx&amp;sheet=A0&amp;row=36&amp;col=15&amp;number=38.602&amp;sourceID=12","38.602")</f>
        <v>38.602</v>
      </c>
      <c r="P36" s="4" t="str">
        <f>HYPERLINK("http://141.218.60.56/~jnz1568/getInfo.php?workbook=10_01.xlsx&amp;sheet=A0&amp;row=36&amp;col=16&amp;number=&amp;sourceID=12","")</f>
        <v/>
      </c>
      <c r="Q36" s="4" t="str">
        <f>HYPERLINK("http://141.218.60.56/~jnz1568/getInfo.php?workbook=10_01.xlsx&amp;sheet=A0&amp;row=36&amp;col=17&amp;number=0&amp;sourceID=12","0")</f>
        <v>0</v>
      </c>
      <c r="R36" s="4" t="str">
        <f>HYPERLINK("http://141.218.60.56/~jnz1568/getInfo.php?workbook=10_01.xlsx&amp;sheet=A0&amp;row=36&amp;col=18&amp;number=&amp;sourceID=12","")</f>
        <v/>
      </c>
      <c r="S36" s="4" t="str">
        <f>HYPERLINK("http://141.218.60.56/~jnz1568/getInfo.php?workbook=10_01.xlsx&amp;sheet=A0&amp;row=36&amp;col=19&amp;number=7.2e-14&amp;sourceID=12","7.2e-14")</f>
        <v>7.2e-14</v>
      </c>
      <c r="T36" s="4" t="str">
        <f>HYPERLINK("http://141.218.60.56/~jnz1568/getInfo.php?workbook=10_01.xlsx&amp;sheet=A0&amp;row=36&amp;col=20&amp;number=&amp;sourceID=12","")</f>
        <v/>
      </c>
      <c r="U36" s="4" t="str">
        <f>HYPERLINK("http://141.218.60.56/~jnz1568/getInfo.php?workbook=10_01.xlsx&amp;sheet=A0&amp;row=36&amp;col=21&amp;number=38.6&amp;sourceID=30","38.6")</f>
        <v>38.6</v>
      </c>
      <c r="V36" s="4" t="str">
        <f>HYPERLINK("http://141.218.60.56/~jnz1568/getInfo.php?workbook=10_01.xlsx&amp;sheet=A0&amp;row=36&amp;col=22&amp;number=38.6&amp;sourceID=30","38.6")</f>
        <v>38.6</v>
      </c>
      <c r="W36" s="4" t="str">
        <f>HYPERLINK("http://141.218.60.56/~jnz1568/getInfo.php?workbook=10_01.xlsx&amp;sheet=A0&amp;row=36&amp;col=23&amp;number=&amp;sourceID=30","")</f>
        <v/>
      </c>
      <c r="X36" s="4" t="str">
        <f>HYPERLINK("http://141.218.60.56/~jnz1568/getInfo.php?workbook=10_01.xlsx&amp;sheet=A0&amp;row=36&amp;col=24&amp;number=&amp;sourceID=30","")</f>
        <v/>
      </c>
      <c r="Y36" s="4" t="str">
        <f>HYPERLINK("http://141.218.60.56/~jnz1568/getInfo.php?workbook=10_01.xlsx&amp;sheet=A0&amp;row=36&amp;col=25&amp;number=7.2e-14&amp;sourceID=30","7.2e-14")</f>
        <v>7.2e-14</v>
      </c>
      <c r="Z36" s="4" t="str">
        <f>HYPERLINK("http://141.218.60.56/~jnz1568/getInfo.php?workbook=10_01.xlsx&amp;sheet=A0&amp;row=36&amp;col=26&amp;number==&amp;sourceID=13","=")</f>
        <v>=</v>
      </c>
      <c r="AA36" s="4" t="str">
        <f>HYPERLINK("http://141.218.60.56/~jnz1568/getInfo.php?workbook=10_01.xlsx&amp;sheet=A0&amp;row=36&amp;col=27&amp;number=38.4&amp;sourceID=13","38.4")</f>
        <v>38.4</v>
      </c>
      <c r="AB36" s="4" t="str">
        <f>HYPERLINK("http://141.218.60.56/~jnz1568/getInfo.php?workbook=10_01.xlsx&amp;sheet=A0&amp;row=36&amp;col=28&amp;number=&amp;sourceID=13","")</f>
        <v/>
      </c>
      <c r="AC36" s="4" t="str">
        <f>HYPERLINK("http://141.218.60.56/~jnz1568/getInfo.php?workbook=10_01.xlsx&amp;sheet=A0&amp;row=36&amp;col=29&amp;number=&amp;sourceID=13","")</f>
        <v/>
      </c>
      <c r="AD36" s="4" t="str">
        <f>HYPERLINK("http://141.218.60.56/~jnz1568/getInfo.php?workbook=10_01.xlsx&amp;sheet=A0&amp;row=36&amp;col=30&amp;number=&amp;sourceID=13","")</f>
        <v/>
      </c>
      <c r="AE36" s="4" t="str">
        <f>HYPERLINK("http://141.218.60.56/~jnz1568/getInfo.php?workbook=10_01.xlsx&amp;sheet=A0&amp;row=36&amp;col=31&amp;number=&amp;sourceID=13","")</f>
        <v/>
      </c>
      <c r="AF36" s="4" t="str">
        <f>HYPERLINK("http://141.218.60.56/~jnz1568/getInfo.php?workbook=10_01.xlsx&amp;sheet=A0&amp;row=36&amp;col=32&amp;number=&amp;sourceID=20","")</f>
        <v/>
      </c>
    </row>
    <row r="37" spans="1:32">
      <c r="A37" s="3">
        <v>10</v>
      </c>
      <c r="B37" s="3">
        <v>1</v>
      </c>
      <c r="C37" s="3">
        <v>10</v>
      </c>
      <c r="D37" s="3">
        <v>1</v>
      </c>
      <c r="E37" s="3">
        <f>((1/(INDEX(E0!J$4:J$28,C37,1)-INDEX(E0!J$4:J$28,D37,1))))*100000000</f>
        <v>0</v>
      </c>
      <c r="F37" s="4" t="str">
        <f>HYPERLINK("http://141.218.60.56/~jnz1568/getInfo.php?workbook=10_01.xlsx&amp;sheet=A0&amp;row=37&amp;col=6&amp;number=&amp;sourceID=18","")</f>
        <v/>
      </c>
      <c r="G37" s="4" t="str">
        <f>HYPERLINK("http://141.218.60.56/~jnz1568/getInfo.php?workbook=10_01.xlsx&amp;sheet=A0&amp;row=37&amp;col=7&amp;number==&amp;sourceID=11","=")</f>
        <v>=</v>
      </c>
      <c r="H37" s="4" t="str">
        <f>HYPERLINK("http://141.218.60.56/~jnz1568/getInfo.php?workbook=10_01.xlsx&amp;sheet=A0&amp;row=37&amp;col=8&amp;number=681170000000&amp;sourceID=11","681170000000")</f>
        <v>681170000000</v>
      </c>
      <c r="I37" s="4" t="str">
        <f>HYPERLINK("http://141.218.60.56/~jnz1568/getInfo.php?workbook=10_01.xlsx&amp;sheet=A0&amp;row=37&amp;col=9&amp;number=&amp;sourceID=11","")</f>
        <v/>
      </c>
      <c r="J37" s="4" t="str">
        <f>HYPERLINK("http://141.218.60.56/~jnz1568/getInfo.php?workbook=10_01.xlsx&amp;sheet=A0&amp;row=37&amp;col=10&amp;number=&amp;sourceID=11","")</f>
        <v/>
      </c>
      <c r="K37" s="4" t="str">
        <f>HYPERLINK("http://141.218.60.56/~jnz1568/getInfo.php?workbook=10_01.xlsx&amp;sheet=A0&amp;row=37&amp;col=11&amp;number=&amp;sourceID=11","")</f>
        <v/>
      </c>
      <c r="L37" s="4" t="str">
        <f>HYPERLINK("http://141.218.60.56/~jnz1568/getInfo.php?workbook=10_01.xlsx&amp;sheet=A0&amp;row=37&amp;col=12&amp;number=&amp;sourceID=11","")</f>
        <v/>
      </c>
      <c r="M37" s="4" t="str">
        <f>HYPERLINK("http://141.218.60.56/~jnz1568/getInfo.php?workbook=10_01.xlsx&amp;sheet=A0&amp;row=37&amp;col=13&amp;number=&amp;sourceID=11","")</f>
        <v/>
      </c>
      <c r="N37" s="4" t="str">
        <f>HYPERLINK("http://141.218.60.56/~jnz1568/getInfo.php?workbook=10_01.xlsx&amp;sheet=A0&amp;row=37&amp;col=14&amp;number=681190000000&amp;sourceID=12","681190000000")</f>
        <v>681190000000</v>
      </c>
      <c r="O37" s="4" t="str">
        <f>HYPERLINK("http://141.218.60.56/~jnz1568/getInfo.php?workbook=10_01.xlsx&amp;sheet=A0&amp;row=37&amp;col=15&amp;number=681190000000&amp;sourceID=12","681190000000")</f>
        <v>681190000000</v>
      </c>
      <c r="P37" s="4" t="str">
        <f>HYPERLINK("http://141.218.60.56/~jnz1568/getInfo.php?workbook=10_01.xlsx&amp;sheet=A0&amp;row=37&amp;col=16&amp;number=&amp;sourceID=12","")</f>
        <v/>
      </c>
      <c r="Q37" s="4" t="str">
        <f>HYPERLINK("http://141.218.60.56/~jnz1568/getInfo.php?workbook=10_01.xlsx&amp;sheet=A0&amp;row=37&amp;col=17&amp;number=&amp;sourceID=12","")</f>
        <v/>
      </c>
      <c r="R37" s="4" t="str">
        <f>HYPERLINK("http://141.218.60.56/~jnz1568/getInfo.php?workbook=10_01.xlsx&amp;sheet=A0&amp;row=37&amp;col=18&amp;number=&amp;sourceID=12","")</f>
        <v/>
      </c>
      <c r="S37" s="4" t="str">
        <f>HYPERLINK("http://141.218.60.56/~jnz1568/getInfo.php?workbook=10_01.xlsx&amp;sheet=A0&amp;row=37&amp;col=19&amp;number=&amp;sourceID=12","")</f>
        <v/>
      </c>
      <c r="T37" s="4" t="str">
        <f>HYPERLINK("http://141.218.60.56/~jnz1568/getInfo.php?workbook=10_01.xlsx&amp;sheet=A0&amp;row=37&amp;col=20&amp;number=&amp;sourceID=12","")</f>
        <v/>
      </c>
      <c r="U37" s="4" t="str">
        <f>HYPERLINK("http://141.218.60.56/~jnz1568/getInfo.php?workbook=10_01.xlsx&amp;sheet=A0&amp;row=37&amp;col=21&amp;number=681200000000&amp;sourceID=30","681200000000")</f>
        <v>681200000000</v>
      </c>
      <c r="V37" s="4" t="str">
        <f>HYPERLINK("http://141.218.60.56/~jnz1568/getInfo.php?workbook=10_01.xlsx&amp;sheet=A0&amp;row=37&amp;col=22&amp;number=681200000000&amp;sourceID=30","681200000000")</f>
        <v>681200000000</v>
      </c>
      <c r="W37" s="4" t="str">
        <f>HYPERLINK("http://141.218.60.56/~jnz1568/getInfo.php?workbook=10_01.xlsx&amp;sheet=A0&amp;row=37&amp;col=23&amp;number=&amp;sourceID=30","")</f>
        <v/>
      </c>
      <c r="X37" s="4" t="str">
        <f>HYPERLINK("http://141.218.60.56/~jnz1568/getInfo.php?workbook=10_01.xlsx&amp;sheet=A0&amp;row=37&amp;col=24&amp;number=&amp;sourceID=30","")</f>
        <v/>
      </c>
      <c r="Y37" s="4" t="str">
        <f>HYPERLINK("http://141.218.60.56/~jnz1568/getInfo.php?workbook=10_01.xlsx&amp;sheet=A0&amp;row=37&amp;col=25&amp;number=&amp;sourceID=30","")</f>
        <v/>
      </c>
      <c r="Z37" s="4" t="str">
        <f>HYPERLINK("http://141.218.60.56/~jnz1568/getInfo.php?workbook=10_01.xlsx&amp;sheet=A0&amp;row=37&amp;col=26&amp;number==&amp;sourceID=13","=")</f>
        <v>=</v>
      </c>
      <c r="AA37" s="4" t="str">
        <f>HYPERLINK("http://141.218.60.56/~jnz1568/getInfo.php?workbook=10_01.xlsx&amp;sheet=A0&amp;row=37&amp;col=27&amp;number=661000000000&amp;sourceID=13","661000000000")</f>
        <v>661000000000</v>
      </c>
      <c r="AB37" s="4" t="str">
        <f>HYPERLINK("http://141.218.60.56/~jnz1568/getInfo.php?workbook=10_01.xlsx&amp;sheet=A0&amp;row=37&amp;col=28&amp;number=&amp;sourceID=13","")</f>
        <v/>
      </c>
      <c r="AC37" s="4" t="str">
        <f>HYPERLINK("http://141.218.60.56/~jnz1568/getInfo.php?workbook=10_01.xlsx&amp;sheet=A0&amp;row=37&amp;col=29&amp;number=&amp;sourceID=13","")</f>
        <v/>
      </c>
      <c r="AD37" s="4" t="str">
        <f>HYPERLINK("http://141.218.60.56/~jnz1568/getInfo.php?workbook=10_01.xlsx&amp;sheet=A0&amp;row=37&amp;col=30&amp;number=&amp;sourceID=13","")</f>
        <v/>
      </c>
      <c r="AE37" s="4" t="str">
        <f>HYPERLINK("http://141.218.60.56/~jnz1568/getInfo.php?workbook=10_01.xlsx&amp;sheet=A0&amp;row=37&amp;col=31&amp;number=&amp;sourceID=13","")</f>
        <v/>
      </c>
      <c r="AF37" s="4" t="str">
        <f>HYPERLINK("http://141.218.60.56/~jnz1568/getInfo.php?workbook=10_01.xlsx&amp;sheet=A0&amp;row=37&amp;col=32&amp;number=681170000000&amp;sourceID=20","681170000000")</f>
        <v>681170000000</v>
      </c>
    </row>
    <row r="38" spans="1:32">
      <c r="A38" s="3">
        <v>10</v>
      </c>
      <c r="B38" s="3">
        <v>1</v>
      </c>
      <c r="C38" s="3">
        <v>10</v>
      </c>
      <c r="D38" s="3">
        <v>2</v>
      </c>
      <c r="E38" s="3">
        <f>((1/(INDEX(E0!J$4:J$28,C38,1)-INDEX(E0!J$4:J$28,D38,1))))*100000000</f>
        <v>0</v>
      </c>
      <c r="F38" s="4" t="str">
        <f>HYPERLINK("http://141.218.60.56/~jnz1568/getInfo.php?workbook=10_01.xlsx&amp;sheet=A0&amp;row=38&amp;col=6&amp;number=&amp;sourceID=18","")</f>
        <v/>
      </c>
      <c r="G38" s="4" t="str">
        <f>HYPERLINK("http://141.218.60.56/~jnz1568/getInfo.php?workbook=10_01.xlsx&amp;sheet=A0&amp;row=38&amp;col=7&amp;number==&amp;sourceID=11","=")</f>
        <v>=</v>
      </c>
      <c r="H38" s="4" t="str">
        <f>HYPERLINK("http://141.218.60.56/~jnz1568/getInfo.php?workbook=10_01.xlsx&amp;sheet=A0&amp;row=38&amp;col=8&amp;number=&amp;sourceID=11","")</f>
        <v/>
      </c>
      <c r="I38" s="4" t="str">
        <f>HYPERLINK("http://141.218.60.56/~jnz1568/getInfo.php?workbook=10_01.xlsx&amp;sheet=A0&amp;row=38&amp;col=9&amp;number=&amp;sourceID=11","")</f>
        <v/>
      </c>
      <c r="J38" s="4" t="str">
        <f>HYPERLINK("http://141.218.60.56/~jnz1568/getInfo.php?workbook=10_01.xlsx&amp;sheet=A0&amp;row=38&amp;col=10&amp;number=&amp;sourceID=11","")</f>
        <v/>
      </c>
      <c r="K38" s="4" t="str">
        <f>HYPERLINK("http://141.218.60.56/~jnz1568/getInfo.php?workbook=10_01.xlsx&amp;sheet=A0&amp;row=38&amp;col=11&amp;number=3.8823&amp;sourceID=11","3.8823")</f>
        <v>3.8823</v>
      </c>
      <c r="L38" s="4" t="str">
        <f>HYPERLINK("http://141.218.60.56/~jnz1568/getInfo.php?workbook=10_01.xlsx&amp;sheet=A0&amp;row=38&amp;col=12&amp;number=&amp;sourceID=11","")</f>
        <v/>
      </c>
      <c r="M38" s="4" t="str">
        <f>HYPERLINK("http://141.218.60.56/~jnz1568/getInfo.php?workbook=10_01.xlsx&amp;sheet=A0&amp;row=38&amp;col=13&amp;number=&amp;sourceID=11","")</f>
        <v/>
      </c>
      <c r="N38" s="4" t="str">
        <f>HYPERLINK("http://141.218.60.56/~jnz1568/getInfo.php?workbook=10_01.xlsx&amp;sheet=A0&amp;row=38&amp;col=14&amp;number=3.8824&amp;sourceID=12","3.8824")</f>
        <v>3.8824</v>
      </c>
      <c r="O38" s="4" t="str">
        <f>HYPERLINK("http://141.218.60.56/~jnz1568/getInfo.php?workbook=10_01.xlsx&amp;sheet=A0&amp;row=38&amp;col=15&amp;number=&amp;sourceID=12","")</f>
        <v/>
      </c>
      <c r="P38" s="4" t="str">
        <f>HYPERLINK("http://141.218.60.56/~jnz1568/getInfo.php?workbook=10_01.xlsx&amp;sheet=A0&amp;row=38&amp;col=16&amp;number=&amp;sourceID=12","")</f>
        <v/>
      </c>
      <c r="Q38" s="4" t="str">
        <f>HYPERLINK("http://141.218.60.56/~jnz1568/getInfo.php?workbook=10_01.xlsx&amp;sheet=A0&amp;row=38&amp;col=17&amp;number=&amp;sourceID=12","")</f>
        <v/>
      </c>
      <c r="R38" s="4" t="str">
        <f>HYPERLINK("http://141.218.60.56/~jnz1568/getInfo.php?workbook=10_01.xlsx&amp;sheet=A0&amp;row=38&amp;col=18&amp;number=3.8824&amp;sourceID=12","3.8824")</f>
        <v>3.8824</v>
      </c>
      <c r="S38" s="4" t="str">
        <f>HYPERLINK("http://141.218.60.56/~jnz1568/getInfo.php?workbook=10_01.xlsx&amp;sheet=A0&amp;row=38&amp;col=19&amp;number=&amp;sourceID=12","")</f>
        <v/>
      </c>
      <c r="T38" s="4" t="str">
        <f>HYPERLINK("http://141.218.60.56/~jnz1568/getInfo.php?workbook=10_01.xlsx&amp;sheet=A0&amp;row=38&amp;col=20&amp;number=&amp;sourceID=12","")</f>
        <v/>
      </c>
      <c r="U38" s="4" t="str">
        <f>HYPERLINK("http://141.218.60.56/~jnz1568/getInfo.php?workbook=10_01.xlsx&amp;sheet=A0&amp;row=38&amp;col=21&amp;number=3.883&amp;sourceID=30","3.883")</f>
        <v>3.883</v>
      </c>
      <c r="V38" s="4" t="str">
        <f>HYPERLINK("http://141.218.60.56/~jnz1568/getInfo.php?workbook=10_01.xlsx&amp;sheet=A0&amp;row=38&amp;col=22&amp;number=&amp;sourceID=30","")</f>
        <v/>
      </c>
      <c r="W38" s="4" t="str">
        <f>HYPERLINK("http://141.218.60.56/~jnz1568/getInfo.php?workbook=10_01.xlsx&amp;sheet=A0&amp;row=38&amp;col=23&amp;number=&amp;sourceID=30","")</f>
        <v/>
      </c>
      <c r="X38" s="4" t="str">
        <f>HYPERLINK("http://141.218.60.56/~jnz1568/getInfo.php?workbook=10_01.xlsx&amp;sheet=A0&amp;row=38&amp;col=24&amp;number=3.883&amp;sourceID=30","3.883")</f>
        <v>3.883</v>
      </c>
      <c r="Y38" s="4" t="str">
        <f>HYPERLINK("http://141.218.60.56/~jnz1568/getInfo.php?workbook=10_01.xlsx&amp;sheet=A0&amp;row=38&amp;col=25&amp;number=&amp;sourceID=30","")</f>
        <v/>
      </c>
      <c r="Z38" s="4" t="str">
        <f>HYPERLINK("http://141.218.60.56/~jnz1568/getInfo.php?workbook=10_01.xlsx&amp;sheet=A0&amp;row=38&amp;col=26&amp;number==&amp;sourceID=13","=")</f>
        <v>=</v>
      </c>
      <c r="AA38" s="4" t="str">
        <f>HYPERLINK("http://141.218.60.56/~jnz1568/getInfo.php?workbook=10_01.xlsx&amp;sheet=A0&amp;row=38&amp;col=27&amp;number=&amp;sourceID=13","")</f>
        <v/>
      </c>
      <c r="AB38" s="4" t="str">
        <f>HYPERLINK("http://141.218.60.56/~jnz1568/getInfo.php?workbook=10_01.xlsx&amp;sheet=A0&amp;row=38&amp;col=28&amp;number=&amp;sourceID=13","")</f>
        <v/>
      </c>
      <c r="AC38" s="4" t="str">
        <f>HYPERLINK("http://141.218.60.56/~jnz1568/getInfo.php?workbook=10_01.xlsx&amp;sheet=A0&amp;row=38&amp;col=29&amp;number=&amp;sourceID=13","")</f>
        <v/>
      </c>
      <c r="AD38" s="4" t="str">
        <f>HYPERLINK("http://141.218.60.56/~jnz1568/getInfo.php?workbook=10_01.xlsx&amp;sheet=A0&amp;row=38&amp;col=30&amp;number=3.78&amp;sourceID=13","3.78")</f>
        <v>3.78</v>
      </c>
      <c r="AE38" s="4" t="str">
        <f>HYPERLINK("http://141.218.60.56/~jnz1568/getInfo.php?workbook=10_01.xlsx&amp;sheet=A0&amp;row=38&amp;col=31&amp;number=&amp;sourceID=13","")</f>
        <v/>
      </c>
      <c r="AF38" s="4" t="str">
        <f>HYPERLINK("http://141.218.60.56/~jnz1568/getInfo.php?workbook=10_01.xlsx&amp;sheet=A0&amp;row=38&amp;col=32&amp;number=&amp;sourceID=20","")</f>
        <v/>
      </c>
    </row>
    <row r="39" spans="1:32">
      <c r="A39" s="3">
        <v>10</v>
      </c>
      <c r="B39" s="3">
        <v>1</v>
      </c>
      <c r="C39" s="3">
        <v>10</v>
      </c>
      <c r="D39" s="3">
        <v>3</v>
      </c>
      <c r="E39" s="3">
        <f>((1/(INDEX(E0!J$4:J$28,C39,1)-INDEX(E0!J$4:J$28,D39,1))))*100000000</f>
        <v>0</v>
      </c>
      <c r="F39" s="4" t="str">
        <f>HYPERLINK("http://141.218.60.56/~jnz1568/getInfo.php?workbook=10_01.xlsx&amp;sheet=A0&amp;row=39&amp;col=6&amp;number=&amp;sourceID=18","")</f>
        <v/>
      </c>
      <c r="G39" s="4" t="str">
        <f>HYPERLINK("http://141.218.60.56/~jnz1568/getInfo.php?workbook=10_01.xlsx&amp;sheet=A0&amp;row=39&amp;col=7&amp;number==&amp;sourceID=11","=")</f>
        <v>=</v>
      </c>
      <c r="H39" s="4" t="str">
        <f>HYPERLINK("http://141.218.60.56/~jnz1568/getInfo.php?workbook=10_01.xlsx&amp;sheet=A0&amp;row=39&amp;col=8&amp;number=97011000000&amp;sourceID=11","97011000000")</f>
        <v>97011000000</v>
      </c>
      <c r="I39" s="4" t="str">
        <f>HYPERLINK("http://141.218.60.56/~jnz1568/getInfo.php?workbook=10_01.xlsx&amp;sheet=A0&amp;row=39&amp;col=9&amp;number=&amp;sourceID=11","")</f>
        <v/>
      </c>
      <c r="J39" s="4" t="str">
        <f>HYPERLINK("http://141.218.60.56/~jnz1568/getInfo.php?workbook=10_01.xlsx&amp;sheet=A0&amp;row=39&amp;col=10&amp;number=&amp;sourceID=11","")</f>
        <v/>
      </c>
      <c r="K39" s="4" t="str">
        <f>HYPERLINK("http://141.218.60.56/~jnz1568/getInfo.php?workbook=10_01.xlsx&amp;sheet=A0&amp;row=39&amp;col=11&amp;number=&amp;sourceID=11","")</f>
        <v/>
      </c>
      <c r="L39" s="4" t="str">
        <f>HYPERLINK("http://141.218.60.56/~jnz1568/getInfo.php?workbook=10_01.xlsx&amp;sheet=A0&amp;row=39&amp;col=12&amp;number=&amp;sourceID=11","")</f>
        <v/>
      </c>
      <c r="M39" s="4" t="str">
        <f>HYPERLINK("http://141.218.60.56/~jnz1568/getInfo.php?workbook=10_01.xlsx&amp;sheet=A0&amp;row=39&amp;col=13&amp;number=&amp;sourceID=11","")</f>
        <v/>
      </c>
      <c r="N39" s="4" t="str">
        <f>HYPERLINK("http://141.218.60.56/~jnz1568/getInfo.php?workbook=10_01.xlsx&amp;sheet=A0&amp;row=39&amp;col=14&amp;number=97014000000&amp;sourceID=12","97014000000")</f>
        <v>97014000000</v>
      </c>
      <c r="O39" s="4" t="str">
        <f>HYPERLINK("http://141.218.60.56/~jnz1568/getInfo.php?workbook=10_01.xlsx&amp;sheet=A0&amp;row=39&amp;col=15&amp;number=97014000000&amp;sourceID=12","97014000000")</f>
        <v>97014000000</v>
      </c>
      <c r="P39" s="4" t="str">
        <f>HYPERLINK("http://141.218.60.56/~jnz1568/getInfo.php?workbook=10_01.xlsx&amp;sheet=A0&amp;row=39&amp;col=16&amp;number=&amp;sourceID=12","")</f>
        <v/>
      </c>
      <c r="Q39" s="4" t="str">
        <f>HYPERLINK("http://141.218.60.56/~jnz1568/getInfo.php?workbook=10_01.xlsx&amp;sheet=A0&amp;row=39&amp;col=17&amp;number=&amp;sourceID=12","")</f>
        <v/>
      </c>
      <c r="R39" s="4" t="str">
        <f>HYPERLINK("http://141.218.60.56/~jnz1568/getInfo.php?workbook=10_01.xlsx&amp;sheet=A0&amp;row=39&amp;col=18&amp;number=&amp;sourceID=12","")</f>
        <v/>
      </c>
      <c r="S39" s="4" t="str">
        <f>HYPERLINK("http://141.218.60.56/~jnz1568/getInfo.php?workbook=10_01.xlsx&amp;sheet=A0&amp;row=39&amp;col=19&amp;number=&amp;sourceID=12","")</f>
        <v/>
      </c>
      <c r="T39" s="4" t="str">
        <f>HYPERLINK("http://141.218.60.56/~jnz1568/getInfo.php?workbook=10_01.xlsx&amp;sheet=A0&amp;row=39&amp;col=20&amp;number=&amp;sourceID=12","")</f>
        <v/>
      </c>
      <c r="U39" s="4" t="str">
        <f>HYPERLINK("http://141.218.60.56/~jnz1568/getInfo.php?workbook=10_01.xlsx&amp;sheet=A0&amp;row=39&amp;col=21&amp;number=97010000000&amp;sourceID=30","97010000000")</f>
        <v>97010000000</v>
      </c>
      <c r="V39" s="4" t="str">
        <f>HYPERLINK("http://141.218.60.56/~jnz1568/getInfo.php?workbook=10_01.xlsx&amp;sheet=A0&amp;row=39&amp;col=22&amp;number=97010000000&amp;sourceID=30","97010000000")</f>
        <v>97010000000</v>
      </c>
      <c r="W39" s="4" t="str">
        <f>HYPERLINK("http://141.218.60.56/~jnz1568/getInfo.php?workbook=10_01.xlsx&amp;sheet=A0&amp;row=39&amp;col=23&amp;number=&amp;sourceID=30","")</f>
        <v/>
      </c>
      <c r="X39" s="4" t="str">
        <f>HYPERLINK("http://141.218.60.56/~jnz1568/getInfo.php?workbook=10_01.xlsx&amp;sheet=A0&amp;row=39&amp;col=24&amp;number=&amp;sourceID=30","")</f>
        <v/>
      </c>
      <c r="Y39" s="4" t="str">
        <f>HYPERLINK("http://141.218.60.56/~jnz1568/getInfo.php?workbook=10_01.xlsx&amp;sheet=A0&amp;row=39&amp;col=25&amp;number=&amp;sourceID=30","")</f>
        <v/>
      </c>
      <c r="Z39" s="4" t="str">
        <f>HYPERLINK("http://141.218.60.56/~jnz1568/getInfo.php?workbook=10_01.xlsx&amp;sheet=A0&amp;row=39&amp;col=26&amp;number==&amp;sourceID=13","=")</f>
        <v>=</v>
      </c>
      <c r="AA39" s="4" t="str">
        <f>HYPERLINK("http://141.218.60.56/~jnz1568/getInfo.php?workbook=10_01.xlsx&amp;sheet=A0&amp;row=39&amp;col=27&amp;number=95300000000&amp;sourceID=13","95300000000")</f>
        <v>95300000000</v>
      </c>
      <c r="AB39" s="4" t="str">
        <f>HYPERLINK("http://141.218.60.56/~jnz1568/getInfo.php?workbook=10_01.xlsx&amp;sheet=A0&amp;row=39&amp;col=28&amp;number=&amp;sourceID=13","")</f>
        <v/>
      </c>
      <c r="AC39" s="4" t="str">
        <f>HYPERLINK("http://141.218.60.56/~jnz1568/getInfo.php?workbook=10_01.xlsx&amp;sheet=A0&amp;row=39&amp;col=29&amp;number=&amp;sourceID=13","")</f>
        <v/>
      </c>
      <c r="AD39" s="4" t="str">
        <f>HYPERLINK("http://141.218.60.56/~jnz1568/getInfo.php?workbook=10_01.xlsx&amp;sheet=A0&amp;row=39&amp;col=30&amp;number=&amp;sourceID=13","")</f>
        <v/>
      </c>
      <c r="AE39" s="4" t="str">
        <f>HYPERLINK("http://141.218.60.56/~jnz1568/getInfo.php?workbook=10_01.xlsx&amp;sheet=A0&amp;row=39&amp;col=31&amp;number=&amp;sourceID=13","")</f>
        <v/>
      </c>
      <c r="AF39" s="4" t="str">
        <f>HYPERLINK("http://141.218.60.56/~jnz1568/getInfo.php?workbook=10_01.xlsx&amp;sheet=A0&amp;row=39&amp;col=32&amp;number=&amp;sourceID=20","")</f>
        <v/>
      </c>
    </row>
    <row r="40" spans="1:32">
      <c r="A40" s="3">
        <v>10</v>
      </c>
      <c r="B40" s="3">
        <v>1</v>
      </c>
      <c r="C40" s="3">
        <v>10</v>
      </c>
      <c r="D40" s="3">
        <v>4</v>
      </c>
      <c r="E40" s="3">
        <f>((1/(INDEX(E0!J$4:J$28,C40,1)-INDEX(E0!J$4:J$28,D40,1))))*100000000</f>
        <v>0</v>
      </c>
      <c r="F40" s="4" t="str">
        <f>HYPERLINK("http://141.218.60.56/~jnz1568/getInfo.php?workbook=10_01.xlsx&amp;sheet=A0&amp;row=40&amp;col=6&amp;number=&amp;sourceID=18","")</f>
        <v/>
      </c>
      <c r="G40" s="4" t="str">
        <f>HYPERLINK("http://141.218.60.56/~jnz1568/getInfo.php?workbook=10_01.xlsx&amp;sheet=A0&amp;row=40&amp;col=7&amp;number==&amp;sourceID=11","=")</f>
        <v>=</v>
      </c>
      <c r="H40" s="4" t="str">
        <f>HYPERLINK("http://141.218.60.56/~jnz1568/getInfo.php?workbook=10_01.xlsx&amp;sheet=A0&amp;row=40&amp;col=8&amp;number=&amp;sourceID=11","")</f>
        <v/>
      </c>
      <c r="I40" s="4" t="str">
        <f>HYPERLINK("http://141.218.60.56/~jnz1568/getInfo.php?workbook=10_01.xlsx&amp;sheet=A0&amp;row=40&amp;col=9&amp;number=10279000&amp;sourceID=11","10279000")</f>
        <v>10279000</v>
      </c>
      <c r="J40" s="4" t="str">
        <f>HYPERLINK("http://141.218.60.56/~jnz1568/getInfo.php?workbook=10_01.xlsx&amp;sheet=A0&amp;row=40&amp;col=10&amp;number=&amp;sourceID=11","")</f>
        <v/>
      </c>
      <c r="K40" s="4" t="str">
        <f>HYPERLINK("http://141.218.60.56/~jnz1568/getInfo.php?workbook=10_01.xlsx&amp;sheet=A0&amp;row=40&amp;col=11&amp;number=75.573&amp;sourceID=11","75.573")</f>
        <v>75.573</v>
      </c>
      <c r="L40" s="4" t="str">
        <f>HYPERLINK("http://141.218.60.56/~jnz1568/getInfo.php?workbook=10_01.xlsx&amp;sheet=A0&amp;row=40&amp;col=12&amp;number=&amp;sourceID=11","")</f>
        <v/>
      </c>
      <c r="M40" s="4" t="str">
        <f>HYPERLINK("http://141.218.60.56/~jnz1568/getInfo.php?workbook=10_01.xlsx&amp;sheet=A0&amp;row=40&amp;col=13&amp;number=&amp;sourceID=11","")</f>
        <v/>
      </c>
      <c r="N40" s="4" t="str">
        <f>HYPERLINK("http://141.218.60.56/~jnz1568/getInfo.php?workbook=10_01.xlsx&amp;sheet=A0&amp;row=40&amp;col=14&amp;number=10280000&amp;sourceID=12","10280000")</f>
        <v>10280000</v>
      </c>
      <c r="O40" s="4" t="str">
        <f>HYPERLINK("http://141.218.60.56/~jnz1568/getInfo.php?workbook=10_01.xlsx&amp;sheet=A0&amp;row=40&amp;col=15&amp;number=&amp;sourceID=12","")</f>
        <v/>
      </c>
      <c r="P40" s="4" t="str">
        <f>HYPERLINK("http://141.218.60.56/~jnz1568/getInfo.php?workbook=10_01.xlsx&amp;sheet=A0&amp;row=40&amp;col=16&amp;number=10280000&amp;sourceID=12","10280000")</f>
        <v>10280000</v>
      </c>
      <c r="Q40" s="4" t="str">
        <f>HYPERLINK("http://141.218.60.56/~jnz1568/getInfo.php?workbook=10_01.xlsx&amp;sheet=A0&amp;row=40&amp;col=17&amp;number=&amp;sourceID=12","")</f>
        <v/>
      </c>
      <c r="R40" s="4" t="str">
        <f>HYPERLINK("http://141.218.60.56/~jnz1568/getInfo.php?workbook=10_01.xlsx&amp;sheet=A0&amp;row=40&amp;col=18&amp;number=75.575&amp;sourceID=12","75.575")</f>
        <v>75.575</v>
      </c>
      <c r="S40" s="4" t="str">
        <f>HYPERLINK("http://141.218.60.56/~jnz1568/getInfo.php?workbook=10_01.xlsx&amp;sheet=A0&amp;row=40&amp;col=19&amp;number=&amp;sourceID=12","")</f>
        <v/>
      </c>
      <c r="T40" s="4" t="str">
        <f>HYPERLINK("http://141.218.60.56/~jnz1568/getInfo.php?workbook=10_01.xlsx&amp;sheet=A0&amp;row=40&amp;col=20&amp;number=&amp;sourceID=12","")</f>
        <v/>
      </c>
      <c r="U40" s="4" t="str">
        <f>HYPERLINK("http://141.218.60.56/~jnz1568/getInfo.php?workbook=10_01.xlsx&amp;sheet=A0&amp;row=40&amp;col=21&amp;number=10280075.57&amp;sourceID=30","10280075.57")</f>
        <v>10280075.57</v>
      </c>
      <c r="V40" s="4" t="str">
        <f>HYPERLINK("http://141.218.60.56/~jnz1568/getInfo.php?workbook=10_01.xlsx&amp;sheet=A0&amp;row=40&amp;col=22&amp;number=&amp;sourceID=30","")</f>
        <v/>
      </c>
      <c r="W40" s="4" t="str">
        <f>HYPERLINK("http://141.218.60.56/~jnz1568/getInfo.php?workbook=10_01.xlsx&amp;sheet=A0&amp;row=40&amp;col=23&amp;number=10280000&amp;sourceID=30","10280000")</f>
        <v>10280000</v>
      </c>
      <c r="X40" s="4" t="str">
        <f>HYPERLINK("http://141.218.60.56/~jnz1568/getInfo.php?workbook=10_01.xlsx&amp;sheet=A0&amp;row=40&amp;col=24&amp;number=75.57&amp;sourceID=30","75.57")</f>
        <v>75.57</v>
      </c>
      <c r="Y40" s="4" t="str">
        <f>HYPERLINK("http://141.218.60.56/~jnz1568/getInfo.php?workbook=10_01.xlsx&amp;sheet=A0&amp;row=40&amp;col=25&amp;number=&amp;sourceID=30","")</f>
        <v/>
      </c>
      <c r="Z40" s="4" t="str">
        <f>HYPERLINK("http://141.218.60.56/~jnz1568/getInfo.php?workbook=10_01.xlsx&amp;sheet=A0&amp;row=40&amp;col=26&amp;number==&amp;sourceID=13","=")</f>
        <v>=</v>
      </c>
      <c r="AA40" s="4" t="str">
        <f>HYPERLINK("http://141.218.60.56/~jnz1568/getInfo.php?workbook=10_01.xlsx&amp;sheet=A0&amp;row=40&amp;col=27&amp;number=&amp;sourceID=13","")</f>
        <v/>
      </c>
      <c r="AB40" s="4" t="str">
        <f>HYPERLINK("http://141.218.60.56/~jnz1568/getInfo.php?workbook=10_01.xlsx&amp;sheet=A0&amp;row=40&amp;col=28&amp;number=10000000&amp;sourceID=13","10000000")</f>
        <v>10000000</v>
      </c>
      <c r="AC40" s="4" t="str">
        <f>HYPERLINK("http://141.218.60.56/~jnz1568/getInfo.php?workbook=10_01.xlsx&amp;sheet=A0&amp;row=40&amp;col=29&amp;number=&amp;sourceID=13","")</f>
        <v/>
      </c>
      <c r="AD40" s="4" t="str">
        <f>HYPERLINK("http://141.218.60.56/~jnz1568/getInfo.php?workbook=10_01.xlsx&amp;sheet=A0&amp;row=40&amp;col=30&amp;number=83.8&amp;sourceID=13","83.8")</f>
        <v>83.8</v>
      </c>
      <c r="AE40" s="4" t="str">
        <f>HYPERLINK("http://141.218.60.56/~jnz1568/getInfo.php?workbook=10_01.xlsx&amp;sheet=A0&amp;row=40&amp;col=31&amp;number=&amp;sourceID=13","")</f>
        <v/>
      </c>
      <c r="AF40" s="4" t="str">
        <f>HYPERLINK("http://141.218.60.56/~jnz1568/getInfo.php?workbook=10_01.xlsx&amp;sheet=A0&amp;row=40&amp;col=32&amp;number=&amp;sourceID=20","")</f>
        <v/>
      </c>
    </row>
    <row r="41" spans="1:32">
      <c r="A41" s="3">
        <v>10</v>
      </c>
      <c r="B41" s="3">
        <v>1</v>
      </c>
      <c r="C41" s="3">
        <v>10</v>
      </c>
      <c r="D41" s="3">
        <v>5</v>
      </c>
      <c r="E41" s="3">
        <f>((1/(INDEX(E0!J$4:J$28,C41,1)-INDEX(E0!J$4:J$28,D41,1))))*100000000</f>
        <v>0</v>
      </c>
      <c r="F41" s="4" t="str">
        <f>HYPERLINK("http://141.218.60.56/~jnz1568/getInfo.php?workbook=10_01.xlsx&amp;sheet=A0&amp;row=41&amp;col=6&amp;number=&amp;sourceID=18","")</f>
        <v/>
      </c>
      <c r="G41" s="4" t="str">
        <f>HYPERLINK("http://141.218.60.56/~jnz1568/getInfo.php?workbook=10_01.xlsx&amp;sheet=A0&amp;row=41&amp;col=7&amp;number==&amp;sourceID=11","=")</f>
        <v>=</v>
      </c>
      <c r="H41" s="4" t="str">
        <f>HYPERLINK("http://141.218.60.56/~jnz1568/getInfo.php?workbook=10_01.xlsx&amp;sheet=A0&amp;row=41&amp;col=8&amp;number=&amp;sourceID=11","")</f>
        <v/>
      </c>
      <c r="I41" s="4" t="str">
        <f>HYPERLINK("http://141.218.60.56/~jnz1568/getInfo.php?workbook=10_01.xlsx&amp;sheet=A0&amp;row=41&amp;col=9&amp;number=&amp;sourceID=11","")</f>
        <v/>
      </c>
      <c r="J41" s="4" t="str">
        <f>HYPERLINK("http://141.218.60.56/~jnz1568/getInfo.php?workbook=10_01.xlsx&amp;sheet=A0&amp;row=41&amp;col=10&amp;number=&amp;sourceID=11","")</f>
        <v/>
      </c>
      <c r="K41" s="4" t="str">
        <f>HYPERLINK("http://141.218.60.56/~jnz1568/getInfo.php?workbook=10_01.xlsx&amp;sheet=A0&amp;row=41&amp;col=11&amp;number=0.064568&amp;sourceID=11","0.064568")</f>
        <v>0.064568</v>
      </c>
      <c r="L41" s="4" t="str">
        <f>HYPERLINK("http://141.218.60.56/~jnz1568/getInfo.php?workbook=10_01.xlsx&amp;sheet=A0&amp;row=41&amp;col=12&amp;number=&amp;sourceID=11","")</f>
        <v/>
      </c>
      <c r="M41" s="4" t="str">
        <f>HYPERLINK("http://141.218.60.56/~jnz1568/getInfo.php?workbook=10_01.xlsx&amp;sheet=A0&amp;row=41&amp;col=13&amp;number=&amp;sourceID=11","")</f>
        <v/>
      </c>
      <c r="N41" s="4" t="str">
        <f>HYPERLINK("http://141.218.60.56/~jnz1568/getInfo.php?workbook=10_01.xlsx&amp;sheet=A0&amp;row=41&amp;col=14&amp;number=0.06457&amp;sourceID=12","0.06457")</f>
        <v>0.06457</v>
      </c>
      <c r="O41" s="4" t="str">
        <f>HYPERLINK("http://141.218.60.56/~jnz1568/getInfo.php?workbook=10_01.xlsx&amp;sheet=A0&amp;row=41&amp;col=15&amp;number=&amp;sourceID=12","")</f>
        <v/>
      </c>
      <c r="P41" s="4" t="str">
        <f>HYPERLINK("http://141.218.60.56/~jnz1568/getInfo.php?workbook=10_01.xlsx&amp;sheet=A0&amp;row=41&amp;col=16&amp;number=&amp;sourceID=12","")</f>
        <v/>
      </c>
      <c r="Q41" s="4" t="str">
        <f>HYPERLINK("http://141.218.60.56/~jnz1568/getInfo.php?workbook=10_01.xlsx&amp;sheet=A0&amp;row=41&amp;col=17&amp;number=&amp;sourceID=12","")</f>
        <v/>
      </c>
      <c r="R41" s="4" t="str">
        <f>HYPERLINK("http://141.218.60.56/~jnz1568/getInfo.php?workbook=10_01.xlsx&amp;sheet=A0&amp;row=41&amp;col=18&amp;number=0.06457&amp;sourceID=12","0.06457")</f>
        <v>0.06457</v>
      </c>
      <c r="S41" s="4" t="str">
        <f>HYPERLINK("http://141.218.60.56/~jnz1568/getInfo.php?workbook=10_01.xlsx&amp;sheet=A0&amp;row=41&amp;col=19&amp;number=&amp;sourceID=12","")</f>
        <v/>
      </c>
      <c r="T41" s="4" t="str">
        <f>HYPERLINK("http://141.218.60.56/~jnz1568/getInfo.php?workbook=10_01.xlsx&amp;sheet=A0&amp;row=41&amp;col=20&amp;number=&amp;sourceID=12","")</f>
        <v/>
      </c>
      <c r="U41" s="4" t="str">
        <f>HYPERLINK("http://141.218.60.56/~jnz1568/getInfo.php?workbook=10_01.xlsx&amp;sheet=A0&amp;row=41&amp;col=21&amp;number=0.06461&amp;sourceID=30","0.06461")</f>
        <v>0.06461</v>
      </c>
      <c r="V41" s="4" t="str">
        <f>HYPERLINK("http://141.218.60.56/~jnz1568/getInfo.php?workbook=10_01.xlsx&amp;sheet=A0&amp;row=41&amp;col=22&amp;number=&amp;sourceID=30","")</f>
        <v/>
      </c>
      <c r="W41" s="4" t="str">
        <f>HYPERLINK("http://141.218.60.56/~jnz1568/getInfo.php?workbook=10_01.xlsx&amp;sheet=A0&amp;row=41&amp;col=23&amp;number=&amp;sourceID=30","")</f>
        <v/>
      </c>
      <c r="X41" s="4" t="str">
        <f>HYPERLINK("http://141.218.60.56/~jnz1568/getInfo.php?workbook=10_01.xlsx&amp;sheet=A0&amp;row=41&amp;col=24&amp;number=0.06461&amp;sourceID=30","0.06461")</f>
        <v>0.06461</v>
      </c>
      <c r="Y41" s="4" t="str">
        <f>HYPERLINK("http://141.218.60.56/~jnz1568/getInfo.php?workbook=10_01.xlsx&amp;sheet=A0&amp;row=41&amp;col=25&amp;number=&amp;sourceID=30","")</f>
        <v/>
      </c>
      <c r="Z41" s="4" t="str">
        <f>HYPERLINK("http://141.218.60.56/~jnz1568/getInfo.php?workbook=10_01.xlsx&amp;sheet=A0&amp;row=41&amp;col=26&amp;number==&amp;sourceID=13","=")</f>
        <v>=</v>
      </c>
      <c r="AA41" s="4" t="str">
        <f>HYPERLINK("http://141.218.60.56/~jnz1568/getInfo.php?workbook=10_01.xlsx&amp;sheet=A0&amp;row=41&amp;col=27&amp;number=&amp;sourceID=13","")</f>
        <v/>
      </c>
      <c r="AB41" s="4" t="str">
        <f>HYPERLINK("http://141.218.60.56/~jnz1568/getInfo.php?workbook=10_01.xlsx&amp;sheet=A0&amp;row=41&amp;col=28&amp;number=&amp;sourceID=13","")</f>
        <v/>
      </c>
      <c r="AC41" s="4" t="str">
        <f>HYPERLINK("http://141.218.60.56/~jnz1568/getInfo.php?workbook=10_01.xlsx&amp;sheet=A0&amp;row=41&amp;col=29&amp;number=&amp;sourceID=13","")</f>
        <v/>
      </c>
      <c r="AD41" s="4" t="str">
        <f>HYPERLINK("http://141.218.60.56/~jnz1568/getInfo.php?workbook=10_01.xlsx&amp;sheet=A0&amp;row=41&amp;col=30&amp;number=0.0637&amp;sourceID=13","0.0637")</f>
        <v>0.0637</v>
      </c>
      <c r="AE41" s="4" t="str">
        <f>HYPERLINK("http://141.218.60.56/~jnz1568/getInfo.php?workbook=10_01.xlsx&amp;sheet=A0&amp;row=41&amp;col=31&amp;number=&amp;sourceID=13","")</f>
        <v/>
      </c>
      <c r="AF41" s="4" t="str">
        <f>HYPERLINK("http://141.218.60.56/~jnz1568/getInfo.php?workbook=10_01.xlsx&amp;sheet=A0&amp;row=41&amp;col=32&amp;number=&amp;sourceID=20","")</f>
        <v/>
      </c>
    </row>
    <row r="42" spans="1:32">
      <c r="A42" s="3">
        <v>10</v>
      </c>
      <c r="B42" s="3">
        <v>1</v>
      </c>
      <c r="C42" s="3">
        <v>10</v>
      </c>
      <c r="D42" s="3">
        <v>6</v>
      </c>
      <c r="E42" s="3">
        <f>((1/(INDEX(E0!J$4:J$28,C42,1)-INDEX(E0!J$4:J$28,D42,1))))*100000000</f>
        <v>0</v>
      </c>
      <c r="F42" s="4" t="str">
        <f>HYPERLINK("http://141.218.60.56/~jnz1568/getInfo.php?workbook=10_01.xlsx&amp;sheet=A0&amp;row=42&amp;col=6&amp;number=&amp;sourceID=18","")</f>
        <v/>
      </c>
      <c r="G42" s="4" t="str">
        <f>HYPERLINK("http://141.218.60.56/~jnz1568/getInfo.php?workbook=10_01.xlsx&amp;sheet=A0&amp;row=42&amp;col=7&amp;number==&amp;sourceID=11","=")</f>
        <v>=</v>
      </c>
      <c r="H42" s="4" t="str">
        <f>HYPERLINK("http://141.218.60.56/~jnz1568/getInfo.php?workbook=10_01.xlsx&amp;sheet=A0&amp;row=42&amp;col=8&amp;number=30763000000&amp;sourceID=11","30763000000")</f>
        <v>30763000000</v>
      </c>
      <c r="I42" s="4" t="str">
        <f>HYPERLINK("http://141.218.60.56/~jnz1568/getInfo.php?workbook=10_01.xlsx&amp;sheet=A0&amp;row=42&amp;col=9&amp;number=&amp;sourceID=11","")</f>
        <v/>
      </c>
      <c r="J42" s="4" t="str">
        <f>HYPERLINK("http://141.218.60.56/~jnz1568/getInfo.php?workbook=10_01.xlsx&amp;sheet=A0&amp;row=42&amp;col=10&amp;number=&amp;sourceID=11","")</f>
        <v/>
      </c>
      <c r="K42" s="4" t="str">
        <f>HYPERLINK("http://141.218.60.56/~jnz1568/getInfo.php?workbook=10_01.xlsx&amp;sheet=A0&amp;row=42&amp;col=11&amp;number=&amp;sourceID=11","")</f>
        <v/>
      </c>
      <c r="L42" s="4" t="str">
        <f>HYPERLINK("http://141.218.60.56/~jnz1568/getInfo.php?workbook=10_01.xlsx&amp;sheet=A0&amp;row=42&amp;col=12&amp;number=&amp;sourceID=11","")</f>
        <v/>
      </c>
      <c r="M42" s="4" t="str">
        <f>HYPERLINK("http://141.218.60.56/~jnz1568/getInfo.php?workbook=10_01.xlsx&amp;sheet=A0&amp;row=42&amp;col=13&amp;number=&amp;sourceID=11","")</f>
        <v/>
      </c>
      <c r="N42" s="4" t="str">
        <f>HYPERLINK("http://141.218.60.56/~jnz1568/getInfo.php?workbook=10_01.xlsx&amp;sheet=A0&amp;row=42&amp;col=14&amp;number=30764000000&amp;sourceID=12","30764000000")</f>
        <v>30764000000</v>
      </c>
      <c r="O42" s="4" t="str">
        <f>HYPERLINK("http://141.218.60.56/~jnz1568/getInfo.php?workbook=10_01.xlsx&amp;sheet=A0&amp;row=42&amp;col=15&amp;number=30764000000&amp;sourceID=12","30764000000")</f>
        <v>30764000000</v>
      </c>
      <c r="P42" s="4" t="str">
        <f>HYPERLINK("http://141.218.60.56/~jnz1568/getInfo.php?workbook=10_01.xlsx&amp;sheet=A0&amp;row=42&amp;col=16&amp;number=&amp;sourceID=12","")</f>
        <v/>
      </c>
      <c r="Q42" s="4" t="str">
        <f>HYPERLINK("http://141.218.60.56/~jnz1568/getInfo.php?workbook=10_01.xlsx&amp;sheet=A0&amp;row=42&amp;col=17&amp;number=&amp;sourceID=12","")</f>
        <v/>
      </c>
      <c r="R42" s="4" t="str">
        <f>HYPERLINK("http://141.218.60.56/~jnz1568/getInfo.php?workbook=10_01.xlsx&amp;sheet=A0&amp;row=42&amp;col=18&amp;number=&amp;sourceID=12","")</f>
        <v/>
      </c>
      <c r="S42" s="4" t="str">
        <f>HYPERLINK("http://141.218.60.56/~jnz1568/getInfo.php?workbook=10_01.xlsx&amp;sheet=A0&amp;row=42&amp;col=19&amp;number=&amp;sourceID=12","")</f>
        <v/>
      </c>
      <c r="T42" s="4" t="str">
        <f>HYPERLINK("http://141.218.60.56/~jnz1568/getInfo.php?workbook=10_01.xlsx&amp;sheet=A0&amp;row=42&amp;col=20&amp;number=&amp;sourceID=12","")</f>
        <v/>
      </c>
      <c r="U42" s="4" t="str">
        <f>HYPERLINK("http://141.218.60.56/~jnz1568/getInfo.php?workbook=10_01.xlsx&amp;sheet=A0&amp;row=42&amp;col=21&amp;number=30760000000&amp;sourceID=30","30760000000")</f>
        <v>30760000000</v>
      </c>
      <c r="V42" s="4" t="str">
        <f>HYPERLINK("http://141.218.60.56/~jnz1568/getInfo.php?workbook=10_01.xlsx&amp;sheet=A0&amp;row=42&amp;col=22&amp;number=30760000000&amp;sourceID=30","30760000000")</f>
        <v>30760000000</v>
      </c>
      <c r="W42" s="4" t="str">
        <f>HYPERLINK("http://141.218.60.56/~jnz1568/getInfo.php?workbook=10_01.xlsx&amp;sheet=A0&amp;row=42&amp;col=23&amp;number=&amp;sourceID=30","")</f>
        <v/>
      </c>
      <c r="X42" s="4" t="str">
        <f>HYPERLINK("http://141.218.60.56/~jnz1568/getInfo.php?workbook=10_01.xlsx&amp;sheet=A0&amp;row=42&amp;col=24&amp;number=&amp;sourceID=30","")</f>
        <v/>
      </c>
      <c r="Y42" s="4" t="str">
        <f>HYPERLINK("http://141.218.60.56/~jnz1568/getInfo.php?workbook=10_01.xlsx&amp;sheet=A0&amp;row=42&amp;col=25&amp;number=&amp;sourceID=30","")</f>
        <v/>
      </c>
      <c r="Z42" s="4" t="str">
        <f>HYPERLINK("http://141.218.60.56/~jnz1568/getInfo.php?workbook=10_01.xlsx&amp;sheet=A0&amp;row=42&amp;col=26&amp;number==&amp;sourceID=13","=")</f>
        <v>=</v>
      </c>
      <c r="AA42" s="4" t="str">
        <f>HYPERLINK("http://141.218.60.56/~jnz1568/getInfo.php?workbook=10_01.xlsx&amp;sheet=A0&amp;row=42&amp;col=27&amp;number=30500000000&amp;sourceID=13","30500000000")</f>
        <v>30500000000</v>
      </c>
      <c r="AB42" s="4" t="str">
        <f>HYPERLINK("http://141.218.60.56/~jnz1568/getInfo.php?workbook=10_01.xlsx&amp;sheet=A0&amp;row=42&amp;col=28&amp;number=&amp;sourceID=13","")</f>
        <v/>
      </c>
      <c r="AC42" s="4" t="str">
        <f>HYPERLINK("http://141.218.60.56/~jnz1568/getInfo.php?workbook=10_01.xlsx&amp;sheet=A0&amp;row=42&amp;col=29&amp;number=&amp;sourceID=13","")</f>
        <v/>
      </c>
      <c r="AD42" s="4" t="str">
        <f>HYPERLINK("http://141.218.60.56/~jnz1568/getInfo.php?workbook=10_01.xlsx&amp;sheet=A0&amp;row=42&amp;col=30&amp;number=&amp;sourceID=13","")</f>
        <v/>
      </c>
      <c r="AE42" s="4" t="str">
        <f>HYPERLINK("http://141.218.60.56/~jnz1568/getInfo.php?workbook=10_01.xlsx&amp;sheet=A0&amp;row=42&amp;col=31&amp;number=&amp;sourceID=13","")</f>
        <v/>
      </c>
      <c r="AF42" s="4" t="str">
        <f>HYPERLINK("http://141.218.60.56/~jnz1568/getInfo.php?workbook=10_01.xlsx&amp;sheet=A0&amp;row=42&amp;col=32&amp;number=&amp;sourceID=20","")</f>
        <v/>
      </c>
    </row>
    <row r="43" spans="1:32">
      <c r="A43" s="3">
        <v>10</v>
      </c>
      <c r="B43" s="3">
        <v>1</v>
      </c>
      <c r="C43" s="3">
        <v>10</v>
      </c>
      <c r="D43" s="3">
        <v>7</v>
      </c>
      <c r="E43" s="3">
        <f>((1/(INDEX(E0!J$4:J$28,C43,1)-INDEX(E0!J$4:J$28,D43,1))))*100000000</f>
        <v>0</v>
      </c>
      <c r="F43" s="4" t="str">
        <f>HYPERLINK("http://141.218.60.56/~jnz1568/getInfo.php?workbook=10_01.xlsx&amp;sheet=A0&amp;row=43&amp;col=6&amp;number=&amp;sourceID=18","")</f>
        <v/>
      </c>
      <c r="G43" s="4" t="str">
        <f>HYPERLINK("http://141.218.60.56/~jnz1568/getInfo.php?workbook=10_01.xlsx&amp;sheet=A0&amp;row=43&amp;col=7&amp;number==&amp;sourceID=11","=")</f>
        <v>=</v>
      </c>
      <c r="H43" s="4" t="str">
        <f>HYPERLINK("http://141.218.60.56/~jnz1568/getInfo.php?workbook=10_01.xlsx&amp;sheet=A0&amp;row=43&amp;col=8&amp;number=3534100000&amp;sourceID=11","3534100000")</f>
        <v>3534100000</v>
      </c>
      <c r="I43" s="4" t="str">
        <f>HYPERLINK("http://141.218.60.56/~jnz1568/getInfo.php?workbook=10_01.xlsx&amp;sheet=A0&amp;row=43&amp;col=9&amp;number=&amp;sourceID=11","")</f>
        <v/>
      </c>
      <c r="J43" s="4" t="str">
        <f>HYPERLINK("http://141.218.60.56/~jnz1568/getInfo.php?workbook=10_01.xlsx&amp;sheet=A0&amp;row=43&amp;col=10&amp;number=&amp;sourceID=11","")</f>
        <v/>
      </c>
      <c r="K43" s="4" t="str">
        <f>HYPERLINK("http://141.218.60.56/~jnz1568/getInfo.php?workbook=10_01.xlsx&amp;sheet=A0&amp;row=43&amp;col=11&amp;number=&amp;sourceID=11","")</f>
        <v/>
      </c>
      <c r="L43" s="4" t="str">
        <f>HYPERLINK("http://141.218.60.56/~jnz1568/getInfo.php?workbook=10_01.xlsx&amp;sheet=A0&amp;row=43&amp;col=12&amp;number=0.44397&amp;sourceID=11","0.44397")</f>
        <v>0.44397</v>
      </c>
      <c r="M43" s="4" t="str">
        <f>HYPERLINK("http://141.218.60.56/~jnz1568/getInfo.php?workbook=10_01.xlsx&amp;sheet=A0&amp;row=43&amp;col=13&amp;number=&amp;sourceID=11","")</f>
        <v/>
      </c>
      <c r="N43" s="4" t="str">
        <f>HYPERLINK("http://141.218.60.56/~jnz1568/getInfo.php?workbook=10_01.xlsx&amp;sheet=A0&amp;row=43&amp;col=14&amp;number=3534200000&amp;sourceID=12","3534200000")</f>
        <v>3534200000</v>
      </c>
      <c r="O43" s="4" t="str">
        <f>HYPERLINK("http://141.218.60.56/~jnz1568/getInfo.php?workbook=10_01.xlsx&amp;sheet=A0&amp;row=43&amp;col=15&amp;number=3534200000&amp;sourceID=12","3534200000")</f>
        <v>3534200000</v>
      </c>
      <c r="P43" s="4" t="str">
        <f>HYPERLINK("http://141.218.60.56/~jnz1568/getInfo.php?workbook=10_01.xlsx&amp;sheet=A0&amp;row=43&amp;col=16&amp;number=&amp;sourceID=12","")</f>
        <v/>
      </c>
      <c r="Q43" s="4" t="str">
        <f>HYPERLINK("http://141.218.60.56/~jnz1568/getInfo.php?workbook=10_01.xlsx&amp;sheet=A0&amp;row=43&amp;col=17&amp;number=&amp;sourceID=12","")</f>
        <v/>
      </c>
      <c r="R43" s="4" t="str">
        <f>HYPERLINK("http://141.218.60.56/~jnz1568/getInfo.php?workbook=10_01.xlsx&amp;sheet=A0&amp;row=43&amp;col=18&amp;number=&amp;sourceID=12","")</f>
        <v/>
      </c>
      <c r="S43" s="4" t="str">
        <f>HYPERLINK("http://141.218.60.56/~jnz1568/getInfo.php?workbook=10_01.xlsx&amp;sheet=A0&amp;row=43&amp;col=19&amp;number=0.44398&amp;sourceID=12","0.44398")</f>
        <v>0.44398</v>
      </c>
      <c r="T43" s="4" t="str">
        <f>HYPERLINK("http://141.218.60.56/~jnz1568/getInfo.php?workbook=10_01.xlsx&amp;sheet=A0&amp;row=43&amp;col=20&amp;number=&amp;sourceID=12","")</f>
        <v/>
      </c>
      <c r="U43" s="4" t="str">
        <f>HYPERLINK("http://141.218.60.56/~jnz1568/getInfo.php?workbook=10_01.xlsx&amp;sheet=A0&amp;row=43&amp;col=21&amp;number=3534000000.44&amp;sourceID=30","3534000000.44")</f>
        <v>3534000000.44</v>
      </c>
      <c r="V43" s="4" t="str">
        <f>HYPERLINK("http://141.218.60.56/~jnz1568/getInfo.php?workbook=10_01.xlsx&amp;sheet=A0&amp;row=43&amp;col=22&amp;number=3534000000&amp;sourceID=30","3534000000")</f>
        <v>3534000000</v>
      </c>
      <c r="W43" s="4" t="str">
        <f>HYPERLINK("http://141.218.60.56/~jnz1568/getInfo.php?workbook=10_01.xlsx&amp;sheet=A0&amp;row=43&amp;col=23&amp;number=&amp;sourceID=30","")</f>
        <v/>
      </c>
      <c r="X43" s="4" t="str">
        <f>HYPERLINK("http://141.218.60.56/~jnz1568/getInfo.php?workbook=10_01.xlsx&amp;sheet=A0&amp;row=43&amp;col=24&amp;number=&amp;sourceID=30","")</f>
        <v/>
      </c>
      <c r="Y43" s="4" t="str">
        <f>HYPERLINK("http://141.218.60.56/~jnz1568/getInfo.php?workbook=10_01.xlsx&amp;sheet=A0&amp;row=43&amp;col=25&amp;number=0.444&amp;sourceID=30","0.444")</f>
        <v>0.444</v>
      </c>
      <c r="Z43" s="4" t="str">
        <f>HYPERLINK("http://141.218.60.56/~jnz1568/getInfo.php?workbook=10_01.xlsx&amp;sheet=A0&amp;row=43&amp;col=26&amp;number==&amp;sourceID=13","=")</f>
        <v>=</v>
      </c>
      <c r="AA43" s="4" t="str">
        <f>HYPERLINK("http://141.218.60.56/~jnz1568/getInfo.php?workbook=10_01.xlsx&amp;sheet=A0&amp;row=43&amp;col=27&amp;number=3490000000&amp;sourceID=13","3490000000")</f>
        <v>3490000000</v>
      </c>
      <c r="AB43" s="4" t="str">
        <f>HYPERLINK("http://141.218.60.56/~jnz1568/getInfo.php?workbook=10_01.xlsx&amp;sheet=A0&amp;row=43&amp;col=28&amp;number=&amp;sourceID=13","")</f>
        <v/>
      </c>
      <c r="AC43" s="4" t="str">
        <f>HYPERLINK("http://141.218.60.56/~jnz1568/getInfo.php?workbook=10_01.xlsx&amp;sheet=A0&amp;row=43&amp;col=29&amp;number=&amp;sourceID=13","")</f>
        <v/>
      </c>
      <c r="AD43" s="4" t="str">
        <f>HYPERLINK("http://141.218.60.56/~jnz1568/getInfo.php?workbook=10_01.xlsx&amp;sheet=A0&amp;row=43&amp;col=30&amp;number=&amp;sourceID=13","")</f>
        <v/>
      </c>
      <c r="AE43" s="4" t="str">
        <f>HYPERLINK("http://141.218.60.56/~jnz1568/getInfo.php?workbook=10_01.xlsx&amp;sheet=A0&amp;row=43&amp;col=31&amp;number=&amp;sourceID=13","")</f>
        <v/>
      </c>
      <c r="AF43" s="4" t="str">
        <f>HYPERLINK("http://141.218.60.56/~jnz1568/getInfo.php?workbook=10_01.xlsx&amp;sheet=A0&amp;row=43&amp;col=32&amp;number=&amp;sourceID=20","")</f>
        <v/>
      </c>
    </row>
    <row r="44" spans="1:32">
      <c r="A44" s="3">
        <v>10</v>
      </c>
      <c r="B44" s="3">
        <v>1</v>
      </c>
      <c r="C44" s="3">
        <v>10</v>
      </c>
      <c r="D44" s="3">
        <v>8</v>
      </c>
      <c r="E44" s="3">
        <f>((1/(INDEX(E0!J$4:J$28,C44,1)-INDEX(E0!J$4:J$28,D44,1))))*100000000</f>
        <v>0</v>
      </c>
      <c r="F44" s="4" t="str">
        <f>HYPERLINK("http://141.218.60.56/~jnz1568/getInfo.php?workbook=10_01.xlsx&amp;sheet=A0&amp;row=44&amp;col=6&amp;number=&amp;sourceID=18","")</f>
        <v/>
      </c>
      <c r="G44" s="4" t="str">
        <f>HYPERLINK("http://141.218.60.56/~jnz1568/getInfo.php?workbook=10_01.xlsx&amp;sheet=A0&amp;row=44&amp;col=7&amp;number==&amp;sourceID=11","=")</f>
        <v>=</v>
      </c>
      <c r="H44" s="4" t="str">
        <f>HYPERLINK("http://141.218.60.56/~jnz1568/getInfo.php?workbook=10_01.xlsx&amp;sheet=A0&amp;row=44&amp;col=8&amp;number=&amp;sourceID=11","")</f>
        <v/>
      </c>
      <c r="I44" s="4" t="str">
        <f>HYPERLINK("http://141.218.60.56/~jnz1568/getInfo.php?workbook=10_01.xlsx&amp;sheet=A0&amp;row=44&amp;col=9&amp;number=2555100&amp;sourceID=11","2555100")</f>
        <v>2555100</v>
      </c>
      <c r="J44" s="4" t="str">
        <f>HYPERLINK("http://141.218.60.56/~jnz1568/getInfo.php?workbook=10_01.xlsx&amp;sheet=A0&amp;row=44&amp;col=10&amp;number=&amp;sourceID=11","")</f>
        <v/>
      </c>
      <c r="K44" s="4" t="str">
        <f>HYPERLINK("http://141.218.60.56/~jnz1568/getInfo.php?workbook=10_01.xlsx&amp;sheet=A0&amp;row=44&amp;col=11&amp;number=5.4009&amp;sourceID=11","5.4009")</f>
        <v>5.4009</v>
      </c>
      <c r="L44" s="4" t="str">
        <f>HYPERLINK("http://141.218.60.56/~jnz1568/getInfo.php?workbook=10_01.xlsx&amp;sheet=A0&amp;row=44&amp;col=12&amp;number=&amp;sourceID=11","")</f>
        <v/>
      </c>
      <c r="M44" s="4" t="str">
        <f>HYPERLINK("http://141.218.60.56/~jnz1568/getInfo.php?workbook=10_01.xlsx&amp;sheet=A0&amp;row=44&amp;col=13&amp;number=&amp;sourceID=11","")</f>
        <v/>
      </c>
      <c r="N44" s="4" t="str">
        <f>HYPERLINK("http://141.218.60.56/~jnz1568/getInfo.php?workbook=10_01.xlsx&amp;sheet=A0&amp;row=44&amp;col=14&amp;number=2555200&amp;sourceID=12","2555200")</f>
        <v>2555200</v>
      </c>
      <c r="O44" s="4" t="str">
        <f>HYPERLINK("http://141.218.60.56/~jnz1568/getInfo.php?workbook=10_01.xlsx&amp;sheet=A0&amp;row=44&amp;col=15&amp;number=&amp;sourceID=12","")</f>
        <v/>
      </c>
      <c r="P44" s="4" t="str">
        <f>HYPERLINK("http://141.218.60.56/~jnz1568/getInfo.php?workbook=10_01.xlsx&amp;sheet=A0&amp;row=44&amp;col=16&amp;number=2555200&amp;sourceID=12","2555200")</f>
        <v>2555200</v>
      </c>
      <c r="Q44" s="4" t="str">
        <f>HYPERLINK("http://141.218.60.56/~jnz1568/getInfo.php?workbook=10_01.xlsx&amp;sheet=A0&amp;row=44&amp;col=17&amp;number=&amp;sourceID=12","")</f>
        <v/>
      </c>
      <c r="R44" s="4" t="str">
        <f>HYPERLINK("http://141.218.60.56/~jnz1568/getInfo.php?workbook=10_01.xlsx&amp;sheet=A0&amp;row=44&amp;col=18&amp;number=5.4011&amp;sourceID=12","5.4011")</f>
        <v>5.4011</v>
      </c>
      <c r="S44" s="4" t="str">
        <f>HYPERLINK("http://141.218.60.56/~jnz1568/getInfo.php?workbook=10_01.xlsx&amp;sheet=A0&amp;row=44&amp;col=19&amp;number=&amp;sourceID=12","")</f>
        <v/>
      </c>
      <c r="T44" s="4" t="str">
        <f>HYPERLINK("http://141.218.60.56/~jnz1568/getInfo.php?workbook=10_01.xlsx&amp;sheet=A0&amp;row=44&amp;col=20&amp;number=&amp;sourceID=12","")</f>
        <v/>
      </c>
      <c r="U44" s="4" t="str">
        <f>HYPERLINK("http://141.218.60.56/~jnz1568/getInfo.php?workbook=10_01.xlsx&amp;sheet=A0&amp;row=44&amp;col=21&amp;number=2555005.401&amp;sourceID=30","2555005.401")</f>
        <v>2555005.401</v>
      </c>
      <c r="V44" s="4" t="str">
        <f>HYPERLINK("http://141.218.60.56/~jnz1568/getInfo.php?workbook=10_01.xlsx&amp;sheet=A0&amp;row=44&amp;col=22&amp;number=&amp;sourceID=30","")</f>
        <v/>
      </c>
      <c r="W44" s="4" t="str">
        <f>HYPERLINK("http://141.218.60.56/~jnz1568/getInfo.php?workbook=10_01.xlsx&amp;sheet=A0&amp;row=44&amp;col=23&amp;number=2555000&amp;sourceID=30","2555000")</f>
        <v>2555000</v>
      </c>
      <c r="X44" s="4" t="str">
        <f>HYPERLINK("http://141.218.60.56/~jnz1568/getInfo.php?workbook=10_01.xlsx&amp;sheet=A0&amp;row=44&amp;col=24&amp;number=5.401&amp;sourceID=30","5.401")</f>
        <v>5.401</v>
      </c>
      <c r="Y44" s="4" t="str">
        <f>HYPERLINK("http://141.218.60.56/~jnz1568/getInfo.php?workbook=10_01.xlsx&amp;sheet=A0&amp;row=44&amp;col=25&amp;number=&amp;sourceID=30","")</f>
        <v/>
      </c>
      <c r="Z44" s="4" t="str">
        <f>HYPERLINK("http://141.218.60.56/~jnz1568/getInfo.php?workbook=10_01.xlsx&amp;sheet=A0&amp;row=44&amp;col=26&amp;number==&amp;sourceID=13","=")</f>
        <v>=</v>
      </c>
      <c r="AA44" s="4" t="str">
        <f>HYPERLINK("http://141.218.60.56/~jnz1568/getInfo.php?workbook=10_01.xlsx&amp;sheet=A0&amp;row=44&amp;col=27&amp;number=&amp;sourceID=13","")</f>
        <v/>
      </c>
      <c r="AB44" s="4" t="str">
        <f>HYPERLINK("http://141.218.60.56/~jnz1568/getInfo.php?workbook=10_01.xlsx&amp;sheet=A0&amp;row=44&amp;col=28&amp;number=2540000&amp;sourceID=13","2540000")</f>
        <v>2540000</v>
      </c>
      <c r="AC44" s="4" t="str">
        <f>HYPERLINK("http://141.218.60.56/~jnz1568/getInfo.php?workbook=10_01.xlsx&amp;sheet=A0&amp;row=44&amp;col=29&amp;number=&amp;sourceID=13","")</f>
        <v/>
      </c>
      <c r="AD44" s="4" t="str">
        <f>HYPERLINK("http://141.218.60.56/~jnz1568/getInfo.php?workbook=10_01.xlsx&amp;sheet=A0&amp;row=44&amp;col=30&amp;number=5.51&amp;sourceID=13","5.51")</f>
        <v>5.51</v>
      </c>
      <c r="AE44" s="4" t="str">
        <f>HYPERLINK("http://141.218.60.56/~jnz1568/getInfo.php?workbook=10_01.xlsx&amp;sheet=A0&amp;row=44&amp;col=31&amp;number=&amp;sourceID=13","")</f>
        <v/>
      </c>
      <c r="AF44" s="4" t="str">
        <f>HYPERLINK("http://141.218.60.56/~jnz1568/getInfo.php?workbook=10_01.xlsx&amp;sheet=A0&amp;row=44&amp;col=32&amp;number=&amp;sourceID=20","")</f>
        <v/>
      </c>
    </row>
    <row r="45" spans="1:32">
      <c r="A45" s="3">
        <v>10</v>
      </c>
      <c r="B45" s="3">
        <v>1</v>
      </c>
      <c r="C45" s="3">
        <v>10</v>
      </c>
      <c r="D45" s="3">
        <v>9</v>
      </c>
      <c r="E45" s="3">
        <f>((1/(INDEX(E0!J$4:J$28,C45,1)-INDEX(E0!J$4:J$28,D45,1))))*100000000</f>
        <v>0</v>
      </c>
      <c r="F45" s="4" t="str">
        <f>HYPERLINK("http://141.218.60.56/~jnz1568/getInfo.php?workbook=10_01.xlsx&amp;sheet=A0&amp;row=45&amp;col=6&amp;number=&amp;sourceID=18","")</f>
        <v/>
      </c>
      <c r="G45" s="4" t="str">
        <f>HYPERLINK("http://141.218.60.56/~jnz1568/getInfo.php?workbook=10_01.xlsx&amp;sheet=A0&amp;row=45&amp;col=7&amp;number==&amp;sourceID=11","=")</f>
        <v>=</v>
      </c>
      <c r="H45" s="4" t="str">
        <f>HYPERLINK("http://141.218.60.56/~jnz1568/getInfo.php?workbook=10_01.xlsx&amp;sheet=A0&amp;row=45&amp;col=8&amp;number=&amp;sourceID=11","")</f>
        <v/>
      </c>
      <c r="I45" s="4" t="str">
        <f>HYPERLINK("http://141.218.60.56/~jnz1568/getInfo.php?workbook=10_01.xlsx&amp;sheet=A0&amp;row=45&amp;col=9&amp;number=&amp;sourceID=11","")</f>
        <v/>
      </c>
      <c r="J45" s="4" t="str">
        <f>HYPERLINK("http://141.218.60.56/~jnz1568/getInfo.php?workbook=10_01.xlsx&amp;sheet=A0&amp;row=45&amp;col=10&amp;number=46.803&amp;sourceID=11","46.803")</f>
        <v>46.803</v>
      </c>
      <c r="K45" s="4" t="str">
        <f>HYPERLINK("http://141.218.60.56/~jnz1568/getInfo.php?workbook=10_01.xlsx&amp;sheet=A0&amp;row=45&amp;col=11&amp;number=&amp;sourceID=11","")</f>
        <v/>
      </c>
      <c r="L45" s="4" t="str">
        <f>HYPERLINK("http://141.218.60.56/~jnz1568/getInfo.php?workbook=10_01.xlsx&amp;sheet=A0&amp;row=45&amp;col=12&amp;number=4.7505&amp;sourceID=11","4.7505")</f>
        <v>4.7505</v>
      </c>
      <c r="M45" s="4" t="str">
        <f>HYPERLINK("http://141.218.60.56/~jnz1568/getInfo.php?workbook=10_01.xlsx&amp;sheet=A0&amp;row=45&amp;col=13&amp;number=&amp;sourceID=11","")</f>
        <v/>
      </c>
      <c r="N45" s="4" t="str">
        <f>HYPERLINK("http://141.218.60.56/~jnz1568/getInfo.php?workbook=10_01.xlsx&amp;sheet=A0&amp;row=45&amp;col=14&amp;number=51.556&amp;sourceID=12","51.556")</f>
        <v>51.556</v>
      </c>
      <c r="O45" s="4" t="str">
        <f>HYPERLINK("http://141.218.60.56/~jnz1568/getInfo.php?workbook=10_01.xlsx&amp;sheet=A0&amp;row=45&amp;col=15&amp;number=&amp;sourceID=12","")</f>
        <v/>
      </c>
      <c r="P45" s="4" t="str">
        <f>HYPERLINK("http://141.218.60.56/~jnz1568/getInfo.php?workbook=10_01.xlsx&amp;sheet=A0&amp;row=45&amp;col=16&amp;number=&amp;sourceID=12","")</f>
        <v/>
      </c>
      <c r="Q45" s="4" t="str">
        <f>HYPERLINK("http://141.218.60.56/~jnz1568/getInfo.php?workbook=10_01.xlsx&amp;sheet=A0&amp;row=45&amp;col=17&amp;number=46.805&amp;sourceID=12","46.805")</f>
        <v>46.805</v>
      </c>
      <c r="R45" s="4" t="str">
        <f>HYPERLINK("http://141.218.60.56/~jnz1568/getInfo.php?workbook=10_01.xlsx&amp;sheet=A0&amp;row=45&amp;col=18&amp;number=&amp;sourceID=12","")</f>
        <v/>
      </c>
      <c r="S45" s="4" t="str">
        <f>HYPERLINK("http://141.218.60.56/~jnz1568/getInfo.php?workbook=10_01.xlsx&amp;sheet=A0&amp;row=45&amp;col=19&amp;number=4.7506&amp;sourceID=12","4.7506")</f>
        <v>4.7506</v>
      </c>
      <c r="T45" s="4" t="str">
        <f>HYPERLINK("http://141.218.60.56/~jnz1568/getInfo.php?workbook=10_01.xlsx&amp;sheet=A0&amp;row=45&amp;col=20&amp;number=&amp;sourceID=12","")</f>
        <v/>
      </c>
      <c r="U45" s="4" t="str">
        <f>HYPERLINK("http://141.218.60.56/~jnz1568/getInfo.php?workbook=10_01.xlsx&amp;sheet=A0&amp;row=45&amp;col=21&amp;number=4.751&amp;sourceID=30","4.751")</f>
        <v>4.751</v>
      </c>
      <c r="V45" s="4" t="str">
        <f>HYPERLINK("http://141.218.60.56/~jnz1568/getInfo.php?workbook=10_01.xlsx&amp;sheet=A0&amp;row=45&amp;col=22&amp;number=&amp;sourceID=30","")</f>
        <v/>
      </c>
      <c r="W45" s="4" t="str">
        <f>HYPERLINK("http://141.218.60.56/~jnz1568/getInfo.php?workbook=10_01.xlsx&amp;sheet=A0&amp;row=45&amp;col=23&amp;number=&amp;sourceID=30","")</f>
        <v/>
      </c>
      <c r="X45" s="4" t="str">
        <f>HYPERLINK("http://141.218.60.56/~jnz1568/getInfo.php?workbook=10_01.xlsx&amp;sheet=A0&amp;row=45&amp;col=24&amp;number=&amp;sourceID=30","")</f>
        <v/>
      </c>
      <c r="Y45" s="4" t="str">
        <f>HYPERLINK("http://141.218.60.56/~jnz1568/getInfo.php?workbook=10_01.xlsx&amp;sheet=A0&amp;row=45&amp;col=25&amp;number=4.751&amp;sourceID=30","4.751")</f>
        <v>4.751</v>
      </c>
      <c r="Z45" s="4" t="str">
        <f>HYPERLINK("http://141.218.60.56/~jnz1568/getInfo.php?workbook=10_01.xlsx&amp;sheet=A0&amp;row=45&amp;col=26&amp;number==&amp;sourceID=13","=")</f>
        <v>=</v>
      </c>
      <c r="AA45" s="4" t="str">
        <f>HYPERLINK("http://141.218.60.56/~jnz1568/getInfo.php?workbook=10_01.xlsx&amp;sheet=A0&amp;row=45&amp;col=27&amp;number=&amp;sourceID=13","")</f>
        <v/>
      </c>
      <c r="AB45" s="4" t="str">
        <f>HYPERLINK("http://141.218.60.56/~jnz1568/getInfo.php?workbook=10_01.xlsx&amp;sheet=A0&amp;row=45&amp;col=28&amp;number=&amp;sourceID=13","")</f>
        <v/>
      </c>
      <c r="AC45" s="4" t="str">
        <f>HYPERLINK("http://141.218.60.56/~jnz1568/getInfo.php?workbook=10_01.xlsx&amp;sheet=A0&amp;row=45&amp;col=29&amp;number=72.5&amp;sourceID=13","72.5")</f>
        <v>72.5</v>
      </c>
      <c r="AD45" s="4" t="str">
        <f>HYPERLINK("http://141.218.60.56/~jnz1568/getInfo.php?workbook=10_01.xlsx&amp;sheet=A0&amp;row=45&amp;col=30&amp;number=&amp;sourceID=13","")</f>
        <v/>
      </c>
      <c r="AE45" s="4" t="str">
        <f>HYPERLINK("http://141.218.60.56/~jnz1568/getInfo.php?workbook=10_01.xlsx&amp;sheet=A0&amp;row=45&amp;col=31&amp;number=18.8&amp;sourceID=13","18.8")</f>
        <v>18.8</v>
      </c>
      <c r="AF45" s="4" t="str">
        <f>HYPERLINK("http://141.218.60.56/~jnz1568/getInfo.php?workbook=10_01.xlsx&amp;sheet=A0&amp;row=45&amp;col=32&amp;number=&amp;sourceID=20","")</f>
        <v/>
      </c>
    </row>
    <row r="46" spans="1:32">
      <c r="A46" s="3">
        <v>10</v>
      </c>
      <c r="B46" s="3">
        <v>1</v>
      </c>
      <c r="C46" s="3">
        <v>11</v>
      </c>
      <c r="D46" s="3">
        <v>1</v>
      </c>
      <c r="E46" s="3">
        <f>((1/(INDEX(E0!J$4:J$28,C46,1)-INDEX(E0!J$4:J$28,D46,1))))*100000000</f>
        <v>0</v>
      </c>
      <c r="F46" s="4" t="str">
        <f>HYPERLINK("http://141.218.60.56/~jnz1568/getInfo.php?workbook=10_01.xlsx&amp;sheet=A0&amp;row=46&amp;col=6&amp;number=&amp;sourceID=18","")</f>
        <v/>
      </c>
      <c r="G46" s="4" t="str">
        <f>HYPERLINK("http://141.218.60.56/~jnz1568/getInfo.php?workbook=10_01.xlsx&amp;sheet=A0&amp;row=46&amp;col=7&amp;number==&amp;sourceID=11","=")</f>
        <v>=</v>
      </c>
      <c r="H46" s="4" t="str">
        <f>HYPERLINK("http://141.218.60.56/~jnz1568/getInfo.php?workbook=10_01.xlsx&amp;sheet=A0&amp;row=46&amp;col=8&amp;number=&amp;sourceID=11","")</f>
        <v/>
      </c>
      <c r="I46" s="4" t="str">
        <f>HYPERLINK("http://141.218.60.56/~jnz1568/getInfo.php?workbook=10_01.xlsx&amp;sheet=A0&amp;row=46&amp;col=9&amp;number=&amp;sourceID=11","")</f>
        <v/>
      </c>
      <c r="J46" s="4" t="str">
        <f>HYPERLINK("http://141.218.60.56/~jnz1568/getInfo.php?workbook=10_01.xlsx&amp;sheet=A0&amp;row=46&amp;col=10&amp;number=&amp;sourceID=11","")</f>
        <v/>
      </c>
      <c r="K46" s="4" t="str">
        <f>HYPERLINK("http://141.218.60.56/~jnz1568/getInfo.php?workbook=10_01.xlsx&amp;sheet=A0&amp;row=46&amp;col=11&amp;number=5330.1&amp;sourceID=11","5330.1")</f>
        <v>5330.1</v>
      </c>
      <c r="L46" s="4" t="str">
        <f>HYPERLINK("http://141.218.60.56/~jnz1568/getInfo.php?workbook=10_01.xlsx&amp;sheet=A0&amp;row=46&amp;col=12&amp;number=&amp;sourceID=11","")</f>
        <v/>
      </c>
      <c r="M46" s="4" t="str">
        <f>HYPERLINK("http://141.218.60.56/~jnz1568/getInfo.php?workbook=10_01.xlsx&amp;sheet=A0&amp;row=46&amp;col=13&amp;number=&amp;sourceID=11","")</f>
        <v/>
      </c>
      <c r="N46" s="4" t="str">
        <f>HYPERLINK("http://141.218.60.56/~jnz1568/getInfo.php?workbook=10_01.xlsx&amp;sheet=A0&amp;row=46&amp;col=14&amp;number=5330.1&amp;sourceID=12","5330.1")</f>
        <v>5330.1</v>
      </c>
      <c r="O46" s="4" t="str">
        <f>HYPERLINK("http://141.218.60.56/~jnz1568/getInfo.php?workbook=10_01.xlsx&amp;sheet=A0&amp;row=46&amp;col=15&amp;number=&amp;sourceID=12","")</f>
        <v/>
      </c>
      <c r="P46" s="4" t="str">
        <f>HYPERLINK("http://141.218.60.56/~jnz1568/getInfo.php?workbook=10_01.xlsx&amp;sheet=A0&amp;row=46&amp;col=16&amp;number=&amp;sourceID=12","")</f>
        <v/>
      </c>
      <c r="Q46" s="4" t="str">
        <f>HYPERLINK("http://141.218.60.56/~jnz1568/getInfo.php?workbook=10_01.xlsx&amp;sheet=A0&amp;row=46&amp;col=17&amp;number=&amp;sourceID=12","")</f>
        <v/>
      </c>
      <c r="R46" s="4" t="str">
        <f>HYPERLINK("http://141.218.60.56/~jnz1568/getInfo.php?workbook=10_01.xlsx&amp;sheet=A0&amp;row=46&amp;col=18&amp;number=5330.1&amp;sourceID=12","5330.1")</f>
        <v>5330.1</v>
      </c>
      <c r="S46" s="4" t="str">
        <f>HYPERLINK("http://141.218.60.56/~jnz1568/getInfo.php?workbook=10_01.xlsx&amp;sheet=A0&amp;row=46&amp;col=19&amp;number=&amp;sourceID=12","")</f>
        <v/>
      </c>
      <c r="T46" s="4" t="str">
        <f>HYPERLINK("http://141.218.60.56/~jnz1568/getInfo.php?workbook=10_01.xlsx&amp;sheet=A0&amp;row=46&amp;col=20&amp;number=&amp;sourceID=12","")</f>
        <v/>
      </c>
      <c r="U46" s="4" t="str">
        <f>HYPERLINK("http://141.218.60.56/~jnz1568/getInfo.php?workbook=10_01.xlsx&amp;sheet=A0&amp;row=46&amp;col=21&amp;number=5330&amp;sourceID=30","5330")</f>
        <v>5330</v>
      </c>
      <c r="V46" s="4" t="str">
        <f>HYPERLINK("http://141.218.60.56/~jnz1568/getInfo.php?workbook=10_01.xlsx&amp;sheet=A0&amp;row=46&amp;col=22&amp;number=&amp;sourceID=30","")</f>
        <v/>
      </c>
      <c r="W46" s="4" t="str">
        <f>HYPERLINK("http://141.218.60.56/~jnz1568/getInfo.php?workbook=10_01.xlsx&amp;sheet=A0&amp;row=46&amp;col=23&amp;number=&amp;sourceID=30","")</f>
        <v/>
      </c>
      <c r="X46" s="4" t="str">
        <f>HYPERLINK("http://141.218.60.56/~jnz1568/getInfo.php?workbook=10_01.xlsx&amp;sheet=A0&amp;row=46&amp;col=24&amp;number=5330&amp;sourceID=30","5330")</f>
        <v>5330</v>
      </c>
      <c r="Y46" s="4" t="str">
        <f>HYPERLINK("http://141.218.60.56/~jnz1568/getInfo.php?workbook=10_01.xlsx&amp;sheet=A0&amp;row=46&amp;col=25&amp;number=&amp;sourceID=30","")</f>
        <v/>
      </c>
      <c r="Z46" s="4" t="str">
        <f>HYPERLINK("http://141.218.60.56/~jnz1568/getInfo.php?workbook=10_01.xlsx&amp;sheet=A0&amp;row=46&amp;col=26&amp;number==&amp;sourceID=13","=")</f>
        <v>=</v>
      </c>
      <c r="AA46" s="4" t="str">
        <f>HYPERLINK("http://141.218.60.56/~jnz1568/getInfo.php?workbook=10_01.xlsx&amp;sheet=A0&amp;row=46&amp;col=27&amp;number=&amp;sourceID=13","")</f>
        <v/>
      </c>
      <c r="AB46" s="4" t="str">
        <f>HYPERLINK("http://141.218.60.56/~jnz1568/getInfo.php?workbook=10_01.xlsx&amp;sheet=A0&amp;row=46&amp;col=28&amp;number=&amp;sourceID=13","")</f>
        <v/>
      </c>
      <c r="AC46" s="4" t="str">
        <f>HYPERLINK("http://141.218.60.56/~jnz1568/getInfo.php?workbook=10_01.xlsx&amp;sheet=A0&amp;row=46&amp;col=29&amp;number=&amp;sourceID=13","")</f>
        <v/>
      </c>
      <c r="AD46" s="4" t="str">
        <f>HYPERLINK("http://141.218.60.56/~jnz1568/getInfo.php?workbook=10_01.xlsx&amp;sheet=A0&amp;row=46&amp;col=30&amp;number=6430&amp;sourceID=13","6430")</f>
        <v>6430</v>
      </c>
      <c r="AE46" s="4" t="str">
        <f>HYPERLINK("http://141.218.60.56/~jnz1568/getInfo.php?workbook=10_01.xlsx&amp;sheet=A0&amp;row=46&amp;col=31&amp;number=&amp;sourceID=13","")</f>
        <v/>
      </c>
      <c r="AF46" s="4" t="str">
        <f>HYPERLINK("http://141.218.60.56/~jnz1568/getInfo.php?workbook=10_01.xlsx&amp;sheet=A0&amp;row=46&amp;col=32&amp;number=&amp;sourceID=20","")</f>
        <v/>
      </c>
    </row>
    <row r="47" spans="1:32">
      <c r="A47" s="3">
        <v>10</v>
      </c>
      <c r="B47" s="3">
        <v>1</v>
      </c>
      <c r="C47" s="3">
        <v>11</v>
      </c>
      <c r="D47" s="3">
        <v>2</v>
      </c>
      <c r="E47" s="3">
        <f>((1/(INDEX(E0!J$4:J$28,C47,1)-INDEX(E0!J$4:J$28,D47,1))))*100000000</f>
        <v>0</v>
      </c>
      <c r="F47" s="4" t="str">
        <f>HYPERLINK("http://141.218.60.56/~jnz1568/getInfo.php?workbook=10_01.xlsx&amp;sheet=A0&amp;row=47&amp;col=6&amp;number=&amp;sourceID=18","")</f>
        <v/>
      </c>
      <c r="G47" s="4" t="str">
        <f>HYPERLINK("http://141.218.60.56/~jnz1568/getInfo.php?workbook=10_01.xlsx&amp;sheet=A0&amp;row=47&amp;col=7&amp;number==&amp;sourceID=11","=")</f>
        <v>=</v>
      </c>
      <c r="H47" s="4" t="str">
        <f>HYPERLINK("http://141.218.60.56/~jnz1568/getInfo.php?workbook=10_01.xlsx&amp;sheet=A0&amp;row=47&amp;col=8&amp;number=8626200000&amp;sourceID=11","8626200000")</f>
        <v>8626200000</v>
      </c>
      <c r="I47" s="4" t="str">
        <f>HYPERLINK("http://141.218.60.56/~jnz1568/getInfo.php?workbook=10_01.xlsx&amp;sheet=A0&amp;row=47&amp;col=9&amp;number=&amp;sourceID=11","")</f>
        <v/>
      </c>
      <c r="J47" s="4" t="str">
        <f>HYPERLINK("http://141.218.60.56/~jnz1568/getInfo.php?workbook=10_01.xlsx&amp;sheet=A0&amp;row=47&amp;col=10&amp;number=&amp;sourceID=11","")</f>
        <v/>
      </c>
      <c r="K47" s="4" t="str">
        <f>HYPERLINK("http://141.218.60.56/~jnz1568/getInfo.php?workbook=10_01.xlsx&amp;sheet=A0&amp;row=47&amp;col=11&amp;number=&amp;sourceID=11","")</f>
        <v/>
      </c>
      <c r="L47" s="4" t="str">
        <f>HYPERLINK("http://141.218.60.56/~jnz1568/getInfo.php?workbook=10_01.xlsx&amp;sheet=A0&amp;row=47&amp;col=12&amp;number=&amp;sourceID=11","")</f>
        <v/>
      </c>
      <c r="M47" s="4" t="str">
        <f>HYPERLINK("http://141.218.60.56/~jnz1568/getInfo.php?workbook=10_01.xlsx&amp;sheet=A0&amp;row=47&amp;col=13&amp;number=&amp;sourceID=11","")</f>
        <v/>
      </c>
      <c r="N47" s="4" t="str">
        <f>HYPERLINK("http://141.218.60.56/~jnz1568/getInfo.php?workbook=10_01.xlsx&amp;sheet=A0&amp;row=47&amp;col=14&amp;number=8626400000&amp;sourceID=12","8626400000")</f>
        <v>8626400000</v>
      </c>
      <c r="O47" s="4" t="str">
        <f>HYPERLINK("http://141.218.60.56/~jnz1568/getInfo.php?workbook=10_01.xlsx&amp;sheet=A0&amp;row=47&amp;col=15&amp;number=8626400000&amp;sourceID=12","8626400000")</f>
        <v>8626400000</v>
      </c>
      <c r="P47" s="4" t="str">
        <f>HYPERLINK("http://141.218.60.56/~jnz1568/getInfo.php?workbook=10_01.xlsx&amp;sheet=A0&amp;row=47&amp;col=16&amp;number=&amp;sourceID=12","")</f>
        <v/>
      </c>
      <c r="Q47" s="4" t="str">
        <f>HYPERLINK("http://141.218.60.56/~jnz1568/getInfo.php?workbook=10_01.xlsx&amp;sheet=A0&amp;row=47&amp;col=17&amp;number=&amp;sourceID=12","")</f>
        <v/>
      </c>
      <c r="R47" s="4" t="str">
        <f>HYPERLINK("http://141.218.60.56/~jnz1568/getInfo.php?workbook=10_01.xlsx&amp;sheet=A0&amp;row=47&amp;col=18&amp;number=&amp;sourceID=12","")</f>
        <v/>
      </c>
      <c r="S47" s="4" t="str">
        <f>HYPERLINK("http://141.218.60.56/~jnz1568/getInfo.php?workbook=10_01.xlsx&amp;sheet=A0&amp;row=47&amp;col=19&amp;number=&amp;sourceID=12","")</f>
        <v/>
      </c>
      <c r="T47" s="4" t="str">
        <f>HYPERLINK("http://141.218.60.56/~jnz1568/getInfo.php?workbook=10_01.xlsx&amp;sheet=A0&amp;row=47&amp;col=20&amp;number=&amp;sourceID=12","")</f>
        <v/>
      </c>
      <c r="U47" s="4" t="str">
        <f>HYPERLINK("http://141.218.60.56/~jnz1568/getInfo.php?workbook=10_01.xlsx&amp;sheet=A0&amp;row=47&amp;col=21&amp;number=8626000000&amp;sourceID=30","8626000000")</f>
        <v>8626000000</v>
      </c>
      <c r="V47" s="4" t="str">
        <f>HYPERLINK("http://141.218.60.56/~jnz1568/getInfo.php?workbook=10_01.xlsx&amp;sheet=A0&amp;row=47&amp;col=22&amp;number=8626000000&amp;sourceID=30","8626000000")</f>
        <v>8626000000</v>
      </c>
      <c r="W47" s="4" t="str">
        <f>HYPERLINK("http://141.218.60.56/~jnz1568/getInfo.php?workbook=10_01.xlsx&amp;sheet=A0&amp;row=47&amp;col=23&amp;number=&amp;sourceID=30","")</f>
        <v/>
      </c>
      <c r="X47" s="4" t="str">
        <f>HYPERLINK("http://141.218.60.56/~jnz1568/getInfo.php?workbook=10_01.xlsx&amp;sheet=A0&amp;row=47&amp;col=24&amp;number=&amp;sourceID=30","")</f>
        <v/>
      </c>
      <c r="Y47" s="4" t="str">
        <f>HYPERLINK("http://141.218.60.56/~jnz1568/getInfo.php?workbook=10_01.xlsx&amp;sheet=A0&amp;row=47&amp;col=25&amp;number=&amp;sourceID=30","")</f>
        <v/>
      </c>
      <c r="Z47" s="4" t="str">
        <f>HYPERLINK("http://141.218.60.56/~jnz1568/getInfo.php?workbook=10_01.xlsx&amp;sheet=A0&amp;row=47&amp;col=26&amp;number==&amp;sourceID=13","=")</f>
        <v>=</v>
      </c>
      <c r="AA47" s="4" t="str">
        <f>HYPERLINK("http://141.218.60.56/~jnz1568/getInfo.php?workbook=10_01.xlsx&amp;sheet=A0&amp;row=47&amp;col=27&amp;number=8080000000&amp;sourceID=13","8080000000")</f>
        <v>8080000000</v>
      </c>
      <c r="AB47" s="4" t="str">
        <f>HYPERLINK("http://141.218.60.56/~jnz1568/getInfo.php?workbook=10_01.xlsx&amp;sheet=A0&amp;row=47&amp;col=28&amp;number=&amp;sourceID=13","")</f>
        <v/>
      </c>
      <c r="AC47" s="4" t="str">
        <f>HYPERLINK("http://141.218.60.56/~jnz1568/getInfo.php?workbook=10_01.xlsx&amp;sheet=A0&amp;row=47&amp;col=29&amp;number=&amp;sourceID=13","")</f>
        <v/>
      </c>
      <c r="AD47" s="4" t="str">
        <f>HYPERLINK("http://141.218.60.56/~jnz1568/getInfo.php?workbook=10_01.xlsx&amp;sheet=A0&amp;row=47&amp;col=30&amp;number=&amp;sourceID=13","")</f>
        <v/>
      </c>
      <c r="AE47" s="4" t="str">
        <f>HYPERLINK("http://141.218.60.56/~jnz1568/getInfo.php?workbook=10_01.xlsx&amp;sheet=A0&amp;row=47&amp;col=31&amp;number=&amp;sourceID=13","")</f>
        <v/>
      </c>
      <c r="AF47" s="4" t="str">
        <f>HYPERLINK("http://141.218.60.56/~jnz1568/getInfo.php?workbook=10_01.xlsx&amp;sheet=A0&amp;row=47&amp;col=32&amp;number=&amp;sourceID=20","")</f>
        <v/>
      </c>
    </row>
    <row r="48" spans="1:32">
      <c r="A48" s="3">
        <v>10</v>
      </c>
      <c r="B48" s="3">
        <v>1</v>
      </c>
      <c r="C48" s="3">
        <v>11</v>
      </c>
      <c r="D48" s="3">
        <v>3</v>
      </c>
      <c r="E48" s="3">
        <f>((1/(INDEX(E0!J$4:J$28,C48,1)-INDEX(E0!J$4:J$28,D48,1))))*100000000</f>
        <v>0</v>
      </c>
      <c r="F48" s="4" t="str">
        <f>HYPERLINK("http://141.218.60.56/~jnz1568/getInfo.php?workbook=10_01.xlsx&amp;sheet=A0&amp;row=48&amp;col=6&amp;number=&amp;sourceID=18","")</f>
        <v/>
      </c>
      <c r="G48" s="4" t="str">
        <f>HYPERLINK("http://141.218.60.56/~jnz1568/getInfo.php?workbook=10_01.xlsx&amp;sheet=A0&amp;row=48&amp;col=7&amp;number==&amp;sourceID=11","=")</f>
        <v>=</v>
      </c>
      <c r="H48" s="4" t="str">
        <f>HYPERLINK("http://141.218.60.56/~jnz1568/getInfo.php?workbook=10_01.xlsx&amp;sheet=A0&amp;row=48&amp;col=8&amp;number=&amp;sourceID=11","")</f>
        <v/>
      </c>
      <c r="I48" s="4" t="str">
        <f>HYPERLINK("http://141.218.60.56/~jnz1568/getInfo.php?workbook=10_01.xlsx&amp;sheet=A0&amp;row=48&amp;col=9&amp;number=&amp;sourceID=11","")</f>
        <v/>
      </c>
      <c r="J48" s="4" t="str">
        <f>HYPERLINK("http://141.218.60.56/~jnz1568/getInfo.php?workbook=10_01.xlsx&amp;sheet=A0&amp;row=48&amp;col=10&amp;number=&amp;sourceID=11","")</f>
        <v/>
      </c>
      <c r="K48" s="4" t="str">
        <f>HYPERLINK("http://141.218.60.56/~jnz1568/getInfo.php?workbook=10_01.xlsx&amp;sheet=A0&amp;row=48&amp;col=11&amp;number=16.307&amp;sourceID=11","16.307")</f>
        <v>16.307</v>
      </c>
      <c r="L48" s="4" t="str">
        <f>HYPERLINK("http://141.218.60.56/~jnz1568/getInfo.php?workbook=10_01.xlsx&amp;sheet=A0&amp;row=48&amp;col=12&amp;number=&amp;sourceID=11","")</f>
        <v/>
      </c>
      <c r="M48" s="4" t="str">
        <f>HYPERLINK("http://141.218.60.56/~jnz1568/getInfo.php?workbook=10_01.xlsx&amp;sheet=A0&amp;row=48&amp;col=13&amp;number=&amp;sourceID=11","")</f>
        <v/>
      </c>
      <c r="N48" s="4" t="str">
        <f>HYPERLINK("http://141.218.60.56/~jnz1568/getInfo.php?workbook=10_01.xlsx&amp;sheet=A0&amp;row=48&amp;col=14&amp;number=16.308&amp;sourceID=12","16.308")</f>
        <v>16.308</v>
      </c>
      <c r="O48" s="4" t="str">
        <f>HYPERLINK("http://141.218.60.56/~jnz1568/getInfo.php?workbook=10_01.xlsx&amp;sheet=A0&amp;row=48&amp;col=15&amp;number=&amp;sourceID=12","")</f>
        <v/>
      </c>
      <c r="P48" s="4" t="str">
        <f>HYPERLINK("http://141.218.60.56/~jnz1568/getInfo.php?workbook=10_01.xlsx&amp;sheet=A0&amp;row=48&amp;col=16&amp;number=&amp;sourceID=12","")</f>
        <v/>
      </c>
      <c r="Q48" s="4" t="str">
        <f>HYPERLINK("http://141.218.60.56/~jnz1568/getInfo.php?workbook=10_01.xlsx&amp;sheet=A0&amp;row=48&amp;col=17&amp;number=&amp;sourceID=12","")</f>
        <v/>
      </c>
      <c r="R48" s="4" t="str">
        <f>HYPERLINK("http://141.218.60.56/~jnz1568/getInfo.php?workbook=10_01.xlsx&amp;sheet=A0&amp;row=48&amp;col=18&amp;number=16.308&amp;sourceID=12","16.308")</f>
        <v>16.308</v>
      </c>
      <c r="S48" s="4" t="str">
        <f>HYPERLINK("http://141.218.60.56/~jnz1568/getInfo.php?workbook=10_01.xlsx&amp;sheet=A0&amp;row=48&amp;col=19&amp;number=&amp;sourceID=12","")</f>
        <v/>
      </c>
      <c r="T48" s="4" t="str">
        <f>HYPERLINK("http://141.218.60.56/~jnz1568/getInfo.php?workbook=10_01.xlsx&amp;sheet=A0&amp;row=48&amp;col=20&amp;number=&amp;sourceID=12","")</f>
        <v/>
      </c>
      <c r="U48" s="4" t="str">
        <f>HYPERLINK("http://141.218.60.56/~jnz1568/getInfo.php?workbook=10_01.xlsx&amp;sheet=A0&amp;row=48&amp;col=21&amp;number=16.31&amp;sourceID=30","16.31")</f>
        <v>16.31</v>
      </c>
      <c r="V48" s="4" t="str">
        <f>HYPERLINK("http://141.218.60.56/~jnz1568/getInfo.php?workbook=10_01.xlsx&amp;sheet=A0&amp;row=48&amp;col=22&amp;number=&amp;sourceID=30","")</f>
        <v/>
      </c>
      <c r="W48" s="4" t="str">
        <f>HYPERLINK("http://141.218.60.56/~jnz1568/getInfo.php?workbook=10_01.xlsx&amp;sheet=A0&amp;row=48&amp;col=23&amp;number=&amp;sourceID=30","")</f>
        <v/>
      </c>
      <c r="X48" s="4" t="str">
        <f>HYPERLINK("http://141.218.60.56/~jnz1568/getInfo.php?workbook=10_01.xlsx&amp;sheet=A0&amp;row=48&amp;col=24&amp;number=16.31&amp;sourceID=30","16.31")</f>
        <v>16.31</v>
      </c>
      <c r="Y48" s="4" t="str">
        <f>HYPERLINK("http://141.218.60.56/~jnz1568/getInfo.php?workbook=10_01.xlsx&amp;sheet=A0&amp;row=48&amp;col=25&amp;number=&amp;sourceID=30","")</f>
        <v/>
      </c>
      <c r="Z48" s="4" t="str">
        <f>HYPERLINK("http://141.218.60.56/~jnz1568/getInfo.php?workbook=10_01.xlsx&amp;sheet=A0&amp;row=48&amp;col=26&amp;number==&amp;sourceID=13","=")</f>
        <v>=</v>
      </c>
      <c r="AA48" s="4" t="str">
        <f>HYPERLINK("http://141.218.60.56/~jnz1568/getInfo.php?workbook=10_01.xlsx&amp;sheet=A0&amp;row=48&amp;col=27&amp;number=&amp;sourceID=13","")</f>
        <v/>
      </c>
      <c r="AB48" s="4" t="str">
        <f>HYPERLINK("http://141.218.60.56/~jnz1568/getInfo.php?workbook=10_01.xlsx&amp;sheet=A0&amp;row=48&amp;col=28&amp;number=&amp;sourceID=13","")</f>
        <v/>
      </c>
      <c r="AC48" s="4" t="str">
        <f>HYPERLINK("http://141.218.60.56/~jnz1568/getInfo.php?workbook=10_01.xlsx&amp;sheet=A0&amp;row=48&amp;col=29&amp;number=&amp;sourceID=13","")</f>
        <v/>
      </c>
      <c r="AD48" s="4" t="str">
        <f>HYPERLINK("http://141.218.60.56/~jnz1568/getInfo.php?workbook=10_01.xlsx&amp;sheet=A0&amp;row=48&amp;col=30&amp;number=16.5&amp;sourceID=13","16.5")</f>
        <v>16.5</v>
      </c>
      <c r="AE48" s="4" t="str">
        <f>HYPERLINK("http://141.218.60.56/~jnz1568/getInfo.php?workbook=10_01.xlsx&amp;sheet=A0&amp;row=48&amp;col=31&amp;number=&amp;sourceID=13","")</f>
        <v/>
      </c>
      <c r="AF48" s="4" t="str">
        <f>HYPERLINK("http://141.218.60.56/~jnz1568/getInfo.php?workbook=10_01.xlsx&amp;sheet=A0&amp;row=48&amp;col=32&amp;number=&amp;sourceID=20","")</f>
        <v/>
      </c>
    </row>
    <row r="49" spans="1:32">
      <c r="A49" s="3">
        <v>10</v>
      </c>
      <c r="B49" s="3">
        <v>1</v>
      </c>
      <c r="C49" s="3">
        <v>11</v>
      </c>
      <c r="D49" s="3">
        <v>4</v>
      </c>
      <c r="E49" s="3">
        <f>((1/(INDEX(E0!J$4:J$28,C49,1)-INDEX(E0!J$4:J$28,D49,1))))*100000000</f>
        <v>0</v>
      </c>
      <c r="F49" s="4" t="str">
        <f>HYPERLINK("http://141.218.60.56/~jnz1568/getInfo.php?workbook=10_01.xlsx&amp;sheet=A0&amp;row=49&amp;col=6&amp;number=&amp;sourceID=18","")</f>
        <v/>
      </c>
      <c r="G49" s="4" t="str">
        <f>HYPERLINK("http://141.218.60.56/~jnz1568/getInfo.php?workbook=10_01.xlsx&amp;sheet=A0&amp;row=49&amp;col=7&amp;number==&amp;sourceID=11","=")</f>
        <v>=</v>
      </c>
      <c r="H49" s="4" t="str">
        <f>HYPERLINK("http://141.218.60.56/~jnz1568/getInfo.php?workbook=10_01.xlsx&amp;sheet=A0&amp;row=49&amp;col=8&amp;number=17432000000&amp;sourceID=11","17432000000")</f>
        <v>17432000000</v>
      </c>
      <c r="I49" s="4" t="str">
        <f>HYPERLINK("http://141.218.60.56/~jnz1568/getInfo.php?workbook=10_01.xlsx&amp;sheet=A0&amp;row=49&amp;col=9&amp;number=&amp;sourceID=11","")</f>
        <v/>
      </c>
      <c r="J49" s="4" t="str">
        <f>HYPERLINK("http://141.218.60.56/~jnz1568/getInfo.php?workbook=10_01.xlsx&amp;sheet=A0&amp;row=49&amp;col=10&amp;number=&amp;sourceID=11","")</f>
        <v/>
      </c>
      <c r="K49" s="4" t="str">
        <f>HYPERLINK("http://141.218.60.56/~jnz1568/getInfo.php?workbook=10_01.xlsx&amp;sheet=A0&amp;row=49&amp;col=11&amp;number=&amp;sourceID=11","")</f>
        <v/>
      </c>
      <c r="L49" s="4" t="str">
        <f>HYPERLINK("http://141.218.60.56/~jnz1568/getInfo.php?workbook=10_01.xlsx&amp;sheet=A0&amp;row=49&amp;col=12&amp;number=815.67&amp;sourceID=11","815.67")</f>
        <v>815.67</v>
      </c>
      <c r="M49" s="4" t="str">
        <f>HYPERLINK("http://141.218.60.56/~jnz1568/getInfo.php?workbook=10_01.xlsx&amp;sheet=A0&amp;row=49&amp;col=13&amp;number=&amp;sourceID=11","")</f>
        <v/>
      </c>
      <c r="N49" s="4" t="str">
        <f>HYPERLINK("http://141.218.60.56/~jnz1568/getInfo.php?workbook=10_01.xlsx&amp;sheet=A0&amp;row=49&amp;col=14&amp;number=17432000000&amp;sourceID=12","17432000000")</f>
        <v>17432000000</v>
      </c>
      <c r="O49" s="4" t="str">
        <f>HYPERLINK("http://141.218.60.56/~jnz1568/getInfo.php?workbook=10_01.xlsx&amp;sheet=A0&amp;row=49&amp;col=15&amp;number=17432000000&amp;sourceID=12","17432000000")</f>
        <v>17432000000</v>
      </c>
      <c r="P49" s="4" t="str">
        <f>HYPERLINK("http://141.218.60.56/~jnz1568/getInfo.php?workbook=10_01.xlsx&amp;sheet=A0&amp;row=49&amp;col=16&amp;number=&amp;sourceID=12","")</f>
        <v/>
      </c>
      <c r="Q49" s="4" t="str">
        <f>HYPERLINK("http://141.218.60.56/~jnz1568/getInfo.php?workbook=10_01.xlsx&amp;sheet=A0&amp;row=49&amp;col=17&amp;number=&amp;sourceID=12","")</f>
        <v/>
      </c>
      <c r="R49" s="4" t="str">
        <f>HYPERLINK("http://141.218.60.56/~jnz1568/getInfo.php?workbook=10_01.xlsx&amp;sheet=A0&amp;row=49&amp;col=18&amp;number=&amp;sourceID=12","")</f>
        <v/>
      </c>
      <c r="S49" s="4" t="str">
        <f>HYPERLINK("http://141.218.60.56/~jnz1568/getInfo.php?workbook=10_01.xlsx&amp;sheet=A0&amp;row=49&amp;col=19&amp;number=815.69&amp;sourceID=12","815.69")</f>
        <v>815.69</v>
      </c>
      <c r="T49" s="4" t="str">
        <f>HYPERLINK("http://141.218.60.56/~jnz1568/getInfo.php?workbook=10_01.xlsx&amp;sheet=A0&amp;row=49&amp;col=20&amp;number=&amp;sourceID=12","")</f>
        <v/>
      </c>
      <c r="U49" s="4" t="str">
        <f>HYPERLINK("http://141.218.60.56/~jnz1568/getInfo.php?workbook=10_01.xlsx&amp;sheet=A0&amp;row=49&amp;col=21&amp;number=17430000815.7&amp;sourceID=30","17430000815.7")</f>
        <v>17430000815.7</v>
      </c>
      <c r="V49" s="4" t="str">
        <f>HYPERLINK("http://141.218.60.56/~jnz1568/getInfo.php?workbook=10_01.xlsx&amp;sheet=A0&amp;row=49&amp;col=22&amp;number=17430000000&amp;sourceID=30","17430000000")</f>
        <v>17430000000</v>
      </c>
      <c r="W49" s="4" t="str">
        <f>HYPERLINK("http://141.218.60.56/~jnz1568/getInfo.php?workbook=10_01.xlsx&amp;sheet=A0&amp;row=49&amp;col=23&amp;number=&amp;sourceID=30","")</f>
        <v/>
      </c>
      <c r="X49" s="4" t="str">
        <f>HYPERLINK("http://141.218.60.56/~jnz1568/getInfo.php?workbook=10_01.xlsx&amp;sheet=A0&amp;row=49&amp;col=24&amp;number=&amp;sourceID=30","")</f>
        <v/>
      </c>
      <c r="Y49" s="4" t="str">
        <f>HYPERLINK("http://141.218.60.56/~jnz1568/getInfo.php?workbook=10_01.xlsx&amp;sheet=A0&amp;row=49&amp;col=25&amp;number=815.7&amp;sourceID=30","815.7")</f>
        <v>815.7</v>
      </c>
      <c r="Z49" s="4" t="str">
        <f>HYPERLINK("http://141.218.60.56/~jnz1568/getInfo.php?workbook=10_01.xlsx&amp;sheet=A0&amp;row=49&amp;col=26&amp;number==&amp;sourceID=13","=")</f>
        <v>=</v>
      </c>
      <c r="AA49" s="4" t="str">
        <f>HYPERLINK("http://141.218.60.56/~jnz1568/getInfo.php?workbook=10_01.xlsx&amp;sheet=A0&amp;row=49&amp;col=27&amp;number=17000000000&amp;sourceID=13","17000000000")</f>
        <v>17000000000</v>
      </c>
      <c r="AB49" s="4" t="str">
        <f>HYPERLINK("http://141.218.60.56/~jnz1568/getInfo.php?workbook=10_01.xlsx&amp;sheet=A0&amp;row=49&amp;col=28&amp;number=&amp;sourceID=13","")</f>
        <v/>
      </c>
      <c r="AC49" s="4" t="str">
        <f>HYPERLINK("http://141.218.60.56/~jnz1568/getInfo.php?workbook=10_01.xlsx&amp;sheet=A0&amp;row=49&amp;col=29&amp;number=&amp;sourceID=13","")</f>
        <v/>
      </c>
      <c r="AD49" s="4" t="str">
        <f>HYPERLINK("http://141.218.60.56/~jnz1568/getInfo.php?workbook=10_01.xlsx&amp;sheet=A0&amp;row=49&amp;col=30&amp;number=&amp;sourceID=13","")</f>
        <v/>
      </c>
      <c r="AE49" s="4" t="str">
        <f>HYPERLINK("http://141.218.60.56/~jnz1568/getInfo.php?workbook=10_01.xlsx&amp;sheet=A0&amp;row=49&amp;col=31&amp;number=&amp;sourceID=13","")</f>
        <v/>
      </c>
      <c r="AF49" s="4" t="str">
        <f>HYPERLINK("http://141.218.60.56/~jnz1568/getInfo.php?workbook=10_01.xlsx&amp;sheet=A0&amp;row=49&amp;col=32&amp;number=&amp;sourceID=20","")</f>
        <v/>
      </c>
    </row>
    <row r="50" spans="1:32">
      <c r="A50" s="3">
        <v>10</v>
      </c>
      <c r="B50" s="3">
        <v>1</v>
      </c>
      <c r="C50" s="3">
        <v>11</v>
      </c>
      <c r="D50" s="3">
        <v>5</v>
      </c>
      <c r="E50" s="3">
        <f>((1/(INDEX(E0!J$4:J$28,C50,1)-INDEX(E0!J$4:J$28,D50,1))))*100000000</f>
        <v>0</v>
      </c>
      <c r="F50" s="4" t="str">
        <f>HYPERLINK("http://141.218.60.56/~jnz1568/getInfo.php?workbook=10_01.xlsx&amp;sheet=A0&amp;row=50&amp;col=6&amp;number=&amp;sourceID=18","")</f>
        <v/>
      </c>
      <c r="G50" s="4" t="str">
        <f>HYPERLINK("http://141.218.60.56/~jnz1568/getInfo.php?workbook=10_01.xlsx&amp;sheet=A0&amp;row=50&amp;col=7&amp;number==&amp;sourceID=11","=")</f>
        <v>=</v>
      </c>
      <c r="H50" s="4" t="str">
        <f>HYPERLINK("http://141.218.60.56/~jnz1568/getInfo.php?workbook=10_01.xlsx&amp;sheet=A0&amp;row=50&amp;col=8&amp;number=6137800000&amp;sourceID=11","6137800000")</f>
        <v>6137800000</v>
      </c>
      <c r="I50" s="4" t="str">
        <f>HYPERLINK("http://141.218.60.56/~jnz1568/getInfo.php?workbook=10_01.xlsx&amp;sheet=A0&amp;row=50&amp;col=9&amp;number=&amp;sourceID=11","")</f>
        <v/>
      </c>
      <c r="J50" s="4" t="str">
        <f>HYPERLINK("http://141.218.60.56/~jnz1568/getInfo.php?workbook=10_01.xlsx&amp;sheet=A0&amp;row=50&amp;col=10&amp;number=&amp;sourceID=11","")</f>
        <v/>
      </c>
      <c r="K50" s="4" t="str">
        <f>HYPERLINK("http://141.218.60.56/~jnz1568/getInfo.php?workbook=10_01.xlsx&amp;sheet=A0&amp;row=50&amp;col=11&amp;number=&amp;sourceID=11","")</f>
        <v/>
      </c>
      <c r="L50" s="4" t="str">
        <f>HYPERLINK("http://141.218.60.56/~jnz1568/getInfo.php?workbook=10_01.xlsx&amp;sheet=A0&amp;row=50&amp;col=12&amp;number=&amp;sourceID=11","")</f>
        <v/>
      </c>
      <c r="M50" s="4" t="str">
        <f>HYPERLINK("http://141.218.60.56/~jnz1568/getInfo.php?workbook=10_01.xlsx&amp;sheet=A0&amp;row=50&amp;col=13&amp;number=&amp;sourceID=11","")</f>
        <v/>
      </c>
      <c r="N50" s="4" t="str">
        <f>HYPERLINK("http://141.218.60.56/~jnz1568/getInfo.php?workbook=10_01.xlsx&amp;sheet=A0&amp;row=50&amp;col=14&amp;number=6138000000&amp;sourceID=12","6138000000")</f>
        <v>6138000000</v>
      </c>
      <c r="O50" s="4" t="str">
        <f>HYPERLINK("http://141.218.60.56/~jnz1568/getInfo.php?workbook=10_01.xlsx&amp;sheet=A0&amp;row=50&amp;col=15&amp;number=6138000000&amp;sourceID=12","6138000000")</f>
        <v>6138000000</v>
      </c>
      <c r="P50" s="4" t="str">
        <f>HYPERLINK("http://141.218.60.56/~jnz1568/getInfo.php?workbook=10_01.xlsx&amp;sheet=A0&amp;row=50&amp;col=16&amp;number=&amp;sourceID=12","")</f>
        <v/>
      </c>
      <c r="Q50" s="4" t="str">
        <f>HYPERLINK("http://141.218.60.56/~jnz1568/getInfo.php?workbook=10_01.xlsx&amp;sheet=A0&amp;row=50&amp;col=17&amp;number=&amp;sourceID=12","")</f>
        <v/>
      </c>
      <c r="R50" s="4" t="str">
        <f>HYPERLINK("http://141.218.60.56/~jnz1568/getInfo.php?workbook=10_01.xlsx&amp;sheet=A0&amp;row=50&amp;col=18&amp;number=&amp;sourceID=12","")</f>
        <v/>
      </c>
      <c r="S50" s="4" t="str">
        <f>HYPERLINK("http://141.218.60.56/~jnz1568/getInfo.php?workbook=10_01.xlsx&amp;sheet=A0&amp;row=50&amp;col=19&amp;number=&amp;sourceID=12","")</f>
        <v/>
      </c>
      <c r="T50" s="4" t="str">
        <f>HYPERLINK("http://141.218.60.56/~jnz1568/getInfo.php?workbook=10_01.xlsx&amp;sheet=A0&amp;row=50&amp;col=20&amp;number=&amp;sourceID=12","")</f>
        <v/>
      </c>
      <c r="U50" s="4" t="str">
        <f>HYPERLINK("http://141.218.60.56/~jnz1568/getInfo.php?workbook=10_01.xlsx&amp;sheet=A0&amp;row=50&amp;col=21&amp;number=6138000000&amp;sourceID=30","6138000000")</f>
        <v>6138000000</v>
      </c>
      <c r="V50" s="4" t="str">
        <f>HYPERLINK("http://141.218.60.56/~jnz1568/getInfo.php?workbook=10_01.xlsx&amp;sheet=A0&amp;row=50&amp;col=22&amp;number=6138000000&amp;sourceID=30","6138000000")</f>
        <v>6138000000</v>
      </c>
      <c r="W50" s="4" t="str">
        <f>HYPERLINK("http://141.218.60.56/~jnz1568/getInfo.php?workbook=10_01.xlsx&amp;sheet=A0&amp;row=50&amp;col=23&amp;number=&amp;sourceID=30","")</f>
        <v/>
      </c>
      <c r="X50" s="4" t="str">
        <f>HYPERLINK("http://141.218.60.56/~jnz1568/getInfo.php?workbook=10_01.xlsx&amp;sheet=A0&amp;row=50&amp;col=24&amp;number=&amp;sourceID=30","")</f>
        <v/>
      </c>
      <c r="Y50" s="4" t="str">
        <f>HYPERLINK("http://141.218.60.56/~jnz1568/getInfo.php?workbook=10_01.xlsx&amp;sheet=A0&amp;row=50&amp;col=25&amp;number=&amp;sourceID=30","")</f>
        <v/>
      </c>
      <c r="Z50" s="4" t="str">
        <f>HYPERLINK("http://141.218.60.56/~jnz1568/getInfo.php?workbook=10_01.xlsx&amp;sheet=A0&amp;row=50&amp;col=26&amp;number==&amp;sourceID=13","=")</f>
        <v>=</v>
      </c>
      <c r="AA50" s="4" t="str">
        <f>HYPERLINK("http://141.218.60.56/~jnz1568/getInfo.php?workbook=10_01.xlsx&amp;sheet=A0&amp;row=50&amp;col=27&amp;number=6030000000&amp;sourceID=13","6030000000")</f>
        <v>6030000000</v>
      </c>
      <c r="AB50" s="4" t="str">
        <f>HYPERLINK("http://141.218.60.56/~jnz1568/getInfo.php?workbook=10_01.xlsx&amp;sheet=A0&amp;row=50&amp;col=28&amp;number=&amp;sourceID=13","")</f>
        <v/>
      </c>
      <c r="AC50" s="4" t="str">
        <f>HYPERLINK("http://141.218.60.56/~jnz1568/getInfo.php?workbook=10_01.xlsx&amp;sheet=A0&amp;row=50&amp;col=29&amp;number=&amp;sourceID=13","")</f>
        <v/>
      </c>
      <c r="AD50" s="4" t="str">
        <f>HYPERLINK("http://141.218.60.56/~jnz1568/getInfo.php?workbook=10_01.xlsx&amp;sheet=A0&amp;row=50&amp;col=30&amp;number=&amp;sourceID=13","")</f>
        <v/>
      </c>
      <c r="AE50" s="4" t="str">
        <f>HYPERLINK("http://141.218.60.56/~jnz1568/getInfo.php?workbook=10_01.xlsx&amp;sheet=A0&amp;row=50&amp;col=31&amp;number=&amp;sourceID=13","")</f>
        <v/>
      </c>
      <c r="AF50" s="4" t="str">
        <f>HYPERLINK("http://141.218.60.56/~jnz1568/getInfo.php?workbook=10_01.xlsx&amp;sheet=A0&amp;row=50&amp;col=32&amp;number=&amp;sourceID=20","")</f>
        <v/>
      </c>
    </row>
    <row r="51" spans="1:32">
      <c r="A51" s="3">
        <v>10</v>
      </c>
      <c r="B51" s="3">
        <v>1</v>
      </c>
      <c r="C51" s="3">
        <v>11</v>
      </c>
      <c r="D51" s="3">
        <v>6</v>
      </c>
      <c r="E51" s="3">
        <f>((1/(INDEX(E0!J$4:J$28,C51,1)-INDEX(E0!J$4:J$28,D51,1))))*100000000</f>
        <v>0</v>
      </c>
      <c r="F51" s="4" t="str">
        <f>HYPERLINK("http://141.218.60.56/~jnz1568/getInfo.php?workbook=10_01.xlsx&amp;sheet=A0&amp;row=51&amp;col=6&amp;number=&amp;sourceID=18","")</f>
        <v/>
      </c>
      <c r="G51" s="4" t="str">
        <f>HYPERLINK("http://141.218.60.56/~jnz1568/getInfo.php?workbook=10_01.xlsx&amp;sheet=A0&amp;row=51&amp;col=7&amp;number==&amp;sourceID=11","=")</f>
        <v>=</v>
      </c>
      <c r="H51" s="4" t="str">
        <f>HYPERLINK("http://141.218.60.56/~jnz1568/getInfo.php?workbook=10_01.xlsx&amp;sheet=A0&amp;row=51&amp;col=8&amp;number=&amp;sourceID=11","")</f>
        <v/>
      </c>
      <c r="I51" s="4" t="str">
        <f>HYPERLINK("http://141.218.60.56/~jnz1568/getInfo.php?workbook=10_01.xlsx&amp;sheet=A0&amp;row=51&amp;col=9&amp;number=&amp;sourceID=11","")</f>
        <v/>
      </c>
      <c r="J51" s="4" t="str">
        <f>HYPERLINK("http://141.218.60.56/~jnz1568/getInfo.php?workbook=10_01.xlsx&amp;sheet=A0&amp;row=51&amp;col=10&amp;number=&amp;sourceID=11","")</f>
        <v/>
      </c>
      <c r="K51" s="4" t="str">
        <f>HYPERLINK("http://141.218.60.56/~jnz1568/getInfo.php?workbook=10_01.xlsx&amp;sheet=A0&amp;row=51&amp;col=11&amp;number=0.20615&amp;sourceID=11","0.20615")</f>
        <v>0.20615</v>
      </c>
      <c r="L51" s="4" t="str">
        <f>HYPERLINK("http://141.218.60.56/~jnz1568/getInfo.php?workbook=10_01.xlsx&amp;sheet=A0&amp;row=51&amp;col=12&amp;number=&amp;sourceID=11","")</f>
        <v/>
      </c>
      <c r="M51" s="4" t="str">
        <f>HYPERLINK("http://141.218.60.56/~jnz1568/getInfo.php?workbook=10_01.xlsx&amp;sheet=A0&amp;row=51&amp;col=13&amp;number=&amp;sourceID=11","")</f>
        <v/>
      </c>
      <c r="N51" s="4" t="str">
        <f>HYPERLINK("http://141.218.60.56/~jnz1568/getInfo.php?workbook=10_01.xlsx&amp;sheet=A0&amp;row=51&amp;col=14&amp;number=0.20615&amp;sourceID=12","0.20615")</f>
        <v>0.20615</v>
      </c>
      <c r="O51" s="4" t="str">
        <f>HYPERLINK("http://141.218.60.56/~jnz1568/getInfo.php?workbook=10_01.xlsx&amp;sheet=A0&amp;row=51&amp;col=15&amp;number=&amp;sourceID=12","")</f>
        <v/>
      </c>
      <c r="P51" s="4" t="str">
        <f>HYPERLINK("http://141.218.60.56/~jnz1568/getInfo.php?workbook=10_01.xlsx&amp;sheet=A0&amp;row=51&amp;col=16&amp;number=&amp;sourceID=12","")</f>
        <v/>
      </c>
      <c r="Q51" s="4" t="str">
        <f>HYPERLINK("http://141.218.60.56/~jnz1568/getInfo.php?workbook=10_01.xlsx&amp;sheet=A0&amp;row=51&amp;col=17&amp;number=&amp;sourceID=12","")</f>
        <v/>
      </c>
      <c r="R51" s="4" t="str">
        <f>HYPERLINK("http://141.218.60.56/~jnz1568/getInfo.php?workbook=10_01.xlsx&amp;sheet=A0&amp;row=51&amp;col=18&amp;number=0.20615&amp;sourceID=12","0.20615")</f>
        <v>0.20615</v>
      </c>
      <c r="S51" s="4" t="str">
        <f>HYPERLINK("http://141.218.60.56/~jnz1568/getInfo.php?workbook=10_01.xlsx&amp;sheet=A0&amp;row=51&amp;col=19&amp;number=&amp;sourceID=12","")</f>
        <v/>
      </c>
      <c r="T51" s="4" t="str">
        <f>HYPERLINK("http://141.218.60.56/~jnz1568/getInfo.php?workbook=10_01.xlsx&amp;sheet=A0&amp;row=51&amp;col=20&amp;number=&amp;sourceID=12","")</f>
        <v/>
      </c>
      <c r="U51" s="4" t="str">
        <f>HYPERLINK("http://141.218.60.56/~jnz1568/getInfo.php?workbook=10_01.xlsx&amp;sheet=A0&amp;row=51&amp;col=21&amp;number=0.206&amp;sourceID=30","0.206")</f>
        <v>0.206</v>
      </c>
      <c r="V51" s="4" t="str">
        <f>HYPERLINK("http://141.218.60.56/~jnz1568/getInfo.php?workbook=10_01.xlsx&amp;sheet=A0&amp;row=51&amp;col=22&amp;number=&amp;sourceID=30","")</f>
        <v/>
      </c>
      <c r="W51" s="4" t="str">
        <f>HYPERLINK("http://141.218.60.56/~jnz1568/getInfo.php?workbook=10_01.xlsx&amp;sheet=A0&amp;row=51&amp;col=23&amp;number=&amp;sourceID=30","")</f>
        <v/>
      </c>
      <c r="X51" s="4" t="str">
        <f>HYPERLINK("http://141.218.60.56/~jnz1568/getInfo.php?workbook=10_01.xlsx&amp;sheet=A0&amp;row=51&amp;col=24&amp;number=0.206&amp;sourceID=30","0.206")</f>
        <v>0.206</v>
      </c>
      <c r="Y51" s="4" t="str">
        <f>HYPERLINK("http://141.218.60.56/~jnz1568/getInfo.php?workbook=10_01.xlsx&amp;sheet=A0&amp;row=51&amp;col=25&amp;number=&amp;sourceID=30","")</f>
        <v/>
      </c>
      <c r="Z51" s="4" t="str">
        <f>HYPERLINK("http://141.218.60.56/~jnz1568/getInfo.php?workbook=10_01.xlsx&amp;sheet=A0&amp;row=51&amp;col=26&amp;number==&amp;sourceID=13","=")</f>
        <v>=</v>
      </c>
      <c r="AA51" s="4" t="str">
        <f>HYPERLINK("http://141.218.60.56/~jnz1568/getInfo.php?workbook=10_01.xlsx&amp;sheet=A0&amp;row=51&amp;col=27&amp;number=&amp;sourceID=13","")</f>
        <v/>
      </c>
      <c r="AB51" s="4" t="str">
        <f>HYPERLINK("http://141.218.60.56/~jnz1568/getInfo.php?workbook=10_01.xlsx&amp;sheet=A0&amp;row=51&amp;col=28&amp;number=&amp;sourceID=13","")</f>
        <v/>
      </c>
      <c r="AC51" s="4" t="str">
        <f>HYPERLINK("http://141.218.60.56/~jnz1568/getInfo.php?workbook=10_01.xlsx&amp;sheet=A0&amp;row=51&amp;col=29&amp;number=&amp;sourceID=13","")</f>
        <v/>
      </c>
      <c r="AD51" s="4" t="str">
        <f>HYPERLINK("http://141.218.60.56/~jnz1568/getInfo.php?workbook=10_01.xlsx&amp;sheet=A0&amp;row=51&amp;col=30&amp;number=0.203&amp;sourceID=13","0.203")</f>
        <v>0.203</v>
      </c>
      <c r="AE51" s="4" t="str">
        <f>HYPERLINK("http://141.218.60.56/~jnz1568/getInfo.php?workbook=10_01.xlsx&amp;sheet=A0&amp;row=51&amp;col=31&amp;number=&amp;sourceID=13","")</f>
        <v/>
      </c>
      <c r="AF51" s="4" t="str">
        <f>HYPERLINK("http://141.218.60.56/~jnz1568/getInfo.php?workbook=10_01.xlsx&amp;sheet=A0&amp;row=51&amp;col=32&amp;number=&amp;sourceID=20","")</f>
        <v/>
      </c>
    </row>
    <row r="52" spans="1:32">
      <c r="A52" s="3">
        <v>10</v>
      </c>
      <c r="B52" s="3">
        <v>1</v>
      </c>
      <c r="C52" s="3">
        <v>11</v>
      </c>
      <c r="D52" s="3">
        <v>7</v>
      </c>
      <c r="E52" s="3">
        <f>((1/(INDEX(E0!J$4:J$28,C52,1)-INDEX(E0!J$4:J$28,D52,1))))*100000000</f>
        <v>0</v>
      </c>
      <c r="F52" s="4" t="str">
        <f>HYPERLINK("http://141.218.60.56/~jnz1568/getInfo.php?workbook=10_01.xlsx&amp;sheet=A0&amp;row=52&amp;col=6&amp;number=&amp;sourceID=18","")</f>
        <v/>
      </c>
      <c r="G52" s="4" t="str">
        <f>HYPERLINK("http://141.218.60.56/~jnz1568/getInfo.php?workbook=10_01.xlsx&amp;sheet=A0&amp;row=52&amp;col=7&amp;number==&amp;sourceID=11","=")</f>
        <v>=</v>
      </c>
      <c r="H52" s="4" t="str">
        <f>HYPERLINK("http://141.218.60.56/~jnz1568/getInfo.php?workbook=10_01.xlsx&amp;sheet=A0&amp;row=52&amp;col=8&amp;number=&amp;sourceID=11","")</f>
        <v/>
      </c>
      <c r="I52" s="4" t="str">
        <f>HYPERLINK("http://141.218.60.56/~jnz1568/getInfo.php?workbook=10_01.xlsx&amp;sheet=A0&amp;row=52&amp;col=9&amp;number=413360&amp;sourceID=11","413360")</f>
        <v>413360</v>
      </c>
      <c r="J52" s="4" t="str">
        <f>HYPERLINK("http://141.218.60.56/~jnz1568/getInfo.php?workbook=10_01.xlsx&amp;sheet=A0&amp;row=52&amp;col=10&amp;number=&amp;sourceID=11","")</f>
        <v/>
      </c>
      <c r="K52" s="4" t="str">
        <f>HYPERLINK("http://141.218.60.56/~jnz1568/getInfo.php?workbook=10_01.xlsx&amp;sheet=A0&amp;row=52&amp;col=11&amp;number=6.8381e-05&amp;sourceID=11","6.8381e-05")</f>
        <v>6.8381e-05</v>
      </c>
      <c r="L52" s="4" t="str">
        <f>HYPERLINK("http://141.218.60.56/~jnz1568/getInfo.php?workbook=10_01.xlsx&amp;sheet=A0&amp;row=52&amp;col=12&amp;number=&amp;sourceID=11","")</f>
        <v/>
      </c>
      <c r="M52" s="4" t="str">
        <f>HYPERLINK("http://141.218.60.56/~jnz1568/getInfo.php?workbook=10_01.xlsx&amp;sheet=A0&amp;row=52&amp;col=13&amp;number=&amp;sourceID=11","")</f>
        <v/>
      </c>
      <c r="N52" s="4" t="str">
        <f>HYPERLINK("http://141.218.60.56/~jnz1568/getInfo.php?workbook=10_01.xlsx&amp;sheet=A0&amp;row=52&amp;col=14&amp;number=413370&amp;sourceID=12","413370")</f>
        <v>413370</v>
      </c>
      <c r="O52" s="4" t="str">
        <f>HYPERLINK("http://141.218.60.56/~jnz1568/getInfo.php?workbook=10_01.xlsx&amp;sheet=A0&amp;row=52&amp;col=15&amp;number=&amp;sourceID=12","")</f>
        <v/>
      </c>
      <c r="P52" s="4" t="str">
        <f>HYPERLINK("http://141.218.60.56/~jnz1568/getInfo.php?workbook=10_01.xlsx&amp;sheet=A0&amp;row=52&amp;col=16&amp;number=413370&amp;sourceID=12","413370")</f>
        <v>413370</v>
      </c>
      <c r="Q52" s="4" t="str">
        <f>HYPERLINK("http://141.218.60.56/~jnz1568/getInfo.php?workbook=10_01.xlsx&amp;sheet=A0&amp;row=52&amp;col=17&amp;number=&amp;sourceID=12","")</f>
        <v/>
      </c>
      <c r="R52" s="4" t="str">
        <f>HYPERLINK("http://141.218.60.56/~jnz1568/getInfo.php?workbook=10_01.xlsx&amp;sheet=A0&amp;row=52&amp;col=18&amp;number=6.8384e-05&amp;sourceID=12","6.8384e-05")</f>
        <v>6.8384e-05</v>
      </c>
      <c r="S52" s="4" t="str">
        <f>HYPERLINK("http://141.218.60.56/~jnz1568/getInfo.php?workbook=10_01.xlsx&amp;sheet=A0&amp;row=52&amp;col=19&amp;number=&amp;sourceID=12","")</f>
        <v/>
      </c>
      <c r="T52" s="4" t="str">
        <f>HYPERLINK("http://141.218.60.56/~jnz1568/getInfo.php?workbook=10_01.xlsx&amp;sheet=A0&amp;row=52&amp;col=20&amp;number=&amp;sourceID=12","")</f>
        <v/>
      </c>
      <c r="U52" s="4" t="str">
        <f>HYPERLINK("http://141.218.60.56/~jnz1568/getInfo.php?workbook=10_01.xlsx&amp;sheet=A0&amp;row=52&amp;col=21&amp;number=413400.000069&amp;sourceID=30","413400.000069")</f>
        <v>413400.000069</v>
      </c>
      <c r="V52" s="4" t="str">
        <f>HYPERLINK("http://141.218.60.56/~jnz1568/getInfo.php?workbook=10_01.xlsx&amp;sheet=A0&amp;row=52&amp;col=22&amp;number=&amp;sourceID=30","")</f>
        <v/>
      </c>
      <c r="W52" s="4" t="str">
        <f>HYPERLINK("http://141.218.60.56/~jnz1568/getInfo.php?workbook=10_01.xlsx&amp;sheet=A0&amp;row=52&amp;col=23&amp;number=413400&amp;sourceID=30","413400")</f>
        <v>413400</v>
      </c>
      <c r="X52" s="4" t="str">
        <f>HYPERLINK("http://141.218.60.56/~jnz1568/getInfo.php?workbook=10_01.xlsx&amp;sheet=A0&amp;row=52&amp;col=24&amp;number=6.906e-05&amp;sourceID=30","6.906e-05")</f>
        <v>6.906e-05</v>
      </c>
      <c r="Y52" s="4" t="str">
        <f>HYPERLINK("http://141.218.60.56/~jnz1568/getInfo.php?workbook=10_01.xlsx&amp;sheet=A0&amp;row=52&amp;col=25&amp;number=&amp;sourceID=30","")</f>
        <v/>
      </c>
      <c r="Z52" s="4" t="str">
        <f>HYPERLINK("http://141.218.60.56/~jnz1568/getInfo.php?workbook=10_01.xlsx&amp;sheet=A0&amp;row=52&amp;col=26&amp;number==&amp;sourceID=13","=")</f>
        <v>=</v>
      </c>
      <c r="AA52" s="4" t="str">
        <f>HYPERLINK("http://141.218.60.56/~jnz1568/getInfo.php?workbook=10_01.xlsx&amp;sheet=A0&amp;row=52&amp;col=27&amp;number=&amp;sourceID=13","")</f>
        <v/>
      </c>
      <c r="AB52" s="4" t="str">
        <f>HYPERLINK("http://141.218.60.56/~jnz1568/getInfo.php?workbook=10_01.xlsx&amp;sheet=A0&amp;row=52&amp;col=28&amp;number=409000&amp;sourceID=13","409000")</f>
        <v>409000</v>
      </c>
      <c r="AC52" s="4" t="str">
        <f>HYPERLINK("http://141.218.60.56/~jnz1568/getInfo.php?workbook=10_01.xlsx&amp;sheet=A0&amp;row=52&amp;col=29&amp;number=&amp;sourceID=13","")</f>
        <v/>
      </c>
      <c r="AD52" s="4" t="str">
        <f>HYPERLINK("http://141.218.60.56/~jnz1568/getInfo.php?workbook=10_01.xlsx&amp;sheet=A0&amp;row=52&amp;col=30&amp;number=2.43e-05&amp;sourceID=13","2.43e-05")</f>
        <v>2.43e-05</v>
      </c>
      <c r="AE52" s="4" t="str">
        <f>HYPERLINK("http://141.218.60.56/~jnz1568/getInfo.php?workbook=10_01.xlsx&amp;sheet=A0&amp;row=52&amp;col=31&amp;number=&amp;sourceID=13","")</f>
        <v/>
      </c>
      <c r="AF52" s="4" t="str">
        <f>HYPERLINK("http://141.218.60.56/~jnz1568/getInfo.php?workbook=10_01.xlsx&amp;sheet=A0&amp;row=52&amp;col=32&amp;number=&amp;sourceID=20","")</f>
        <v/>
      </c>
    </row>
    <row r="53" spans="1:32">
      <c r="A53" s="3">
        <v>10</v>
      </c>
      <c r="B53" s="3">
        <v>1</v>
      </c>
      <c r="C53" s="3">
        <v>11</v>
      </c>
      <c r="D53" s="3">
        <v>8</v>
      </c>
      <c r="E53" s="3">
        <f>((1/(INDEX(E0!J$4:J$28,C53,1)-INDEX(E0!J$4:J$28,D53,1))))*100000000</f>
        <v>0</v>
      </c>
      <c r="F53" s="4" t="str">
        <f>HYPERLINK("http://141.218.60.56/~jnz1568/getInfo.php?workbook=10_01.xlsx&amp;sheet=A0&amp;row=53&amp;col=6&amp;number=&amp;sourceID=18","")</f>
        <v/>
      </c>
      <c r="G53" s="4" t="str">
        <f>HYPERLINK("http://141.218.60.56/~jnz1568/getInfo.php?workbook=10_01.xlsx&amp;sheet=A0&amp;row=53&amp;col=7&amp;number==&amp;sourceID=11","=")</f>
        <v>=</v>
      </c>
      <c r="H53" s="4" t="str">
        <f>HYPERLINK("http://141.218.60.56/~jnz1568/getInfo.php?workbook=10_01.xlsx&amp;sheet=A0&amp;row=53&amp;col=8&amp;number=12399000000&amp;sourceID=11","12399000000")</f>
        <v>12399000000</v>
      </c>
      <c r="I53" s="4" t="str">
        <f>HYPERLINK("http://141.218.60.56/~jnz1568/getInfo.php?workbook=10_01.xlsx&amp;sheet=A0&amp;row=53&amp;col=9&amp;number=&amp;sourceID=11","")</f>
        <v/>
      </c>
      <c r="J53" s="4" t="str">
        <f>HYPERLINK("http://141.218.60.56/~jnz1568/getInfo.php?workbook=10_01.xlsx&amp;sheet=A0&amp;row=53&amp;col=10&amp;number=&amp;sourceID=11","")</f>
        <v/>
      </c>
      <c r="K53" s="4" t="str">
        <f>HYPERLINK("http://141.218.60.56/~jnz1568/getInfo.php?workbook=10_01.xlsx&amp;sheet=A0&amp;row=53&amp;col=11&amp;number=&amp;sourceID=11","")</f>
        <v/>
      </c>
      <c r="L53" s="4" t="str">
        <f>HYPERLINK("http://141.218.60.56/~jnz1568/getInfo.php?workbook=10_01.xlsx&amp;sheet=A0&amp;row=53&amp;col=12&amp;number=38.935&amp;sourceID=11","38.935")</f>
        <v>38.935</v>
      </c>
      <c r="M53" s="4" t="str">
        <f>HYPERLINK("http://141.218.60.56/~jnz1568/getInfo.php?workbook=10_01.xlsx&amp;sheet=A0&amp;row=53&amp;col=13&amp;number=&amp;sourceID=11","")</f>
        <v/>
      </c>
      <c r="N53" s="4" t="str">
        <f>HYPERLINK("http://141.218.60.56/~jnz1568/getInfo.php?workbook=10_01.xlsx&amp;sheet=A0&amp;row=53&amp;col=14&amp;number=12400000000&amp;sourceID=12","12400000000")</f>
        <v>12400000000</v>
      </c>
      <c r="O53" s="4" t="str">
        <f>HYPERLINK("http://141.218.60.56/~jnz1568/getInfo.php?workbook=10_01.xlsx&amp;sheet=A0&amp;row=53&amp;col=15&amp;number=12400000000&amp;sourceID=12","12400000000")</f>
        <v>12400000000</v>
      </c>
      <c r="P53" s="4" t="str">
        <f>HYPERLINK("http://141.218.60.56/~jnz1568/getInfo.php?workbook=10_01.xlsx&amp;sheet=A0&amp;row=53&amp;col=16&amp;number=&amp;sourceID=12","")</f>
        <v/>
      </c>
      <c r="Q53" s="4" t="str">
        <f>HYPERLINK("http://141.218.60.56/~jnz1568/getInfo.php?workbook=10_01.xlsx&amp;sheet=A0&amp;row=53&amp;col=17&amp;number=&amp;sourceID=12","")</f>
        <v/>
      </c>
      <c r="R53" s="4" t="str">
        <f>HYPERLINK("http://141.218.60.56/~jnz1568/getInfo.php?workbook=10_01.xlsx&amp;sheet=A0&amp;row=53&amp;col=18&amp;number=&amp;sourceID=12","")</f>
        <v/>
      </c>
      <c r="S53" s="4" t="str">
        <f>HYPERLINK("http://141.218.60.56/~jnz1568/getInfo.php?workbook=10_01.xlsx&amp;sheet=A0&amp;row=53&amp;col=19&amp;number=38.936&amp;sourceID=12","38.936")</f>
        <v>38.936</v>
      </c>
      <c r="T53" s="4" t="str">
        <f>HYPERLINK("http://141.218.60.56/~jnz1568/getInfo.php?workbook=10_01.xlsx&amp;sheet=A0&amp;row=53&amp;col=20&amp;number=&amp;sourceID=12","")</f>
        <v/>
      </c>
      <c r="U53" s="4" t="str">
        <f>HYPERLINK("http://141.218.60.56/~jnz1568/getInfo.php?workbook=10_01.xlsx&amp;sheet=A0&amp;row=53&amp;col=21&amp;number=12400000038.9&amp;sourceID=30","12400000038.9")</f>
        <v>12400000038.9</v>
      </c>
      <c r="V53" s="4" t="str">
        <f>HYPERLINK("http://141.218.60.56/~jnz1568/getInfo.php?workbook=10_01.xlsx&amp;sheet=A0&amp;row=53&amp;col=22&amp;number=12400000000&amp;sourceID=30","12400000000")</f>
        <v>12400000000</v>
      </c>
      <c r="W53" s="4" t="str">
        <f>HYPERLINK("http://141.218.60.56/~jnz1568/getInfo.php?workbook=10_01.xlsx&amp;sheet=A0&amp;row=53&amp;col=23&amp;number=&amp;sourceID=30","")</f>
        <v/>
      </c>
      <c r="X53" s="4" t="str">
        <f>HYPERLINK("http://141.218.60.56/~jnz1568/getInfo.php?workbook=10_01.xlsx&amp;sheet=A0&amp;row=53&amp;col=24&amp;number=&amp;sourceID=30","")</f>
        <v/>
      </c>
      <c r="Y53" s="4" t="str">
        <f>HYPERLINK("http://141.218.60.56/~jnz1568/getInfo.php?workbook=10_01.xlsx&amp;sheet=A0&amp;row=53&amp;col=25&amp;number=38.94&amp;sourceID=30","38.94")</f>
        <v>38.94</v>
      </c>
      <c r="Z53" s="4" t="str">
        <f>HYPERLINK("http://141.218.60.56/~jnz1568/getInfo.php?workbook=10_01.xlsx&amp;sheet=A0&amp;row=53&amp;col=26&amp;number==&amp;sourceID=13","=")</f>
        <v>=</v>
      </c>
      <c r="AA53" s="4" t="str">
        <f>HYPERLINK("http://141.218.60.56/~jnz1568/getInfo.php?workbook=10_01.xlsx&amp;sheet=A0&amp;row=53&amp;col=27&amp;number=12300000000&amp;sourceID=13","12300000000")</f>
        <v>12300000000</v>
      </c>
      <c r="AB53" s="4" t="str">
        <f>HYPERLINK("http://141.218.60.56/~jnz1568/getInfo.php?workbook=10_01.xlsx&amp;sheet=A0&amp;row=53&amp;col=28&amp;number=&amp;sourceID=13","")</f>
        <v/>
      </c>
      <c r="AC53" s="4" t="str">
        <f>HYPERLINK("http://141.218.60.56/~jnz1568/getInfo.php?workbook=10_01.xlsx&amp;sheet=A0&amp;row=53&amp;col=29&amp;number=&amp;sourceID=13","")</f>
        <v/>
      </c>
      <c r="AD53" s="4" t="str">
        <f>HYPERLINK("http://141.218.60.56/~jnz1568/getInfo.php?workbook=10_01.xlsx&amp;sheet=A0&amp;row=53&amp;col=30&amp;number=&amp;sourceID=13","")</f>
        <v/>
      </c>
      <c r="AE53" s="4" t="str">
        <f>HYPERLINK("http://141.218.60.56/~jnz1568/getInfo.php?workbook=10_01.xlsx&amp;sheet=A0&amp;row=53&amp;col=31&amp;number=&amp;sourceID=13","")</f>
        <v/>
      </c>
      <c r="AF53" s="4" t="str">
        <f>HYPERLINK("http://141.218.60.56/~jnz1568/getInfo.php?workbook=10_01.xlsx&amp;sheet=A0&amp;row=53&amp;col=32&amp;number=&amp;sourceID=20","")</f>
        <v/>
      </c>
    </row>
    <row r="54" spans="1:32">
      <c r="A54" s="3">
        <v>10</v>
      </c>
      <c r="B54" s="3">
        <v>1</v>
      </c>
      <c r="C54" s="3">
        <v>11</v>
      </c>
      <c r="D54" s="3">
        <v>9</v>
      </c>
      <c r="E54" s="3">
        <f>((1/(INDEX(E0!J$4:J$28,C54,1)-INDEX(E0!J$4:J$28,D54,1))))*100000000</f>
        <v>0</v>
      </c>
      <c r="F54" s="4" t="str">
        <f>HYPERLINK("http://141.218.60.56/~jnz1568/getInfo.php?workbook=10_01.xlsx&amp;sheet=A0&amp;row=54&amp;col=6&amp;number=&amp;sourceID=18","")</f>
        <v/>
      </c>
      <c r="G54" s="4" t="str">
        <f>HYPERLINK("http://141.218.60.56/~jnz1568/getInfo.php?workbook=10_01.xlsx&amp;sheet=A0&amp;row=54&amp;col=7&amp;number==&amp;sourceID=11","=")</f>
        <v>=</v>
      </c>
      <c r="H54" s="4" t="str">
        <f>HYPERLINK("http://141.218.60.56/~jnz1568/getInfo.php?workbook=10_01.xlsx&amp;sheet=A0&amp;row=54&amp;col=8&amp;number=&amp;sourceID=11","")</f>
        <v/>
      </c>
      <c r="I54" s="4" t="str">
        <f>HYPERLINK("http://141.218.60.56/~jnz1568/getInfo.php?workbook=10_01.xlsx&amp;sheet=A0&amp;row=54&amp;col=9&amp;number=620400&amp;sourceID=11","620400")</f>
        <v>620400</v>
      </c>
      <c r="J54" s="4" t="str">
        <f>HYPERLINK("http://141.218.60.56/~jnz1568/getInfo.php?workbook=10_01.xlsx&amp;sheet=A0&amp;row=54&amp;col=10&amp;number=&amp;sourceID=11","")</f>
        <v/>
      </c>
      <c r="K54" s="4" t="str">
        <f>HYPERLINK("http://141.218.60.56/~jnz1568/getInfo.php?workbook=10_01.xlsx&amp;sheet=A0&amp;row=54&amp;col=11&amp;number=&amp;sourceID=11","")</f>
        <v/>
      </c>
      <c r="L54" s="4" t="str">
        <f>HYPERLINK("http://141.218.60.56/~jnz1568/getInfo.php?workbook=10_01.xlsx&amp;sheet=A0&amp;row=54&amp;col=12&amp;number=&amp;sourceID=11","")</f>
        <v/>
      </c>
      <c r="M54" s="4" t="str">
        <f>HYPERLINK("http://141.218.60.56/~jnz1568/getInfo.php?workbook=10_01.xlsx&amp;sheet=A0&amp;row=54&amp;col=13&amp;number=0.002305&amp;sourceID=11","0.002305")</f>
        <v>0.002305</v>
      </c>
      <c r="N54" s="4" t="str">
        <f>HYPERLINK("http://141.218.60.56/~jnz1568/getInfo.php?workbook=10_01.xlsx&amp;sheet=A0&amp;row=54&amp;col=14&amp;number=620410&amp;sourceID=12","620410")</f>
        <v>620410</v>
      </c>
      <c r="O54" s="4" t="str">
        <f>HYPERLINK("http://141.218.60.56/~jnz1568/getInfo.php?workbook=10_01.xlsx&amp;sheet=A0&amp;row=54&amp;col=15&amp;number=&amp;sourceID=12","")</f>
        <v/>
      </c>
      <c r="P54" s="4" t="str">
        <f>HYPERLINK("http://141.218.60.56/~jnz1568/getInfo.php?workbook=10_01.xlsx&amp;sheet=A0&amp;row=54&amp;col=16&amp;number=620410&amp;sourceID=12","620410")</f>
        <v>620410</v>
      </c>
      <c r="Q54" s="4" t="str">
        <f>HYPERLINK("http://141.218.60.56/~jnz1568/getInfo.php?workbook=10_01.xlsx&amp;sheet=A0&amp;row=54&amp;col=17&amp;number=&amp;sourceID=12","")</f>
        <v/>
      </c>
      <c r="R54" s="4" t="str">
        <f>HYPERLINK("http://141.218.60.56/~jnz1568/getInfo.php?workbook=10_01.xlsx&amp;sheet=A0&amp;row=54&amp;col=18&amp;number=&amp;sourceID=12","")</f>
        <v/>
      </c>
      <c r="S54" s="4" t="str">
        <f>HYPERLINK("http://141.218.60.56/~jnz1568/getInfo.php?workbook=10_01.xlsx&amp;sheet=A0&amp;row=54&amp;col=19&amp;number=&amp;sourceID=12","")</f>
        <v/>
      </c>
      <c r="T54" s="4" t="str">
        <f>HYPERLINK("http://141.218.60.56/~jnz1568/getInfo.php?workbook=10_01.xlsx&amp;sheet=A0&amp;row=54&amp;col=20&amp;number=0.0023051&amp;sourceID=12","0.0023051")</f>
        <v>0.0023051</v>
      </c>
      <c r="U54" s="4" t="str">
        <f>HYPERLINK("http://141.218.60.56/~jnz1568/getInfo.php?workbook=10_01.xlsx&amp;sheet=A0&amp;row=54&amp;col=21&amp;number=620400&amp;sourceID=30","620400")</f>
        <v>620400</v>
      </c>
      <c r="V54" s="4" t="str">
        <f>HYPERLINK("http://141.218.60.56/~jnz1568/getInfo.php?workbook=10_01.xlsx&amp;sheet=A0&amp;row=54&amp;col=22&amp;number=&amp;sourceID=30","")</f>
        <v/>
      </c>
      <c r="W54" s="4" t="str">
        <f>HYPERLINK("http://141.218.60.56/~jnz1568/getInfo.php?workbook=10_01.xlsx&amp;sheet=A0&amp;row=54&amp;col=23&amp;number=620400&amp;sourceID=30","620400")</f>
        <v>620400</v>
      </c>
      <c r="X54" s="4" t="str">
        <f>HYPERLINK("http://141.218.60.56/~jnz1568/getInfo.php?workbook=10_01.xlsx&amp;sheet=A0&amp;row=54&amp;col=24&amp;number=&amp;sourceID=30","")</f>
        <v/>
      </c>
      <c r="Y54" s="4" t="str">
        <f>HYPERLINK("http://141.218.60.56/~jnz1568/getInfo.php?workbook=10_01.xlsx&amp;sheet=A0&amp;row=54&amp;col=25&amp;number=&amp;sourceID=30","")</f>
        <v/>
      </c>
      <c r="Z54" s="4" t="str">
        <f>HYPERLINK("http://141.218.60.56/~jnz1568/getInfo.php?workbook=10_01.xlsx&amp;sheet=A0&amp;row=54&amp;col=26&amp;number==&amp;sourceID=13","=")</f>
        <v>=</v>
      </c>
      <c r="AA54" s="4" t="str">
        <f>HYPERLINK("http://141.218.60.56/~jnz1568/getInfo.php?workbook=10_01.xlsx&amp;sheet=A0&amp;row=54&amp;col=27&amp;number=&amp;sourceID=13","")</f>
        <v/>
      </c>
      <c r="AB54" s="4" t="str">
        <f>HYPERLINK("http://141.218.60.56/~jnz1568/getInfo.php?workbook=10_01.xlsx&amp;sheet=A0&amp;row=54&amp;col=28&amp;number=616000&amp;sourceID=13","616000")</f>
        <v>616000</v>
      </c>
      <c r="AC54" s="4" t="str">
        <f>HYPERLINK("http://141.218.60.56/~jnz1568/getInfo.php?workbook=10_01.xlsx&amp;sheet=A0&amp;row=54&amp;col=29&amp;number=&amp;sourceID=13","")</f>
        <v/>
      </c>
      <c r="AD54" s="4" t="str">
        <f>HYPERLINK("http://141.218.60.56/~jnz1568/getInfo.php?workbook=10_01.xlsx&amp;sheet=A0&amp;row=54&amp;col=30&amp;number=&amp;sourceID=13","")</f>
        <v/>
      </c>
      <c r="AE54" s="4" t="str">
        <f>HYPERLINK("http://141.218.60.56/~jnz1568/getInfo.php?workbook=10_01.xlsx&amp;sheet=A0&amp;row=54&amp;col=31&amp;number=&amp;sourceID=13","")</f>
        <v/>
      </c>
      <c r="AF54" s="4" t="str">
        <f>HYPERLINK("http://141.218.60.56/~jnz1568/getInfo.php?workbook=10_01.xlsx&amp;sheet=A0&amp;row=54&amp;col=32&amp;number=&amp;sourceID=20","")</f>
        <v/>
      </c>
    </row>
    <row r="55" spans="1:32">
      <c r="A55" s="3">
        <v>10</v>
      </c>
      <c r="B55" s="3">
        <v>1</v>
      </c>
      <c r="C55" s="3">
        <v>12</v>
      </c>
      <c r="D55" s="3">
        <v>1</v>
      </c>
      <c r="E55" s="3">
        <f>((1/(INDEX(E0!J$4:J$28,C55,1)-INDEX(E0!J$4:J$28,D55,1))))*100000000</f>
        <v>0</v>
      </c>
      <c r="F55" s="4" t="str">
        <f>HYPERLINK("http://141.218.60.56/~jnz1568/getInfo.php?workbook=10_01.xlsx&amp;sheet=A0&amp;row=55&amp;col=6&amp;number=&amp;sourceID=18","")</f>
        <v/>
      </c>
      <c r="G55" s="4" t="str">
        <f>HYPERLINK("http://141.218.60.56/~jnz1568/getInfo.php?workbook=10_01.xlsx&amp;sheet=A0&amp;row=55&amp;col=7&amp;number==&amp;sourceID=11","=")</f>
        <v>=</v>
      </c>
      <c r="H55" s="4" t="str">
        <f>HYPERLINK("http://141.218.60.56/~jnz1568/getInfo.php?workbook=10_01.xlsx&amp;sheet=A0&amp;row=55&amp;col=8&amp;number=&amp;sourceID=11","")</f>
        <v/>
      </c>
      <c r="I55" s="4" t="str">
        <f>HYPERLINK("http://141.218.60.56/~jnz1568/getInfo.php?workbook=10_01.xlsx&amp;sheet=A0&amp;row=55&amp;col=9&amp;number=326430000&amp;sourceID=11","326430000")</f>
        <v>326430000</v>
      </c>
      <c r="J55" s="4" t="str">
        <f>HYPERLINK("http://141.218.60.56/~jnz1568/getInfo.php?workbook=10_01.xlsx&amp;sheet=A0&amp;row=55&amp;col=10&amp;number=&amp;sourceID=11","")</f>
        <v/>
      </c>
      <c r="K55" s="4" t="str">
        <f>HYPERLINK("http://141.218.60.56/~jnz1568/getInfo.php?workbook=10_01.xlsx&amp;sheet=A0&amp;row=55&amp;col=11&amp;number=43.289&amp;sourceID=11","43.289")</f>
        <v>43.289</v>
      </c>
      <c r="L55" s="4" t="str">
        <f>HYPERLINK("http://141.218.60.56/~jnz1568/getInfo.php?workbook=10_01.xlsx&amp;sheet=A0&amp;row=55&amp;col=12&amp;number=&amp;sourceID=11","")</f>
        <v/>
      </c>
      <c r="M55" s="4" t="str">
        <f>HYPERLINK("http://141.218.60.56/~jnz1568/getInfo.php?workbook=10_01.xlsx&amp;sheet=A0&amp;row=55&amp;col=13&amp;number=&amp;sourceID=11","")</f>
        <v/>
      </c>
      <c r="N55" s="4" t="str">
        <f>HYPERLINK("http://141.218.60.56/~jnz1568/getInfo.php?workbook=10_01.xlsx&amp;sheet=A0&amp;row=55&amp;col=14&amp;number=326440000&amp;sourceID=12","326440000")</f>
        <v>326440000</v>
      </c>
      <c r="O55" s="4" t="str">
        <f>HYPERLINK("http://141.218.60.56/~jnz1568/getInfo.php?workbook=10_01.xlsx&amp;sheet=A0&amp;row=55&amp;col=15&amp;number=&amp;sourceID=12","")</f>
        <v/>
      </c>
      <c r="P55" s="4" t="str">
        <f>HYPERLINK("http://141.218.60.56/~jnz1568/getInfo.php?workbook=10_01.xlsx&amp;sheet=A0&amp;row=55&amp;col=16&amp;number=326440000&amp;sourceID=12","326440000")</f>
        <v>326440000</v>
      </c>
      <c r="Q55" s="4" t="str">
        <f>HYPERLINK("http://141.218.60.56/~jnz1568/getInfo.php?workbook=10_01.xlsx&amp;sheet=A0&amp;row=55&amp;col=17&amp;number=&amp;sourceID=12","")</f>
        <v/>
      </c>
      <c r="R55" s="4" t="str">
        <f>HYPERLINK("http://141.218.60.56/~jnz1568/getInfo.php?workbook=10_01.xlsx&amp;sheet=A0&amp;row=55&amp;col=18&amp;number=43.297&amp;sourceID=12","43.297")</f>
        <v>43.297</v>
      </c>
      <c r="S55" s="4" t="str">
        <f>HYPERLINK("http://141.218.60.56/~jnz1568/getInfo.php?workbook=10_01.xlsx&amp;sheet=A0&amp;row=55&amp;col=19&amp;number=&amp;sourceID=12","")</f>
        <v/>
      </c>
      <c r="T55" s="4" t="str">
        <f>HYPERLINK("http://141.218.60.56/~jnz1568/getInfo.php?workbook=10_01.xlsx&amp;sheet=A0&amp;row=55&amp;col=20&amp;number=&amp;sourceID=12","")</f>
        <v/>
      </c>
      <c r="U55" s="4" t="str">
        <f>HYPERLINK("http://141.218.60.56/~jnz1568/getInfo.php?workbook=10_01.xlsx&amp;sheet=A0&amp;row=55&amp;col=21&amp;number=326400043.29&amp;sourceID=30","326400043.29")</f>
        <v>326400043.29</v>
      </c>
      <c r="V55" s="4" t="str">
        <f>HYPERLINK("http://141.218.60.56/~jnz1568/getInfo.php?workbook=10_01.xlsx&amp;sheet=A0&amp;row=55&amp;col=22&amp;number=&amp;sourceID=30","")</f>
        <v/>
      </c>
      <c r="W55" s="4" t="str">
        <f>HYPERLINK("http://141.218.60.56/~jnz1568/getInfo.php?workbook=10_01.xlsx&amp;sheet=A0&amp;row=55&amp;col=23&amp;number=326400000&amp;sourceID=30","326400000")</f>
        <v>326400000</v>
      </c>
      <c r="X55" s="4" t="str">
        <f>HYPERLINK("http://141.218.60.56/~jnz1568/getInfo.php?workbook=10_01.xlsx&amp;sheet=A0&amp;row=55&amp;col=24&amp;number=43.29&amp;sourceID=30","43.29")</f>
        <v>43.29</v>
      </c>
      <c r="Y55" s="4" t="str">
        <f>HYPERLINK("http://141.218.60.56/~jnz1568/getInfo.php?workbook=10_01.xlsx&amp;sheet=A0&amp;row=55&amp;col=25&amp;number=&amp;sourceID=30","")</f>
        <v/>
      </c>
      <c r="Z55" s="4" t="str">
        <f>HYPERLINK("http://141.218.60.56/~jnz1568/getInfo.php?workbook=10_01.xlsx&amp;sheet=A0&amp;row=55&amp;col=26&amp;number==&amp;sourceID=13","=")</f>
        <v>=</v>
      </c>
      <c r="AA55" s="4" t="str">
        <f>HYPERLINK("http://141.218.60.56/~jnz1568/getInfo.php?workbook=10_01.xlsx&amp;sheet=A0&amp;row=55&amp;col=27&amp;number=&amp;sourceID=13","")</f>
        <v/>
      </c>
      <c r="AB55" s="4" t="str">
        <f>HYPERLINK("http://141.218.60.56/~jnz1568/getInfo.php?workbook=10_01.xlsx&amp;sheet=A0&amp;row=55&amp;col=28&amp;number=366000000&amp;sourceID=13","366000000")</f>
        <v>366000000</v>
      </c>
      <c r="AC55" s="4" t="str">
        <f>HYPERLINK("http://141.218.60.56/~jnz1568/getInfo.php?workbook=10_01.xlsx&amp;sheet=A0&amp;row=55&amp;col=29&amp;number=&amp;sourceID=13","")</f>
        <v/>
      </c>
      <c r="AD55" s="4" t="str">
        <f>HYPERLINK("http://141.218.60.56/~jnz1568/getInfo.php?workbook=10_01.xlsx&amp;sheet=A0&amp;row=55&amp;col=30&amp;number=107&amp;sourceID=13","107")</f>
        <v>107</v>
      </c>
      <c r="AE55" s="4" t="str">
        <f>HYPERLINK("http://141.218.60.56/~jnz1568/getInfo.php?workbook=10_01.xlsx&amp;sheet=A0&amp;row=55&amp;col=31&amp;number=&amp;sourceID=13","")</f>
        <v/>
      </c>
      <c r="AF55" s="4" t="str">
        <f>HYPERLINK("http://141.218.60.56/~jnz1568/getInfo.php?workbook=10_01.xlsx&amp;sheet=A0&amp;row=55&amp;col=32&amp;number=&amp;sourceID=20","")</f>
        <v/>
      </c>
    </row>
    <row r="56" spans="1:32">
      <c r="A56" s="3">
        <v>10</v>
      </c>
      <c r="B56" s="3">
        <v>1</v>
      </c>
      <c r="C56" s="3">
        <v>12</v>
      </c>
      <c r="D56" s="3">
        <v>2</v>
      </c>
      <c r="E56" s="3">
        <f>((1/(INDEX(E0!J$4:J$28,C56,1)-INDEX(E0!J$4:J$28,D56,1))))*100000000</f>
        <v>0</v>
      </c>
      <c r="F56" s="4" t="str">
        <f>HYPERLINK("http://141.218.60.56/~jnz1568/getInfo.php?workbook=10_01.xlsx&amp;sheet=A0&amp;row=56&amp;col=6&amp;number=&amp;sourceID=18","")</f>
        <v/>
      </c>
      <c r="G56" s="4" t="str">
        <f>HYPERLINK("http://141.218.60.56/~jnz1568/getInfo.php?workbook=10_01.xlsx&amp;sheet=A0&amp;row=56&amp;col=7&amp;number==&amp;sourceID=11","=")</f>
        <v>=</v>
      </c>
      <c r="H56" s="4" t="str">
        <f>HYPERLINK("http://141.218.60.56/~jnz1568/getInfo.php?workbook=10_01.xlsx&amp;sheet=A0&amp;row=56&amp;col=8&amp;number=172580000000&amp;sourceID=11","172580000000")</f>
        <v>172580000000</v>
      </c>
      <c r="I56" s="4" t="str">
        <f>HYPERLINK("http://141.218.60.56/~jnz1568/getInfo.php?workbook=10_01.xlsx&amp;sheet=A0&amp;row=56&amp;col=9&amp;number=&amp;sourceID=11","")</f>
        <v/>
      </c>
      <c r="J56" s="4" t="str">
        <f>HYPERLINK("http://141.218.60.56/~jnz1568/getInfo.php?workbook=10_01.xlsx&amp;sheet=A0&amp;row=56&amp;col=10&amp;number=&amp;sourceID=11","")</f>
        <v/>
      </c>
      <c r="K56" s="4" t="str">
        <f>HYPERLINK("http://141.218.60.56/~jnz1568/getInfo.php?workbook=10_01.xlsx&amp;sheet=A0&amp;row=56&amp;col=11&amp;number=&amp;sourceID=11","")</f>
        <v/>
      </c>
      <c r="L56" s="4" t="str">
        <f>HYPERLINK("http://141.218.60.56/~jnz1568/getInfo.php?workbook=10_01.xlsx&amp;sheet=A0&amp;row=56&amp;col=12&amp;number=323.38&amp;sourceID=11","323.38")</f>
        <v>323.38</v>
      </c>
      <c r="M56" s="4" t="str">
        <f>HYPERLINK("http://141.218.60.56/~jnz1568/getInfo.php?workbook=10_01.xlsx&amp;sheet=A0&amp;row=56&amp;col=13&amp;number=&amp;sourceID=11","")</f>
        <v/>
      </c>
      <c r="N56" s="4" t="str">
        <f>HYPERLINK("http://141.218.60.56/~jnz1568/getInfo.php?workbook=10_01.xlsx&amp;sheet=A0&amp;row=56&amp;col=14&amp;number=172590000000&amp;sourceID=12","172590000000")</f>
        <v>172590000000</v>
      </c>
      <c r="O56" s="4" t="str">
        <f>HYPERLINK("http://141.218.60.56/~jnz1568/getInfo.php?workbook=10_01.xlsx&amp;sheet=A0&amp;row=56&amp;col=15&amp;number=172590000000&amp;sourceID=12","172590000000")</f>
        <v>172590000000</v>
      </c>
      <c r="P56" s="4" t="str">
        <f>HYPERLINK("http://141.218.60.56/~jnz1568/getInfo.php?workbook=10_01.xlsx&amp;sheet=A0&amp;row=56&amp;col=16&amp;number=&amp;sourceID=12","")</f>
        <v/>
      </c>
      <c r="Q56" s="4" t="str">
        <f>HYPERLINK("http://141.218.60.56/~jnz1568/getInfo.php?workbook=10_01.xlsx&amp;sheet=A0&amp;row=56&amp;col=17&amp;number=&amp;sourceID=12","")</f>
        <v/>
      </c>
      <c r="R56" s="4" t="str">
        <f>HYPERLINK("http://141.218.60.56/~jnz1568/getInfo.php?workbook=10_01.xlsx&amp;sheet=A0&amp;row=56&amp;col=18&amp;number=&amp;sourceID=12","")</f>
        <v/>
      </c>
      <c r="S56" s="4" t="str">
        <f>HYPERLINK("http://141.218.60.56/~jnz1568/getInfo.php?workbook=10_01.xlsx&amp;sheet=A0&amp;row=56&amp;col=19&amp;number=323.39&amp;sourceID=12","323.39")</f>
        <v>323.39</v>
      </c>
      <c r="T56" s="4" t="str">
        <f>HYPERLINK("http://141.218.60.56/~jnz1568/getInfo.php?workbook=10_01.xlsx&amp;sheet=A0&amp;row=56&amp;col=20&amp;number=&amp;sourceID=12","")</f>
        <v/>
      </c>
      <c r="U56" s="4" t="str">
        <f>HYPERLINK("http://141.218.60.56/~jnz1568/getInfo.php?workbook=10_01.xlsx&amp;sheet=A0&amp;row=56&amp;col=21&amp;number=1.72600000323e+11&amp;sourceID=30","1.72600000323e+11")</f>
        <v>1.72600000323e+11</v>
      </c>
      <c r="V56" s="4" t="str">
        <f>HYPERLINK("http://141.218.60.56/~jnz1568/getInfo.php?workbook=10_01.xlsx&amp;sheet=A0&amp;row=56&amp;col=22&amp;number=172600000000&amp;sourceID=30","172600000000")</f>
        <v>172600000000</v>
      </c>
      <c r="W56" s="4" t="str">
        <f>HYPERLINK("http://141.218.60.56/~jnz1568/getInfo.php?workbook=10_01.xlsx&amp;sheet=A0&amp;row=56&amp;col=23&amp;number=&amp;sourceID=30","")</f>
        <v/>
      </c>
      <c r="X56" s="4" t="str">
        <f>HYPERLINK("http://141.218.60.56/~jnz1568/getInfo.php?workbook=10_01.xlsx&amp;sheet=A0&amp;row=56&amp;col=24&amp;number=&amp;sourceID=30","")</f>
        <v/>
      </c>
      <c r="Y56" s="4" t="str">
        <f>HYPERLINK("http://141.218.60.56/~jnz1568/getInfo.php?workbook=10_01.xlsx&amp;sheet=A0&amp;row=56&amp;col=25&amp;number=323.4&amp;sourceID=30","323.4")</f>
        <v>323.4</v>
      </c>
      <c r="Z56" s="4" t="str">
        <f>HYPERLINK("http://141.218.60.56/~jnz1568/getInfo.php?workbook=10_01.xlsx&amp;sheet=A0&amp;row=56&amp;col=26&amp;number==&amp;sourceID=13","=")</f>
        <v>=</v>
      </c>
      <c r="AA56" s="4" t="str">
        <f>HYPERLINK("http://141.218.60.56/~jnz1568/getInfo.php?workbook=10_01.xlsx&amp;sheet=A0&amp;row=56&amp;col=27&amp;number=172000000000&amp;sourceID=13","172000000000")</f>
        <v>172000000000</v>
      </c>
      <c r="AB56" s="4" t="str">
        <f>HYPERLINK("http://141.218.60.56/~jnz1568/getInfo.php?workbook=10_01.xlsx&amp;sheet=A0&amp;row=56&amp;col=28&amp;number=&amp;sourceID=13","")</f>
        <v/>
      </c>
      <c r="AC56" s="4" t="str">
        <f>HYPERLINK("http://141.218.60.56/~jnz1568/getInfo.php?workbook=10_01.xlsx&amp;sheet=A0&amp;row=56&amp;col=29&amp;number=&amp;sourceID=13","")</f>
        <v/>
      </c>
      <c r="AD56" s="4" t="str">
        <f>HYPERLINK("http://141.218.60.56/~jnz1568/getInfo.php?workbook=10_01.xlsx&amp;sheet=A0&amp;row=56&amp;col=30&amp;number=&amp;sourceID=13","")</f>
        <v/>
      </c>
      <c r="AE56" s="4" t="str">
        <f>HYPERLINK("http://141.218.60.56/~jnz1568/getInfo.php?workbook=10_01.xlsx&amp;sheet=A0&amp;row=56&amp;col=31&amp;number=&amp;sourceID=13","")</f>
        <v/>
      </c>
      <c r="AF56" s="4" t="str">
        <f>HYPERLINK("http://141.218.60.56/~jnz1568/getInfo.php?workbook=10_01.xlsx&amp;sheet=A0&amp;row=56&amp;col=32&amp;number=&amp;sourceID=20","")</f>
        <v/>
      </c>
    </row>
    <row r="57" spans="1:32">
      <c r="A57" s="3">
        <v>10</v>
      </c>
      <c r="B57" s="3">
        <v>1</v>
      </c>
      <c r="C57" s="3">
        <v>12</v>
      </c>
      <c r="D57" s="3">
        <v>3</v>
      </c>
      <c r="E57" s="3">
        <f>((1/(INDEX(E0!J$4:J$28,C57,1)-INDEX(E0!J$4:J$28,D57,1))))*100000000</f>
        <v>0</v>
      </c>
      <c r="F57" s="4" t="str">
        <f>HYPERLINK("http://141.218.60.56/~jnz1568/getInfo.php?workbook=10_01.xlsx&amp;sheet=A0&amp;row=57&amp;col=6&amp;number=&amp;sourceID=18","")</f>
        <v/>
      </c>
      <c r="G57" s="4" t="str">
        <f>HYPERLINK("http://141.218.60.56/~jnz1568/getInfo.php?workbook=10_01.xlsx&amp;sheet=A0&amp;row=57&amp;col=7&amp;number==&amp;sourceID=11","=")</f>
        <v>=</v>
      </c>
      <c r="H57" s="4" t="str">
        <f>HYPERLINK("http://141.218.60.56/~jnz1568/getInfo.php?workbook=10_01.xlsx&amp;sheet=A0&amp;row=57&amp;col=8&amp;number=&amp;sourceID=11","")</f>
        <v/>
      </c>
      <c r="I57" s="4" t="str">
        <f>HYPERLINK("http://141.218.60.56/~jnz1568/getInfo.php?workbook=10_01.xlsx&amp;sheet=A0&amp;row=57&amp;col=9&amp;number=5219900&amp;sourceID=11","5219900")</f>
        <v>5219900</v>
      </c>
      <c r="J57" s="4" t="str">
        <f>HYPERLINK("http://141.218.60.56/~jnz1568/getInfo.php?workbook=10_01.xlsx&amp;sheet=A0&amp;row=57&amp;col=10&amp;number=&amp;sourceID=11","")</f>
        <v/>
      </c>
      <c r="K57" s="4" t="str">
        <f>HYPERLINK("http://141.218.60.56/~jnz1568/getInfo.php?workbook=10_01.xlsx&amp;sheet=A0&amp;row=57&amp;col=11&amp;number=0.60875&amp;sourceID=11","0.60875")</f>
        <v>0.60875</v>
      </c>
      <c r="L57" s="4" t="str">
        <f>HYPERLINK("http://141.218.60.56/~jnz1568/getInfo.php?workbook=10_01.xlsx&amp;sheet=A0&amp;row=57&amp;col=12&amp;number=&amp;sourceID=11","")</f>
        <v/>
      </c>
      <c r="M57" s="4" t="str">
        <f>HYPERLINK("http://141.218.60.56/~jnz1568/getInfo.php?workbook=10_01.xlsx&amp;sheet=A0&amp;row=57&amp;col=13&amp;number=&amp;sourceID=11","")</f>
        <v/>
      </c>
      <c r="N57" s="4" t="str">
        <f>HYPERLINK("http://141.218.60.56/~jnz1568/getInfo.php?workbook=10_01.xlsx&amp;sheet=A0&amp;row=57&amp;col=14&amp;number=5220000&amp;sourceID=12","5220000")</f>
        <v>5220000</v>
      </c>
      <c r="O57" s="4" t="str">
        <f>HYPERLINK("http://141.218.60.56/~jnz1568/getInfo.php?workbook=10_01.xlsx&amp;sheet=A0&amp;row=57&amp;col=15&amp;number=&amp;sourceID=12","")</f>
        <v/>
      </c>
      <c r="P57" s="4" t="str">
        <f>HYPERLINK("http://141.218.60.56/~jnz1568/getInfo.php?workbook=10_01.xlsx&amp;sheet=A0&amp;row=57&amp;col=16&amp;number=5220000&amp;sourceID=12","5220000")</f>
        <v>5220000</v>
      </c>
      <c r="Q57" s="4" t="str">
        <f>HYPERLINK("http://141.218.60.56/~jnz1568/getInfo.php?workbook=10_01.xlsx&amp;sheet=A0&amp;row=57&amp;col=17&amp;number=&amp;sourceID=12","")</f>
        <v/>
      </c>
      <c r="R57" s="4" t="str">
        <f>HYPERLINK("http://141.218.60.56/~jnz1568/getInfo.php?workbook=10_01.xlsx&amp;sheet=A0&amp;row=57&amp;col=18&amp;number=0.60877&amp;sourceID=12","0.60877")</f>
        <v>0.60877</v>
      </c>
      <c r="S57" s="4" t="str">
        <f>HYPERLINK("http://141.218.60.56/~jnz1568/getInfo.php?workbook=10_01.xlsx&amp;sheet=A0&amp;row=57&amp;col=19&amp;number=&amp;sourceID=12","")</f>
        <v/>
      </c>
      <c r="T57" s="4" t="str">
        <f>HYPERLINK("http://141.218.60.56/~jnz1568/getInfo.php?workbook=10_01.xlsx&amp;sheet=A0&amp;row=57&amp;col=20&amp;number=&amp;sourceID=12","")</f>
        <v/>
      </c>
      <c r="U57" s="4" t="str">
        <f>HYPERLINK("http://141.218.60.56/~jnz1568/getInfo.php?workbook=10_01.xlsx&amp;sheet=A0&amp;row=57&amp;col=21&amp;number=5220000.6087&amp;sourceID=30","5220000.6087")</f>
        <v>5220000.6087</v>
      </c>
      <c r="V57" s="4" t="str">
        <f>HYPERLINK("http://141.218.60.56/~jnz1568/getInfo.php?workbook=10_01.xlsx&amp;sheet=A0&amp;row=57&amp;col=22&amp;number=&amp;sourceID=30","")</f>
        <v/>
      </c>
      <c r="W57" s="4" t="str">
        <f>HYPERLINK("http://141.218.60.56/~jnz1568/getInfo.php?workbook=10_01.xlsx&amp;sheet=A0&amp;row=57&amp;col=23&amp;number=5220000&amp;sourceID=30","5220000")</f>
        <v>5220000</v>
      </c>
      <c r="X57" s="4" t="str">
        <f>HYPERLINK("http://141.218.60.56/~jnz1568/getInfo.php?workbook=10_01.xlsx&amp;sheet=A0&amp;row=57&amp;col=24&amp;number=0.6087&amp;sourceID=30","0.6087")</f>
        <v>0.6087</v>
      </c>
      <c r="Y57" s="4" t="str">
        <f>HYPERLINK("http://141.218.60.56/~jnz1568/getInfo.php?workbook=10_01.xlsx&amp;sheet=A0&amp;row=57&amp;col=25&amp;number=&amp;sourceID=30","")</f>
        <v/>
      </c>
      <c r="Z57" s="4" t="str">
        <f>HYPERLINK("http://141.218.60.56/~jnz1568/getInfo.php?workbook=10_01.xlsx&amp;sheet=A0&amp;row=57&amp;col=26&amp;number==&amp;sourceID=13","=")</f>
        <v>=</v>
      </c>
      <c r="AA57" s="4" t="str">
        <f>HYPERLINK("http://141.218.60.56/~jnz1568/getInfo.php?workbook=10_01.xlsx&amp;sheet=A0&amp;row=57&amp;col=27&amp;number=&amp;sourceID=13","")</f>
        <v/>
      </c>
      <c r="AB57" s="4" t="str">
        <f>HYPERLINK("http://141.218.60.56/~jnz1568/getInfo.php?workbook=10_01.xlsx&amp;sheet=A0&amp;row=57&amp;col=28&amp;number=5010000&amp;sourceID=13","5010000")</f>
        <v>5010000</v>
      </c>
      <c r="AC57" s="4" t="str">
        <f>HYPERLINK("http://141.218.60.56/~jnz1568/getInfo.php?workbook=10_01.xlsx&amp;sheet=A0&amp;row=57&amp;col=29&amp;number=&amp;sourceID=13","")</f>
        <v/>
      </c>
      <c r="AD57" s="4" t="str">
        <f>HYPERLINK("http://141.218.60.56/~jnz1568/getInfo.php?workbook=10_01.xlsx&amp;sheet=A0&amp;row=57&amp;col=30&amp;number=1.34&amp;sourceID=13","1.34")</f>
        <v>1.34</v>
      </c>
      <c r="AE57" s="4" t="str">
        <f>HYPERLINK("http://141.218.60.56/~jnz1568/getInfo.php?workbook=10_01.xlsx&amp;sheet=A0&amp;row=57&amp;col=31&amp;number=&amp;sourceID=13","")</f>
        <v/>
      </c>
      <c r="AF57" s="4" t="str">
        <f>HYPERLINK("http://141.218.60.56/~jnz1568/getInfo.php?workbook=10_01.xlsx&amp;sheet=A0&amp;row=57&amp;col=32&amp;number=&amp;sourceID=20","")</f>
        <v/>
      </c>
    </row>
    <row r="58" spans="1:32">
      <c r="A58" s="3">
        <v>10</v>
      </c>
      <c r="B58" s="3">
        <v>1</v>
      </c>
      <c r="C58" s="3">
        <v>12</v>
      </c>
      <c r="D58" s="3">
        <v>4</v>
      </c>
      <c r="E58" s="3">
        <f>((1/(INDEX(E0!J$4:J$28,C58,1)-INDEX(E0!J$4:J$28,D58,1))))*100000000</f>
        <v>0</v>
      </c>
      <c r="F58" s="4" t="str">
        <f>HYPERLINK("http://141.218.60.56/~jnz1568/getInfo.php?workbook=10_01.xlsx&amp;sheet=A0&amp;row=58&amp;col=6&amp;number=&amp;sourceID=18","")</f>
        <v/>
      </c>
      <c r="G58" s="4" t="str">
        <f>HYPERLINK("http://141.218.60.56/~jnz1568/getInfo.php?workbook=10_01.xlsx&amp;sheet=A0&amp;row=58&amp;col=7&amp;number==&amp;sourceID=11","=")</f>
        <v>=</v>
      </c>
      <c r="H58" s="4" t="str">
        <f>HYPERLINK("http://141.218.60.56/~jnz1568/getInfo.php?workbook=10_01.xlsx&amp;sheet=A0&amp;row=58&amp;col=8&amp;number=34357000000&amp;sourceID=11","34357000000")</f>
        <v>34357000000</v>
      </c>
      <c r="I58" s="4" t="str">
        <f>HYPERLINK("http://141.218.60.56/~jnz1568/getInfo.php?workbook=10_01.xlsx&amp;sheet=A0&amp;row=58&amp;col=9&amp;number=&amp;sourceID=11","")</f>
        <v/>
      </c>
      <c r="J58" s="4" t="str">
        <f>HYPERLINK("http://141.218.60.56/~jnz1568/getInfo.php?workbook=10_01.xlsx&amp;sheet=A0&amp;row=58&amp;col=10&amp;number=0.0030659&amp;sourceID=11","0.0030659")</f>
        <v>0.0030659</v>
      </c>
      <c r="K58" s="4" t="str">
        <f>HYPERLINK("http://141.218.60.56/~jnz1568/getInfo.php?workbook=10_01.xlsx&amp;sheet=A0&amp;row=58&amp;col=11&amp;number=&amp;sourceID=11","")</f>
        <v/>
      </c>
      <c r="L58" s="4" t="str">
        <f>HYPERLINK("http://141.218.60.56/~jnz1568/getInfo.php?workbook=10_01.xlsx&amp;sheet=A0&amp;row=58&amp;col=12&amp;number=&amp;sourceID=11","")</f>
        <v/>
      </c>
      <c r="M58" s="4" t="str">
        <f>HYPERLINK("http://141.218.60.56/~jnz1568/getInfo.php?workbook=10_01.xlsx&amp;sheet=A0&amp;row=58&amp;col=13&amp;number=&amp;sourceID=11","")</f>
        <v/>
      </c>
      <c r="N58" s="4" t="str">
        <f>HYPERLINK("http://141.218.60.56/~jnz1568/getInfo.php?workbook=10_01.xlsx&amp;sheet=A0&amp;row=58&amp;col=14&amp;number=34358000000&amp;sourceID=12","34358000000")</f>
        <v>34358000000</v>
      </c>
      <c r="O58" s="4" t="str">
        <f>HYPERLINK("http://141.218.60.56/~jnz1568/getInfo.php?workbook=10_01.xlsx&amp;sheet=A0&amp;row=58&amp;col=15&amp;number=34358000000&amp;sourceID=12","34358000000")</f>
        <v>34358000000</v>
      </c>
      <c r="P58" s="4" t="str">
        <f>HYPERLINK("http://141.218.60.56/~jnz1568/getInfo.php?workbook=10_01.xlsx&amp;sheet=A0&amp;row=58&amp;col=16&amp;number=&amp;sourceID=12","")</f>
        <v/>
      </c>
      <c r="Q58" s="4" t="str">
        <f>HYPERLINK("http://141.218.60.56/~jnz1568/getInfo.php?workbook=10_01.xlsx&amp;sheet=A0&amp;row=58&amp;col=17&amp;number=0.0030657&amp;sourceID=12","0.0030657")</f>
        <v>0.0030657</v>
      </c>
      <c r="R58" s="4" t="str">
        <f>HYPERLINK("http://141.218.60.56/~jnz1568/getInfo.php?workbook=10_01.xlsx&amp;sheet=A0&amp;row=58&amp;col=18&amp;number=&amp;sourceID=12","")</f>
        <v/>
      </c>
      <c r="S58" s="4" t="str">
        <f>HYPERLINK("http://141.218.60.56/~jnz1568/getInfo.php?workbook=10_01.xlsx&amp;sheet=A0&amp;row=58&amp;col=19&amp;number=&amp;sourceID=12","")</f>
        <v/>
      </c>
      <c r="T58" s="4" t="str">
        <f>HYPERLINK("http://141.218.60.56/~jnz1568/getInfo.php?workbook=10_01.xlsx&amp;sheet=A0&amp;row=58&amp;col=20&amp;number=&amp;sourceID=12","")</f>
        <v/>
      </c>
      <c r="U58" s="4" t="str">
        <f>HYPERLINK("http://141.218.60.56/~jnz1568/getInfo.php?workbook=10_01.xlsx&amp;sheet=A0&amp;row=58&amp;col=21&amp;number=34360000000&amp;sourceID=30","34360000000")</f>
        <v>34360000000</v>
      </c>
      <c r="V58" s="4" t="str">
        <f>HYPERLINK("http://141.218.60.56/~jnz1568/getInfo.php?workbook=10_01.xlsx&amp;sheet=A0&amp;row=58&amp;col=22&amp;number=34360000000&amp;sourceID=30","34360000000")</f>
        <v>34360000000</v>
      </c>
      <c r="W58" s="4" t="str">
        <f>HYPERLINK("http://141.218.60.56/~jnz1568/getInfo.php?workbook=10_01.xlsx&amp;sheet=A0&amp;row=58&amp;col=23&amp;number=&amp;sourceID=30","")</f>
        <v/>
      </c>
      <c r="X58" s="4" t="str">
        <f>HYPERLINK("http://141.218.60.56/~jnz1568/getInfo.php?workbook=10_01.xlsx&amp;sheet=A0&amp;row=58&amp;col=24&amp;number=&amp;sourceID=30","")</f>
        <v/>
      </c>
      <c r="Y58" s="4" t="str">
        <f>HYPERLINK("http://141.218.60.56/~jnz1568/getInfo.php?workbook=10_01.xlsx&amp;sheet=A0&amp;row=58&amp;col=25&amp;number=&amp;sourceID=30","")</f>
        <v/>
      </c>
      <c r="Z58" s="4" t="str">
        <f>HYPERLINK("http://141.218.60.56/~jnz1568/getInfo.php?workbook=10_01.xlsx&amp;sheet=A0&amp;row=58&amp;col=26&amp;number==&amp;sourceID=13","=")</f>
        <v>=</v>
      </c>
      <c r="AA58" s="4" t="str">
        <f>HYPERLINK("http://141.218.60.56/~jnz1568/getInfo.php?workbook=10_01.xlsx&amp;sheet=A0&amp;row=58&amp;col=27&amp;number=34300000000&amp;sourceID=13","34300000000")</f>
        <v>34300000000</v>
      </c>
      <c r="AB58" s="4" t="str">
        <f>HYPERLINK("http://141.218.60.56/~jnz1568/getInfo.php?workbook=10_01.xlsx&amp;sheet=A0&amp;row=58&amp;col=28&amp;number=&amp;sourceID=13","")</f>
        <v/>
      </c>
      <c r="AC58" s="4" t="str">
        <f>HYPERLINK("http://141.218.60.56/~jnz1568/getInfo.php?workbook=10_01.xlsx&amp;sheet=A0&amp;row=58&amp;col=29&amp;number=&amp;sourceID=13","")</f>
        <v/>
      </c>
      <c r="AD58" s="4" t="str">
        <f>HYPERLINK("http://141.218.60.56/~jnz1568/getInfo.php?workbook=10_01.xlsx&amp;sheet=A0&amp;row=58&amp;col=30&amp;number=&amp;sourceID=13","")</f>
        <v/>
      </c>
      <c r="AE58" s="4" t="str">
        <f>HYPERLINK("http://141.218.60.56/~jnz1568/getInfo.php?workbook=10_01.xlsx&amp;sheet=A0&amp;row=58&amp;col=31&amp;number=&amp;sourceID=13","")</f>
        <v/>
      </c>
      <c r="AF58" s="4" t="str">
        <f>HYPERLINK("http://141.218.60.56/~jnz1568/getInfo.php?workbook=10_01.xlsx&amp;sheet=A0&amp;row=58&amp;col=32&amp;number=&amp;sourceID=20","")</f>
        <v/>
      </c>
    </row>
    <row r="59" spans="1:32">
      <c r="A59" s="3">
        <v>10</v>
      </c>
      <c r="B59" s="3">
        <v>1</v>
      </c>
      <c r="C59" s="3">
        <v>12</v>
      </c>
      <c r="D59" s="3">
        <v>5</v>
      </c>
      <c r="E59" s="3">
        <f>((1/(INDEX(E0!J$4:J$28,C59,1)-INDEX(E0!J$4:J$28,D59,1))))*100000000</f>
        <v>0</v>
      </c>
      <c r="F59" s="4" t="str">
        <f>HYPERLINK("http://141.218.60.56/~jnz1568/getInfo.php?workbook=10_01.xlsx&amp;sheet=A0&amp;row=59&amp;col=6&amp;number=&amp;sourceID=18","")</f>
        <v/>
      </c>
      <c r="G59" s="4" t="str">
        <f>HYPERLINK("http://141.218.60.56/~jnz1568/getInfo.php?workbook=10_01.xlsx&amp;sheet=A0&amp;row=59&amp;col=7&amp;number==&amp;sourceID=11","=")</f>
        <v>=</v>
      </c>
      <c r="H59" s="4" t="str">
        <f>HYPERLINK("http://141.218.60.56/~jnz1568/getInfo.php?workbook=10_01.xlsx&amp;sheet=A0&amp;row=59&amp;col=8&amp;number=58680000000&amp;sourceID=11","58680000000")</f>
        <v>58680000000</v>
      </c>
      <c r="I59" s="4" t="str">
        <f>HYPERLINK("http://141.218.60.56/~jnz1568/getInfo.php?workbook=10_01.xlsx&amp;sheet=A0&amp;row=59&amp;col=9&amp;number=&amp;sourceID=11","")</f>
        <v/>
      </c>
      <c r="J59" s="4" t="str">
        <f>HYPERLINK("http://141.218.60.56/~jnz1568/getInfo.php?workbook=10_01.xlsx&amp;sheet=A0&amp;row=59&amp;col=10&amp;number=&amp;sourceID=11","")</f>
        <v/>
      </c>
      <c r="K59" s="4" t="str">
        <f>HYPERLINK("http://141.218.60.56/~jnz1568/getInfo.php?workbook=10_01.xlsx&amp;sheet=A0&amp;row=59&amp;col=11&amp;number=&amp;sourceID=11","")</f>
        <v/>
      </c>
      <c r="L59" s="4" t="str">
        <f>HYPERLINK("http://141.218.60.56/~jnz1568/getInfo.php?workbook=10_01.xlsx&amp;sheet=A0&amp;row=59&amp;col=12&amp;number=7.4069&amp;sourceID=11","7.4069")</f>
        <v>7.4069</v>
      </c>
      <c r="M59" s="4" t="str">
        <f>HYPERLINK("http://141.218.60.56/~jnz1568/getInfo.php?workbook=10_01.xlsx&amp;sheet=A0&amp;row=59&amp;col=13&amp;number=&amp;sourceID=11","")</f>
        <v/>
      </c>
      <c r="N59" s="4" t="str">
        <f>HYPERLINK("http://141.218.60.56/~jnz1568/getInfo.php?workbook=10_01.xlsx&amp;sheet=A0&amp;row=59&amp;col=14&amp;number=58682000000&amp;sourceID=12","58682000000")</f>
        <v>58682000000</v>
      </c>
      <c r="O59" s="4" t="str">
        <f>HYPERLINK("http://141.218.60.56/~jnz1568/getInfo.php?workbook=10_01.xlsx&amp;sheet=A0&amp;row=59&amp;col=15&amp;number=58682000000&amp;sourceID=12","58682000000")</f>
        <v>58682000000</v>
      </c>
      <c r="P59" s="4" t="str">
        <f>HYPERLINK("http://141.218.60.56/~jnz1568/getInfo.php?workbook=10_01.xlsx&amp;sheet=A0&amp;row=59&amp;col=16&amp;number=&amp;sourceID=12","")</f>
        <v/>
      </c>
      <c r="Q59" s="4" t="str">
        <f>HYPERLINK("http://141.218.60.56/~jnz1568/getInfo.php?workbook=10_01.xlsx&amp;sheet=A0&amp;row=59&amp;col=17&amp;number=&amp;sourceID=12","")</f>
        <v/>
      </c>
      <c r="R59" s="4" t="str">
        <f>HYPERLINK("http://141.218.60.56/~jnz1568/getInfo.php?workbook=10_01.xlsx&amp;sheet=A0&amp;row=59&amp;col=18&amp;number=&amp;sourceID=12","")</f>
        <v/>
      </c>
      <c r="S59" s="4" t="str">
        <f>HYPERLINK("http://141.218.60.56/~jnz1568/getInfo.php?workbook=10_01.xlsx&amp;sheet=A0&amp;row=59&amp;col=19&amp;number=7.4071&amp;sourceID=12","7.4071")</f>
        <v>7.4071</v>
      </c>
      <c r="T59" s="4" t="str">
        <f>HYPERLINK("http://141.218.60.56/~jnz1568/getInfo.php?workbook=10_01.xlsx&amp;sheet=A0&amp;row=59&amp;col=20&amp;number=&amp;sourceID=12","")</f>
        <v/>
      </c>
      <c r="U59" s="4" t="str">
        <f>HYPERLINK("http://141.218.60.56/~jnz1568/getInfo.php?workbook=10_01.xlsx&amp;sheet=A0&amp;row=59&amp;col=21&amp;number=58680000007.4&amp;sourceID=30","58680000007.4")</f>
        <v>58680000007.4</v>
      </c>
      <c r="V59" s="4" t="str">
        <f>HYPERLINK("http://141.218.60.56/~jnz1568/getInfo.php?workbook=10_01.xlsx&amp;sheet=A0&amp;row=59&amp;col=22&amp;number=58680000000&amp;sourceID=30","58680000000")</f>
        <v>58680000000</v>
      </c>
      <c r="W59" s="4" t="str">
        <f>HYPERLINK("http://141.218.60.56/~jnz1568/getInfo.php?workbook=10_01.xlsx&amp;sheet=A0&amp;row=59&amp;col=23&amp;number=&amp;sourceID=30","")</f>
        <v/>
      </c>
      <c r="X59" s="4" t="str">
        <f>HYPERLINK("http://141.218.60.56/~jnz1568/getInfo.php?workbook=10_01.xlsx&amp;sheet=A0&amp;row=59&amp;col=24&amp;number=&amp;sourceID=30","")</f>
        <v/>
      </c>
      <c r="Y59" s="4" t="str">
        <f>HYPERLINK("http://141.218.60.56/~jnz1568/getInfo.php?workbook=10_01.xlsx&amp;sheet=A0&amp;row=59&amp;col=25&amp;number=7.407&amp;sourceID=30","7.407")</f>
        <v>7.407</v>
      </c>
      <c r="Z59" s="4" t="str">
        <f>HYPERLINK("http://141.218.60.56/~jnz1568/getInfo.php?workbook=10_01.xlsx&amp;sheet=A0&amp;row=59&amp;col=26&amp;number==&amp;sourceID=13","=")</f>
        <v>=</v>
      </c>
      <c r="AA59" s="4" t="str">
        <f>HYPERLINK("http://141.218.60.56/~jnz1568/getInfo.php?workbook=10_01.xlsx&amp;sheet=A0&amp;row=59&amp;col=27&amp;number=58500000000&amp;sourceID=13","58500000000")</f>
        <v>58500000000</v>
      </c>
      <c r="AB59" s="4" t="str">
        <f>HYPERLINK("http://141.218.60.56/~jnz1568/getInfo.php?workbook=10_01.xlsx&amp;sheet=A0&amp;row=59&amp;col=28&amp;number=&amp;sourceID=13","")</f>
        <v/>
      </c>
      <c r="AC59" s="4" t="str">
        <f>HYPERLINK("http://141.218.60.56/~jnz1568/getInfo.php?workbook=10_01.xlsx&amp;sheet=A0&amp;row=59&amp;col=29&amp;number=&amp;sourceID=13","")</f>
        <v/>
      </c>
      <c r="AD59" s="4" t="str">
        <f>HYPERLINK("http://141.218.60.56/~jnz1568/getInfo.php?workbook=10_01.xlsx&amp;sheet=A0&amp;row=59&amp;col=30&amp;number=&amp;sourceID=13","")</f>
        <v/>
      </c>
      <c r="AE59" s="4" t="str">
        <f>HYPERLINK("http://141.218.60.56/~jnz1568/getInfo.php?workbook=10_01.xlsx&amp;sheet=A0&amp;row=59&amp;col=31&amp;number=&amp;sourceID=13","")</f>
        <v/>
      </c>
      <c r="AF59" s="4" t="str">
        <f>HYPERLINK("http://141.218.60.56/~jnz1568/getInfo.php?workbook=10_01.xlsx&amp;sheet=A0&amp;row=59&amp;col=32&amp;number=&amp;sourceID=20","")</f>
        <v/>
      </c>
    </row>
    <row r="60" spans="1:32">
      <c r="A60" s="3">
        <v>10</v>
      </c>
      <c r="B60" s="3">
        <v>1</v>
      </c>
      <c r="C60" s="3">
        <v>12</v>
      </c>
      <c r="D60" s="3">
        <v>6</v>
      </c>
      <c r="E60" s="3">
        <f>((1/(INDEX(E0!J$4:J$28,C60,1)-INDEX(E0!J$4:J$28,D60,1))))*100000000</f>
        <v>0</v>
      </c>
      <c r="F60" s="4" t="str">
        <f>HYPERLINK("http://141.218.60.56/~jnz1568/getInfo.php?workbook=10_01.xlsx&amp;sheet=A0&amp;row=60&amp;col=6&amp;number=&amp;sourceID=18","")</f>
        <v/>
      </c>
      <c r="G60" s="4" t="str">
        <f>HYPERLINK("http://141.218.60.56/~jnz1568/getInfo.php?workbook=10_01.xlsx&amp;sheet=A0&amp;row=60&amp;col=7&amp;number==&amp;sourceID=11","=")</f>
        <v>=</v>
      </c>
      <c r="H60" s="4" t="str">
        <f>HYPERLINK("http://141.218.60.56/~jnz1568/getInfo.php?workbook=10_01.xlsx&amp;sheet=A0&amp;row=60&amp;col=8&amp;number=&amp;sourceID=11","")</f>
        <v/>
      </c>
      <c r="I60" s="4" t="str">
        <f>HYPERLINK("http://141.218.60.56/~jnz1568/getInfo.php?workbook=10_01.xlsx&amp;sheet=A0&amp;row=60&amp;col=9&amp;number=3781300&amp;sourceID=11","3781300")</f>
        <v>3781300</v>
      </c>
      <c r="J60" s="4" t="str">
        <f>HYPERLINK("http://141.218.60.56/~jnz1568/getInfo.php?workbook=10_01.xlsx&amp;sheet=A0&amp;row=60&amp;col=10&amp;number=&amp;sourceID=11","")</f>
        <v/>
      </c>
      <c r="K60" s="4" t="str">
        <f>HYPERLINK("http://141.218.60.56/~jnz1568/getInfo.php?workbook=10_01.xlsx&amp;sheet=A0&amp;row=60&amp;col=11&amp;number=0.0054281&amp;sourceID=11","0.0054281")</f>
        <v>0.0054281</v>
      </c>
      <c r="L60" s="4" t="str">
        <f>HYPERLINK("http://141.218.60.56/~jnz1568/getInfo.php?workbook=10_01.xlsx&amp;sheet=A0&amp;row=60&amp;col=12&amp;number=&amp;sourceID=11","")</f>
        <v/>
      </c>
      <c r="M60" s="4" t="str">
        <f>HYPERLINK("http://141.218.60.56/~jnz1568/getInfo.php?workbook=10_01.xlsx&amp;sheet=A0&amp;row=60&amp;col=13&amp;number=&amp;sourceID=11","")</f>
        <v/>
      </c>
      <c r="N60" s="4" t="str">
        <f>HYPERLINK("http://141.218.60.56/~jnz1568/getInfo.php?workbook=10_01.xlsx&amp;sheet=A0&amp;row=60&amp;col=14&amp;number=3781400&amp;sourceID=12","3781400")</f>
        <v>3781400</v>
      </c>
      <c r="O60" s="4" t="str">
        <f>HYPERLINK("http://141.218.60.56/~jnz1568/getInfo.php?workbook=10_01.xlsx&amp;sheet=A0&amp;row=60&amp;col=15&amp;number=&amp;sourceID=12","")</f>
        <v/>
      </c>
      <c r="P60" s="4" t="str">
        <f>HYPERLINK("http://141.218.60.56/~jnz1568/getInfo.php?workbook=10_01.xlsx&amp;sheet=A0&amp;row=60&amp;col=16&amp;number=3781400&amp;sourceID=12","3781400")</f>
        <v>3781400</v>
      </c>
      <c r="Q60" s="4" t="str">
        <f>HYPERLINK("http://141.218.60.56/~jnz1568/getInfo.php?workbook=10_01.xlsx&amp;sheet=A0&amp;row=60&amp;col=17&amp;number=&amp;sourceID=12","")</f>
        <v/>
      </c>
      <c r="R60" s="4" t="str">
        <f>HYPERLINK("http://141.218.60.56/~jnz1568/getInfo.php?workbook=10_01.xlsx&amp;sheet=A0&amp;row=60&amp;col=18&amp;number=0.0054282&amp;sourceID=12","0.0054282")</f>
        <v>0.0054282</v>
      </c>
      <c r="S60" s="4" t="str">
        <f>HYPERLINK("http://141.218.60.56/~jnz1568/getInfo.php?workbook=10_01.xlsx&amp;sheet=A0&amp;row=60&amp;col=19&amp;number=&amp;sourceID=12","")</f>
        <v/>
      </c>
      <c r="T60" s="4" t="str">
        <f>HYPERLINK("http://141.218.60.56/~jnz1568/getInfo.php?workbook=10_01.xlsx&amp;sheet=A0&amp;row=60&amp;col=20&amp;number=&amp;sourceID=12","")</f>
        <v/>
      </c>
      <c r="U60" s="4" t="str">
        <f>HYPERLINK("http://141.218.60.56/~jnz1568/getInfo.php?workbook=10_01.xlsx&amp;sheet=A0&amp;row=60&amp;col=21&amp;number=3781000.00543&amp;sourceID=30","3781000.00543")</f>
        <v>3781000.00543</v>
      </c>
      <c r="V60" s="4" t="str">
        <f>HYPERLINK("http://141.218.60.56/~jnz1568/getInfo.php?workbook=10_01.xlsx&amp;sheet=A0&amp;row=60&amp;col=22&amp;number=&amp;sourceID=30","")</f>
        <v/>
      </c>
      <c r="W60" s="4" t="str">
        <f>HYPERLINK("http://141.218.60.56/~jnz1568/getInfo.php?workbook=10_01.xlsx&amp;sheet=A0&amp;row=60&amp;col=23&amp;number=3781000&amp;sourceID=30","3781000")</f>
        <v>3781000</v>
      </c>
      <c r="X60" s="4" t="str">
        <f>HYPERLINK("http://141.218.60.56/~jnz1568/getInfo.php?workbook=10_01.xlsx&amp;sheet=A0&amp;row=60&amp;col=24&amp;number=0.005425&amp;sourceID=30","0.005425")</f>
        <v>0.005425</v>
      </c>
      <c r="Y60" s="4" t="str">
        <f>HYPERLINK("http://141.218.60.56/~jnz1568/getInfo.php?workbook=10_01.xlsx&amp;sheet=A0&amp;row=60&amp;col=25&amp;number=&amp;sourceID=30","")</f>
        <v/>
      </c>
      <c r="Z60" s="4" t="str">
        <f>HYPERLINK("http://141.218.60.56/~jnz1568/getInfo.php?workbook=10_01.xlsx&amp;sheet=A0&amp;row=60&amp;col=26&amp;number==&amp;sourceID=13","=")</f>
        <v>=</v>
      </c>
      <c r="AA60" s="4" t="str">
        <f>HYPERLINK("http://141.218.60.56/~jnz1568/getInfo.php?workbook=10_01.xlsx&amp;sheet=A0&amp;row=60&amp;col=27&amp;number=&amp;sourceID=13","")</f>
        <v/>
      </c>
      <c r="AB60" s="4" t="str">
        <f>HYPERLINK("http://141.218.60.56/~jnz1568/getInfo.php?workbook=10_01.xlsx&amp;sheet=A0&amp;row=60&amp;col=28&amp;number=3770000&amp;sourceID=13","3770000")</f>
        <v>3770000</v>
      </c>
      <c r="AC60" s="4" t="str">
        <f>HYPERLINK("http://141.218.60.56/~jnz1568/getInfo.php?workbook=10_01.xlsx&amp;sheet=A0&amp;row=60&amp;col=29&amp;number=&amp;sourceID=13","")</f>
        <v/>
      </c>
      <c r="AD60" s="4" t="str">
        <f>HYPERLINK("http://141.218.60.56/~jnz1568/getInfo.php?workbook=10_01.xlsx&amp;sheet=A0&amp;row=60&amp;col=30&amp;number=0.00861&amp;sourceID=13","0.00861")</f>
        <v>0.00861</v>
      </c>
      <c r="AE60" s="4" t="str">
        <f>HYPERLINK("http://141.218.60.56/~jnz1568/getInfo.php?workbook=10_01.xlsx&amp;sheet=A0&amp;row=60&amp;col=31&amp;number=&amp;sourceID=13","")</f>
        <v/>
      </c>
      <c r="AF60" s="4" t="str">
        <f>HYPERLINK("http://141.218.60.56/~jnz1568/getInfo.php?workbook=10_01.xlsx&amp;sheet=A0&amp;row=60&amp;col=32&amp;number=&amp;sourceID=20","")</f>
        <v/>
      </c>
    </row>
    <row r="61" spans="1:32">
      <c r="A61" s="3">
        <v>10</v>
      </c>
      <c r="B61" s="3">
        <v>1</v>
      </c>
      <c r="C61" s="3">
        <v>12</v>
      </c>
      <c r="D61" s="3">
        <v>7</v>
      </c>
      <c r="E61" s="3">
        <f>((1/(INDEX(E0!J$4:J$28,C61,1)-INDEX(E0!J$4:J$28,D61,1))))*100000000</f>
        <v>0</v>
      </c>
      <c r="F61" s="4" t="str">
        <f>HYPERLINK("http://141.218.60.56/~jnz1568/getInfo.php?workbook=10_01.xlsx&amp;sheet=A0&amp;row=61&amp;col=6&amp;number=&amp;sourceID=18","")</f>
        <v/>
      </c>
      <c r="G61" s="4" t="str">
        <f>HYPERLINK("http://141.218.60.56/~jnz1568/getInfo.php?workbook=10_01.xlsx&amp;sheet=A0&amp;row=61&amp;col=7&amp;number==&amp;sourceID=11","=")</f>
        <v>=</v>
      </c>
      <c r="H61" s="4" t="str">
        <f>HYPERLINK("http://141.218.60.56/~jnz1568/getInfo.php?workbook=10_01.xlsx&amp;sheet=A0&amp;row=61&amp;col=8&amp;number=&amp;sourceID=11","")</f>
        <v/>
      </c>
      <c r="I61" s="4" t="str">
        <f>HYPERLINK("http://141.218.60.56/~jnz1568/getInfo.php?workbook=10_01.xlsx&amp;sheet=A0&amp;row=61&amp;col=9&amp;number=833690&amp;sourceID=11","833690")</f>
        <v>833690</v>
      </c>
      <c r="J61" s="4" t="str">
        <f>HYPERLINK("http://141.218.60.56/~jnz1568/getInfo.php?workbook=10_01.xlsx&amp;sheet=A0&amp;row=61&amp;col=10&amp;number=&amp;sourceID=11","")</f>
        <v/>
      </c>
      <c r="K61" s="4" t="str">
        <f>HYPERLINK("http://141.218.60.56/~jnz1568/getInfo.php?workbook=10_01.xlsx&amp;sheet=A0&amp;row=61&amp;col=11&amp;number=0.18277&amp;sourceID=11","0.18277")</f>
        <v>0.18277</v>
      </c>
      <c r="L61" s="4" t="str">
        <f>HYPERLINK("http://141.218.60.56/~jnz1568/getInfo.php?workbook=10_01.xlsx&amp;sheet=A0&amp;row=61&amp;col=12&amp;number=&amp;sourceID=11","")</f>
        <v/>
      </c>
      <c r="M61" s="4" t="str">
        <f>HYPERLINK("http://141.218.60.56/~jnz1568/getInfo.php?workbook=10_01.xlsx&amp;sheet=A0&amp;row=61&amp;col=13&amp;number=0.00011409&amp;sourceID=11","0.00011409")</f>
        <v>0.00011409</v>
      </c>
      <c r="N61" s="4" t="str">
        <f>HYPERLINK("http://141.218.60.56/~jnz1568/getInfo.php?workbook=10_01.xlsx&amp;sheet=A0&amp;row=61&amp;col=14&amp;number=833710&amp;sourceID=12","833710")</f>
        <v>833710</v>
      </c>
      <c r="O61" s="4" t="str">
        <f>HYPERLINK("http://141.218.60.56/~jnz1568/getInfo.php?workbook=10_01.xlsx&amp;sheet=A0&amp;row=61&amp;col=15&amp;number=&amp;sourceID=12","")</f>
        <v/>
      </c>
      <c r="P61" s="4" t="str">
        <f>HYPERLINK("http://141.218.60.56/~jnz1568/getInfo.php?workbook=10_01.xlsx&amp;sheet=A0&amp;row=61&amp;col=16&amp;number=833710&amp;sourceID=12","833710")</f>
        <v>833710</v>
      </c>
      <c r="Q61" s="4" t="str">
        <f>HYPERLINK("http://141.218.60.56/~jnz1568/getInfo.php?workbook=10_01.xlsx&amp;sheet=A0&amp;row=61&amp;col=17&amp;number=&amp;sourceID=12","")</f>
        <v/>
      </c>
      <c r="R61" s="4" t="str">
        <f>HYPERLINK("http://141.218.60.56/~jnz1568/getInfo.php?workbook=10_01.xlsx&amp;sheet=A0&amp;row=61&amp;col=18&amp;number=0.18278&amp;sourceID=12","0.18278")</f>
        <v>0.18278</v>
      </c>
      <c r="S61" s="4" t="str">
        <f>HYPERLINK("http://141.218.60.56/~jnz1568/getInfo.php?workbook=10_01.xlsx&amp;sheet=A0&amp;row=61&amp;col=19&amp;number=&amp;sourceID=12","")</f>
        <v/>
      </c>
      <c r="T61" s="4" t="str">
        <f>HYPERLINK("http://141.218.60.56/~jnz1568/getInfo.php?workbook=10_01.xlsx&amp;sheet=A0&amp;row=61&amp;col=20&amp;number=0.00011409&amp;sourceID=12","0.00011409")</f>
        <v>0.00011409</v>
      </c>
      <c r="U61" s="4" t="str">
        <f>HYPERLINK("http://141.218.60.56/~jnz1568/getInfo.php?workbook=10_01.xlsx&amp;sheet=A0&amp;row=61&amp;col=21&amp;number=833700.1828&amp;sourceID=30","833700.1828")</f>
        <v>833700.1828</v>
      </c>
      <c r="V61" s="4" t="str">
        <f>HYPERLINK("http://141.218.60.56/~jnz1568/getInfo.php?workbook=10_01.xlsx&amp;sheet=A0&amp;row=61&amp;col=22&amp;number=&amp;sourceID=30","")</f>
        <v/>
      </c>
      <c r="W61" s="4" t="str">
        <f>HYPERLINK("http://141.218.60.56/~jnz1568/getInfo.php?workbook=10_01.xlsx&amp;sheet=A0&amp;row=61&amp;col=23&amp;number=833700&amp;sourceID=30","833700")</f>
        <v>833700</v>
      </c>
      <c r="X61" s="4" t="str">
        <f>HYPERLINK("http://141.218.60.56/~jnz1568/getInfo.php?workbook=10_01.xlsx&amp;sheet=A0&amp;row=61&amp;col=24&amp;number=0.1828&amp;sourceID=30","0.1828")</f>
        <v>0.1828</v>
      </c>
      <c r="Y61" s="4" t="str">
        <f>HYPERLINK("http://141.218.60.56/~jnz1568/getInfo.php?workbook=10_01.xlsx&amp;sheet=A0&amp;row=61&amp;col=25&amp;number=&amp;sourceID=30","")</f>
        <v/>
      </c>
      <c r="Z61" s="4" t="str">
        <f>HYPERLINK("http://141.218.60.56/~jnz1568/getInfo.php?workbook=10_01.xlsx&amp;sheet=A0&amp;row=61&amp;col=26&amp;number==&amp;sourceID=13","=")</f>
        <v>=</v>
      </c>
      <c r="AA61" s="4" t="str">
        <f>HYPERLINK("http://141.218.60.56/~jnz1568/getInfo.php?workbook=10_01.xlsx&amp;sheet=A0&amp;row=61&amp;col=27&amp;number=&amp;sourceID=13","")</f>
        <v/>
      </c>
      <c r="AB61" s="4" t="str">
        <f>HYPERLINK("http://141.218.60.56/~jnz1568/getInfo.php?workbook=10_01.xlsx&amp;sheet=A0&amp;row=61&amp;col=28&amp;number=831000&amp;sourceID=13","831000")</f>
        <v>831000</v>
      </c>
      <c r="AC61" s="4" t="str">
        <f>HYPERLINK("http://141.218.60.56/~jnz1568/getInfo.php?workbook=10_01.xlsx&amp;sheet=A0&amp;row=61&amp;col=29&amp;number=&amp;sourceID=13","")</f>
        <v/>
      </c>
      <c r="AD61" s="4" t="str">
        <f>HYPERLINK("http://141.218.60.56/~jnz1568/getInfo.php?workbook=10_01.xlsx&amp;sheet=A0&amp;row=61&amp;col=30&amp;number=0.182&amp;sourceID=13","0.182")</f>
        <v>0.182</v>
      </c>
      <c r="AE61" s="4" t="str">
        <f>HYPERLINK("http://141.218.60.56/~jnz1568/getInfo.php?workbook=10_01.xlsx&amp;sheet=A0&amp;row=61&amp;col=31&amp;number=&amp;sourceID=13","")</f>
        <v/>
      </c>
      <c r="AF61" s="4" t="str">
        <f>HYPERLINK("http://141.218.60.56/~jnz1568/getInfo.php?workbook=10_01.xlsx&amp;sheet=A0&amp;row=61&amp;col=32&amp;number=&amp;sourceID=20","")</f>
        <v/>
      </c>
    </row>
    <row r="62" spans="1:32">
      <c r="A62" s="3">
        <v>10</v>
      </c>
      <c r="B62" s="3">
        <v>1</v>
      </c>
      <c r="C62" s="3">
        <v>12</v>
      </c>
      <c r="D62" s="3">
        <v>8</v>
      </c>
      <c r="E62" s="3">
        <f>((1/(INDEX(E0!J$4:J$28,C62,1)-INDEX(E0!J$4:J$28,D62,1))))*100000000</f>
        <v>0</v>
      </c>
      <c r="F62" s="4" t="str">
        <f>HYPERLINK("http://141.218.60.56/~jnz1568/getInfo.php?workbook=10_01.xlsx&amp;sheet=A0&amp;row=62&amp;col=6&amp;number=&amp;sourceID=18","")</f>
        <v/>
      </c>
      <c r="G62" s="4" t="str">
        <f>HYPERLINK("http://141.218.60.56/~jnz1568/getInfo.php?workbook=10_01.xlsx&amp;sheet=A0&amp;row=62&amp;col=7&amp;number==&amp;sourceID=11","=")</f>
        <v>=</v>
      </c>
      <c r="H62" s="4" t="str">
        <f>HYPERLINK("http://141.218.60.56/~jnz1568/getInfo.php?workbook=10_01.xlsx&amp;sheet=A0&amp;row=62&amp;col=8&amp;number=11744000000&amp;sourceID=11","11744000000")</f>
        <v>11744000000</v>
      </c>
      <c r="I62" s="4" t="str">
        <f>HYPERLINK("http://141.218.60.56/~jnz1568/getInfo.php?workbook=10_01.xlsx&amp;sheet=A0&amp;row=62&amp;col=9&amp;number=&amp;sourceID=11","")</f>
        <v/>
      </c>
      <c r="J62" s="4" t="str">
        <f>HYPERLINK("http://141.218.60.56/~jnz1568/getInfo.php?workbook=10_01.xlsx&amp;sheet=A0&amp;row=62&amp;col=10&amp;number=125.84&amp;sourceID=11","125.84")</f>
        <v>125.84</v>
      </c>
      <c r="K62" s="4" t="str">
        <f>HYPERLINK("http://141.218.60.56/~jnz1568/getInfo.php?workbook=10_01.xlsx&amp;sheet=A0&amp;row=62&amp;col=11&amp;number=&amp;sourceID=11","")</f>
        <v/>
      </c>
      <c r="L62" s="4" t="str">
        <f>HYPERLINK("http://141.218.60.56/~jnz1568/getInfo.php?workbook=10_01.xlsx&amp;sheet=A0&amp;row=62&amp;col=12&amp;number=&amp;sourceID=11","")</f>
        <v/>
      </c>
      <c r="M62" s="4" t="str">
        <f>HYPERLINK("http://141.218.60.56/~jnz1568/getInfo.php?workbook=10_01.xlsx&amp;sheet=A0&amp;row=62&amp;col=13&amp;number=&amp;sourceID=11","")</f>
        <v/>
      </c>
      <c r="N62" s="4" t="str">
        <f>HYPERLINK("http://141.218.60.56/~jnz1568/getInfo.php?workbook=10_01.xlsx&amp;sheet=A0&amp;row=62&amp;col=14&amp;number=11745000000&amp;sourceID=12","11745000000")</f>
        <v>11745000000</v>
      </c>
      <c r="O62" s="4" t="str">
        <f>HYPERLINK("http://141.218.60.56/~jnz1568/getInfo.php?workbook=10_01.xlsx&amp;sheet=A0&amp;row=62&amp;col=15&amp;number=11745000000&amp;sourceID=12","11745000000")</f>
        <v>11745000000</v>
      </c>
      <c r="P62" s="4" t="str">
        <f>HYPERLINK("http://141.218.60.56/~jnz1568/getInfo.php?workbook=10_01.xlsx&amp;sheet=A0&amp;row=62&amp;col=16&amp;number=&amp;sourceID=12","")</f>
        <v/>
      </c>
      <c r="Q62" s="4" t="str">
        <f>HYPERLINK("http://141.218.60.56/~jnz1568/getInfo.php?workbook=10_01.xlsx&amp;sheet=A0&amp;row=62&amp;col=17&amp;number=125.85&amp;sourceID=12","125.85")</f>
        <v>125.85</v>
      </c>
      <c r="R62" s="4" t="str">
        <f>HYPERLINK("http://141.218.60.56/~jnz1568/getInfo.php?workbook=10_01.xlsx&amp;sheet=A0&amp;row=62&amp;col=18&amp;number=&amp;sourceID=12","")</f>
        <v/>
      </c>
      <c r="S62" s="4" t="str">
        <f>HYPERLINK("http://141.218.60.56/~jnz1568/getInfo.php?workbook=10_01.xlsx&amp;sheet=A0&amp;row=62&amp;col=19&amp;number=&amp;sourceID=12","")</f>
        <v/>
      </c>
      <c r="T62" s="4" t="str">
        <f>HYPERLINK("http://141.218.60.56/~jnz1568/getInfo.php?workbook=10_01.xlsx&amp;sheet=A0&amp;row=62&amp;col=20&amp;number=&amp;sourceID=12","")</f>
        <v/>
      </c>
      <c r="U62" s="4" t="str">
        <f>HYPERLINK("http://141.218.60.56/~jnz1568/getInfo.php?workbook=10_01.xlsx&amp;sheet=A0&amp;row=62&amp;col=21&amp;number=11750000000&amp;sourceID=30","11750000000")</f>
        <v>11750000000</v>
      </c>
      <c r="V62" s="4" t="str">
        <f>HYPERLINK("http://141.218.60.56/~jnz1568/getInfo.php?workbook=10_01.xlsx&amp;sheet=A0&amp;row=62&amp;col=22&amp;number=11750000000&amp;sourceID=30","11750000000")</f>
        <v>11750000000</v>
      </c>
      <c r="W62" s="4" t="str">
        <f>HYPERLINK("http://141.218.60.56/~jnz1568/getInfo.php?workbook=10_01.xlsx&amp;sheet=A0&amp;row=62&amp;col=23&amp;number=&amp;sourceID=30","")</f>
        <v/>
      </c>
      <c r="X62" s="4" t="str">
        <f>HYPERLINK("http://141.218.60.56/~jnz1568/getInfo.php?workbook=10_01.xlsx&amp;sheet=A0&amp;row=62&amp;col=24&amp;number=&amp;sourceID=30","")</f>
        <v/>
      </c>
      <c r="Y62" s="4" t="str">
        <f>HYPERLINK("http://141.218.60.56/~jnz1568/getInfo.php?workbook=10_01.xlsx&amp;sheet=A0&amp;row=62&amp;col=25&amp;number=&amp;sourceID=30","")</f>
        <v/>
      </c>
      <c r="Z62" s="4" t="str">
        <f>HYPERLINK("http://141.218.60.56/~jnz1568/getInfo.php?workbook=10_01.xlsx&amp;sheet=A0&amp;row=62&amp;col=26&amp;number==&amp;sourceID=13","=")</f>
        <v>=</v>
      </c>
      <c r="AA62" s="4" t="str">
        <f>HYPERLINK("http://141.218.60.56/~jnz1568/getInfo.php?workbook=10_01.xlsx&amp;sheet=A0&amp;row=62&amp;col=27&amp;number=11700000000&amp;sourceID=13","11700000000")</f>
        <v>11700000000</v>
      </c>
      <c r="AB62" s="4" t="str">
        <f>HYPERLINK("http://141.218.60.56/~jnz1568/getInfo.php?workbook=10_01.xlsx&amp;sheet=A0&amp;row=62&amp;col=28&amp;number=&amp;sourceID=13","")</f>
        <v/>
      </c>
      <c r="AC62" s="4" t="str">
        <f>HYPERLINK("http://141.218.60.56/~jnz1568/getInfo.php?workbook=10_01.xlsx&amp;sheet=A0&amp;row=62&amp;col=29&amp;number=&amp;sourceID=13","")</f>
        <v/>
      </c>
      <c r="AD62" s="4" t="str">
        <f>HYPERLINK("http://141.218.60.56/~jnz1568/getInfo.php?workbook=10_01.xlsx&amp;sheet=A0&amp;row=62&amp;col=30&amp;number=&amp;sourceID=13","")</f>
        <v/>
      </c>
      <c r="AE62" s="4" t="str">
        <f>HYPERLINK("http://141.218.60.56/~jnz1568/getInfo.php?workbook=10_01.xlsx&amp;sheet=A0&amp;row=62&amp;col=31&amp;number=&amp;sourceID=13","")</f>
        <v/>
      </c>
      <c r="AF62" s="4" t="str">
        <f>HYPERLINK("http://141.218.60.56/~jnz1568/getInfo.php?workbook=10_01.xlsx&amp;sheet=A0&amp;row=62&amp;col=32&amp;number=&amp;sourceID=20","")</f>
        <v/>
      </c>
    </row>
    <row r="63" spans="1:32">
      <c r="A63" s="3">
        <v>10</v>
      </c>
      <c r="B63" s="3">
        <v>1</v>
      </c>
      <c r="C63" s="3">
        <v>12</v>
      </c>
      <c r="D63" s="3">
        <v>9</v>
      </c>
      <c r="E63" s="3">
        <f>((1/(INDEX(E0!J$4:J$28,C63,1)-INDEX(E0!J$4:J$28,D63,1))))*100000000</f>
        <v>0</v>
      </c>
      <c r="F63" s="4" t="str">
        <f>HYPERLINK("http://141.218.60.56/~jnz1568/getInfo.php?workbook=10_01.xlsx&amp;sheet=A0&amp;row=63&amp;col=6&amp;number=&amp;sourceID=18","")</f>
        <v/>
      </c>
      <c r="G63" s="4" t="str">
        <f>HYPERLINK("http://141.218.60.56/~jnz1568/getInfo.php?workbook=10_01.xlsx&amp;sheet=A0&amp;row=63&amp;col=7&amp;number==&amp;sourceID=11","=")</f>
        <v>=</v>
      </c>
      <c r="H63" s="4" t="str">
        <f>HYPERLINK("http://141.218.60.56/~jnz1568/getInfo.php?workbook=10_01.xlsx&amp;sheet=A0&amp;row=63&amp;col=8&amp;number=&amp;sourceID=11","")</f>
        <v/>
      </c>
      <c r="I63" s="4" t="str">
        <f>HYPERLINK("http://141.218.60.56/~jnz1568/getInfo.php?workbook=10_01.xlsx&amp;sheet=A0&amp;row=63&amp;col=9&amp;number=357010&amp;sourceID=11","357010")</f>
        <v>357010</v>
      </c>
      <c r="J63" s="4" t="str">
        <f>HYPERLINK("http://141.218.60.56/~jnz1568/getInfo.php?workbook=10_01.xlsx&amp;sheet=A0&amp;row=63&amp;col=10&amp;number=&amp;sourceID=11","")</f>
        <v/>
      </c>
      <c r="K63" s="4" t="str">
        <f>HYPERLINK("http://141.218.60.56/~jnz1568/getInfo.php?workbook=10_01.xlsx&amp;sheet=A0&amp;row=63&amp;col=11&amp;number=0.54502&amp;sourceID=11","0.54502")</f>
        <v>0.54502</v>
      </c>
      <c r="L63" s="4" t="str">
        <f>HYPERLINK("http://141.218.60.56/~jnz1568/getInfo.php?workbook=10_01.xlsx&amp;sheet=A0&amp;row=63&amp;col=12&amp;number=&amp;sourceID=11","")</f>
        <v/>
      </c>
      <c r="M63" s="4" t="str">
        <f>HYPERLINK("http://141.218.60.56/~jnz1568/getInfo.php?workbook=10_01.xlsx&amp;sheet=A0&amp;row=63&amp;col=13&amp;number=7.5923e-05&amp;sourceID=11","7.5923e-05")</f>
        <v>7.5923e-05</v>
      </c>
      <c r="N63" s="4" t="str">
        <f>HYPERLINK("http://141.218.60.56/~jnz1568/getInfo.php?workbook=10_01.xlsx&amp;sheet=A0&amp;row=63&amp;col=14&amp;number=357020&amp;sourceID=12","357020")</f>
        <v>357020</v>
      </c>
      <c r="O63" s="4" t="str">
        <f>HYPERLINK("http://141.218.60.56/~jnz1568/getInfo.php?workbook=10_01.xlsx&amp;sheet=A0&amp;row=63&amp;col=15&amp;number=&amp;sourceID=12","")</f>
        <v/>
      </c>
      <c r="P63" s="4" t="str">
        <f>HYPERLINK("http://141.218.60.56/~jnz1568/getInfo.php?workbook=10_01.xlsx&amp;sheet=A0&amp;row=63&amp;col=16&amp;number=357020&amp;sourceID=12","357020")</f>
        <v>357020</v>
      </c>
      <c r="Q63" s="4" t="str">
        <f>HYPERLINK("http://141.218.60.56/~jnz1568/getInfo.php?workbook=10_01.xlsx&amp;sheet=A0&amp;row=63&amp;col=17&amp;number=&amp;sourceID=12","")</f>
        <v/>
      </c>
      <c r="R63" s="4" t="str">
        <f>HYPERLINK("http://141.218.60.56/~jnz1568/getInfo.php?workbook=10_01.xlsx&amp;sheet=A0&amp;row=63&amp;col=18&amp;number=0.54503&amp;sourceID=12","0.54503")</f>
        <v>0.54503</v>
      </c>
      <c r="S63" s="4" t="str">
        <f>HYPERLINK("http://141.218.60.56/~jnz1568/getInfo.php?workbook=10_01.xlsx&amp;sheet=A0&amp;row=63&amp;col=19&amp;number=&amp;sourceID=12","")</f>
        <v/>
      </c>
      <c r="T63" s="4" t="str">
        <f>HYPERLINK("http://141.218.60.56/~jnz1568/getInfo.php?workbook=10_01.xlsx&amp;sheet=A0&amp;row=63&amp;col=20&amp;number=7.5926e-05&amp;sourceID=12","7.5926e-05")</f>
        <v>7.5926e-05</v>
      </c>
      <c r="U63" s="4" t="str">
        <f>HYPERLINK("http://141.218.60.56/~jnz1568/getInfo.php?workbook=10_01.xlsx&amp;sheet=A0&amp;row=63&amp;col=21&amp;number=357000.545&amp;sourceID=30","357000.545")</f>
        <v>357000.545</v>
      </c>
      <c r="V63" s="4" t="str">
        <f>HYPERLINK("http://141.218.60.56/~jnz1568/getInfo.php?workbook=10_01.xlsx&amp;sheet=A0&amp;row=63&amp;col=22&amp;number=&amp;sourceID=30","")</f>
        <v/>
      </c>
      <c r="W63" s="4" t="str">
        <f>HYPERLINK("http://141.218.60.56/~jnz1568/getInfo.php?workbook=10_01.xlsx&amp;sheet=A0&amp;row=63&amp;col=23&amp;number=357000&amp;sourceID=30","357000")</f>
        <v>357000</v>
      </c>
      <c r="X63" s="4" t="str">
        <f>HYPERLINK("http://141.218.60.56/~jnz1568/getInfo.php?workbook=10_01.xlsx&amp;sheet=A0&amp;row=63&amp;col=24&amp;number=0.545&amp;sourceID=30","0.545")</f>
        <v>0.545</v>
      </c>
      <c r="Y63" s="4" t="str">
        <f>HYPERLINK("http://141.218.60.56/~jnz1568/getInfo.php?workbook=10_01.xlsx&amp;sheet=A0&amp;row=63&amp;col=25&amp;number=&amp;sourceID=30","")</f>
        <v/>
      </c>
      <c r="Z63" s="4" t="str">
        <f>HYPERLINK("http://141.218.60.56/~jnz1568/getInfo.php?workbook=10_01.xlsx&amp;sheet=A0&amp;row=63&amp;col=26&amp;number==&amp;sourceID=13","=")</f>
        <v>=</v>
      </c>
      <c r="AA63" s="4" t="str">
        <f>HYPERLINK("http://141.218.60.56/~jnz1568/getInfo.php?workbook=10_01.xlsx&amp;sheet=A0&amp;row=63&amp;col=27&amp;number=&amp;sourceID=13","")</f>
        <v/>
      </c>
      <c r="AB63" s="4" t="str">
        <f>HYPERLINK("http://141.218.60.56/~jnz1568/getInfo.php?workbook=10_01.xlsx&amp;sheet=A0&amp;row=63&amp;col=28&amp;number=356000&amp;sourceID=13","356000")</f>
        <v>356000</v>
      </c>
      <c r="AC63" s="4" t="str">
        <f>HYPERLINK("http://141.218.60.56/~jnz1568/getInfo.php?workbook=10_01.xlsx&amp;sheet=A0&amp;row=63&amp;col=29&amp;number=&amp;sourceID=13","")</f>
        <v/>
      </c>
      <c r="AD63" s="4" t="str">
        <f>HYPERLINK("http://141.218.60.56/~jnz1568/getInfo.php?workbook=10_01.xlsx&amp;sheet=A0&amp;row=63&amp;col=30&amp;number=0.594&amp;sourceID=13","0.594")</f>
        <v>0.594</v>
      </c>
      <c r="AE63" s="4" t="str">
        <f>HYPERLINK("http://141.218.60.56/~jnz1568/getInfo.php?workbook=10_01.xlsx&amp;sheet=A0&amp;row=63&amp;col=31&amp;number=&amp;sourceID=13","")</f>
        <v/>
      </c>
      <c r="AF63" s="4" t="str">
        <f>HYPERLINK("http://141.218.60.56/~jnz1568/getInfo.php?workbook=10_01.xlsx&amp;sheet=A0&amp;row=63&amp;col=32&amp;number=&amp;sourceID=20","")</f>
        <v/>
      </c>
    </row>
    <row r="64" spans="1:32">
      <c r="A64" s="3">
        <v>10</v>
      </c>
      <c r="B64" s="3">
        <v>1</v>
      </c>
      <c r="C64" s="3">
        <v>12</v>
      </c>
      <c r="D64" s="3">
        <v>10</v>
      </c>
      <c r="E64" s="3">
        <f>((1/(INDEX(E0!J$4:J$28,C64,1)-INDEX(E0!J$4:J$28,D64,1))))*100000000</f>
        <v>0</v>
      </c>
      <c r="F64" s="4" t="str">
        <f>HYPERLINK("http://141.218.60.56/~jnz1568/getInfo.php?workbook=10_01.xlsx&amp;sheet=A0&amp;row=64&amp;col=6&amp;number=&amp;sourceID=18","")</f>
        <v/>
      </c>
      <c r="G64" s="4" t="str">
        <f>HYPERLINK("http://141.218.60.56/~jnz1568/getInfo.php?workbook=10_01.xlsx&amp;sheet=A0&amp;row=64&amp;col=7&amp;number==&amp;sourceID=11","=")</f>
        <v>=</v>
      </c>
      <c r="H64" s="4" t="str">
        <f>HYPERLINK("http://141.218.60.56/~jnz1568/getInfo.php?workbook=10_01.xlsx&amp;sheet=A0&amp;row=64&amp;col=8&amp;number=280.23&amp;sourceID=11","280.23")</f>
        <v>280.23</v>
      </c>
      <c r="I64" s="4" t="str">
        <f>HYPERLINK("http://141.218.60.56/~jnz1568/getInfo.php?workbook=10_01.xlsx&amp;sheet=A0&amp;row=64&amp;col=9&amp;number=&amp;sourceID=11","")</f>
        <v/>
      </c>
      <c r="J64" s="4" t="str">
        <f>HYPERLINK("http://141.218.60.56/~jnz1568/getInfo.php?workbook=10_01.xlsx&amp;sheet=A0&amp;row=64&amp;col=10&amp;number=&amp;sourceID=11","")</f>
        <v/>
      </c>
      <c r="K64" s="4" t="str">
        <f>HYPERLINK("http://141.218.60.56/~jnz1568/getInfo.php?workbook=10_01.xlsx&amp;sheet=A0&amp;row=64&amp;col=11&amp;number=&amp;sourceID=11","")</f>
        <v/>
      </c>
      <c r="L64" s="4" t="str">
        <f>HYPERLINK("http://141.218.60.56/~jnz1568/getInfo.php?workbook=10_01.xlsx&amp;sheet=A0&amp;row=64&amp;col=12&amp;number=2.6e-14&amp;sourceID=11","2.6e-14")</f>
        <v>2.6e-14</v>
      </c>
      <c r="M64" s="4" t="str">
        <f>HYPERLINK("http://141.218.60.56/~jnz1568/getInfo.php?workbook=10_01.xlsx&amp;sheet=A0&amp;row=64&amp;col=13&amp;number=&amp;sourceID=11","")</f>
        <v/>
      </c>
      <c r="N64" s="4" t="str">
        <f>HYPERLINK("http://141.218.60.56/~jnz1568/getInfo.php?workbook=10_01.xlsx&amp;sheet=A0&amp;row=64&amp;col=14&amp;number=280.24&amp;sourceID=12","280.24")</f>
        <v>280.24</v>
      </c>
      <c r="O64" s="4" t="str">
        <f>HYPERLINK("http://141.218.60.56/~jnz1568/getInfo.php?workbook=10_01.xlsx&amp;sheet=A0&amp;row=64&amp;col=15&amp;number=280.24&amp;sourceID=12","280.24")</f>
        <v>280.24</v>
      </c>
      <c r="P64" s="4" t="str">
        <f>HYPERLINK("http://141.218.60.56/~jnz1568/getInfo.php?workbook=10_01.xlsx&amp;sheet=A0&amp;row=64&amp;col=16&amp;number=&amp;sourceID=12","")</f>
        <v/>
      </c>
      <c r="Q64" s="4" t="str">
        <f>HYPERLINK("http://141.218.60.56/~jnz1568/getInfo.php?workbook=10_01.xlsx&amp;sheet=A0&amp;row=64&amp;col=17&amp;number=&amp;sourceID=12","")</f>
        <v/>
      </c>
      <c r="R64" s="4" t="str">
        <f>HYPERLINK("http://141.218.60.56/~jnz1568/getInfo.php?workbook=10_01.xlsx&amp;sheet=A0&amp;row=64&amp;col=18&amp;number=&amp;sourceID=12","")</f>
        <v/>
      </c>
      <c r="S64" s="4" t="str">
        <f>HYPERLINK("http://141.218.60.56/~jnz1568/getInfo.php?workbook=10_01.xlsx&amp;sheet=A0&amp;row=64&amp;col=19&amp;number=2.6e-14&amp;sourceID=12","2.6e-14")</f>
        <v>2.6e-14</v>
      </c>
      <c r="T64" s="4" t="str">
        <f>HYPERLINK("http://141.218.60.56/~jnz1568/getInfo.php?workbook=10_01.xlsx&amp;sheet=A0&amp;row=64&amp;col=20&amp;number=&amp;sourceID=12","")</f>
        <v/>
      </c>
      <c r="U64" s="4" t="str">
        <f>HYPERLINK("http://141.218.60.56/~jnz1568/getInfo.php?workbook=10_01.xlsx&amp;sheet=A0&amp;row=64&amp;col=21&amp;number=280.2&amp;sourceID=30","280.2")</f>
        <v>280.2</v>
      </c>
      <c r="V64" s="4" t="str">
        <f>HYPERLINK("http://141.218.60.56/~jnz1568/getInfo.php?workbook=10_01.xlsx&amp;sheet=A0&amp;row=64&amp;col=22&amp;number=280.2&amp;sourceID=30","280.2")</f>
        <v>280.2</v>
      </c>
      <c r="W64" s="4" t="str">
        <f>HYPERLINK("http://141.218.60.56/~jnz1568/getInfo.php?workbook=10_01.xlsx&amp;sheet=A0&amp;row=64&amp;col=23&amp;number=&amp;sourceID=30","")</f>
        <v/>
      </c>
      <c r="X64" s="4" t="str">
        <f>HYPERLINK("http://141.218.60.56/~jnz1568/getInfo.php?workbook=10_01.xlsx&amp;sheet=A0&amp;row=64&amp;col=24&amp;number=&amp;sourceID=30","")</f>
        <v/>
      </c>
      <c r="Y64" s="4" t="str">
        <f>HYPERLINK("http://141.218.60.56/~jnz1568/getInfo.php?workbook=10_01.xlsx&amp;sheet=A0&amp;row=64&amp;col=25&amp;number=2.6e-14&amp;sourceID=30","2.6e-14")</f>
        <v>2.6e-14</v>
      </c>
      <c r="Z64" s="4" t="str">
        <f>HYPERLINK("http://141.218.60.56/~jnz1568/getInfo.php?workbook=10_01.xlsx&amp;sheet=A0&amp;row=64&amp;col=26&amp;number==&amp;sourceID=13","=")</f>
        <v>=</v>
      </c>
      <c r="AA64" s="4" t="str">
        <f>HYPERLINK("http://141.218.60.56/~jnz1568/getInfo.php?workbook=10_01.xlsx&amp;sheet=A0&amp;row=64&amp;col=27&amp;number=327&amp;sourceID=13","327")</f>
        <v>327</v>
      </c>
      <c r="AB64" s="4" t="str">
        <f>HYPERLINK("http://141.218.60.56/~jnz1568/getInfo.php?workbook=10_01.xlsx&amp;sheet=A0&amp;row=64&amp;col=28&amp;number=&amp;sourceID=13","")</f>
        <v/>
      </c>
      <c r="AC64" s="4" t="str">
        <f>HYPERLINK("http://141.218.60.56/~jnz1568/getInfo.php?workbook=10_01.xlsx&amp;sheet=A0&amp;row=64&amp;col=29&amp;number=&amp;sourceID=13","")</f>
        <v/>
      </c>
      <c r="AD64" s="4" t="str">
        <f>HYPERLINK("http://141.218.60.56/~jnz1568/getInfo.php?workbook=10_01.xlsx&amp;sheet=A0&amp;row=64&amp;col=30&amp;number=&amp;sourceID=13","")</f>
        <v/>
      </c>
      <c r="AE64" s="4" t="str">
        <f>HYPERLINK("http://141.218.60.56/~jnz1568/getInfo.php?workbook=10_01.xlsx&amp;sheet=A0&amp;row=64&amp;col=31&amp;number=&amp;sourceID=13","")</f>
        <v/>
      </c>
      <c r="AF64" s="4" t="str">
        <f>HYPERLINK("http://141.218.60.56/~jnz1568/getInfo.php?workbook=10_01.xlsx&amp;sheet=A0&amp;row=64&amp;col=32&amp;number=&amp;sourceID=20","")</f>
        <v/>
      </c>
    </row>
    <row r="65" spans="1:32">
      <c r="A65" s="3">
        <v>10</v>
      </c>
      <c r="B65" s="3">
        <v>1</v>
      </c>
      <c r="C65" s="3">
        <v>12</v>
      </c>
      <c r="D65" s="3">
        <v>11</v>
      </c>
      <c r="E65" s="3">
        <f>((1/(INDEX(E0!J$4:J$28,C65,1)-INDEX(E0!J$4:J$28,D65,1))))*100000000</f>
        <v>0</v>
      </c>
      <c r="F65" s="4" t="str">
        <f>HYPERLINK("http://141.218.60.56/~jnz1568/getInfo.php?workbook=10_01.xlsx&amp;sheet=A0&amp;row=65&amp;col=6&amp;number=&amp;sourceID=18","")</f>
        <v/>
      </c>
      <c r="G65" s="4" t="str">
        <f>HYPERLINK("http://141.218.60.56/~jnz1568/getInfo.php?workbook=10_01.xlsx&amp;sheet=A0&amp;row=65&amp;col=7&amp;number==&amp;sourceID=11","=")</f>
        <v>=</v>
      </c>
      <c r="H65" s="4" t="str">
        <f>HYPERLINK("http://141.218.60.56/~jnz1568/getInfo.php?workbook=10_01.xlsx&amp;sheet=A0&amp;row=65&amp;col=8&amp;number=&amp;sourceID=11","")</f>
        <v/>
      </c>
      <c r="I65" s="4" t="str">
        <f>HYPERLINK("http://141.218.60.56/~jnz1568/getInfo.php?workbook=10_01.xlsx&amp;sheet=A0&amp;row=65&amp;col=9&amp;number=1.298e-08&amp;sourceID=11","1.298e-08")</f>
        <v>1.298e-08</v>
      </c>
      <c r="J65" s="4" t="str">
        <f>HYPERLINK("http://141.218.60.56/~jnz1568/getInfo.php?workbook=10_01.xlsx&amp;sheet=A0&amp;row=65&amp;col=10&amp;number=&amp;sourceID=11","")</f>
        <v/>
      </c>
      <c r="K65" s="4" t="str">
        <f>HYPERLINK("http://141.218.60.56/~jnz1568/getInfo.php?workbook=10_01.xlsx&amp;sheet=A0&amp;row=65&amp;col=11&amp;number=1.205e-12&amp;sourceID=11","1.205e-12")</f>
        <v>1.205e-12</v>
      </c>
      <c r="L65" s="4" t="str">
        <f>HYPERLINK("http://141.218.60.56/~jnz1568/getInfo.php?workbook=10_01.xlsx&amp;sheet=A0&amp;row=65&amp;col=12&amp;number=&amp;sourceID=11","")</f>
        <v/>
      </c>
      <c r="M65" s="4" t="str">
        <f>HYPERLINK("http://141.218.60.56/~jnz1568/getInfo.php?workbook=10_01.xlsx&amp;sheet=A0&amp;row=65&amp;col=13&amp;number=&amp;sourceID=11","")</f>
        <v/>
      </c>
      <c r="N65" s="4" t="str">
        <f>HYPERLINK("http://141.218.60.56/~jnz1568/getInfo.php?workbook=10_01.xlsx&amp;sheet=A0&amp;row=65&amp;col=14&amp;number=1.2982e-08&amp;sourceID=12","1.2982e-08")</f>
        <v>1.2982e-08</v>
      </c>
      <c r="O65" s="4" t="str">
        <f>HYPERLINK("http://141.218.60.56/~jnz1568/getInfo.php?workbook=10_01.xlsx&amp;sheet=A0&amp;row=65&amp;col=15&amp;number=&amp;sourceID=12","")</f>
        <v/>
      </c>
      <c r="P65" s="4" t="str">
        <f>HYPERLINK("http://141.218.60.56/~jnz1568/getInfo.php?workbook=10_01.xlsx&amp;sheet=A0&amp;row=65&amp;col=16&amp;number=1.2981e-08&amp;sourceID=12","1.2981e-08")</f>
        <v>1.2981e-08</v>
      </c>
      <c r="Q65" s="4" t="str">
        <f>HYPERLINK("http://141.218.60.56/~jnz1568/getInfo.php?workbook=10_01.xlsx&amp;sheet=A0&amp;row=65&amp;col=17&amp;number=&amp;sourceID=12","")</f>
        <v/>
      </c>
      <c r="R65" s="4" t="str">
        <f>HYPERLINK("http://141.218.60.56/~jnz1568/getInfo.php?workbook=10_01.xlsx&amp;sheet=A0&amp;row=65&amp;col=18&amp;number=1.205e-12&amp;sourceID=12","1.205e-12")</f>
        <v>1.205e-12</v>
      </c>
      <c r="S65" s="4" t="str">
        <f>HYPERLINK("http://141.218.60.56/~jnz1568/getInfo.php?workbook=10_01.xlsx&amp;sheet=A0&amp;row=65&amp;col=19&amp;number=&amp;sourceID=12","")</f>
        <v/>
      </c>
      <c r="T65" s="4" t="str">
        <f>HYPERLINK("http://141.218.60.56/~jnz1568/getInfo.php?workbook=10_01.xlsx&amp;sheet=A0&amp;row=65&amp;col=20&amp;number=&amp;sourceID=12","")</f>
        <v/>
      </c>
      <c r="U65" s="4" t="str">
        <f>HYPERLINK("http://141.218.60.56/~jnz1568/getInfo.php?workbook=10_01.xlsx&amp;sheet=A0&amp;row=65&amp;col=21&amp;number=1.2981209e-08&amp;sourceID=30","1.2981209e-08")</f>
        <v>1.2981209e-08</v>
      </c>
      <c r="V65" s="4" t="str">
        <f>HYPERLINK("http://141.218.60.56/~jnz1568/getInfo.php?workbook=10_01.xlsx&amp;sheet=A0&amp;row=65&amp;col=22&amp;number=&amp;sourceID=30","")</f>
        <v/>
      </c>
      <c r="W65" s="4" t="str">
        <f>HYPERLINK("http://141.218.60.56/~jnz1568/getInfo.php?workbook=10_01.xlsx&amp;sheet=A0&amp;row=65&amp;col=23&amp;number=1.298e-08&amp;sourceID=30","1.298e-08")</f>
        <v>1.298e-08</v>
      </c>
      <c r="X65" s="4" t="str">
        <f>HYPERLINK("http://141.218.60.56/~jnz1568/getInfo.php?workbook=10_01.xlsx&amp;sheet=A0&amp;row=65&amp;col=24&amp;number=1.209e-12&amp;sourceID=30","1.209e-12")</f>
        <v>1.209e-12</v>
      </c>
      <c r="Y65" s="4" t="str">
        <f>HYPERLINK("http://141.218.60.56/~jnz1568/getInfo.php?workbook=10_01.xlsx&amp;sheet=A0&amp;row=65&amp;col=25&amp;number=&amp;sourceID=30","")</f>
        <v/>
      </c>
      <c r="Z65" s="4" t="str">
        <f>HYPERLINK("http://141.218.60.56/~jnz1568/getInfo.php?workbook=10_01.xlsx&amp;sheet=A0&amp;row=65&amp;col=26&amp;number=&amp;sourceID=13","")</f>
        <v/>
      </c>
      <c r="AA65" s="4" t="str">
        <f>HYPERLINK("http://141.218.60.56/~jnz1568/getInfo.php?workbook=10_01.xlsx&amp;sheet=A0&amp;row=65&amp;col=27&amp;number=&amp;sourceID=13","")</f>
        <v/>
      </c>
      <c r="AB65" s="4" t="str">
        <f>HYPERLINK("http://141.218.60.56/~jnz1568/getInfo.php?workbook=10_01.xlsx&amp;sheet=A0&amp;row=65&amp;col=28&amp;number=&amp;sourceID=13","")</f>
        <v/>
      </c>
      <c r="AC65" s="4" t="str">
        <f>HYPERLINK("http://141.218.60.56/~jnz1568/getInfo.php?workbook=10_01.xlsx&amp;sheet=A0&amp;row=65&amp;col=29&amp;number=&amp;sourceID=13","")</f>
        <v/>
      </c>
      <c r="AD65" s="4" t="str">
        <f>HYPERLINK("http://141.218.60.56/~jnz1568/getInfo.php?workbook=10_01.xlsx&amp;sheet=A0&amp;row=65&amp;col=30&amp;number=&amp;sourceID=13","")</f>
        <v/>
      </c>
      <c r="AE65" s="4" t="str">
        <f>HYPERLINK("http://141.218.60.56/~jnz1568/getInfo.php?workbook=10_01.xlsx&amp;sheet=A0&amp;row=65&amp;col=31&amp;number=&amp;sourceID=13","")</f>
        <v/>
      </c>
      <c r="AF65" s="4" t="str">
        <f>HYPERLINK("http://141.218.60.56/~jnz1568/getInfo.php?workbook=10_01.xlsx&amp;sheet=A0&amp;row=65&amp;col=32&amp;number=&amp;sourceID=20","")</f>
        <v/>
      </c>
    </row>
    <row r="66" spans="1:32">
      <c r="A66" s="3">
        <v>10</v>
      </c>
      <c r="B66" s="3">
        <v>1</v>
      </c>
      <c r="C66" s="3">
        <v>13</v>
      </c>
      <c r="D66" s="3">
        <v>1</v>
      </c>
      <c r="E66" s="3">
        <f>((1/(INDEX(E0!J$4:J$28,C66,1)-INDEX(E0!J$4:J$28,D66,1))))*100000000</f>
        <v>0</v>
      </c>
      <c r="F66" s="4" t="str">
        <f>HYPERLINK("http://141.218.60.56/~jnz1568/getInfo.php?workbook=10_01.xlsx&amp;sheet=A0&amp;row=66&amp;col=6&amp;number=&amp;sourceID=18","")</f>
        <v/>
      </c>
      <c r="G66" s="4" t="str">
        <f>HYPERLINK("http://141.218.60.56/~jnz1568/getInfo.php?workbook=10_01.xlsx&amp;sheet=A0&amp;row=66&amp;col=7&amp;number==&amp;sourceID=11","=")</f>
        <v>=</v>
      </c>
      <c r="H66" s="4" t="str">
        <f>HYPERLINK("http://141.218.60.56/~jnz1568/getInfo.php?workbook=10_01.xlsx&amp;sheet=A0&amp;row=66&amp;col=8&amp;number=681880000000&amp;sourceID=11","681880000000")</f>
        <v>681880000000</v>
      </c>
      <c r="I66" s="4" t="str">
        <f>HYPERLINK("http://141.218.60.56/~jnz1568/getInfo.php?workbook=10_01.xlsx&amp;sheet=A0&amp;row=66&amp;col=9&amp;number=&amp;sourceID=11","")</f>
        <v/>
      </c>
      <c r="J66" s="4" t="str">
        <f>HYPERLINK("http://141.218.60.56/~jnz1568/getInfo.php?workbook=10_01.xlsx&amp;sheet=A0&amp;row=66&amp;col=10&amp;number=&amp;sourceID=11","")</f>
        <v/>
      </c>
      <c r="K66" s="4" t="str">
        <f>HYPERLINK("http://141.218.60.56/~jnz1568/getInfo.php?workbook=10_01.xlsx&amp;sheet=A0&amp;row=66&amp;col=11&amp;number=&amp;sourceID=11","")</f>
        <v/>
      </c>
      <c r="L66" s="4" t="str">
        <f>HYPERLINK("http://141.218.60.56/~jnz1568/getInfo.php?workbook=10_01.xlsx&amp;sheet=A0&amp;row=66&amp;col=12&amp;number=797620&amp;sourceID=11","797620")</f>
        <v>797620</v>
      </c>
      <c r="M66" s="4" t="str">
        <f>HYPERLINK("http://141.218.60.56/~jnz1568/getInfo.php?workbook=10_01.xlsx&amp;sheet=A0&amp;row=66&amp;col=13&amp;number=&amp;sourceID=11","")</f>
        <v/>
      </c>
      <c r="N66" s="4" t="str">
        <f>HYPERLINK("http://141.218.60.56/~jnz1568/getInfo.php?workbook=10_01.xlsx&amp;sheet=A0&amp;row=66&amp;col=14&amp;number=681900000000&amp;sourceID=12","681900000000")</f>
        <v>681900000000</v>
      </c>
      <c r="O66" s="4" t="str">
        <f>HYPERLINK("http://141.218.60.56/~jnz1568/getInfo.php?workbook=10_01.xlsx&amp;sheet=A0&amp;row=66&amp;col=15&amp;number=681900000000&amp;sourceID=12","681900000000")</f>
        <v>681900000000</v>
      </c>
      <c r="P66" s="4" t="str">
        <f>HYPERLINK("http://141.218.60.56/~jnz1568/getInfo.php?workbook=10_01.xlsx&amp;sheet=A0&amp;row=66&amp;col=16&amp;number=&amp;sourceID=12","")</f>
        <v/>
      </c>
      <c r="Q66" s="4" t="str">
        <f>HYPERLINK("http://141.218.60.56/~jnz1568/getInfo.php?workbook=10_01.xlsx&amp;sheet=A0&amp;row=66&amp;col=17&amp;number=&amp;sourceID=12","")</f>
        <v/>
      </c>
      <c r="R66" s="4" t="str">
        <f>HYPERLINK("http://141.218.60.56/~jnz1568/getInfo.php?workbook=10_01.xlsx&amp;sheet=A0&amp;row=66&amp;col=18&amp;number=&amp;sourceID=12","")</f>
        <v/>
      </c>
      <c r="S66" s="4" t="str">
        <f>HYPERLINK("http://141.218.60.56/~jnz1568/getInfo.php?workbook=10_01.xlsx&amp;sheet=A0&amp;row=66&amp;col=19&amp;number=797640&amp;sourceID=12","797640")</f>
        <v>797640</v>
      </c>
      <c r="T66" s="4" t="str">
        <f>HYPERLINK("http://141.218.60.56/~jnz1568/getInfo.php?workbook=10_01.xlsx&amp;sheet=A0&amp;row=66&amp;col=20&amp;number=&amp;sourceID=12","")</f>
        <v/>
      </c>
      <c r="U66" s="4" t="str">
        <f>HYPERLINK("http://141.218.60.56/~jnz1568/getInfo.php?workbook=10_01.xlsx&amp;sheet=A0&amp;row=66&amp;col=21&amp;number=681900797600&amp;sourceID=30","681900797600")</f>
        <v>681900797600</v>
      </c>
      <c r="V66" s="4" t="str">
        <f>HYPERLINK("http://141.218.60.56/~jnz1568/getInfo.php?workbook=10_01.xlsx&amp;sheet=A0&amp;row=66&amp;col=22&amp;number=681900000000&amp;sourceID=30","681900000000")</f>
        <v>681900000000</v>
      </c>
      <c r="W66" s="4" t="str">
        <f>HYPERLINK("http://141.218.60.56/~jnz1568/getInfo.php?workbook=10_01.xlsx&amp;sheet=A0&amp;row=66&amp;col=23&amp;number=&amp;sourceID=30","")</f>
        <v/>
      </c>
      <c r="X66" s="4" t="str">
        <f>HYPERLINK("http://141.218.60.56/~jnz1568/getInfo.php?workbook=10_01.xlsx&amp;sheet=A0&amp;row=66&amp;col=24&amp;number=&amp;sourceID=30","")</f>
        <v/>
      </c>
      <c r="Y66" s="4" t="str">
        <f>HYPERLINK("http://141.218.60.56/~jnz1568/getInfo.php?workbook=10_01.xlsx&amp;sheet=A0&amp;row=66&amp;col=25&amp;number=797600&amp;sourceID=30","797600")</f>
        <v>797600</v>
      </c>
      <c r="Z66" s="4" t="str">
        <f>HYPERLINK("http://141.218.60.56/~jnz1568/getInfo.php?workbook=10_01.xlsx&amp;sheet=A0&amp;row=66&amp;col=26&amp;number==SUM(AA66:AE66)&amp;sourceID=13","=SUM(AA66:AE66)")</f>
        <v>=SUM(AA66:AE66)</v>
      </c>
      <c r="AA66" s="4" t="str">
        <f>HYPERLINK("http://141.218.60.56/~jnz1568/getInfo.php?workbook=10_01.xlsx&amp;sheet=A0&amp;row=66&amp;col=27&amp;number=667000000000&amp;sourceID=13","667000000000")</f>
        <v>667000000000</v>
      </c>
      <c r="AB66" s="4" t="str">
        <f>HYPERLINK("http://141.218.60.56/~jnz1568/getInfo.php?workbook=10_01.xlsx&amp;sheet=A0&amp;row=66&amp;col=28&amp;number=&amp;sourceID=13","")</f>
        <v/>
      </c>
      <c r="AC66" s="4" t="str">
        <f>HYPERLINK("http://141.218.60.56/~jnz1568/getInfo.php?workbook=10_01.xlsx&amp;sheet=A0&amp;row=66&amp;col=29&amp;number=&amp;sourceID=13","")</f>
        <v/>
      </c>
      <c r="AD66" s="4" t="str">
        <f>HYPERLINK("http://141.218.60.56/~jnz1568/getInfo.php?workbook=10_01.xlsx&amp;sheet=A0&amp;row=66&amp;col=30&amp;number=&amp;sourceID=13","")</f>
        <v/>
      </c>
      <c r="AE66" s="4" t="str">
        <f>HYPERLINK("http://141.218.60.56/~jnz1568/getInfo.php?workbook=10_01.xlsx&amp;sheet=A0&amp;row=66&amp;col=31&amp;number=&amp;sourceID=13","")</f>
        <v/>
      </c>
      <c r="AF66" s="4" t="str">
        <f>HYPERLINK("http://141.218.60.56/~jnz1568/getInfo.php?workbook=10_01.xlsx&amp;sheet=A0&amp;row=66&amp;col=32&amp;number=681890000000&amp;sourceID=20","681890000000")</f>
        <v>681890000000</v>
      </c>
    </row>
    <row r="67" spans="1:32">
      <c r="A67" s="3">
        <v>10</v>
      </c>
      <c r="B67" s="3">
        <v>1</v>
      </c>
      <c r="C67" s="3">
        <v>13</v>
      </c>
      <c r="D67" s="3">
        <v>2</v>
      </c>
      <c r="E67" s="3">
        <f>((1/(INDEX(E0!J$4:J$28,C67,1)-INDEX(E0!J$4:J$28,D67,1))))*100000000</f>
        <v>0</v>
      </c>
      <c r="F67" s="4" t="str">
        <f>HYPERLINK("http://141.218.60.56/~jnz1568/getInfo.php?workbook=10_01.xlsx&amp;sheet=A0&amp;row=67&amp;col=6&amp;number=&amp;sourceID=18","")</f>
        <v/>
      </c>
      <c r="G67" s="4" t="str">
        <f>HYPERLINK("http://141.218.60.56/~jnz1568/getInfo.php?workbook=10_01.xlsx&amp;sheet=A0&amp;row=67&amp;col=7&amp;number==&amp;sourceID=11","=")</f>
        <v>=</v>
      </c>
      <c r="H67" s="4" t="str">
        <f>HYPERLINK("http://141.218.60.56/~jnz1568/getInfo.php?workbook=10_01.xlsx&amp;sheet=A0&amp;row=67&amp;col=8&amp;number=&amp;sourceID=11","")</f>
        <v/>
      </c>
      <c r="I67" s="4" t="str">
        <f>HYPERLINK("http://141.218.60.56/~jnz1568/getInfo.php?workbook=10_01.xlsx&amp;sheet=A0&amp;row=67&amp;col=9&amp;number=5168700&amp;sourceID=11","5168700")</f>
        <v>5168700</v>
      </c>
      <c r="J67" s="4" t="str">
        <f>HYPERLINK("http://141.218.60.56/~jnz1568/getInfo.php?workbook=10_01.xlsx&amp;sheet=A0&amp;row=67&amp;col=10&amp;number=&amp;sourceID=11","")</f>
        <v/>
      </c>
      <c r="K67" s="4" t="str">
        <f>HYPERLINK("http://141.218.60.56/~jnz1568/getInfo.php?workbook=10_01.xlsx&amp;sheet=A0&amp;row=67&amp;col=11&amp;number=17.554&amp;sourceID=11","17.554")</f>
        <v>17.554</v>
      </c>
      <c r="L67" s="4" t="str">
        <f>HYPERLINK("http://141.218.60.56/~jnz1568/getInfo.php?workbook=10_01.xlsx&amp;sheet=A0&amp;row=67&amp;col=12&amp;number=&amp;sourceID=11","")</f>
        <v/>
      </c>
      <c r="M67" s="4" t="str">
        <f>HYPERLINK("http://141.218.60.56/~jnz1568/getInfo.php?workbook=10_01.xlsx&amp;sheet=A0&amp;row=67&amp;col=13&amp;number=&amp;sourceID=11","")</f>
        <v/>
      </c>
      <c r="N67" s="4" t="str">
        <f>HYPERLINK("http://141.218.60.56/~jnz1568/getInfo.php?workbook=10_01.xlsx&amp;sheet=A0&amp;row=67&amp;col=14&amp;number=5168900&amp;sourceID=12","5168900")</f>
        <v>5168900</v>
      </c>
      <c r="O67" s="4" t="str">
        <f>HYPERLINK("http://141.218.60.56/~jnz1568/getInfo.php?workbook=10_01.xlsx&amp;sheet=A0&amp;row=67&amp;col=15&amp;number=&amp;sourceID=12","")</f>
        <v/>
      </c>
      <c r="P67" s="4" t="str">
        <f>HYPERLINK("http://141.218.60.56/~jnz1568/getInfo.php?workbook=10_01.xlsx&amp;sheet=A0&amp;row=67&amp;col=16&amp;number=5168900&amp;sourceID=12","5168900")</f>
        <v>5168900</v>
      </c>
      <c r="Q67" s="4" t="str">
        <f>HYPERLINK("http://141.218.60.56/~jnz1568/getInfo.php?workbook=10_01.xlsx&amp;sheet=A0&amp;row=67&amp;col=17&amp;number=&amp;sourceID=12","")</f>
        <v/>
      </c>
      <c r="R67" s="4" t="str">
        <f>HYPERLINK("http://141.218.60.56/~jnz1568/getInfo.php?workbook=10_01.xlsx&amp;sheet=A0&amp;row=67&amp;col=18&amp;number=17.555&amp;sourceID=12","17.555")</f>
        <v>17.555</v>
      </c>
      <c r="S67" s="4" t="str">
        <f>HYPERLINK("http://141.218.60.56/~jnz1568/getInfo.php?workbook=10_01.xlsx&amp;sheet=A0&amp;row=67&amp;col=19&amp;number=&amp;sourceID=12","")</f>
        <v/>
      </c>
      <c r="T67" s="4" t="str">
        <f>HYPERLINK("http://141.218.60.56/~jnz1568/getInfo.php?workbook=10_01.xlsx&amp;sheet=A0&amp;row=67&amp;col=20&amp;number=&amp;sourceID=12","")</f>
        <v/>
      </c>
      <c r="U67" s="4" t="str">
        <f>HYPERLINK("http://141.218.60.56/~jnz1568/getInfo.php?workbook=10_01.xlsx&amp;sheet=A0&amp;row=67&amp;col=21&amp;number=5169017.56&amp;sourceID=30","5169017.56")</f>
        <v>5169017.56</v>
      </c>
      <c r="V67" s="4" t="str">
        <f>HYPERLINK("http://141.218.60.56/~jnz1568/getInfo.php?workbook=10_01.xlsx&amp;sheet=A0&amp;row=67&amp;col=22&amp;number=&amp;sourceID=30","")</f>
        <v/>
      </c>
      <c r="W67" s="4" t="str">
        <f>HYPERLINK("http://141.218.60.56/~jnz1568/getInfo.php?workbook=10_01.xlsx&amp;sheet=A0&amp;row=67&amp;col=23&amp;number=5169000&amp;sourceID=30","5169000")</f>
        <v>5169000</v>
      </c>
      <c r="X67" s="4" t="str">
        <f>HYPERLINK("http://141.218.60.56/~jnz1568/getInfo.php?workbook=10_01.xlsx&amp;sheet=A0&amp;row=67&amp;col=24&amp;number=17.56&amp;sourceID=30","17.56")</f>
        <v>17.56</v>
      </c>
      <c r="Y67" s="4" t="str">
        <f>HYPERLINK("http://141.218.60.56/~jnz1568/getInfo.php?workbook=10_01.xlsx&amp;sheet=A0&amp;row=67&amp;col=25&amp;number=&amp;sourceID=30","")</f>
        <v/>
      </c>
      <c r="Z67" s="4" t="str">
        <f>HYPERLINK("http://141.218.60.56/~jnz1568/getInfo.php?workbook=10_01.xlsx&amp;sheet=A0&amp;row=67&amp;col=26&amp;number==&amp;sourceID=13","=")</f>
        <v>=</v>
      </c>
      <c r="AA67" s="4" t="str">
        <f>HYPERLINK("http://141.218.60.56/~jnz1568/getInfo.php?workbook=10_01.xlsx&amp;sheet=A0&amp;row=67&amp;col=27&amp;number=&amp;sourceID=13","")</f>
        <v/>
      </c>
      <c r="AB67" s="4" t="str">
        <f>HYPERLINK("http://141.218.60.56/~jnz1568/getInfo.php?workbook=10_01.xlsx&amp;sheet=A0&amp;row=67&amp;col=28&amp;number=4800000&amp;sourceID=13","4800000")</f>
        <v>4800000</v>
      </c>
      <c r="AC67" s="4" t="str">
        <f>HYPERLINK("http://141.218.60.56/~jnz1568/getInfo.php?workbook=10_01.xlsx&amp;sheet=A0&amp;row=67&amp;col=29&amp;number=&amp;sourceID=13","")</f>
        <v/>
      </c>
      <c r="AD67" s="4" t="str">
        <f>HYPERLINK("http://141.218.60.56/~jnz1568/getInfo.php?workbook=10_01.xlsx&amp;sheet=A0&amp;row=67&amp;col=30&amp;number=14.3&amp;sourceID=13","14.3")</f>
        <v>14.3</v>
      </c>
      <c r="AE67" s="4" t="str">
        <f>HYPERLINK("http://141.218.60.56/~jnz1568/getInfo.php?workbook=10_01.xlsx&amp;sheet=A0&amp;row=67&amp;col=31&amp;number=&amp;sourceID=13","")</f>
        <v/>
      </c>
      <c r="AF67" s="4" t="str">
        <f>HYPERLINK("http://141.218.60.56/~jnz1568/getInfo.php?workbook=10_01.xlsx&amp;sheet=A0&amp;row=67&amp;col=32&amp;number=&amp;sourceID=20","")</f>
        <v/>
      </c>
    </row>
    <row r="68" spans="1:32">
      <c r="A68" s="3">
        <v>10</v>
      </c>
      <c r="B68" s="3">
        <v>1</v>
      </c>
      <c r="C68" s="3">
        <v>13</v>
      </c>
      <c r="D68" s="3">
        <v>3</v>
      </c>
      <c r="E68" s="3">
        <f>((1/(INDEX(E0!J$4:J$28,C68,1)-INDEX(E0!J$4:J$28,D68,1))))*100000000</f>
        <v>0</v>
      </c>
      <c r="F68" s="4" t="str">
        <f>HYPERLINK("http://141.218.60.56/~jnz1568/getInfo.php?workbook=10_01.xlsx&amp;sheet=A0&amp;row=68&amp;col=6&amp;number=&amp;sourceID=18","")</f>
        <v/>
      </c>
      <c r="G68" s="4" t="str">
        <f>HYPERLINK("http://141.218.60.56/~jnz1568/getInfo.php?workbook=10_01.xlsx&amp;sheet=A0&amp;row=68&amp;col=7&amp;number==&amp;sourceID=11","=")</f>
        <v>=</v>
      </c>
      <c r="H68" s="4" t="str">
        <f>HYPERLINK("http://141.218.60.56/~jnz1568/getInfo.php?workbook=10_01.xlsx&amp;sheet=A0&amp;row=68&amp;col=8&amp;number=96715000000&amp;sourceID=11","96715000000")</f>
        <v>96715000000</v>
      </c>
      <c r="I68" s="4" t="str">
        <f>HYPERLINK("http://141.218.60.56/~jnz1568/getInfo.php?workbook=10_01.xlsx&amp;sheet=A0&amp;row=68&amp;col=9&amp;number=&amp;sourceID=11","")</f>
        <v/>
      </c>
      <c r="J68" s="4" t="str">
        <f>HYPERLINK("http://141.218.60.56/~jnz1568/getInfo.php?workbook=10_01.xlsx&amp;sheet=A0&amp;row=68&amp;col=10&amp;number=&amp;sourceID=11","")</f>
        <v/>
      </c>
      <c r="K68" s="4" t="str">
        <f>HYPERLINK("http://141.218.60.56/~jnz1568/getInfo.php?workbook=10_01.xlsx&amp;sheet=A0&amp;row=68&amp;col=11&amp;number=&amp;sourceID=11","")</f>
        <v/>
      </c>
      <c r="L68" s="4" t="str">
        <f>HYPERLINK("http://141.218.60.56/~jnz1568/getInfo.php?workbook=10_01.xlsx&amp;sheet=A0&amp;row=68&amp;col=12&amp;number=4537.8&amp;sourceID=11","4537.8")</f>
        <v>4537.8</v>
      </c>
      <c r="M68" s="4" t="str">
        <f>HYPERLINK("http://141.218.60.56/~jnz1568/getInfo.php?workbook=10_01.xlsx&amp;sheet=A0&amp;row=68&amp;col=13&amp;number=&amp;sourceID=11","")</f>
        <v/>
      </c>
      <c r="N68" s="4" t="str">
        <f>HYPERLINK("http://141.218.60.56/~jnz1568/getInfo.php?workbook=10_01.xlsx&amp;sheet=A0&amp;row=68&amp;col=14&amp;number=96718000000&amp;sourceID=12","96718000000")</f>
        <v>96718000000</v>
      </c>
      <c r="O68" s="4" t="str">
        <f>HYPERLINK("http://141.218.60.56/~jnz1568/getInfo.php?workbook=10_01.xlsx&amp;sheet=A0&amp;row=68&amp;col=15&amp;number=96718000000&amp;sourceID=12","96718000000")</f>
        <v>96718000000</v>
      </c>
      <c r="P68" s="4" t="str">
        <f>HYPERLINK("http://141.218.60.56/~jnz1568/getInfo.php?workbook=10_01.xlsx&amp;sheet=A0&amp;row=68&amp;col=16&amp;number=&amp;sourceID=12","")</f>
        <v/>
      </c>
      <c r="Q68" s="4" t="str">
        <f>HYPERLINK("http://141.218.60.56/~jnz1568/getInfo.php?workbook=10_01.xlsx&amp;sheet=A0&amp;row=68&amp;col=17&amp;number=&amp;sourceID=12","")</f>
        <v/>
      </c>
      <c r="R68" s="4" t="str">
        <f>HYPERLINK("http://141.218.60.56/~jnz1568/getInfo.php?workbook=10_01.xlsx&amp;sheet=A0&amp;row=68&amp;col=18&amp;number=&amp;sourceID=12","")</f>
        <v/>
      </c>
      <c r="S68" s="4" t="str">
        <f>HYPERLINK("http://141.218.60.56/~jnz1568/getInfo.php?workbook=10_01.xlsx&amp;sheet=A0&amp;row=68&amp;col=19&amp;number=4537.9&amp;sourceID=12","4537.9")</f>
        <v>4537.9</v>
      </c>
      <c r="T68" s="4" t="str">
        <f>HYPERLINK("http://141.218.60.56/~jnz1568/getInfo.php?workbook=10_01.xlsx&amp;sheet=A0&amp;row=68&amp;col=20&amp;number=&amp;sourceID=12","")</f>
        <v/>
      </c>
      <c r="U68" s="4" t="str">
        <f>HYPERLINK("http://141.218.60.56/~jnz1568/getInfo.php?workbook=10_01.xlsx&amp;sheet=A0&amp;row=68&amp;col=21&amp;number=96720004538&amp;sourceID=30","96720004538")</f>
        <v>96720004538</v>
      </c>
      <c r="V68" s="4" t="str">
        <f>HYPERLINK("http://141.218.60.56/~jnz1568/getInfo.php?workbook=10_01.xlsx&amp;sheet=A0&amp;row=68&amp;col=22&amp;number=96720000000&amp;sourceID=30","96720000000")</f>
        <v>96720000000</v>
      </c>
      <c r="W68" s="4" t="str">
        <f>HYPERLINK("http://141.218.60.56/~jnz1568/getInfo.php?workbook=10_01.xlsx&amp;sheet=A0&amp;row=68&amp;col=23&amp;number=&amp;sourceID=30","")</f>
        <v/>
      </c>
      <c r="X68" s="4" t="str">
        <f>HYPERLINK("http://141.218.60.56/~jnz1568/getInfo.php?workbook=10_01.xlsx&amp;sheet=A0&amp;row=68&amp;col=24&amp;number=&amp;sourceID=30","")</f>
        <v/>
      </c>
      <c r="Y68" s="4" t="str">
        <f>HYPERLINK("http://141.218.60.56/~jnz1568/getInfo.php?workbook=10_01.xlsx&amp;sheet=A0&amp;row=68&amp;col=25&amp;number=4538&amp;sourceID=30","4538")</f>
        <v>4538</v>
      </c>
      <c r="Z68" s="4" t="str">
        <f>HYPERLINK("http://141.218.60.56/~jnz1568/getInfo.php?workbook=10_01.xlsx&amp;sheet=A0&amp;row=68&amp;col=26&amp;number==&amp;sourceID=13","=")</f>
        <v>=</v>
      </c>
      <c r="AA68" s="4" t="str">
        <f>HYPERLINK("http://141.218.60.56/~jnz1568/getInfo.php?workbook=10_01.xlsx&amp;sheet=A0&amp;row=68&amp;col=27&amp;number=95500000000&amp;sourceID=13","95500000000")</f>
        <v>95500000000</v>
      </c>
      <c r="AB68" s="4" t="str">
        <f>HYPERLINK("http://141.218.60.56/~jnz1568/getInfo.php?workbook=10_01.xlsx&amp;sheet=A0&amp;row=68&amp;col=28&amp;number=&amp;sourceID=13","")</f>
        <v/>
      </c>
      <c r="AC68" s="4" t="str">
        <f>HYPERLINK("http://141.218.60.56/~jnz1568/getInfo.php?workbook=10_01.xlsx&amp;sheet=A0&amp;row=68&amp;col=29&amp;number=&amp;sourceID=13","")</f>
        <v/>
      </c>
      <c r="AD68" s="4" t="str">
        <f>HYPERLINK("http://141.218.60.56/~jnz1568/getInfo.php?workbook=10_01.xlsx&amp;sheet=A0&amp;row=68&amp;col=30&amp;number=&amp;sourceID=13","")</f>
        <v/>
      </c>
      <c r="AE68" s="4" t="str">
        <f>HYPERLINK("http://141.218.60.56/~jnz1568/getInfo.php?workbook=10_01.xlsx&amp;sheet=A0&amp;row=68&amp;col=31&amp;number=&amp;sourceID=13","")</f>
        <v/>
      </c>
      <c r="AF68" s="4" t="str">
        <f>HYPERLINK("http://141.218.60.56/~jnz1568/getInfo.php?workbook=10_01.xlsx&amp;sheet=A0&amp;row=68&amp;col=32&amp;number=&amp;sourceID=20","")</f>
        <v/>
      </c>
    </row>
    <row r="69" spans="1:32">
      <c r="A69" s="3">
        <v>10</v>
      </c>
      <c r="B69" s="3">
        <v>1</v>
      </c>
      <c r="C69" s="3">
        <v>13</v>
      </c>
      <c r="D69" s="3">
        <v>4</v>
      </c>
      <c r="E69" s="3">
        <f>((1/(INDEX(E0!J$4:J$28,C69,1)-INDEX(E0!J$4:J$28,D69,1))))*100000000</f>
        <v>0</v>
      </c>
      <c r="F69" s="4" t="str">
        <f>HYPERLINK("http://141.218.60.56/~jnz1568/getInfo.php?workbook=10_01.xlsx&amp;sheet=A0&amp;row=69&amp;col=6&amp;number=&amp;sourceID=18","")</f>
        <v/>
      </c>
      <c r="G69" s="4" t="str">
        <f>HYPERLINK("http://141.218.60.56/~jnz1568/getInfo.php?workbook=10_01.xlsx&amp;sheet=A0&amp;row=69&amp;col=7&amp;number==&amp;sourceID=11","=")</f>
        <v>=</v>
      </c>
      <c r="H69" s="4" t="str">
        <f>HYPERLINK("http://141.218.60.56/~jnz1568/getInfo.php?workbook=10_01.xlsx&amp;sheet=A0&amp;row=69&amp;col=8&amp;number=&amp;sourceID=11","")</f>
        <v/>
      </c>
      <c r="I69" s="4" t="str">
        <f>HYPERLINK("http://141.218.60.56/~jnz1568/getInfo.php?workbook=10_01.xlsx&amp;sheet=A0&amp;row=69&amp;col=9&amp;number=5145900&amp;sourceID=11","5145900")</f>
        <v>5145900</v>
      </c>
      <c r="J69" s="4" t="str">
        <f>HYPERLINK("http://141.218.60.56/~jnz1568/getInfo.php?workbook=10_01.xlsx&amp;sheet=A0&amp;row=69&amp;col=10&amp;number=&amp;sourceID=11","")</f>
        <v/>
      </c>
      <c r="K69" s="4" t="str">
        <f>HYPERLINK("http://141.218.60.56/~jnz1568/getInfo.php?workbook=10_01.xlsx&amp;sheet=A0&amp;row=69&amp;col=11&amp;number=27.756&amp;sourceID=11","27.756")</f>
        <v>27.756</v>
      </c>
      <c r="L69" s="4" t="str">
        <f>HYPERLINK("http://141.218.60.56/~jnz1568/getInfo.php?workbook=10_01.xlsx&amp;sheet=A0&amp;row=69&amp;col=12&amp;number=&amp;sourceID=11","")</f>
        <v/>
      </c>
      <c r="M69" s="4" t="str">
        <f>HYPERLINK("http://141.218.60.56/~jnz1568/getInfo.php?workbook=10_01.xlsx&amp;sheet=A0&amp;row=69&amp;col=13&amp;number=0.51327&amp;sourceID=11","0.51327")</f>
        <v>0.51327</v>
      </c>
      <c r="N69" s="4" t="str">
        <f>HYPERLINK("http://141.218.60.56/~jnz1568/getInfo.php?workbook=10_01.xlsx&amp;sheet=A0&amp;row=69&amp;col=14&amp;number=5146000&amp;sourceID=12","5146000")</f>
        <v>5146000</v>
      </c>
      <c r="O69" s="4" t="str">
        <f>HYPERLINK("http://141.218.60.56/~jnz1568/getInfo.php?workbook=10_01.xlsx&amp;sheet=A0&amp;row=69&amp;col=15&amp;number=&amp;sourceID=12","")</f>
        <v/>
      </c>
      <c r="P69" s="4" t="str">
        <f>HYPERLINK("http://141.218.60.56/~jnz1568/getInfo.php?workbook=10_01.xlsx&amp;sheet=A0&amp;row=69&amp;col=16&amp;number=5146000&amp;sourceID=12","5146000")</f>
        <v>5146000</v>
      </c>
      <c r="Q69" s="4" t="str">
        <f>HYPERLINK("http://141.218.60.56/~jnz1568/getInfo.php?workbook=10_01.xlsx&amp;sheet=A0&amp;row=69&amp;col=17&amp;number=&amp;sourceID=12","")</f>
        <v/>
      </c>
      <c r="R69" s="4" t="str">
        <f>HYPERLINK("http://141.218.60.56/~jnz1568/getInfo.php?workbook=10_01.xlsx&amp;sheet=A0&amp;row=69&amp;col=18&amp;number=27.757&amp;sourceID=12","27.757")</f>
        <v>27.757</v>
      </c>
      <c r="S69" s="4" t="str">
        <f>HYPERLINK("http://141.218.60.56/~jnz1568/getInfo.php?workbook=10_01.xlsx&amp;sheet=A0&amp;row=69&amp;col=19&amp;number=&amp;sourceID=12","")</f>
        <v/>
      </c>
      <c r="T69" s="4" t="str">
        <f>HYPERLINK("http://141.218.60.56/~jnz1568/getInfo.php?workbook=10_01.xlsx&amp;sheet=A0&amp;row=69&amp;col=20&amp;number=0.51329&amp;sourceID=12","0.51329")</f>
        <v>0.51329</v>
      </c>
      <c r="U69" s="4" t="str">
        <f>HYPERLINK("http://141.218.60.56/~jnz1568/getInfo.php?workbook=10_01.xlsx&amp;sheet=A0&amp;row=69&amp;col=21&amp;number=5146027.76&amp;sourceID=30","5146027.76")</f>
        <v>5146027.76</v>
      </c>
      <c r="V69" s="4" t="str">
        <f>HYPERLINK("http://141.218.60.56/~jnz1568/getInfo.php?workbook=10_01.xlsx&amp;sheet=A0&amp;row=69&amp;col=22&amp;number=&amp;sourceID=30","")</f>
        <v/>
      </c>
      <c r="W69" s="4" t="str">
        <f>HYPERLINK("http://141.218.60.56/~jnz1568/getInfo.php?workbook=10_01.xlsx&amp;sheet=A0&amp;row=69&amp;col=23&amp;number=5146000&amp;sourceID=30","5146000")</f>
        <v>5146000</v>
      </c>
      <c r="X69" s="4" t="str">
        <f>HYPERLINK("http://141.218.60.56/~jnz1568/getInfo.php?workbook=10_01.xlsx&amp;sheet=A0&amp;row=69&amp;col=24&amp;number=27.76&amp;sourceID=30","27.76")</f>
        <v>27.76</v>
      </c>
      <c r="Y69" s="4" t="str">
        <f>HYPERLINK("http://141.218.60.56/~jnz1568/getInfo.php?workbook=10_01.xlsx&amp;sheet=A0&amp;row=69&amp;col=25&amp;number=&amp;sourceID=30","")</f>
        <v/>
      </c>
      <c r="Z69" s="4" t="str">
        <f>HYPERLINK("http://141.218.60.56/~jnz1568/getInfo.php?workbook=10_01.xlsx&amp;sheet=A0&amp;row=69&amp;col=26&amp;number==&amp;sourceID=13","=")</f>
        <v>=</v>
      </c>
      <c r="AA69" s="4" t="str">
        <f>HYPERLINK("http://141.218.60.56/~jnz1568/getInfo.php?workbook=10_01.xlsx&amp;sheet=A0&amp;row=69&amp;col=27&amp;number=&amp;sourceID=13","")</f>
        <v/>
      </c>
      <c r="AB69" s="4" t="str">
        <f>HYPERLINK("http://141.218.60.56/~jnz1568/getInfo.php?workbook=10_01.xlsx&amp;sheet=A0&amp;row=69&amp;col=28&amp;number=5020000&amp;sourceID=13","5020000")</f>
        <v>5020000</v>
      </c>
      <c r="AC69" s="4" t="str">
        <f>HYPERLINK("http://141.218.60.56/~jnz1568/getInfo.php?workbook=10_01.xlsx&amp;sheet=A0&amp;row=69&amp;col=29&amp;number=&amp;sourceID=13","")</f>
        <v/>
      </c>
      <c r="AD69" s="4" t="str">
        <f>HYPERLINK("http://141.218.60.56/~jnz1568/getInfo.php?workbook=10_01.xlsx&amp;sheet=A0&amp;row=69&amp;col=30&amp;number=27.9&amp;sourceID=13","27.9")</f>
        <v>27.9</v>
      </c>
      <c r="AE69" s="4" t="str">
        <f>HYPERLINK("http://141.218.60.56/~jnz1568/getInfo.php?workbook=10_01.xlsx&amp;sheet=A0&amp;row=69&amp;col=31&amp;number=&amp;sourceID=13","")</f>
        <v/>
      </c>
      <c r="AF69" s="4" t="str">
        <f>HYPERLINK("http://141.218.60.56/~jnz1568/getInfo.php?workbook=10_01.xlsx&amp;sheet=A0&amp;row=69&amp;col=32&amp;number=&amp;sourceID=20","")</f>
        <v/>
      </c>
    </row>
    <row r="70" spans="1:32">
      <c r="A70" s="3">
        <v>10</v>
      </c>
      <c r="B70" s="3">
        <v>1</v>
      </c>
      <c r="C70" s="3">
        <v>13</v>
      </c>
      <c r="D70" s="3">
        <v>5</v>
      </c>
      <c r="E70" s="3">
        <f>((1/(INDEX(E0!J$4:J$28,C70,1)-INDEX(E0!J$4:J$28,D70,1))))*100000000</f>
        <v>0</v>
      </c>
      <c r="F70" s="4" t="str">
        <f>HYPERLINK("http://141.218.60.56/~jnz1568/getInfo.php?workbook=10_01.xlsx&amp;sheet=A0&amp;row=70&amp;col=6&amp;number=&amp;sourceID=18","")</f>
        <v/>
      </c>
      <c r="G70" s="4" t="str">
        <f>HYPERLINK("http://141.218.60.56/~jnz1568/getInfo.php?workbook=10_01.xlsx&amp;sheet=A0&amp;row=70&amp;col=7&amp;number==SUM(H70:M70)&amp;sourceID=11","=SUM(H70:M70)")</f>
        <v>=SUM(H70:M70)</v>
      </c>
      <c r="H70" s="4" t="str">
        <f>HYPERLINK("http://141.218.60.56/~jnz1568/getInfo.php?workbook=10_01.xlsx&amp;sheet=A0&amp;row=70&amp;col=8&amp;number=&amp;sourceID=11","")</f>
        <v/>
      </c>
      <c r="I70" s="4" t="str">
        <f>HYPERLINK("http://141.218.60.56/~jnz1568/getInfo.php?workbook=10_01.xlsx&amp;sheet=A0&amp;row=70&amp;col=9&amp;number=1278500&amp;sourceID=11","1278500")</f>
        <v>1278500</v>
      </c>
      <c r="J70" s="4" t="str">
        <f>HYPERLINK("http://141.218.60.56/~jnz1568/getInfo.php?workbook=10_01.xlsx&amp;sheet=A0&amp;row=70&amp;col=10&amp;number=&amp;sourceID=11","")</f>
        <v/>
      </c>
      <c r="K70" s="4" t="str">
        <f>HYPERLINK("http://141.218.60.56/~jnz1568/getInfo.php?workbook=10_01.xlsx&amp;sheet=A0&amp;row=70&amp;col=11&amp;number=1.9382&amp;sourceID=11","1.9382")</f>
        <v>1.9382</v>
      </c>
      <c r="L70" s="4" t="str">
        <f>HYPERLINK("http://141.218.60.56/~jnz1568/getInfo.php?workbook=10_01.xlsx&amp;sheet=A0&amp;row=70&amp;col=12&amp;number=&amp;sourceID=11","")</f>
        <v/>
      </c>
      <c r="M70" s="4" t="str">
        <f>HYPERLINK("http://141.218.60.56/~jnz1568/getInfo.php?workbook=10_01.xlsx&amp;sheet=A0&amp;row=70&amp;col=13&amp;number=&amp;sourceID=11","")</f>
        <v/>
      </c>
      <c r="N70" s="4" t="str">
        <f>HYPERLINK("http://141.218.60.56/~jnz1568/getInfo.php?workbook=10_01.xlsx&amp;sheet=A0&amp;row=70&amp;col=14&amp;number=1278600&amp;sourceID=12","1278600")</f>
        <v>1278600</v>
      </c>
      <c r="O70" s="4" t="str">
        <f>HYPERLINK("http://141.218.60.56/~jnz1568/getInfo.php?workbook=10_01.xlsx&amp;sheet=A0&amp;row=70&amp;col=15&amp;number=&amp;sourceID=12","")</f>
        <v/>
      </c>
      <c r="P70" s="4" t="str">
        <f>HYPERLINK("http://141.218.60.56/~jnz1568/getInfo.php?workbook=10_01.xlsx&amp;sheet=A0&amp;row=70&amp;col=16&amp;number=1278600&amp;sourceID=12","1278600")</f>
        <v>1278600</v>
      </c>
      <c r="Q70" s="4" t="str">
        <f>HYPERLINK("http://141.218.60.56/~jnz1568/getInfo.php?workbook=10_01.xlsx&amp;sheet=A0&amp;row=70&amp;col=17&amp;number=&amp;sourceID=12","")</f>
        <v/>
      </c>
      <c r="R70" s="4" t="str">
        <f>HYPERLINK("http://141.218.60.56/~jnz1568/getInfo.php?workbook=10_01.xlsx&amp;sheet=A0&amp;row=70&amp;col=18&amp;number=1.9383&amp;sourceID=12","1.9383")</f>
        <v>1.9383</v>
      </c>
      <c r="S70" s="4" t="str">
        <f>HYPERLINK("http://141.218.60.56/~jnz1568/getInfo.php?workbook=10_01.xlsx&amp;sheet=A0&amp;row=70&amp;col=19&amp;number=&amp;sourceID=12","")</f>
        <v/>
      </c>
      <c r="T70" s="4" t="str">
        <f>HYPERLINK("http://141.218.60.56/~jnz1568/getInfo.php?workbook=10_01.xlsx&amp;sheet=A0&amp;row=70&amp;col=20&amp;number=&amp;sourceID=12","")</f>
        <v/>
      </c>
      <c r="U70" s="4" t="str">
        <f>HYPERLINK("http://141.218.60.56/~jnz1568/getInfo.php?workbook=10_01.xlsx&amp;sheet=A0&amp;row=70&amp;col=21&amp;number=1279001.938&amp;sourceID=30","1279001.938")</f>
        <v>1279001.938</v>
      </c>
      <c r="V70" s="4" t="str">
        <f>HYPERLINK("http://141.218.60.56/~jnz1568/getInfo.php?workbook=10_01.xlsx&amp;sheet=A0&amp;row=70&amp;col=22&amp;number=&amp;sourceID=30","")</f>
        <v/>
      </c>
      <c r="W70" s="4" t="str">
        <f>HYPERLINK("http://141.218.60.56/~jnz1568/getInfo.php?workbook=10_01.xlsx&amp;sheet=A0&amp;row=70&amp;col=23&amp;number=1279000&amp;sourceID=30","1279000")</f>
        <v>1279000</v>
      </c>
      <c r="X70" s="4" t="str">
        <f>HYPERLINK("http://141.218.60.56/~jnz1568/getInfo.php?workbook=10_01.xlsx&amp;sheet=A0&amp;row=70&amp;col=24&amp;number=1.938&amp;sourceID=30","1.938")</f>
        <v>1.938</v>
      </c>
      <c r="Y70" s="4" t="str">
        <f>HYPERLINK("http://141.218.60.56/~jnz1568/getInfo.php?workbook=10_01.xlsx&amp;sheet=A0&amp;row=70&amp;col=25&amp;number=&amp;sourceID=30","")</f>
        <v/>
      </c>
      <c r="Z70" s="4" t="str">
        <f>HYPERLINK("http://141.218.60.56/~jnz1568/getInfo.php?workbook=10_01.xlsx&amp;sheet=A0&amp;row=70&amp;col=26&amp;number==&amp;sourceID=13","=")</f>
        <v>=</v>
      </c>
      <c r="AA70" s="4" t="str">
        <f>HYPERLINK("http://141.218.60.56/~jnz1568/getInfo.php?workbook=10_01.xlsx&amp;sheet=A0&amp;row=70&amp;col=27&amp;number=&amp;sourceID=13","")</f>
        <v/>
      </c>
      <c r="AB70" s="4" t="str">
        <f>HYPERLINK("http://141.218.60.56/~jnz1568/getInfo.php?workbook=10_01.xlsx&amp;sheet=A0&amp;row=70&amp;col=28&amp;number=1270000&amp;sourceID=13","1270000")</f>
        <v>1270000</v>
      </c>
      <c r="AC70" s="4" t="str">
        <f>HYPERLINK("http://141.218.60.56/~jnz1568/getInfo.php?workbook=10_01.xlsx&amp;sheet=A0&amp;row=70&amp;col=29&amp;number=&amp;sourceID=13","")</f>
        <v/>
      </c>
      <c r="AD70" s="4" t="str">
        <f>HYPERLINK("http://141.218.60.56/~jnz1568/getInfo.php?workbook=10_01.xlsx&amp;sheet=A0&amp;row=70&amp;col=30&amp;number=1.82&amp;sourceID=13","1.82")</f>
        <v>1.82</v>
      </c>
      <c r="AE70" s="4" t="str">
        <f>HYPERLINK("http://141.218.60.56/~jnz1568/getInfo.php?workbook=10_01.xlsx&amp;sheet=A0&amp;row=70&amp;col=31&amp;number=&amp;sourceID=13","")</f>
        <v/>
      </c>
      <c r="AF70" s="4" t="str">
        <f>HYPERLINK("http://141.218.60.56/~jnz1568/getInfo.php?workbook=10_01.xlsx&amp;sheet=A0&amp;row=70&amp;col=32&amp;number=&amp;sourceID=20","")</f>
        <v/>
      </c>
    </row>
    <row r="71" spans="1:32">
      <c r="A71" s="3">
        <v>10</v>
      </c>
      <c r="B71" s="3">
        <v>1</v>
      </c>
      <c r="C71" s="3">
        <v>13</v>
      </c>
      <c r="D71" s="3">
        <v>6</v>
      </c>
      <c r="E71" s="3">
        <f>((1/(INDEX(E0!J$4:J$28,C71,1)-INDEX(E0!J$4:J$28,D71,1))))*100000000</f>
        <v>0</v>
      </c>
      <c r="F71" s="4" t="str">
        <f>HYPERLINK("http://141.218.60.56/~jnz1568/getInfo.php?workbook=10_01.xlsx&amp;sheet=A0&amp;row=71&amp;col=6&amp;number=&amp;sourceID=18","")</f>
        <v/>
      </c>
      <c r="G71" s="4" t="str">
        <f>HYPERLINK("http://141.218.60.56/~jnz1568/getInfo.php?workbook=10_01.xlsx&amp;sheet=A0&amp;row=71&amp;col=7&amp;number==&amp;sourceID=11","=")</f>
        <v>=</v>
      </c>
      <c r="H71" s="4" t="str">
        <f>HYPERLINK("http://141.218.60.56/~jnz1568/getInfo.php?workbook=10_01.xlsx&amp;sheet=A0&amp;row=71&amp;col=8&amp;number=30584000000&amp;sourceID=11","30584000000")</f>
        <v>30584000000</v>
      </c>
      <c r="I71" s="4" t="str">
        <f>HYPERLINK("http://141.218.60.56/~jnz1568/getInfo.php?workbook=10_01.xlsx&amp;sheet=A0&amp;row=71&amp;col=9&amp;number=&amp;sourceID=11","")</f>
        <v/>
      </c>
      <c r="J71" s="4" t="str">
        <f>HYPERLINK("http://141.218.60.56/~jnz1568/getInfo.php?workbook=10_01.xlsx&amp;sheet=A0&amp;row=71&amp;col=10&amp;number=&amp;sourceID=11","")</f>
        <v/>
      </c>
      <c r="K71" s="4" t="str">
        <f>HYPERLINK("http://141.218.60.56/~jnz1568/getInfo.php?workbook=10_01.xlsx&amp;sheet=A0&amp;row=71&amp;col=11&amp;number=&amp;sourceID=11","")</f>
        <v/>
      </c>
      <c r="L71" s="4" t="str">
        <f>HYPERLINK("http://141.218.60.56/~jnz1568/getInfo.php?workbook=10_01.xlsx&amp;sheet=A0&amp;row=71&amp;col=12&amp;number=96.562&amp;sourceID=11","96.562")</f>
        <v>96.562</v>
      </c>
      <c r="M71" s="4" t="str">
        <f>HYPERLINK("http://141.218.60.56/~jnz1568/getInfo.php?workbook=10_01.xlsx&amp;sheet=A0&amp;row=71&amp;col=13&amp;number=&amp;sourceID=11","")</f>
        <v/>
      </c>
      <c r="N71" s="4" t="str">
        <f>HYPERLINK("http://141.218.60.56/~jnz1568/getInfo.php?workbook=10_01.xlsx&amp;sheet=A0&amp;row=71&amp;col=14&amp;number=30585000000&amp;sourceID=12","30585000000")</f>
        <v>30585000000</v>
      </c>
      <c r="O71" s="4" t="str">
        <f>HYPERLINK("http://141.218.60.56/~jnz1568/getInfo.php?workbook=10_01.xlsx&amp;sheet=A0&amp;row=71&amp;col=15&amp;number=30585000000&amp;sourceID=12","30585000000")</f>
        <v>30585000000</v>
      </c>
      <c r="P71" s="4" t="str">
        <f>HYPERLINK("http://141.218.60.56/~jnz1568/getInfo.php?workbook=10_01.xlsx&amp;sheet=A0&amp;row=71&amp;col=16&amp;number=&amp;sourceID=12","")</f>
        <v/>
      </c>
      <c r="Q71" s="4" t="str">
        <f>HYPERLINK("http://141.218.60.56/~jnz1568/getInfo.php?workbook=10_01.xlsx&amp;sheet=A0&amp;row=71&amp;col=17&amp;number=&amp;sourceID=12","")</f>
        <v/>
      </c>
      <c r="R71" s="4" t="str">
        <f>HYPERLINK("http://141.218.60.56/~jnz1568/getInfo.php?workbook=10_01.xlsx&amp;sheet=A0&amp;row=71&amp;col=18&amp;number=&amp;sourceID=12","")</f>
        <v/>
      </c>
      <c r="S71" s="4" t="str">
        <f>HYPERLINK("http://141.218.60.56/~jnz1568/getInfo.php?workbook=10_01.xlsx&amp;sheet=A0&amp;row=71&amp;col=19&amp;number=96.564&amp;sourceID=12","96.564")</f>
        <v>96.564</v>
      </c>
      <c r="T71" s="4" t="str">
        <f>HYPERLINK("http://141.218.60.56/~jnz1568/getInfo.php?workbook=10_01.xlsx&amp;sheet=A0&amp;row=71&amp;col=20&amp;number=&amp;sourceID=12","")</f>
        <v/>
      </c>
      <c r="U71" s="4" t="str">
        <f>HYPERLINK("http://141.218.60.56/~jnz1568/getInfo.php?workbook=10_01.xlsx&amp;sheet=A0&amp;row=71&amp;col=21&amp;number=30580000096.6&amp;sourceID=30","30580000096.6")</f>
        <v>30580000096.6</v>
      </c>
      <c r="V71" s="4" t="str">
        <f>HYPERLINK("http://141.218.60.56/~jnz1568/getInfo.php?workbook=10_01.xlsx&amp;sheet=A0&amp;row=71&amp;col=22&amp;number=30580000000&amp;sourceID=30","30580000000")</f>
        <v>30580000000</v>
      </c>
      <c r="W71" s="4" t="str">
        <f>HYPERLINK("http://141.218.60.56/~jnz1568/getInfo.php?workbook=10_01.xlsx&amp;sheet=A0&amp;row=71&amp;col=23&amp;number=&amp;sourceID=30","")</f>
        <v/>
      </c>
      <c r="X71" s="4" t="str">
        <f>HYPERLINK("http://141.218.60.56/~jnz1568/getInfo.php?workbook=10_01.xlsx&amp;sheet=A0&amp;row=71&amp;col=24&amp;number=&amp;sourceID=30","")</f>
        <v/>
      </c>
      <c r="Y71" s="4" t="str">
        <f>HYPERLINK("http://141.218.60.56/~jnz1568/getInfo.php?workbook=10_01.xlsx&amp;sheet=A0&amp;row=71&amp;col=25&amp;number=96.56&amp;sourceID=30","96.56")</f>
        <v>96.56</v>
      </c>
      <c r="Z71" s="4" t="str">
        <f>HYPERLINK("http://141.218.60.56/~jnz1568/getInfo.php?workbook=10_01.xlsx&amp;sheet=A0&amp;row=71&amp;col=26&amp;number==&amp;sourceID=13","=")</f>
        <v>=</v>
      </c>
      <c r="AA71" s="4" t="str">
        <f>HYPERLINK("http://141.218.60.56/~jnz1568/getInfo.php?workbook=10_01.xlsx&amp;sheet=A0&amp;row=71&amp;col=27&amp;number=30400000000&amp;sourceID=13","30400000000")</f>
        <v>30400000000</v>
      </c>
      <c r="AB71" s="4" t="str">
        <f>HYPERLINK("http://141.218.60.56/~jnz1568/getInfo.php?workbook=10_01.xlsx&amp;sheet=A0&amp;row=71&amp;col=28&amp;number=&amp;sourceID=13","")</f>
        <v/>
      </c>
      <c r="AC71" s="4" t="str">
        <f>HYPERLINK("http://141.218.60.56/~jnz1568/getInfo.php?workbook=10_01.xlsx&amp;sheet=A0&amp;row=71&amp;col=29&amp;number=&amp;sourceID=13","")</f>
        <v/>
      </c>
      <c r="AD71" s="4" t="str">
        <f>HYPERLINK("http://141.218.60.56/~jnz1568/getInfo.php?workbook=10_01.xlsx&amp;sheet=A0&amp;row=71&amp;col=30&amp;number=&amp;sourceID=13","")</f>
        <v/>
      </c>
      <c r="AE71" s="4" t="str">
        <f>HYPERLINK("http://141.218.60.56/~jnz1568/getInfo.php?workbook=10_01.xlsx&amp;sheet=A0&amp;row=71&amp;col=31&amp;number=&amp;sourceID=13","")</f>
        <v/>
      </c>
      <c r="AF71" s="4" t="str">
        <f>HYPERLINK("http://141.218.60.56/~jnz1568/getInfo.php?workbook=10_01.xlsx&amp;sheet=A0&amp;row=71&amp;col=32&amp;number=&amp;sourceID=20","")</f>
        <v/>
      </c>
    </row>
    <row r="72" spans="1:32">
      <c r="A72" s="3">
        <v>10</v>
      </c>
      <c r="B72" s="3">
        <v>1</v>
      </c>
      <c r="C72" s="3">
        <v>13</v>
      </c>
      <c r="D72" s="3">
        <v>7</v>
      </c>
      <c r="E72" s="3">
        <f>((1/(INDEX(E0!J$4:J$28,C72,1)-INDEX(E0!J$4:J$28,D72,1))))*100000000</f>
        <v>0</v>
      </c>
      <c r="F72" s="4" t="str">
        <f>HYPERLINK("http://141.218.60.56/~jnz1568/getInfo.php?workbook=10_01.xlsx&amp;sheet=A0&amp;row=72&amp;col=6&amp;number=&amp;sourceID=18","")</f>
        <v/>
      </c>
      <c r="G72" s="4" t="str">
        <f>HYPERLINK("http://141.218.60.56/~jnz1568/getInfo.php?workbook=10_01.xlsx&amp;sheet=A0&amp;row=72&amp;col=7&amp;number==&amp;sourceID=11","=")</f>
        <v>=</v>
      </c>
      <c r="H72" s="4" t="str">
        <f>HYPERLINK("http://141.218.60.56/~jnz1568/getInfo.php?workbook=10_01.xlsx&amp;sheet=A0&amp;row=72&amp;col=8&amp;number=348090000&amp;sourceID=11","348090000")</f>
        <v>348090000</v>
      </c>
      <c r="I72" s="4" t="str">
        <f>HYPERLINK("http://141.218.60.56/~jnz1568/getInfo.php?workbook=10_01.xlsx&amp;sheet=A0&amp;row=72&amp;col=9&amp;number=&amp;sourceID=11","")</f>
        <v/>
      </c>
      <c r="J72" s="4" t="str">
        <f>HYPERLINK("http://141.218.60.56/~jnz1568/getInfo.php?workbook=10_01.xlsx&amp;sheet=A0&amp;row=72&amp;col=10&amp;number=28.196&amp;sourceID=11","28.196")</f>
        <v>28.196</v>
      </c>
      <c r="K72" s="4" t="str">
        <f>HYPERLINK("http://141.218.60.56/~jnz1568/getInfo.php?workbook=10_01.xlsx&amp;sheet=A0&amp;row=72&amp;col=11&amp;number=&amp;sourceID=11","")</f>
        <v/>
      </c>
      <c r="L72" s="4" t="str">
        <f>HYPERLINK("http://141.218.60.56/~jnz1568/getInfo.php?workbook=10_01.xlsx&amp;sheet=A0&amp;row=72&amp;col=12&amp;number=&amp;sourceID=11","")</f>
        <v/>
      </c>
      <c r="M72" s="4" t="str">
        <f>HYPERLINK("http://141.218.60.56/~jnz1568/getInfo.php?workbook=10_01.xlsx&amp;sheet=A0&amp;row=72&amp;col=13&amp;number=&amp;sourceID=11","")</f>
        <v/>
      </c>
      <c r="N72" s="4" t="str">
        <f>HYPERLINK("http://141.218.60.56/~jnz1568/getInfo.php?workbook=10_01.xlsx&amp;sheet=A0&amp;row=72&amp;col=14&amp;number=348100000&amp;sourceID=12","348100000")</f>
        <v>348100000</v>
      </c>
      <c r="O72" s="4" t="str">
        <f>HYPERLINK("http://141.218.60.56/~jnz1568/getInfo.php?workbook=10_01.xlsx&amp;sheet=A0&amp;row=72&amp;col=15&amp;number=348100000&amp;sourceID=12","348100000")</f>
        <v>348100000</v>
      </c>
      <c r="P72" s="4" t="str">
        <f>HYPERLINK("http://141.218.60.56/~jnz1568/getInfo.php?workbook=10_01.xlsx&amp;sheet=A0&amp;row=72&amp;col=16&amp;number=&amp;sourceID=12","")</f>
        <v/>
      </c>
      <c r="Q72" s="4" t="str">
        <f>HYPERLINK("http://141.218.60.56/~jnz1568/getInfo.php?workbook=10_01.xlsx&amp;sheet=A0&amp;row=72&amp;col=17&amp;number=28.196&amp;sourceID=12","28.196")</f>
        <v>28.196</v>
      </c>
      <c r="R72" s="4" t="str">
        <f>HYPERLINK("http://141.218.60.56/~jnz1568/getInfo.php?workbook=10_01.xlsx&amp;sheet=A0&amp;row=72&amp;col=18&amp;number=&amp;sourceID=12","")</f>
        <v/>
      </c>
      <c r="S72" s="4" t="str">
        <f>HYPERLINK("http://141.218.60.56/~jnz1568/getInfo.php?workbook=10_01.xlsx&amp;sheet=A0&amp;row=72&amp;col=19&amp;number=&amp;sourceID=12","")</f>
        <v/>
      </c>
      <c r="T72" s="4" t="str">
        <f>HYPERLINK("http://141.218.60.56/~jnz1568/getInfo.php?workbook=10_01.xlsx&amp;sheet=A0&amp;row=72&amp;col=20&amp;number=&amp;sourceID=12","")</f>
        <v/>
      </c>
      <c r="U72" s="4" t="str">
        <f>HYPERLINK("http://141.218.60.56/~jnz1568/getInfo.php?workbook=10_01.xlsx&amp;sheet=A0&amp;row=72&amp;col=21&amp;number=348100000&amp;sourceID=30","348100000")</f>
        <v>348100000</v>
      </c>
      <c r="V72" s="4" t="str">
        <f>HYPERLINK("http://141.218.60.56/~jnz1568/getInfo.php?workbook=10_01.xlsx&amp;sheet=A0&amp;row=72&amp;col=22&amp;number=348100000&amp;sourceID=30","348100000")</f>
        <v>348100000</v>
      </c>
      <c r="W72" s="4" t="str">
        <f>HYPERLINK("http://141.218.60.56/~jnz1568/getInfo.php?workbook=10_01.xlsx&amp;sheet=A0&amp;row=72&amp;col=23&amp;number=&amp;sourceID=30","")</f>
        <v/>
      </c>
      <c r="X72" s="4" t="str">
        <f>HYPERLINK("http://141.218.60.56/~jnz1568/getInfo.php?workbook=10_01.xlsx&amp;sheet=A0&amp;row=72&amp;col=24&amp;number=&amp;sourceID=30","")</f>
        <v/>
      </c>
      <c r="Y72" s="4" t="str">
        <f>HYPERLINK("http://141.218.60.56/~jnz1568/getInfo.php?workbook=10_01.xlsx&amp;sheet=A0&amp;row=72&amp;col=25&amp;number=&amp;sourceID=30","")</f>
        <v/>
      </c>
      <c r="Z72" s="4" t="str">
        <f>HYPERLINK("http://141.218.60.56/~jnz1568/getInfo.php?workbook=10_01.xlsx&amp;sheet=A0&amp;row=72&amp;col=26&amp;number==&amp;sourceID=13","=")</f>
        <v>=</v>
      </c>
      <c r="AA72" s="4" t="str">
        <f>HYPERLINK("http://141.218.60.56/~jnz1568/getInfo.php?workbook=10_01.xlsx&amp;sheet=A0&amp;row=72&amp;col=27&amp;number=344000000&amp;sourceID=13","344000000")</f>
        <v>344000000</v>
      </c>
      <c r="AB72" s="4" t="str">
        <f>HYPERLINK("http://141.218.60.56/~jnz1568/getInfo.php?workbook=10_01.xlsx&amp;sheet=A0&amp;row=72&amp;col=28&amp;number=&amp;sourceID=13","")</f>
        <v/>
      </c>
      <c r="AC72" s="4" t="str">
        <f>HYPERLINK("http://141.218.60.56/~jnz1568/getInfo.php?workbook=10_01.xlsx&amp;sheet=A0&amp;row=72&amp;col=29&amp;number=&amp;sourceID=13","")</f>
        <v/>
      </c>
      <c r="AD72" s="4" t="str">
        <f>HYPERLINK("http://141.218.60.56/~jnz1568/getInfo.php?workbook=10_01.xlsx&amp;sheet=A0&amp;row=72&amp;col=30&amp;number=&amp;sourceID=13","")</f>
        <v/>
      </c>
      <c r="AE72" s="4" t="str">
        <f>HYPERLINK("http://141.218.60.56/~jnz1568/getInfo.php?workbook=10_01.xlsx&amp;sheet=A0&amp;row=72&amp;col=31&amp;number=&amp;sourceID=13","")</f>
        <v/>
      </c>
      <c r="AF72" s="4" t="str">
        <f>HYPERLINK("http://141.218.60.56/~jnz1568/getInfo.php?workbook=10_01.xlsx&amp;sheet=A0&amp;row=72&amp;col=32&amp;number=&amp;sourceID=20","")</f>
        <v/>
      </c>
    </row>
    <row r="73" spans="1:32">
      <c r="A73" s="3">
        <v>10</v>
      </c>
      <c r="B73" s="3">
        <v>1</v>
      </c>
      <c r="C73" s="3">
        <v>13</v>
      </c>
      <c r="D73" s="3">
        <v>8</v>
      </c>
      <c r="E73" s="3">
        <f>((1/(INDEX(E0!J$4:J$28,C73,1)-INDEX(E0!J$4:J$28,D73,1))))*100000000</f>
        <v>0</v>
      </c>
      <c r="F73" s="4" t="str">
        <f>HYPERLINK("http://141.218.60.56/~jnz1568/getInfo.php?workbook=10_01.xlsx&amp;sheet=A0&amp;row=73&amp;col=6&amp;number=&amp;sourceID=18","")</f>
        <v/>
      </c>
      <c r="G73" s="4" t="str">
        <f>HYPERLINK("http://141.218.60.56/~jnz1568/getInfo.php?workbook=10_01.xlsx&amp;sheet=A0&amp;row=73&amp;col=7&amp;number==&amp;sourceID=11","=")</f>
        <v>=</v>
      </c>
      <c r="H73" s="4" t="str">
        <f>HYPERLINK("http://141.218.60.56/~jnz1568/getInfo.php?workbook=10_01.xlsx&amp;sheet=A0&amp;row=73&amp;col=8&amp;number=&amp;sourceID=11","")</f>
        <v/>
      </c>
      <c r="I73" s="4" t="str">
        <f>HYPERLINK("http://141.218.60.56/~jnz1568/getInfo.php?workbook=10_01.xlsx&amp;sheet=A0&amp;row=73&amp;col=9&amp;number=1276400&amp;sourceID=11","1276400")</f>
        <v>1276400</v>
      </c>
      <c r="J73" s="4" t="str">
        <f>HYPERLINK("http://141.218.60.56/~jnz1568/getInfo.php?workbook=10_01.xlsx&amp;sheet=A0&amp;row=73&amp;col=10&amp;number=&amp;sourceID=11","")</f>
        <v/>
      </c>
      <c r="K73" s="4" t="str">
        <f>HYPERLINK("http://141.218.60.56/~jnz1568/getInfo.php?workbook=10_01.xlsx&amp;sheet=A0&amp;row=73&amp;col=11&amp;number=0.46248&amp;sourceID=11","0.46248")</f>
        <v>0.46248</v>
      </c>
      <c r="L73" s="4" t="str">
        <f>HYPERLINK("http://141.218.60.56/~jnz1568/getInfo.php?workbook=10_01.xlsx&amp;sheet=A0&amp;row=73&amp;col=12&amp;number=&amp;sourceID=11","")</f>
        <v/>
      </c>
      <c r="M73" s="4" t="str">
        <f>HYPERLINK("http://141.218.60.56/~jnz1568/getInfo.php?workbook=10_01.xlsx&amp;sheet=A0&amp;row=73&amp;col=13&amp;number=0.0085616&amp;sourceID=11","0.0085616")</f>
        <v>0.0085616</v>
      </c>
      <c r="N73" s="4" t="str">
        <f>HYPERLINK("http://141.218.60.56/~jnz1568/getInfo.php?workbook=10_01.xlsx&amp;sheet=A0&amp;row=73&amp;col=14&amp;number=1276400&amp;sourceID=12","1276400")</f>
        <v>1276400</v>
      </c>
      <c r="O73" s="4" t="str">
        <f>HYPERLINK("http://141.218.60.56/~jnz1568/getInfo.php?workbook=10_01.xlsx&amp;sheet=A0&amp;row=73&amp;col=15&amp;number=&amp;sourceID=12","")</f>
        <v/>
      </c>
      <c r="P73" s="4" t="str">
        <f>HYPERLINK("http://141.218.60.56/~jnz1568/getInfo.php?workbook=10_01.xlsx&amp;sheet=A0&amp;row=73&amp;col=16&amp;number=1276400&amp;sourceID=12","1276400")</f>
        <v>1276400</v>
      </c>
      <c r="Q73" s="4" t="str">
        <f>HYPERLINK("http://141.218.60.56/~jnz1568/getInfo.php?workbook=10_01.xlsx&amp;sheet=A0&amp;row=73&amp;col=17&amp;number=&amp;sourceID=12","")</f>
        <v/>
      </c>
      <c r="R73" s="4" t="str">
        <f>HYPERLINK("http://141.218.60.56/~jnz1568/getInfo.php?workbook=10_01.xlsx&amp;sheet=A0&amp;row=73&amp;col=18&amp;number=0.46249&amp;sourceID=12","0.46249")</f>
        <v>0.46249</v>
      </c>
      <c r="S73" s="4" t="str">
        <f>HYPERLINK("http://141.218.60.56/~jnz1568/getInfo.php?workbook=10_01.xlsx&amp;sheet=A0&amp;row=73&amp;col=19&amp;number=&amp;sourceID=12","")</f>
        <v/>
      </c>
      <c r="T73" s="4" t="str">
        <f>HYPERLINK("http://141.218.60.56/~jnz1568/getInfo.php?workbook=10_01.xlsx&amp;sheet=A0&amp;row=73&amp;col=20&amp;number=0.0085618&amp;sourceID=12","0.0085618")</f>
        <v>0.0085618</v>
      </c>
      <c r="U73" s="4" t="str">
        <f>HYPERLINK("http://141.218.60.56/~jnz1568/getInfo.php?workbook=10_01.xlsx&amp;sheet=A0&amp;row=73&amp;col=21&amp;number=1276000.4624&amp;sourceID=30","1276000.4624")</f>
        <v>1276000.4624</v>
      </c>
      <c r="V73" s="4" t="str">
        <f>HYPERLINK("http://141.218.60.56/~jnz1568/getInfo.php?workbook=10_01.xlsx&amp;sheet=A0&amp;row=73&amp;col=22&amp;number=&amp;sourceID=30","")</f>
        <v/>
      </c>
      <c r="W73" s="4" t="str">
        <f>HYPERLINK("http://141.218.60.56/~jnz1568/getInfo.php?workbook=10_01.xlsx&amp;sheet=A0&amp;row=73&amp;col=23&amp;number=1276000&amp;sourceID=30","1276000")</f>
        <v>1276000</v>
      </c>
      <c r="X73" s="4" t="str">
        <f>HYPERLINK("http://141.218.60.56/~jnz1568/getInfo.php?workbook=10_01.xlsx&amp;sheet=A0&amp;row=73&amp;col=24&amp;number=0.4624&amp;sourceID=30","0.4624")</f>
        <v>0.4624</v>
      </c>
      <c r="Y73" s="4" t="str">
        <f>HYPERLINK("http://141.218.60.56/~jnz1568/getInfo.php?workbook=10_01.xlsx&amp;sheet=A0&amp;row=73&amp;col=25&amp;number=&amp;sourceID=30","")</f>
        <v/>
      </c>
      <c r="Z73" s="4" t="str">
        <f>HYPERLINK("http://141.218.60.56/~jnz1568/getInfo.php?workbook=10_01.xlsx&amp;sheet=A0&amp;row=73&amp;col=26&amp;number==&amp;sourceID=13","=")</f>
        <v>=</v>
      </c>
      <c r="AA73" s="4" t="str">
        <f>HYPERLINK("http://141.218.60.56/~jnz1568/getInfo.php?workbook=10_01.xlsx&amp;sheet=A0&amp;row=73&amp;col=27&amp;number=&amp;sourceID=13","")</f>
        <v/>
      </c>
      <c r="AB73" s="4" t="str">
        <f>HYPERLINK("http://141.218.60.56/~jnz1568/getInfo.php?workbook=10_01.xlsx&amp;sheet=A0&amp;row=73&amp;col=28&amp;number=1270000&amp;sourceID=13","1270000")</f>
        <v>1270000</v>
      </c>
      <c r="AC73" s="4" t="str">
        <f>HYPERLINK("http://141.218.60.56/~jnz1568/getInfo.php?workbook=10_01.xlsx&amp;sheet=A0&amp;row=73&amp;col=29&amp;number=&amp;sourceID=13","")</f>
        <v/>
      </c>
      <c r="AD73" s="4" t="str">
        <f>HYPERLINK("http://141.218.60.56/~jnz1568/getInfo.php?workbook=10_01.xlsx&amp;sheet=A0&amp;row=73&amp;col=30&amp;number=0.461&amp;sourceID=13","0.461")</f>
        <v>0.461</v>
      </c>
      <c r="AE73" s="4" t="str">
        <f>HYPERLINK("http://141.218.60.56/~jnz1568/getInfo.php?workbook=10_01.xlsx&amp;sheet=A0&amp;row=73&amp;col=31&amp;number=&amp;sourceID=13","")</f>
        <v/>
      </c>
      <c r="AF73" s="4" t="str">
        <f>HYPERLINK("http://141.218.60.56/~jnz1568/getInfo.php?workbook=10_01.xlsx&amp;sheet=A0&amp;row=73&amp;col=32&amp;number=&amp;sourceID=20","")</f>
        <v/>
      </c>
    </row>
    <row r="74" spans="1:32">
      <c r="A74" s="3">
        <v>10</v>
      </c>
      <c r="B74" s="3">
        <v>1</v>
      </c>
      <c r="C74" s="3">
        <v>13</v>
      </c>
      <c r="D74" s="3">
        <v>9</v>
      </c>
      <c r="E74" s="3">
        <f>((1/(INDEX(E0!J$4:J$28,C74,1)-INDEX(E0!J$4:J$28,D74,1))))*100000000</f>
        <v>0</v>
      </c>
      <c r="F74" s="4" t="str">
        <f>HYPERLINK("http://141.218.60.56/~jnz1568/getInfo.php?workbook=10_01.xlsx&amp;sheet=A0&amp;row=74&amp;col=6&amp;number=&amp;sourceID=18","")</f>
        <v/>
      </c>
      <c r="G74" s="4" t="str">
        <f>HYPERLINK("http://141.218.60.56/~jnz1568/getInfo.php?workbook=10_01.xlsx&amp;sheet=A0&amp;row=74&amp;col=7&amp;number==&amp;sourceID=11","=")</f>
        <v>=</v>
      </c>
      <c r="H74" s="4" t="str">
        <f>HYPERLINK("http://141.218.60.56/~jnz1568/getInfo.php?workbook=10_01.xlsx&amp;sheet=A0&amp;row=74&amp;col=8&amp;number=3146900000&amp;sourceID=11","3146900000")</f>
        <v>3146900000</v>
      </c>
      <c r="I74" s="4" t="str">
        <f>HYPERLINK("http://141.218.60.56/~jnz1568/getInfo.php?workbook=10_01.xlsx&amp;sheet=A0&amp;row=74&amp;col=9&amp;number=&amp;sourceID=11","")</f>
        <v/>
      </c>
      <c r="J74" s="4" t="str">
        <f>HYPERLINK("http://141.218.60.56/~jnz1568/getInfo.php?workbook=10_01.xlsx&amp;sheet=A0&amp;row=74&amp;col=10&amp;number=18.764&amp;sourceID=11","18.764")</f>
        <v>18.764</v>
      </c>
      <c r="K74" s="4" t="str">
        <f>HYPERLINK("http://141.218.60.56/~jnz1568/getInfo.php?workbook=10_01.xlsx&amp;sheet=A0&amp;row=74&amp;col=11&amp;number=&amp;sourceID=11","")</f>
        <v/>
      </c>
      <c r="L74" s="4" t="str">
        <f>HYPERLINK("http://141.218.60.56/~jnz1568/getInfo.php?workbook=10_01.xlsx&amp;sheet=A0&amp;row=74&amp;col=12&amp;number=12.816&amp;sourceID=11","12.816")</f>
        <v>12.816</v>
      </c>
      <c r="M74" s="4" t="str">
        <f>HYPERLINK("http://141.218.60.56/~jnz1568/getInfo.php?workbook=10_01.xlsx&amp;sheet=A0&amp;row=74&amp;col=13&amp;number=&amp;sourceID=11","")</f>
        <v/>
      </c>
      <c r="N74" s="4" t="str">
        <f>HYPERLINK("http://141.218.60.56/~jnz1568/getInfo.php?workbook=10_01.xlsx&amp;sheet=A0&amp;row=74&amp;col=14&amp;number=3147000000&amp;sourceID=12","3147000000")</f>
        <v>3147000000</v>
      </c>
      <c r="O74" s="4" t="str">
        <f>HYPERLINK("http://141.218.60.56/~jnz1568/getInfo.php?workbook=10_01.xlsx&amp;sheet=A0&amp;row=74&amp;col=15&amp;number=3147000000&amp;sourceID=12","3147000000")</f>
        <v>3147000000</v>
      </c>
      <c r="P74" s="4" t="str">
        <f>HYPERLINK("http://141.218.60.56/~jnz1568/getInfo.php?workbook=10_01.xlsx&amp;sheet=A0&amp;row=74&amp;col=16&amp;number=&amp;sourceID=12","")</f>
        <v/>
      </c>
      <c r="Q74" s="4" t="str">
        <f>HYPERLINK("http://141.218.60.56/~jnz1568/getInfo.php?workbook=10_01.xlsx&amp;sheet=A0&amp;row=74&amp;col=17&amp;number=18.765&amp;sourceID=12","18.765")</f>
        <v>18.765</v>
      </c>
      <c r="R74" s="4" t="str">
        <f>HYPERLINK("http://141.218.60.56/~jnz1568/getInfo.php?workbook=10_01.xlsx&amp;sheet=A0&amp;row=74&amp;col=18&amp;number=&amp;sourceID=12","")</f>
        <v/>
      </c>
      <c r="S74" s="4" t="str">
        <f>HYPERLINK("http://141.218.60.56/~jnz1568/getInfo.php?workbook=10_01.xlsx&amp;sheet=A0&amp;row=74&amp;col=19&amp;number=12.816&amp;sourceID=12","12.816")</f>
        <v>12.816</v>
      </c>
      <c r="T74" s="4" t="str">
        <f>HYPERLINK("http://141.218.60.56/~jnz1568/getInfo.php?workbook=10_01.xlsx&amp;sheet=A0&amp;row=74&amp;col=20&amp;number=&amp;sourceID=12","")</f>
        <v/>
      </c>
      <c r="U74" s="4" t="str">
        <f>HYPERLINK("http://141.218.60.56/~jnz1568/getInfo.php?workbook=10_01.xlsx&amp;sheet=A0&amp;row=74&amp;col=21&amp;number=3147000012.82&amp;sourceID=30","3147000012.82")</f>
        <v>3147000012.82</v>
      </c>
      <c r="V74" s="4" t="str">
        <f>HYPERLINK("http://141.218.60.56/~jnz1568/getInfo.php?workbook=10_01.xlsx&amp;sheet=A0&amp;row=74&amp;col=22&amp;number=3147000000&amp;sourceID=30","3147000000")</f>
        <v>3147000000</v>
      </c>
      <c r="W74" s="4" t="str">
        <f>HYPERLINK("http://141.218.60.56/~jnz1568/getInfo.php?workbook=10_01.xlsx&amp;sheet=A0&amp;row=74&amp;col=23&amp;number=&amp;sourceID=30","")</f>
        <v/>
      </c>
      <c r="X74" s="4" t="str">
        <f>HYPERLINK("http://141.218.60.56/~jnz1568/getInfo.php?workbook=10_01.xlsx&amp;sheet=A0&amp;row=74&amp;col=24&amp;number=&amp;sourceID=30","")</f>
        <v/>
      </c>
      <c r="Y74" s="4" t="str">
        <f>HYPERLINK("http://141.218.60.56/~jnz1568/getInfo.php?workbook=10_01.xlsx&amp;sheet=A0&amp;row=74&amp;col=25&amp;number=12.82&amp;sourceID=30","12.82")</f>
        <v>12.82</v>
      </c>
      <c r="Z74" s="4" t="str">
        <f>HYPERLINK("http://141.218.60.56/~jnz1568/getInfo.php?workbook=10_01.xlsx&amp;sheet=A0&amp;row=74&amp;col=26&amp;number==&amp;sourceID=13","=")</f>
        <v>=</v>
      </c>
      <c r="AA74" s="4" t="str">
        <f>HYPERLINK("http://141.218.60.56/~jnz1568/getInfo.php?workbook=10_01.xlsx&amp;sheet=A0&amp;row=74&amp;col=27&amp;number=3130000000&amp;sourceID=13","3130000000")</f>
        <v>3130000000</v>
      </c>
      <c r="AB74" s="4" t="str">
        <f>HYPERLINK("http://141.218.60.56/~jnz1568/getInfo.php?workbook=10_01.xlsx&amp;sheet=A0&amp;row=74&amp;col=28&amp;number=&amp;sourceID=13","")</f>
        <v/>
      </c>
      <c r="AC74" s="4" t="str">
        <f>HYPERLINK("http://141.218.60.56/~jnz1568/getInfo.php?workbook=10_01.xlsx&amp;sheet=A0&amp;row=74&amp;col=29&amp;number=&amp;sourceID=13","")</f>
        <v/>
      </c>
      <c r="AD74" s="4" t="str">
        <f>HYPERLINK("http://141.218.60.56/~jnz1568/getInfo.php?workbook=10_01.xlsx&amp;sheet=A0&amp;row=74&amp;col=30&amp;number=&amp;sourceID=13","")</f>
        <v/>
      </c>
      <c r="AE74" s="4" t="str">
        <f>HYPERLINK("http://141.218.60.56/~jnz1568/getInfo.php?workbook=10_01.xlsx&amp;sheet=A0&amp;row=74&amp;col=31&amp;number=&amp;sourceID=13","")</f>
        <v/>
      </c>
      <c r="AF74" s="4" t="str">
        <f>HYPERLINK("http://141.218.60.56/~jnz1568/getInfo.php?workbook=10_01.xlsx&amp;sheet=A0&amp;row=74&amp;col=32&amp;number=&amp;sourceID=20","")</f>
        <v/>
      </c>
    </row>
    <row r="75" spans="1:32">
      <c r="A75" s="3">
        <v>10</v>
      </c>
      <c r="B75" s="3">
        <v>1</v>
      </c>
      <c r="C75" s="3">
        <v>13</v>
      </c>
      <c r="D75" s="3">
        <v>10</v>
      </c>
      <c r="E75" s="3">
        <f>((1/(INDEX(E0!J$4:J$28,C75,1)-INDEX(E0!J$4:J$28,D75,1))))*100000000</f>
        <v>0</v>
      </c>
      <c r="F75" s="4" t="str">
        <f>HYPERLINK("http://141.218.60.56/~jnz1568/getInfo.php?workbook=10_01.xlsx&amp;sheet=A0&amp;row=75&amp;col=6&amp;number=&amp;sourceID=18","")</f>
        <v/>
      </c>
      <c r="G75" s="4" t="str">
        <f>HYPERLINK("http://141.218.60.56/~jnz1568/getInfo.php?workbook=10_01.xlsx&amp;sheet=A0&amp;row=75&amp;col=7&amp;number==&amp;sourceID=11","=")</f>
        <v>=</v>
      </c>
      <c r="H75" s="4" t="str">
        <f>HYPERLINK("http://141.218.60.56/~jnz1568/getInfo.php?workbook=10_01.xlsx&amp;sheet=A0&amp;row=75&amp;col=8&amp;number=&amp;sourceID=11","")</f>
        <v/>
      </c>
      <c r="I75" s="4" t="str">
        <f>HYPERLINK("http://141.218.60.56/~jnz1568/getInfo.php?workbook=10_01.xlsx&amp;sheet=A0&amp;row=75&amp;col=9&amp;number=1.6207e-08&amp;sourceID=11","1.6207e-08")</f>
        <v>1.6207e-08</v>
      </c>
      <c r="J75" s="4" t="str">
        <f>HYPERLINK("http://141.218.60.56/~jnz1568/getInfo.php?workbook=10_01.xlsx&amp;sheet=A0&amp;row=75&amp;col=10&amp;number=&amp;sourceID=11","")</f>
        <v/>
      </c>
      <c r="K75" s="4" t="str">
        <f>HYPERLINK("http://141.218.60.56/~jnz1568/getInfo.php?workbook=10_01.xlsx&amp;sheet=A0&amp;row=75&amp;col=11&amp;number=0.00086397&amp;sourceID=11","0.00086397")</f>
        <v>0.00086397</v>
      </c>
      <c r="L75" s="4" t="str">
        <f>HYPERLINK("http://141.218.60.56/~jnz1568/getInfo.php?workbook=10_01.xlsx&amp;sheet=A0&amp;row=75&amp;col=12&amp;number=&amp;sourceID=11","")</f>
        <v/>
      </c>
      <c r="M75" s="4" t="str">
        <f>HYPERLINK("http://141.218.60.56/~jnz1568/getInfo.php?workbook=10_01.xlsx&amp;sheet=A0&amp;row=75&amp;col=13&amp;number=&amp;sourceID=11","")</f>
        <v/>
      </c>
      <c r="N75" s="4" t="str">
        <f>HYPERLINK("http://141.218.60.56/~jnz1568/getInfo.php?workbook=10_01.xlsx&amp;sheet=A0&amp;row=75&amp;col=14&amp;number=0.00086402&amp;sourceID=12","0.00086402")</f>
        <v>0.00086402</v>
      </c>
      <c r="O75" s="4" t="str">
        <f>HYPERLINK("http://141.218.60.56/~jnz1568/getInfo.php?workbook=10_01.xlsx&amp;sheet=A0&amp;row=75&amp;col=15&amp;number=&amp;sourceID=12","")</f>
        <v/>
      </c>
      <c r="P75" s="4" t="str">
        <f>HYPERLINK("http://141.218.60.56/~jnz1568/getInfo.php?workbook=10_01.xlsx&amp;sheet=A0&amp;row=75&amp;col=16&amp;number=1.6207e-08&amp;sourceID=12","1.6207e-08")</f>
        <v>1.6207e-08</v>
      </c>
      <c r="Q75" s="4" t="str">
        <f>HYPERLINK("http://141.218.60.56/~jnz1568/getInfo.php?workbook=10_01.xlsx&amp;sheet=A0&amp;row=75&amp;col=17&amp;number=&amp;sourceID=12","")</f>
        <v/>
      </c>
      <c r="R75" s="4" t="str">
        <f>HYPERLINK("http://141.218.60.56/~jnz1568/getInfo.php?workbook=10_01.xlsx&amp;sheet=A0&amp;row=75&amp;col=18&amp;number=0.000864&amp;sourceID=12","0.000864")</f>
        <v>0.000864</v>
      </c>
      <c r="S75" s="4" t="str">
        <f>HYPERLINK("http://141.218.60.56/~jnz1568/getInfo.php?workbook=10_01.xlsx&amp;sheet=A0&amp;row=75&amp;col=19&amp;number=&amp;sourceID=12","")</f>
        <v/>
      </c>
      <c r="T75" s="4" t="str">
        <f>HYPERLINK("http://141.218.60.56/~jnz1568/getInfo.php?workbook=10_01.xlsx&amp;sheet=A0&amp;row=75&amp;col=20&amp;number=&amp;sourceID=12","")</f>
        <v/>
      </c>
      <c r="U75" s="4" t="str">
        <f>HYPERLINK("http://141.218.60.56/~jnz1568/getInfo.php?workbook=10_01.xlsx&amp;sheet=A0&amp;row=75&amp;col=21&amp;number=0.00086401621&amp;sourceID=30","0.00086401621")</f>
        <v>0.00086401621</v>
      </c>
      <c r="V75" s="4" t="str">
        <f>HYPERLINK("http://141.218.60.56/~jnz1568/getInfo.php?workbook=10_01.xlsx&amp;sheet=A0&amp;row=75&amp;col=22&amp;number=&amp;sourceID=30","")</f>
        <v/>
      </c>
      <c r="W75" s="4" t="str">
        <f>HYPERLINK("http://141.218.60.56/~jnz1568/getInfo.php?workbook=10_01.xlsx&amp;sheet=A0&amp;row=75&amp;col=23&amp;number=1.621e-08&amp;sourceID=30","1.621e-08")</f>
        <v>1.621e-08</v>
      </c>
      <c r="X75" s="4" t="str">
        <f>HYPERLINK("http://141.218.60.56/~jnz1568/getInfo.php?workbook=10_01.xlsx&amp;sheet=A0&amp;row=75&amp;col=24&amp;number=0.000864&amp;sourceID=30","0.000864")</f>
        <v>0.000864</v>
      </c>
      <c r="Y75" s="4" t="str">
        <f>HYPERLINK("http://141.218.60.56/~jnz1568/getInfo.php?workbook=10_01.xlsx&amp;sheet=A0&amp;row=75&amp;col=25&amp;number=&amp;sourceID=30","")</f>
        <v/>
      </c>
      <c r="Z75" s="4" t="str">
        <f>HYPERLINK("http://141.218.60.56/~jnz1568/getInfo.php?workbook=10_01.xlsx&amp;sheet=A0&amp;row=75&amp;col=26&amp;number==&amp;sourceID=13","=")</f>
        <v>=</v>
      </c>
      <c r="AA75" s="4" t="str">
        <f>HYPERLINK("http://141.218.60.56/~jnz1568/getInfo.php?workbook=10_01.xlsx&amp;sheet=A0&amp;row=75&amp;col=27&amp;number=&amp;sourceID=13","")</f>
        <v/>
      </c>
      <c r="AB75" s="4" t="str">
        <f>HYPERLINK("http://141.218.60.56/~jnz1568/getInfo.php?workbook=10_01.xlsx&amp;sheet=A0&amp;row=75&amp;col=28&amp;number=1.55e-08&amp;sourceID=13","1.55e-08")</f>
        <v>1.55e-08</v>
      </c>
      <c r="AC75" s="4" t="str">
        <f>HYPERLINK("http://141.218.60.56/~jnz1568/getInfo.php?workbook=10_01.xlsx&amp;sheet=A0&amp;row=75&amp;col=29&amp;number=&amp;sourceID=13","")</f>
        <v/>
      </c>
      <c r="AD75" s="4" t="str">
        <f>HYPERLINK("http://141.218.60.56/~jnz1568/getInfo.php?workbook=10_01.xlsx&amp;sheet=A0&amp;row=75&amp;col=30&amp;number=0.000838&amp;sourceID=13","0.000838")</f>
        <v>0.000838</v>
      </c>
      <c r="AE75" s="4" t="str">
        <f>HYPERLINK("http://141.218.60.56/~jnz1568/getInfo.php?workbook=10_01.xlsx&amp;sheet=A0&amp;row=75&amp;col=31&amp;number=&amp;sourceID=13","")</f>
        <v/>
      </c>
      <c r="AF75" s="4" t="str">
        <f>HYPERLINK("http://141.218.60.56/~jnz1568/getInfo.php?workbook=10_01.xlsx&amp;sheet=A0&amp;row=75&amp;col=32&amp;number=&amp;sourceID=20","")</f>
        <v/>
      </c>
    </row>
    <row r="76" spans="1:32">
      <c r="A76" s="3">
        <v>10</v>
      </c>
      <c r="B76" s="3">
        <v>1</v>
      </c>
      <c r="C76" s="3">
        <v>13</v>
      </c>
      <c r="D76" s="3">
        <v>11</v>
      </c>
      <c r="E76" s="3">
        <f>((1/(INDEX(E0!J$4:J$28,C76,1)-INDEX(E0!J$4:J$28,D76,1))))*100000000</f>
        <v>0</v>
      </c>
      <c r="F76" s="4" t="str">
        <f>HYPERLINK("http://141.218.60.56/~jnz1568/getInfo.php?workbook=10_01.xlsx&amp;sheet=A0&amp;row=76&amp;col=6&amp;number=&amp;sourceID=18","")</f>
        <v/>
      </c>
      <c r="G76" s="4" t="str">
        <f>HYPERLINK("http://141.218.60.56/~jnz1568/getInfo.php?workbook=10_01.xlsx&amp;sheet=A0&amp;row=76&amp;col=7&amp;number==&amp;sourceID=11","=")</f>
        <v>=</v>
      </c>
      <c r="H76" s="4" t="str">
        <f>HYPERLINK("http://141.218.60.56/~jnz1568/getInfo.php?workbook=10_01.xlsx&amp;sheet=A0&amp;row=76&amp;col=8&amp;number=350.1&amp;sourceID=11","350.1")</f>
        <v>350.1</v>
      </c>
      <c r="I76" s="4" t="str">
        <f>HYPERLINK("http://141.218.60.56/~jnz1568/getInfo.php?workbook=10_01.xlsx&amp;sheet=A0&amp;row=76&amp;col=9&amp;number=&amp;sourceID=11","")</f>
        <v/>
      </c>
      <c r="J76" s="4" t="str">
        <f>HYPERLINK("http://141.218.60.56/~jnz1568/getInfo.php?workbook=10_01.xlsx&amp;sheet=A0&amp;row=76&amp;col=10&amp;number=&amp;sourceID=11","")</f>
        <v/>
      </c>
      <c r="K76" s="4" t="str">
        <f>HYPERLINK("http://141.218.60.56/~jnz1568/getInfo.php?workbook=10_01.xlsx&amp;sheet=A0&amp;row=76&amp;col=11&amp;number=&amp;sourceID=11","")</f>
        <v/>
      </c>
      <c r="L76" s="4" t="str">
        <f>HYPERLINK("http://141.218.60.56/~jnz1568/getInfo.php?workbook=10_01.xlsx&amp;sheet=A0&amp;row=76&amp;col=12&amp;number=8.11e-13&amp;sourceID=11","8.11e-13")</f>
        <v>8.11e-13</v>
      </c>
      <c r="M76" s="4" t="str">
        <f>HYPERLINK("http://141.218.60.56/~jnz1568/getInfo.php?workbook=10_01.xlsx&amp;sheet=A0&amp;row=76&amp;col=13&amp;number=&amp;sourceID=11","")</f>
        <v/>
      </c>
      <c r="N76" s="4" t="str">
        <f>HYPERLINK("http://141.218.60.56/~jnz1568/getInfo.php?workbook=10_01.xlsx&amp;sheet=A0&amp;row=76&amp;col=14&amp;number=350.12&amp;sourceID=12","350.12")</f>
        <v>350.12</v>
      </c>
      <c r="O76" s="4" t="str">
        <f>HYPERLINK("http://141.218.60.56/~jnz1568/getInfo.php?workbook=10_01.xlsx&amp;sheet=A0&amp;row=76&amp;col=15&amp;number=350.12&amp;sourceID=12","350.12")</f>
        <v>350.12</v>
      </c>
      <c r="P76" s="4" t="str">
        <f>HYPERLINK("http://141.218.60.56/~jnz1568/getInfo.php?workbook=10_01.xlsx&amp;sheet=A0&amp;row=76&amp;col=16&amp;number=&amp;sourceID=12","")</f>
        <v/>
      </c>
      <c r="Q76" s="4" t="str">
        <f>HYPERLINK("http://141.218.60.56/~jnz1568/getInfo.php?workbook=10_01.xlsx&amp;sheet=A0&amp;row=76&amp;col=17&amp;number=&amp;sourceID=12","")</f>
        <v/>
      </c>
      <c r="R76" s="4" t="str">
        <f>HYPERLINK("http://141.218.60.56/~jnz1568/getInfo.php?workbook=10_01.xlsx&amp;sheet=A0&amp;row=76&amp;col=18&amp;number=&amp;sourceID=12","")</f>
        <v/>
      </c>
      <c r="S76" s="4" t="str">
        <f>HYPERLINK("http://141.218.60.56/~jnz1568/getInfo.php?workbook=10_01.xlsx&amp;sheet=A0&amp;row=76&amp;col=19&amp;number=8.11e-13&amp;sourceID=12","8.11e-13")</f>
        <v>8.11e-13</v>
      </c>
      <c r="T76" s="4" t="str">
        <f>HYPERLINK("http://141.218.60.56/~jnz1568/getInfo.php?workbook=10_01.xlsx&amp;sheet=A0&amp;row=76&amp;col=20&amp;number=&amp;sourceID=12","")</f>
        <v/>
      </c>
      <c r="U76" s="4" t="str">
        <f>HYPERLINK("http://141.218.60.56/~jnz1568/getInfo.php?workbook=10_01.xlsx&amp;sheet=A0&amp;row=76&amp;col=21&amp;number=350.1&amp;sourceID=30","350.1")</f>
        <v>350.1</v>
      </c>
      <c r="V76" s="4" t="str">
        <f>HYPERLINK("http://141.218.60.56/~jnz1568/getInfo.php?workbook=10_01.xlsx&amp;sheet=A0&amp;row=76&amp;col=22&amp;number=350.1&amp;sourceID=30","350.1")</f>
        <v>350.1</v>
      </c>
      <c r="W76" s="4" t="str">
        <f>HYPERLINK("http://141.218.60.56/~jnz1568/getInfo.php?workbook=10_01.xlsx&amp;sheet=A0&amp;row=76&amp;col=23&amp;number=&amp;sourceID=30","")</f>
        <v/>
      </c>
      <c r="X76" s="4" t="str">
        <f>HYPERLINK("http://141.218.60.56/~jnz1568/getInfo.php?workbook=10_01.xlsx&amp;sheet=A0&amp;row=76&amp;col=24&amp;number=&amp;sourceID=30","")</f>
        <v/>
      </c>
      <c r="Y76" s="4" t="str">
        <f>HYPERLINK("http://141.218.60.56/~jnz1568/getInfo.php?workbook=10_01.xlsx&amp;sheet=A0&amp;row=76&amp;col=25&amp;number=8.11e-13&amp;sourceID=30","8.11e-13")</f>
        <v>8.11e-13</v>
      </c>
      <c r="Z76" s="4" t="str">
        <f>HYPERLINK("http://141.218.60.56/~jnz1568/getInfo.php?workbook=10_01.xlsx&amp;sheet=A0&amp;row=76&amp;col=26&amp;number==&amp;sourceID=13","=")</f>
        <v>=</v>
      </c>
      <c r="AA76" s="4" t="str">
        <f>HYPERLINK("http://141.218.60.56/~jnz1568/getInfo.php?workbook=10_01.xlsx&amp;sheet=A0&amp;row=76&amp;col=27&amp;number=337&amp;sourceID=13","337")</f>
        <v>337</v>
      </c>
      <c r="AB76" s="4" t="str">
        <f>HYPERLINK("http://141.218.60.56/~jnz1568/getInfo.php?workbook=10_01.xlsx&amp;sheet=A0&amp;row=76&amp;col=28&amp;number=&amp;sourceID=13","")</f>
        <v/>
      </c>
      <c r="AC76" s="4" t="str">
        <f>HYPERLINK("http://141.218.60.56/~jnz1568/getInfo.php?workbook=10_01.xlsx&amp;sheet=A0&amp;row=76&amp;col=29&amp;number=&amp;sourceID=13","")</f>
        <v/>
      </c>
      <c r="AD76" s="4" t="str">
        <f>HYPERLINK("http://141.218.60.56/~jnz1568/getInfo.php?workbook=10_01.xlsx&amp;sheet=A0&amp;row=76&amp;col=30&amp;number=&amp;sourceID=13","")</f>
        <v/>
      </c>
      <c r="AE76" s="4" t="str">
        <f>HYPERLINK("http://141.218.60.56/~jnz1568/getInfo.php?workbook=10_01.xlsx&amp;sheet=A0&amp;row=76&amp;col=31&amp;number=&amp;sourceID=13","")</f>
        <v/>
      </c>
      <c r="AF76" s="4" t="str">
        <f>HYPERLINK("http://141.218.60.56/~jnz1568/getInfo.php?workbook=10_01.xlsx&amp;sheet=A0&amp;row=76&amp;col=32&amp;number=&amp;sourceID=20","")</f>
        <v/>
      </c>
    </row>
    <row r="77" spans="1:32">
      <c r="A77" s="3">
        <v>10</v>
      </c>
      <c r="B77" s="3">
        <v>1</v>
      </c>
      <c r="C77" s="3">
        <v>14</v>
      </c>
      <c r="D77" s="3">
        <v>1</v>
      </c>
      <c r="E77" s="3">
        <f>((1/(INDEX(E0!J$4:J$28,C77,1)-INDEX(E0!J$4:J$28,D77,1))))*100000000</f>
        <v>0</v>
      </c>
      <c r="F77" s="4" t="str">
        <f>HYPERLINK("http://141.218.60.56/~jnz1568/getInfo.php?workbook=10_01.xlsx&amp;sheet=A0&amp;row=77&amp;col=6&amp;number=&amp;sourceID=18","")</f>
        <v/>
      </c>
      <c r="G77" s="4" t="str">
        <f>HYPERLINK("http://141.218.60.56/~jnz1568/getInfo.php?workbook=10_01.xlsx&amp;sheet=A0&amp;row=77&amp;col=7&amp;number==&amp;sourceID=11","=")</f>
        <v>=</v>
      </c>
      <c r="H77" s="4" t="str">
        <f>HYPERLINK("http://141.218.60.56/~jnz1568/getInfo.php?workbook=10_01.xlsx&amp;sheet=A0&amp;row=77&amp;col=8&amp;number=&amp;sourceID=11","")</f>
        <v/>
      </c>
      <c r="I77" s="4" t="str">
        <f>HYPERLINK("http://141.218.60.56/~jnz1568/getInfo.php?workbook=10_01.xlsx&amp;sheet=A0&amp;row=77&amp;col=9&amp;number=&amp;sourceID=11","")</f>
        <v/>
      </c>
      <c r="J77" s="4" t="str">
        <f>HYPERLINK("http://141.218.60.56/~jnz1568/getInfo.php?workbook=10_01.xlsx&amp;sheet=A0&amp;row=77&amp;col=10&amp;number=30974&amp;sourceID=11","30974")</f>
        <v>30974</v>
      </c>
      <c r="K77" s="4" t="str">
        <f>HYPERLINK("http://141.218.60.56/~jnz1568/getInfo.php?workbook=10_01.xlsx&amp;sheet=A0&amp;row=77&amp;col=11&amp;number=&amp;sourceID=11","")</f>
        <v/>
      </c>
      <c r="L77" s="4" t="str">
        <f>HYPERLINK("http://141.218.60.56/~jnz1568/getInfo.php?workbook=10_01.xlsx&amp;sheet=A0&amp;row=77&amp;col=12&amp;number=0.0016259&amp;sourceID=11","0.0016259")</f>
        <v>0.0016259</v>
      </c>
      <c r="M77" s="4" t="str">
        <f>HYPERLINK("http://141.218.60.56/~jnz1568/getInfo.php?workbook=10_01.xlsx&amp;sheet=A0&amp;row=77&amp;col=13&amp;number=&amp;sourceID=11","")</f>
        <v/>
      </c>
      <c r="N77" s="4" t="str">
        <f>HYPERLINK("http://141.218.60.56/~jnz1568/getInfo.php?workbook=10_01.xlsx&amp;sheet=A0&amp;row=77&amp;col=14&amp;number=30974&amp;sourceID=12","30974")</f>
        <v>30974</v>
      </c>
      <c r="O77" s="4" t="str">
        <f>HYPERLINK("http://141.218.60.56/~jnz1568/getInfo.php?workbook=10_01.xlsx&amp;sheet=A0&amp;row=77&amp;col=15&amp;number=&amp;sourceID=12","")</f>
        <v/>
      </c>
      <c r="P77" s="4" t="str">
        <f>HYPERLINK("http://141.218.60.56/~jnz1568/getInfo.php?workbook=10_01.xlsx&amp;sheet=A0&amp;row=77&amp;col=16&amp;number=&amp;sourceID=12","")</f>
        <v/>
      </c>
      <c r="Q77" s="4" t="str">
        <f>HYPERLINK("http://141.218.60.56/~jnz1568/getInfo.php?workbook=10_01.xlsx&amp;sheet=A0&amp;row=77&amp;col=17&amp;number=30974&amp;sourceID=12","30974")</f>
        <v>30974</v>
      </c>
      <c r="R77" s="4" t="str">
        <f>HYPERLINK("http://141.218.60.56/~jnz1568/getInfo.php?workbook=10_01.xlsx&amp;sheet=A0&amp;row=77&amp;col=18&amp;number=&amp;sourceID=12","")</f>
        <v/>
      </c>
      <c r="S77" s="4" t="str">
        <f>HYPERLINK("http://141.218.60.56/~jnz1568/getInfo.php?workbook=10_01.xlsx&amp;sheet=A0&amp;row=77&amp;col=19&amp;number=0.0016126&amp;sourceID=12","0.0016126")</f>
        <v>0.0016126</v>
      </c>
      <c r="T77" s="4" t="str">
        <f>HYPERLINK("http://141.218.60.56/~jnz1568/getInfo.php?workbook=10_01.xlsx&amp;sheet=A0&amp;row=77&amp;col=20&amp;number=&amp;sourceID=12","")</f>
        <v/>
      </c>
      <c r="U77" s="4" t="str">
        <f>HYPERLINK("http://141.218.60.56/~jnz1568/getInfo.php?workbook=10_01.xlsx&amp;sheet=A0&amp;row=77&amp;col=21&amp;number=0.001626&amp;sourceID=30","0.001626")</f>
        <v>0.001626</v>
      </c>
      <c r="V77" s="4" t="str">
        <f>HYPERLINK("http://141.218.60.56/~jnz1568/getInfo.php?workbook=10_01.xlsx&amp;sheet=A0&amp;row=77&amp;col=22&amp;number=&amp;sourceID=30","")</f>
        <v/>
      </c>
      <c r="W77" s="4" t="str">
        <f>HYPERLINK("http://141.218.60.56/~jnz1568/getInfo.php?workbook=10_01.xlsx&amp;sheet=A0&amp;row=77&amp;col=23&amp;number=&amp;sourceID=30","")</f>
        <v/>
      </c>
      <c r="X77" s="4" t="str">
        <f>HYPERLINK("http://141.218.60.56/~jnz1568/getInfo.php?workbook=10_01.xlsx&amp;sheet=A0&amp;row=77&amp;col=24&amp;number=&amp;sourceID=30","")</f>
        <v/>
      </c>
      <c r="Y77" s="4" t="str">
        <f>HYPERLINK("http://141.218.60.56/~jnz1568/getInfo.php?workbook=10_01.xlsx&amp;sheet=A0&amp;row=77&amp;col=25&amp;number=0.001626&amp;sourceID=30","0.001626")</f>
        <v>0.001626</v>
      </c>
      <c r="Z77" s="4" t="str">
        <f>HYPERLINK("http://141.218.60.56/~jnz1568/getInfo.php?workbook=10_01.xlsx&amp;sheet=A0&amp;row=77&amp;col=26&amp;number==&amp;sourceID=13","=")</f>
        <v>=</v>
      </c>
      <c r="AA77" s="4" t="str">
        <f>HYPERLINK("http://141.218.60.56/~jnz1568/getInfo.php?workbook=10_01.xlsx&amp;sheet=A0&amp;row=77&amp;col=27&amp;number=&amp;sourceID=13","")</f>
        <v/>
      </c>
      <c r="AB77" s="4" t="str">
        <f>HYPERLINK("http://141.218.60.56/~jnz1568/getInfo.php?workbook=10_01.xlsx&amp;sheet=A0&amp;row=77&amp;col=28&amp;number=&amp;sourceID=13","")</f>
        <v/>
      </c>
      <c r="AC77" s="4" t="str">
        <f>HYPERLINK("http://141.218.60.56/~jnz1568/getInfo.php?workbook=10_01.xlsx&amp;sheet=A0&amp;row=77&amp;col=29&amp;number=6350&amp;sourceID=13","6350")</f>
        <v>6350</v>
      </c>
      <c r="AD77" s="4" t="str">
        <f>HYPERLINK("http://141.218.60.56/~jnz1568/getInfo.php?workbook=10_01.xlsx&amp;sheet=A0&amp;row=77&amp;col=30&amp;number=&amp;sourceID=13","")</f>
        <v/>
      </c>
      <c r="AE77" s="4" t="str">
        <f>HYPERLINK("http://141.218.60.56/~jnz1568/getInfo.php?workbook=10_01.xlsx&amp;sheet=A0&amp;row=77&amp;col=31&amp;number=&amp;sourceID=13","")</f>
        <v/>
      </c>
      <c r="AF77" s="4" t="str">
        <f>HYPERLINK("http://141.218.60.56/~jnz1568/getInfo.php?workbook=10_01.xlsx&amp;sheet=A0&amp;row=77&amp;col=32&amp;number=&amp;sourceID=20","")</f>
        <v/>
      </c>
    </row>
    <row r="78" spans="1:32">
      <c r="A78" s="3">
        <v>10</v>
      </c>
      <c r="B78" s="3">
        <v>1</v>
      </c>
      <c r="C78" s="3">
        <v>14</v>
      </c>
      <c r="D78" s="3">
        <v>2</v>
      </c>
      <c r="E78" s="3">
        <f>((1/(INDEX(E0!J$4:J$28,C78,1)-INDEX(E0!J$4:J$28,D78,1))))*100000000</f>
        <v>0</v>
      </c>
      <c r="F78" s="4" t="str">
        <f>HYPERLINK("http://141.218.60.56/~jnz1568/getInfo.php?workbook=10_01.xlsx&amp;sheet=A0&amp;row=78&amp;col=6&amp;number=&amp;sourceID=18","")</f>
        <v/>
      </c>
      <c r="G78" s="4" t="str">
        <f>HYPERLINK("http://141.218.60.56/~jnz1568/getInfo.php?workbook=10_01.xlsx&amp;sheet=A0&amp;row=78&amp;col=7&amp;number==&amp;sourceID=11","=")</f>
        <v>=</v>
      </c>
      <c r="H78" s="4" t="str">
        <f>HYPERLINK("http://141.218.60.56/~jnz1568/getInfo.php?workbook=10_01.xlsx&amp;sheet=A0&amp;row=78&amp;col=8&amp;number=&amp;sourceID=11","")</f>
        <v/>
      </c>
      <c r="I78" s="4" t="str">
        <f>HYPERLINK("http://141.218.60.56/~jnz1568/getInfo.php?workbook=10_01.xlsx&amp;sheet=A0&amp;row=78&amp;col=9&amp;number=48068000&amp;sourceID=11","48068000")</f>
        <v>48068000</v>
      </c>
      <c r="J78" s="4" t="str">
        <f>HYPERLINK("http://141.218.60.56/~jnz1568/getInfo.php?workbook=10_01.xlsx&amp;sheet=A0&amp;row=78&amp;col=10&amp;number=&amp;sourceID=11","")</f>
        <v/>
      </c>
      <c r="K78" s="4" t="str">
        <f>HYPERLINK("http://141.218.60.56/~jnz1568/getInfo.php?workbook=10_01.xlsx&amp;sheet=A0&amp;row=78&amp;col=11&amp;number=&amp;sourceID=11","")</f>
        <v/>
      </c>
      <c r="L78" s="4" t="str">
        <f>HYPERLINK("http://141.218.60.56/~jnz1568/getInfo.php?workbook=10_01.xlsx&amp;sheet=A0&amp;row=78&amp;col=12&amp;number=&amp;sourceID=11","")</f>
        <v/>
      </c>
      <c r="M78" s="4" t="str">
        <f>HYPERLINK("http://141.218.60.56/~jnz1568/getInfo.php?workbook=10_01.xlsx&amp;sheet=A0&amp;row=78&amp;col=13&amp;number=0.054528&amp;sourceID=11","0.054528")</f>
        <v>0.054528</v>
      </c>
      <c r="N78" s="4" t="str">
        <f>HYPERLINK("http://141.218.60.56/~jnz1568/getInfo.php?workbook=10_01.xlsx&amp;sheet=A0&amp;row=78&amp;col=14&amp;number=48069000&amp;sourceID=12","48069000")</f>
        <v>48069000</v>
      </c>
      <c r="O78" s="4" t="str">
        <f>HYPERLINK("http://141.218.60.56/~jnz1568/getInfo.php?workbook=10_01.xlsx&amp;sheet=A0&amp;row=78&amp;col=15&amp;number=&amp;sourceID=12","")</f>
        <v/>
      </c>
      <c r="P78" s="4" t="str">
        <f>HYPERLINK("http://141.218.60.56/~jnz1568/getInfo.php?workbook=10_01.xlsx&amp;sheet=A0&amp;row=78&amp;col=16&amp;number=48069000&amp;sourceID=12","48069000")</f>
        <v>48069000</v>
      </c>
      <c r="Q78" s="4" t="str">
        <f>HYPERLINK("http://141.218.60.56/~jnz1568/getInfo.php?workbook=10_01.xlsx&amp;sheet=A0&amp;row=78&amp;col=17&amp;number=&amp;sourceID=12","")</f>
        <v/>
      </c>
      <c r="R78" s="4" t="str">
        <f>HYPERLINK("http://141.218.60.56/~jnz1568/getInfo.php?workbook=10_01.xlsx&amp;sheet=A0&amp;row=78&amp;col=18&amp;number=&amp;sourceID=12","")</f>
        <v/>
      </c>
      <c r="S78" s="4" t="str">
        <f>HYPERLINK("http://141.218.60.56/~jnz1568/getInfo.php?workbook=10_01.xlsx&amp;sheet=A0&amp;row=78&amp;col=19&amp;number=&amp;sourceID=12","")</f>
        <v/>
      </c>
      <c r="T78" s="4" t="str">
        <f>HYPERLINK("http://141.218.60.56/~jnz1568/getInfo.php?workbook=10_01.xlsx&amp;sheet=A0&amp;row=78&amp;col=20&amp;number=0.054529&amp;sourceID=12","0.054529")</f>
        <v>0.054529</v>
      </c>
      <c r="U78" s="4" t="str">
        <f>HYPERLINK("http://141.218.60.56/~jnz1568/getInfo.php?workbook=10_01.xlsx&amp;sheet=A0&amp;row=78&amp;col=21&amp;number=48070000&amp;sourceID=30","48070000")</f>
        <v>48070000</v>
      </c>
      <c r="V78" s="4" t="str">
        <f>HYPERLINK("http://141.218.60.56/~jnz1568/getInfo.php?workbook=10_01.xlsx&amp;sheet=A0&amp;row=78&amp;col=22&amp;number=&amp;sourceID=30","")</f>
        <v/>
      </c>
      <c r="W78" s="4" t="str">
        <f>HYPERLINK("http://141.218.60.56/~jnz1568/getInfo.php?workbook=10_01.xlsx&amp;sheet=A0&amp;row=78&amp;col=23&amp;number=48070000&amp;sourceID=30","48070000")</f>
        <v>48070000</v>
      </c>
      <c r="X78" s="4" t="str">
        <f>HYPERLINK("http://141.218.60.56/~jnz1568/getInfo.php?workbook=10_01.xlsx&amp;sheet=A0&amp;row=78&amp;col=24&amp;number=&amp;sourceID=30","")</f>
        <v/>
      </c>
      <c r="Y78" s="4" t="str">
        <f>HYPERLINK("http://141.218.60.56/~jnz1568/getInfo.php?workbook=10_01.xlsx&amp;sheet=A0&amp;row=78&amp;col=25&amp;number=&amp;sourceID=30","")</f>
        <v/>
      </c>
      <c r="Z78" s="4" t="str">
        <f>HYPERLINK("http://141.218.60.56/~jnz1568/getInfo.php?workbook=10_01.xlsx&amp;sheet=A0&amp;row=78&amp;col=26&amp;number==&amp;sourceID=13","=")</f>
        <v>=</v>
      </c>
      <c r="AA78" s="4" t="str">
        <f>HYPERLINK("http://141.218.60.56/~jnz1568/getInfo.php?workbook=10_01.xlsx&amp;sheet=A0&amp;row=78&amp;col=27&amp;number=&amp;sourceID=13","")</f>
        <v/>
      </c>
      <c r="AB78" s="4" t="str">
        <f>HYPERLINK("http://141.218.60.56/~jnz1568/getInfo.php?workbook=10_01.xlsx&amp;sheet=A0&amp;row=78&amp;col=28&amp;number=48300000&amp;sourceID=13","48300000")</f>
        <v>48300000</v>
      </c>
      <c r="AC78" s="4" t="str">
        <f>HYPERLINK("http://141.218.60.56/~jnz1568/getInfo.php?workbook=10_01.xlsx&amp;sheet=A0&amp;row=78&amp;col=29&amp;number=&amp;sourceID=13","")</f>
        <v/>
      </c>
      <c r="AD78" s="4" t="str">
        <f>HYPERLINK("http://141.218.60.56/~jnz1568/getInfo.php?workbook=10_01.xlsx&amp;sheet=A0&amp;row=78&amp;col=30&amp;number=&amp;sourceID=13","")</f>
        <v/>
      </c>
      <c r="AE78" s="4" t="str">
        <f>HYPERLINK("http://141.218.60.56/~jnz1568/getInfo.php?workbook=10_01.xlsx&amp;sheet=A0&amp;row=78&amp;col=31&amp;number=&amp;sourceID=13","")</f>
        <v/>
      </c>
      <c r="AF78" s="4" t="str">
        <f>HYPERLINK("http://141.218.60.56/~jnz1568/getInfo.php?workbook=10_01.xlsx&amp;sheet=A0&amp;row=78&amp;col=32&amp;number=&amp;sourceID=20","")</f>
        <v/>
      </c>
    </row>
    <row r="79" spans="1:32">
      <c r="A79" s="3">
        <v>10</v>
      </c>
      <c r="B79" s="3">
        <v>1</v>
      </c>
      <c r="C79" s="3">
        <v>14</v>
      </c>
      <c r="D79" s="3">
        <v>3</v>
      </c>
      <c r="E79" s="3">
        <f>((1/(INDEX(E0!J$4:J$28,C79,1)-INDEX(E0!J$4:J$28,D79,1))))*100000000</f>
        <v>0</v>
      </c>
      <c r="F79" s="4" t="str">
        <f>HYPERLINK("http://141.218.60.56/~jnz1568/getInfo.php?workbook=10_01.xlsx&amp;sheet=A0&amp;row=79&amp;col=6&amp;number=&amp;sourceID=18","")</f>
        <v/>
      </c>
      <c r="G79" s="4" t="str">
        <f>HYPERLINK("http://141.218.60.56/~jnz1568/getInfo.php?workbook=10_01.xlsx&amp;sheet=A0&amp;row=79&amp;col=7&amp;number==&amp;sourceID=11","=")</f>
        <v>=</v>
      </c>
      <c r="H79" s="4" t="str">
        <f>HYPERLINK("http://141.218.60.56/~jnz1568/getInfo.php?workbook=10_01.xlsx&amp;sheet=A0&amp;row=79&amp;col=8&amp;number=&amp;sourceID=11","")</f>
        <v/>
      </c>
      <c r="I79" s="4" t="str">
        <f>HYPERLINK("http://141.218.60.56/~jnz1568/getInfo.php?workbook=10_01.xlsx&amp;sheet=A0&amp;row=79&amp;col=9&amp;number=&amp;sourceID=11","")</f>
        <v/>
      </c>
      <c r="J79" s="4" t="str">
        <f>HYPERLINK("http://141.218.60.56/~jnz1568/getInfo.php?workbook=10_01.xlsx&amp;sheet=A0&amp;row=79&amp;col=10&amp;number=12285&amp;sourceID=11","12285")</f>
        <v>12285</v>
      </c>
      <c r="K79" s="4" t="str">
        <f>HYPERLINK("http://141.218.60.56/~jnz1568/getInfo.php?workbook=10_01.xlsx&amp;sheet=A0&amp;row=79&amp;col=11&amp;number=&amp;sourceID=11","")</f>
        <v/>
      </c>
      <c r="L79" s="4" t="str">
        <f>HYPERLINK("http://141.218.60.56/~jnz1568/getInfo.php?workbook=10_01.xlsx&amp;sheet=A0&amp;row=79&amp;col=12&amp;number=8.3561e-05&amp;sourceID=11","8.3561e-05")</f>
        <v>8.3561e-05</v>
      </c>
      <c r="M79" s="4" t="str">
        <f>HYPERLINK("http://141.218.60.56/~jnz1568/getInfo.php?workbook=10_01.xlsx&amp;sheet=A0&amp;row=79&amp;col=13&amp;number=&amp;sourceID=11","")</f>
        <v/>
      </c>
      <c r="N79" s="4" t="str">
        <f>HYPERLINK("http://141.218.60.56/~jnz1568/getInfo.php?workbook=10_01.xlsx&amp;sheet=A0&amp;row=79&amp;col=14&amp;number=12286&amp;sourceID=12","12286")</f>
        <v>12286</v>
      </c>
      <c r="O79" s="4" t="str">
        <f>HYPERLINK("http://141.218.60.56/~jnz1568/getInfo.php?workbook=10_01.xlsx&amp;sheet=A0&amp;row=79&amp;col=15&amp;number=&amp;sourceID=12","")</f>
        <v/>
      </c>
      <c r="P79" s="4" t="str">
        <f>HYPERLINK("http://141.218.60.56/~jnz1568/getInfo.php?workbook=10_01.xlsx&amp;sheet=A0&amp;row=79&amp;col=16&amp;number=&amp;sourceID=12","")</f>
        <v/>
      </c>
      <c r="Q79" s="4" t="str">
        <f>HYPERLINK("http://141.218.60.56/~jnz1568/getInfo.php?workbook=10_01.xlsx&amp;sheet=A0&amp;row=79&amp;col=17&amp;number=12286&amp;sourceID=12","12286")</f>
        <v>12286</v>
      </c>
      <c r="R79" s="4" t="str">
        <f>HYPERLINK("http://141.218.60.56/~jnz1568/getInfo.php?workbook=10_01.xlsx&amp;sheet=A0&amp;row=79&amp;col=18&amp;number=&amp;sourceID=12","")</f>
        <v/>
      </c>
      <c r="S79" s="4" t="str">
        <f>HYPERLINK("http://141.218.60.56/~jnz1568/getInfo.php?workbook=10_01.xlsx&amp;sheet=A0&amp;row=79&amp;col=19&amp;number=8.356e-05&amp;sourceID=12","8.356e-05")</f>
        <v>8.356e-05</v>
      </c>
      <c r="T79" s="4" t="str">
        <f>HYPERLINK("http://141.218.60.56/~jnz1568/getInfo.php?workbook=10_01.xlsx&amp;sheet=A0&amp;row=79&amp;col=20&amp;number=&amp;sourceID=12","")</f>
        <v/>
      </c>
      <c r="U79" s="4" t="str">
        <f>HYPERLINK("http://141.218.60.56/~jnz1568/getInfo.php?workbook=10_01.xlsx&amp;sheet=A0&amp;row=79&amp;col=21&amp;number=8.356e-05&amp;sourceID=30","8.356e-05")</f>
        <v>8.356e-05</v>
      </c>
      <c r="V79" s="4" t="str">
        <f>HYPERLINK("http://141.218.60.56/~jnz1568/getInfo.php?workbook=10_01.xlsx&amp;sheet=A0&amp;row=79&amp;col=22&amp;number=&amp;sourceID=30","")</f>
        <v/>
      </c>
      <c r="W79" s="4" t="str">
        <f>HYPERLINK("http://141.218.60.56/~jnz1568/getInfo.php?workbook=10_01.xlsx&amp;sheet=A0&amp;row=79&amp;col=23&amp;number=&amp;sourceID=30","")</f>
        <v/>
      </c>
      <c r="X79" s="4" t="str">
        <f>HYPERLINK("http://141.218.60.56/~jnz1568/getInfo.php?workbook=10_01.xlsx&amp;sheet=A0&amp;row=79&amp;col=24&amp;number=&amp;sourceID=30","")</f>
        <v/>
      </c>
      <c r="Y79" s="4" t="str">
        <f>HYPERLINK("http://141.218.60.56/~jnz1568/getInfo.php?workbook=10_01.xlsx&amp;sheet=A0&amp;row=79&amp;col=25&amp;number=8.356e-05&amp;sourceID=30","8.356e-05")</f>
        <v>8.356e-05</v>
      </c>
      <c r="Z79" s="4" t="str">
        <f>HYPERLINK("http://141.218.60.56/~jnz1568/getInfo.php?workbook=10_01.xlsx&amp;sheet=A0&amp;row=79&amp;col=26&amp;number==&amp;sourceID=13","=")</f>
        <v>=</v>
      </c>
      <c r="AA79" s="4" t="str">
        <f>HYPERLINK("http://141.218.60.56/~jnz1568/getInfo.php?workbook=10_01.xlsx&amp;sheet=A0&amp;row=79&amp;col=27&amp;number=&amp;sourceID=13","")</f>
        <v/>
      </c>
      <c r="AB79" s="4" t="str">
        <f>HYPERLINK("http://141.218.60.56/~jnz1568/getInfo.php?workbook=10_01.xlsx&amp;sheet=A0&amp;row=79&amp;col=28&amp;number=&amp;sourceID=13","")</f>
        <v/>
      </c>
      <c r="AC79" s="4" t="str">
        <f>HYPERLINK("http://141.218.60.56/~jnz1568/getInfo.php?workbook=10_01.xlsx&amp;sheet=A0&amp;row=79&amp;col=29&amp;number=12500&amp;sourceID=13","12500")</f>
        <v>12500</v>
      </c>
      <c r="AD79" s="4" t="str">
        <f>HYPERLINK("http://141.218.60.56/~jnz1568/getInfo.php?workbook=10_01.xlsx&amp;sheet=A0&amp;row=79&amp;col=30&amp;number=&amp;sourceID=13","")</f>
        <v/>
      </c>
      <c r="AE79" s="4" t="str">
        <f>HYPERLINK("http://141.218.60.56/~jnz1568/getInfo.php?workbook=10_01.xlsx&amp;sheet=A0&amp;row=79&amp;col=31&amp;number=&amp;sourceID=13","")</f>
        <v/>
      </c>
      <c r="AF79" s="4" t="str">
        <f>HYPERLINK("http://141.218.60.56/~jnz1568/getInfo.php?workbook=10_01.xlsx&amp;sheet=A0&amp;row=79&amp;col=32&amp;number=&amp;sourceID=20","")</f>
        <v/>
      </c>
    </row>
    <row r="80" spans="1:32">
      <c r="A80" s="3">
        <v>10</v>
      </c>
      <c r="B80" s="3">
        <v>1</v>
      </c>
      <c r="C80" s="3">
        <v>14</v>
      </c>
      <c r="D80" s="3">
        <v>4</v>
      </c>
      <c r="E80" s="3">
        <f>((1/(INDEX(E0!J$4:J$28,C80,1)-INDEX(E0!J$4:J$28,D80,1))))*100000000</f>
        <v>0</v>
      </c>
      <c r="F80" s="4" t="str">
        <f>HYPERLINK("http://141.218.60.56/~jnz1568/getInfo.php?workbook=10_01.xlsx&amp;sheet=A0&amp;row=80&amp;col=6&amp;number=&amp;sourceID=18","")</f>
        <v/>
      </c>
      <c r="G80" s="4" t="str">
        <f>HYPERLINK("http://141.218.60.56/~jnz1568/getInfo.php?workbook=10_01.xlsx&amp;sheet=A0&amp;row=80&amp;col=7&amp;number==&amp;sourceID=11","=")</f>
        <v>=</v>
      </c>
      <c r="H80" s="4" t="str">
        <f>HYPERLINK("http://141.218.60.56/~jnz1568/getInfo.php?workbook=10_01.xlsx&amp;sheet=A0&amp;row=80&amp;col=8&amp;number=&amp;sourceID=11","")</f>
        <v/>
      </c>
      <c r="I80" s="4" t="str">
        <f>HYPERLINK("http://141.218.60.56/~jnz1568/getInfo.php?workbook=10_01.xlsx&amp;sheet=A0&amp;row=80&amp;col=9&amp;number=13728000&amp;sourceID=11","13728000")</f>
        <v>13728000</v>
      </c>
      <c r="J80" s="4" t="str">
        <f>HYPERLINK("http://141.218.60.56/~jnz1568/getInfo.php?workbook=10_01.xlsx&amp;sheet=A0&amp;row=80&amp;col=10&amp;number=&amp;sourceID=11","")</f>
        <v/>
      </c>
      <c r="K80" s="4" t="str">
        <f>HYPERLINK("http://141.218.60.56/~jnz1568/getInfo.php?workbook=10_01.xlsx&amp;sheet=A0&amp;row=80&amp;col=11&amp;number=0.44188&amp;sourceID=11","0.44188")</f>
        <v>0.44188</v>
      </c>
      <c r="L80" s="4" t="str">
        <f>HYPERLINK("http://141.218.60.56/~jnz1568/getInfo.php?workbook=10_01.xlsx&amp;sheet=A0&amp;row=80&amp;col=12&amp;number=&amp;sourceID=11","")</f>
        <v/>
      </c>
      <c r="M80" s="4" t="str">
        <f>HYPERLINK("http://141.218.60.56/~jnz1568/getInfo.php?workbook=10_01.xlsx&amp;sheet=A0&amp;row=80&amp;col=13&amp;number=0.010875&amp;sourceID=11","0.010875")</f>
        <v>0.010875</v>
      </c>
      <c r="N80" s="4" t="str">
        <f>HYPERLINK("http://141.218.60.56/~jnz1568/getInfo.php?workbook=10_01.xlsx&amp;sheet=A0&amp;row=80&amp;col=14&amp;number=13729000&amp;sourceID=12","13729000")</f>
        <v>13729000</v>
      </c>
      <c r="O80" s="4" t="str">
        <f>HYPERLINK("http://141.218.60.56/~jnz1568/getInfo.php?workbook=10_01.xlsx&amp;sheet=A0&amp;row=80&amp;col=15&amp;number=&amp;sourceID=12","")</f>
        <v/>
      </c>
      <c r="P80" s="4" t="str">
        <f>HYPERLINK("http://141.218.60.56/~jnz1568/getInfo.php?workbook=10_01.xlsx&amp;sheet=A0&amp;row=80&amp;col=16&amp;number=13729000&amp;sourceID=12","13729000")</f>
        <v>13729000</v>
      </c>
      <c r="Q80" s="4" t="str">
        <f>HYPERLINK("http://141.218.60.56/~jnz1568/getInfo.php?workbook=10_01.xlsx&amp;sheet=A0&amp;row=80&amp;col=17&amp;number=&amp;sourceID=12","")</f>
        <v/>
      </c>
      <c r="R80" s="4" t="str">
        <f>HYPERLINK("http://141.218.60.56/~jnz1568/getInfo.php?workbook=10_01.xlsx&amp;sheet=A0&amp;row=80&amp;col=18&amp;number=0.44189&amp;sourceID=12","0.44189")</f>
        <v>0.44189</v>
      </c>
      <c r="S80" s="4" t="str">
        <f>HYPERLINK("http://141.218.60.56/~jnz1568/getInfo.php?workbook=10_01.xlsx&amp;sheet=A0&amp;row=80&amp;col=19&amp;number=&amp;sourceID=12","")</f>
        <v/>
      </c>
      <c r="T80" s="4" t="str">
        <f>HYPERLINK("http://141.218.60.56/~jnz1568/getInfo.php?workbook=10_01.xlsx&amp;sheet=A0&amp;row=80&amp;col=20&amp;number=0.010875&amp;sourceID=12","0.010875")</f>
        <v>0.010875</v>
      </c>
      <c r="U80" s="4" t="str">
        <f>HYPERLINK("http://141.218.60.56/~jnz1568/getInfo.php?workbook=10_01.xlsx&amp;sheet=A0&amp;row=80&amp;col=21&amp;number=13730000.4419&amp;sourceID=30","13730000.4419")</f>
        <v>13730000.4419</v>
      </c>
      <c r="V80" s="4" t="str">
        <f>HYPERLINK("http://141.218.60.56/~jnz1568/getInfo.php?workbook=10_01.xlsx&amp;sheet=A0&amp;row=80&amp;col=22&amp;number=&amp;sourceID=30","")</f>
        <v/>
      </c>
      <c r="W80" s="4" t="str">
        <f>HYPERLINK("http://141.218.60.56/~jnz1568/getInfo.php?workbook=10_01.xlsx&amp;sheet=A0&amp;row=80&amp;col=23&amp;number=13730000&amp;sourceID=30","13730000")</f>
        <v>13730000</v>
      </c>
      <c r="X80" s="4" t="str">
        <f>HYPERLINK("http://141.218.60.56/~jnz1568/getInfo.php?workbook=10_01.xlsx&amp;sheet=A0&amp;row=80&amp;col=24&amp;number=0.4419&amp;sourceID=30","0.4419")</f>
        <v>0.4419</v>
      </c>
      <c r="Y80" s="4" t="str">
        <f>HYPERLINK("http://141.218.60.56/~jnz1568/getInfo.php?workbook=10_01.xlsx&amp;sheet=A0&amp;row=80&amp;col=25&amp;number=&amp;sourceID=30","")</f>
        <v/>
      </c>
      <c r="Z80" s="4" t="str">
        <f>HYPERLINK("http://141.218.60.56/~jnz1568/getInfo.php?workbook=10_01.xlsx&amp;sheet=A0&amp;row=80&amp;col=26&amp;number==&amp;sourceID=13","=")</f>
        <v>=</v>
      </c>
      <c r="AA80" s="4" t="str">
        <f>HYPERLINK("http://141.218.60.56/~jnz1568/getInfo.php?workbook=10_01.xlsx&amp;sheet=A0&amp;row=80&amp;col=27&amp;number=&amp;sourceID=13","")</f>
        <v/>
      </c>
      <c r="AB80" s="4" t="str">
        <f>HYPERLINK("http://141.218.60.56/~jnz1568/getInfo.php?workbook=10_01.xlsx&amp;sheet=A0&amp;row=80&amp;col=28&amp;number=13800000&amp;sourceID=13","13800000")</f>
        <v>13800000</v>
      </c>
      <c r="AC80" s="4" t="str">
        <f>HYPERLINK("http://141.218.60.56/~jnz1568/getInfo.php?workbook=10_01.xlsx&amp;sheet=A0&amp;row=80&amp;col=29&amp;number=&amp;sourceID=13","")</f>
        <v/>
      </c>
      <c r="AD80" s="4" t="str">
        <f>HYPERLINK("http://141.218.60.56/~jnz1568/getInfo.php?workbook=10_01.xlsx&amp;sheet=A0&amp;row=80&amp;col=30&amp;number=0.916&amp;sourceID=13","0.916")</f>
        <v>0.916</v>
      </c>
      <c r="AE80" s="4" t="str">
        <f>HYPERLINK("http://141.218.60.56/~jnz1568/getInfo.php?workbook=10_01.xlsx&amp;sheet=A0&amp;row=80&amp;col=31&amp;number=&amp;sourceID=13","")</f>
        <v/>
      </c>
      <c r="AF80" s="4" t="str">
        <f>HYPERLINK("http://141.218.60.56/~jnz1568/getInfo.php?workbook=10_01.xlsx&amp;sheet=A0&amp;row=80&amp;col=32&amp;number=&amp;sourceID=20","")</f>
        <v/>
      </c>
    </row>
    <row r="81" spans="1:32">
      <c r="A81" s="3">
        <v>10</v>
      </c>
      <c r="B81" s="3">
        <v>1</v>
      </c>
      <c r="C81" s="3">
        <v>14</v>
      </c>
      <c r="D81" s="3">
        <v>5</v>
      </c>
      <c r="E81" s="3">
        <f>((1/(INDEX(E0!J$4:J$28,C81,1)-INDEX(E0!J$4:J$28,D81,1))))*100000000</f>
        <v>0</v>
      </c>
      <c r="F81" s="4" t="str">
        <f>HYPERLINK("http://141.218.60.56/~jnz1568/getInfo.php?workbook=10_01.xlsx&amp;sheet=A0&amp;row=81&amp;col=6&amp;number=&amp;sourceID=18","")</f>
        <v/>
      </c>
      <c r="G81" s="4" t="str">
        <f>HYPERLINK("http://141.218.60.56/~jnz1568/getInfo.php?workbook=10_01.xlsx&amp;sheet=A0&amp;row=81&amp;col=7&amp;number==&amp;sourceID=11","=")</f>
        <v>=</v>
      </c>
      <c r="H81" s="4" t="str">
        <f>HYPERLINK("http://141.218.60.56/~jnz1568/getInfo.php?workbook=10_01.xlsx&amp;sheet=A0&amp;row=81&amp;col=8&amp;number=&amp;sourceID=11","")</f>
        <v/>
      </c>
      <c r="I81" s="4" t="str">
        <f>HYPERLINK("http://141.218.60.56/~jnz1568/getInfo.php?workbook=10_01.xlsx&amp;sheet=A0&amp;row=81&amp;col=9&amp;number=4538900&amp;sourceID=11","4538900")</f>
        <v>4538900</v>
      </c>
      <c r="J81" s="4" t="str">
        <f>HYPERLINK("http://141.218.60.56/~jnz1568/getInfo.php?workbook=10_01.xlsx&amp;sheet=A0&amp;row=81&amp;col=10&amp;number=&amp;sourceID=11","")</f>
        <v/>
      </c>
      <c r="K81" s="4" t="str">
        <f>HYPERLINK("http://141.218.60.56/~jnz1568/getInfo.php?workbook=10_01.xlsx&amp;sheet=A0&amp;row=81&amp;col=11&amp;number=&amp;sourceID=11","")</f>
        <v/>
      </c>
      <c r="L81" s="4" t="str">
        <f>HYPERLINK("http://141.218.60.56/~jnz1568/getInfo.php?workbook=10_01.xlsx&amp;sheet=A0&amp;row=81&amp;col=12&amp;number=&amp;sourceID=11","")</f>
        <v/>
      </c>
      <c r="M81" s="4" t="str">
        <f>HYPERLINK("http://141.218.60.56/~jnz1568/getInfo.php?workbook=10_01.xlsx&amp;sheet=A0&amp;row=81&amp;col=13&amp;number=0.00034661&amp;sourceID=11","0.00034661")</f>
        <v>0.00034661</v>
      </c>
      <c r="N81" s="4" t="str">
        <f>HYPERLINK("http://141.218.60.56/~jnz1568/getInfo.php?workbook=10_01.xlsx&amp;sheet=A0&amp;row=81&amp;col=14&amp;number=4539000&amp;sourceID=12","4539000")</f>
        <v>4539000</v>
      </c>
      <c r="O81" s="4" t="str">
        <f>HYPERLINK("http://141.218.60.56/~jnz1568/getInfo.php?workbook=10_01.xlsx&amp;sheet=A0&amp;row=81&amp;col=15&amp;number=&amp;sourceID=12","")</f>
        <v/>
      </c>
      <c r="P81" s="4" t="str">
        <f>HYPERLINK("http://141.218.60.56/~jnz1568/getInfo.php?workbook=10_01.xlsx&amp;sheet=A0&amp;row=81&amp;col=16&amp;number=4539000&amp;sourceID=12","4539000")</f>
        <v>4539000</v>
      </c>
      <c r="Q81" s="4" t="str">
        <f>HYPERLINK("http://141.218.60.56/~jnz1568/getInfo.php?workbook=10_01.xlsx&amp;sheet=A0&amp;row=81&amp;col=17&amp;number=&amp;sourceID=12","")</f>
        <v/>
      </c>
      <c r="R81" s="4" t="str">
        <f>HYPERLINK("http://141.218.60.56/~jnz1568/getInfo.php?workbook=10_01.xlsx&amp;sheet=A0&amp;row=81&amp;col=18&amp;number=&amp;sourceID=12","")</f>
        <v/>
      </c>
      <c r="S81" s="4" t="str">
        <f>HYPERLINK("http://141.218.60.56/~jnz1568/getInfo.php?workbook=10_01.xlsx&amp;sheet=A0&amp;row=81&amp;col=19&amp;number=&amp;sourceID=12","")</f>
        <v/>
      </c>
      <c r="T81" s="4" t="str">
        <f>HYPERLINK("http://141.218.60.56/~jnz1568/getInfo.php?workbook=10_01.xlsx&amp;sheet=A0&amp;row=81&amp;col=20&amp;number=0.00034662&amp;sourceID=12","0.00034662")</f>
        <v>0.00034662</v>
      </c>
      <c r="U81" s="4" t="str">
        <f>HYPERLINK("http://141.218.60.56/~jnz1568/getInfo.php?workbook=10_01.xlsx&amp;sheet=A0&amp;row=81&amp;col=21&amp;number=4539000&amp;sourceID=30","4539000")</f>
        <v>4539000</v>
      </c>
      <c r="V81" s="4" t="str">
        <f>HYPERLINK("http://141.218.60.56/~jnz1568/getInfo.php?workbook=10_01.xlsx&amp;sheet=A0&amp;row=81&amp;col=22&amp;number=&amp;sourceID=30","")</f>
        <v/>
      </c>
      <c r="W81" s="4" t="str">
        <f>HYPERLINK("http://141.218.60.56/~jnz1568/getInfo.php?workbook=10_01.xlsx&amp;sheet=A0&amp;row=81&amp;col=23&amp;number=4539000&amp;sourceID=30","4539000")</f>
        <v>4539000</v>
      </c>
      <c r="X81" s="4" t="str">
        <f>HYPERLINK("http://141.218.60.56/~jnz1568/getInfo.php?workbook=10_01.xlsx&amp;sheet=A0&amp;row=81&amp;col=24&amp;number=&amp;sourceID=30","")</f>
        <v/>
      </c>
      <c r="Y81" s="4" t="str">
        <f>HYPERLINK("http://141.218.60.56/~jnz1568/getInfo.php?workbook=10_01.xlsx&amp;sheet=A0&amp;row=81&amp;col=25&amp;number=&amp;sourceID=30","")</f>
        <v/>
      </c>
      <c r="Z81" s="4" t="str">
        <f>HYPERLINK("http://141.218.60.56/~jnz1568/getInfo.php?workbook=10_01.xlsx&amp;sheet=A0&amp;row=81&amp;col=26&amp;number==&amp;sourceID=13","=")</f>
        <v>=</v>
      </c>
      <c r="AA81" s="4" t="str">
        <f>HYPERLINK("http://141.218.60.56/~jnz1568/getInfo.php?workbook=10_01.xlsx&amp;sheet=A0&amp;row=81&amp;col=27&amp;number=&amp;sourceID=13","")</f>
        <v/>
      </c>
      <c r="AB81" s="4" t="str">
        <f>HYPERLINK("http://141.218.60.56/~jnz1568/getInfo.php?workbook=10_01.xlsx&amp;sheet=A0&amp;row=81&amp;col=28&amp;number=4530000&amp;sourceID=13","4530000")</f>
        <v>4530000</v>
      </c>
      <c r="AC81" s="4" t="str">
        <f>HYPERLINK("http://141.218.60.56/~jnz1568/getInfo.php?workbook=10_01.xlsx&amp;sheet=A0&amp;row=81&amp;col=29&amp;number=&amp;sourceID=13","")</f>
        <v/>
      </c>
      <c r="AD81" s="4" t="str">
        <f>HYPERLINK("http://141.218.60.56/~jnz1568/getInfo.php?workbook=10_01.xlsx&amp;sheet=A0&amp;row=81&amp;col=30&amp;number=&amp;sourceID=13","")</f>
        <v/>
      </c>
      <c r="AE81" s="4" t="str">
        <f>HYPERLINK("http://141.218.60.56/~jnz1568/getInfo.php?workbook=10_01.xlsx&amp;sheet=A0&amp;row=81&amp;col=31&amp;number=&amp;sourceID=13","")</f>
        <v/>
      </c>
      <c r="AF81" s="4" t="str">
        <f>HYPERLINK("http://141.218.60.56/~jnz1568/getInfo.php?workbook=10_01.xlsx&amp;sheet=A0&amp;row=81&amp;col=32&amp;number=&amp;sourceID=20","")</f>
        <v/>
      </c>
    </row>
    <row r="82" spans="1:32">
      <c r="A82" s="3">
        <v>10</v>
      </c>
      <c r="B82" s="3">
        <v>1</v>
      </c>
      <c r="C82" s="3">
        <v>14</v>
      </c>
      <c r="D82" s="3">
        <v>6</v>
      </c>
      <c r="E82" s="3">
        <f>((1/(INDEX(E0!J$4:J$28,C82,1)-INDEX(E0!J$4:J$28,D82,1))))*100000000</f>
        <v>0</v>
      </c>
      <c r="F82" s="4" t="str">
        <f>HYPERLINK("http://141.218.60.56/~jnz1568/getInfo.php?workbook=10_01.xlsx&amp;sheet=A0&amp;row=82&amp;col=6&amp;number=&amp;sourceID=18","")</f>
        <v/>
      </c>
      <c r="G82" s="4" t="str">
        <f>HYPERLINK("http://141.218.60.56/~jnz1568/getInfo.php?workbook=10_01.xlsx&amp;sheet=A0&amp;row=82&amp;col=7&amp;number==&amp;sourceID=11","=")</f>
        <v>=</v>
      </c>
      <c r="H82" s="4" t="str">
        <f>HYPERLINK("http://141.218.60.56/~jnz1568/getInfo.php?workbook=10_01.xlsx&amp;sheet=A0&amp;row=82&amp;col=8&amp;number=&amp;sourceID=11","")</f>
        <v/>
      </c>
      <c r="I82" s="4" t="str">
        <f>HYPERLINK("http://141.218.60.56/~jnz1568/getInfo.php?workbook=10_01.xlsx&amp;sheet=A0&amp;row=82&amp;col=9&amp;number=&amp;sourceID=11","")</f>
        <v/>
      </c>
      <c r="J82" s="4" t="str">
        <f>HYPERLINK("http://141.218.60.56/~jnz1568/getInfo.php?workbook=10_01.xlsx&amp;sheet=A0&amp;row=82&amp;col=10&amp;number=113.3&amp;sourceID=11","113.3")</f>
        <v>113.3</v>
      </c>
      <c r="K82" s="4" t="str">
        <f>HYPERLINK("http://141.218.60.56/~jnz1568/getInfo.php?workbook=10_01.xlsx&amp;sheet=A0&amp;row=82&amp;col=11&amp;number=&amp;sourceID=11","")</f>
        <v/>
      </c>
      <c r="L82" s="4" t="str">
        <f>HYPERLINK("http://141.218.60.56/~jnz1568/getInfo.php?workbook=10_01.xlsx&amp;sheet=A0&amp;row=82&amp;col=12&amp;number=3.9055e-07&amp;sourceID=11","3.9055e-07")</f>
        <v>3.9055e-07</v>
      </c>
      <c r="M82" s="4" t="str">
        <f>HYPERLINK("http://141.218.60.56/~jnz1568/getInfo.php?workbook=10_01.xlsx&amp;sheet=A0&amp;row=82&amp;col=13&amp;number=&amp;sourceID=11","")</f>
        <v/>
      </c>
      <c r="N82" s="4" t="str">
        <f>HYPERLINK("http://141.218.60.56/~jnz1568/getInfo.php?workbook=10_01.xlsx&amp;sheet=A0&amp;row=82&amp;col=14&amp;number=113.31&amp;sourceID=12","113.31")</f>
        <v>113.31</v>
      </c>
      <c r="O82" s="4" t="str">
        <f>HYPERLINK("http://141.218.60.56/~jnz1568/getInfo.php?workbook=10_01.xlsx&amp;sheet=A0&amp;row=82&amp;col=15&amp;number=&amp;sourceID=12","")</f>
        <v/>
      </c>
      <c r="P82" s="4" t="str">
        <f>HYPERLINK("http://141.218.60.56/~jnz1568/getInfo.php?workbook=10_01.xlsx&amp;sheet=A0&amp;row=82&amp;col=16&amp;number=&amp;sourceID=12","")</f>
        <v/>
      </c>
      <c r="Q82" s="4" t="str">
        <f>HYPERLINK("http://141.218.60.56/~jnz1568/getInfo.php?workbook=10_01.xlsx&amp;sheet=A0&amp;row=82&amp;col=17&amp;number=113.31&amp;sourceID=12","113.31")</f>
        <v>113.31</v>
      </c>
      <c r="R82" s="4" t="str">
        <f>HYPERLINK("http://141.218.60.56/~jnz1568/getInfo.php?workbook=10_01.xlsx&amp;sheet=A0&amp;row=82&amp;col=18&amp;number=&amp;sourceID=12","")</f>
        <v/>
      </c>
      <c r="S82" s="4" t="str">
        <f>HYPERLINK("http://141.218.60.56/~jnz1568/getInfo.php?workbook=10_01.xlsx&amp;sheet=A0&amp;row=82&amp;col=19&amp;number=3.9056e-07&amp;sourceID=12","3.9056e-07")</f>
        <v>3.9056e-07</v>
      </c>
      <c r="T82" s="4" t="str">
        <f>HYPERLINK("http://141.218.60.56/~jnz1568/getInfo.php?workbook=10_01.xlsx&amp;sheet=A0&amp;row=82&amp;col=20&amp;number=&amp;sourceID=12","")</f>
        <v/>
      </c>
      <c r="U82" s="4" t="str">
        <f>HYPERLINK("http://141.218.60.56/~jnz1568/getInfo.php?workbook=10_01.xlsx&amp;sheet=A0&amp;row=82&amp;col=21&amp;number=3.905e-07&amp;sourceID=30","3.905e-07")</f>
        <v>3.905e-07</v>
      </c>
      <c r="V82" s="4" t="str">
        <f>HYPERLINK("http://141.218.60.56/~jnz1568/getInfo.php?workbook=10_01.xlsx&amp;sheet=A0&amp;row=82&amp;col=22&amp;number=&amp;sourceID=30","")</f>
        <v/>
      </c>
      <c r="W82" s="4" t="str">
        <f>HYPERLINK("http://141.218.60.56/~jnz1568/getInfo.php?workbook=10_01.xlsx&amp;sheet=A0&amp;row=82&amp;col=23&amp;number=&amp;sourceID=30","")</f>
        <v/>
      </c>
      <c r="X82" s="4" t="str">
        <f>HYPERLINK("http://141.218.60.56/~jnz1568/getInfo.php?workbook=10_01.xlsx&amp;sheet=A0&amp;row=82&amp;col=24&amp;number=&amp;sourceID=30","")</f>
        <v/>
      </c>
      <c r="Y82" s="4" t="str">
        <f>HYPERLINK("http://141.218.60.56/~jnz1568/getInfo.php?workbook=10_01.xlsx&amp;sheet=A0&amp;row=82&amp;col=25&amp;number=3.905e-07&amp;sourceID=30","3.905e-07")</f>
        <v>3.905e-07</v>
      </c>
      <c r="Z82" s="4" t="str">
        <f>HYPERLINK("http://141.218.60.56/~jnz1568/getInfo.php?workbook=10_01.xlsx&amp;sheet=A0&amp;row=82&amp;col=26&amp;number==&amp;sourceID=13","=")</f>
        <v>=</v>
      </c>
      <c r="AA82" s="4" t="str">
        <f>HYPERLINK("http://141.218.60.56/~jnz1568/getInfo.php?workbook=10_01.xlsx&amp;sheet=A0&amp;row=82&amp;col=27&amp;number=&amp;sourceID=13","")</f>
        <v/>
      </c>
      <c r="AB82" s="4" t="str">
        <f>HYPERLINK("http://141.218.60.56/~jnz1568/getInfo.php?workbook=10_01.xlsx&amp;sheet=A0&amp;row=82&amp;col=28&amp;number=&amp;sourceID=13","")</f>
        <v/>
      </c>
      <c r="AC82" s="4" t="str">
        <f>HYPERLINK("http://141.218.60.56/~jnz1568/getInfo.php?workbook=10_01.xlsx&amp;sheet=A0&amp;row=82&amp;col=29&amp;number=113&amp;sourceID=13","113")</f>
        <v>113</v>
      </c>
      <c r="AD82" s="4" t="str">
        <f>HYPERLINK("http://141.218.60.56/~jnz1568/getInfo.php?workbook=10_01.xlsx&amp;sheet=A0&amp;row=82&amp;col=30&amp;number=&amp;sourceID=13","")</f>
        <v/>
      </c>
      <c r="AE82" s="4" t="str">
        <f>HYPERLINK("http://141.218.60.56/~jnz1568/getInfo.php?workbook=10_01.xlsx&amp;sheet=A0&amp;row=82&amp;col=31&amp;number=&amp;sourceID=13","")</f>
        <v/>
      </c>
      <c r="AF82" s="4" t="str">
        <f>HYPERLINK("http://141.218.60.56/~jnz1568/getInfo.php?workbook=10_01.xlsx&amp;sheet=A0&amp;row=82&amp;col=32&amp;number=&amp;sourceID=20","")</f>
        <v/>
      </c>
    </row>
    <row r="83" spans="1:32">
      <c r="A83" s="3">
        <v>10</v>
      </c>
      <c r="B83" s="3">
        <v>1</v>
      </c>
      <c r="C83" s="3">
        <v>14</v>
      </c>
      <c r="D83" s="3">
        <v>7</v>
      </c>
      <c r="E83" s="3">
        <f>((1/(INDEX(E0!J$4:J$28,C83,1)-INDEX(E0!J$4:J$28,D83,1))))*100000000</f>
        <v>0</v>
      </c>
      <c r="F83" s="4" t="str">
        <f>HYPERLINK("http://141.218.60.56/~jnz1568/getInfo.php?workbook=10_01.xlsx&amp;sheet=A0&amp;row=83&amp;col=6&amp;number=&amp;sourceID=18","")</f>
        <v/>
      </c>
      <c r="G83" s="4" t="str">
        <f>HYPERLINK("http://141.218.60.56/~jnz1568/getInfo.php?workbook=10_01.xlsx&amp;sheet=A0&amp;row=83&amp;col=7&amp;number==&amp;sourceID=11","=")</f>
        <v>=</v>
      </c>
      <c r="H83" s="4" t="str">
        <f>HYPERLINK("http://141.218.60.56/~jnz1568/getInfo.php?workbook=10_01.xlsx&amp;sheet=A0&amp;row=83&amp;col=8&amp;number=128840000000&amp;sourceID=11","128840000000")</f>
        <v>128840000000</v>
      </c>
      <c r="I83" s="4" t="str">
        <f>HYPERLINK("http://141.218.60.56/~jnz1568/getInfo.php?workbook=10_01.xlsx&amp;sheet=A0&amp;row=83&amp;col=9&amp;number=&amp;sourceID=11","")</f>
        <v/>
      </c>
      <c r="J83" s="4" t="str">
        <f>HYPERLINK("http://141.218.60.56/~jnz1568/getInfo.php?workbook=10_01.xlsx&amp;sheet=A0&amp;row=83&amp;col=10&amp;number=32.408&amp;sourceID=11","32.408")</f>
        <v>32.408</v>
      </c>
      <c r="K83" s="4" t="str">
        <f>HYPERLINK("http://141.218.60.56/~jnz1568/getInfo.php?workbook=10_01.xlsx&amp;sheet=A0&amp;row=83&amp;col=11&amp;number=&amp;sourceID=11","")</f>
        <v/>
      </c>
      <c r="L83" s="4" t="str">
        <f>HYPERLINK("http://141.218.60.56/~jnz1568/getInfo.php?workbook=10_01.xlsx&amp;sheet=A0&amp;row=83&amp;col=12&amp;number=96.464&amp;sourceID=11","96.464")</f>
        <v>96.464</v>
      </c>
      <c r="M83" s="4" t="str">
        <f>HYPERLINK("http://141.218.60.56/~jnz1568/getInfo.php?workbook=10_01.xlsx&amp;sheet=A0&amp;row=83&amp;col=13&amp;number=&amp;sourceID=11","")</f>
        <v/>
      </c>
      <c r="N83" s="4" t="str">
        <f>HYPERLINK("http://141.218.60.56/~jnz1568/getInfo.php?workbook=10_01.xlsx&amp;sheet=A0&amp;row=83&amp;col=14&amp;number=128840000000&amp;sourceID=12","128840000000")</f>
        <v>128840000000</v>
      </c>
      <c r="O83" s="4" t="str">
        <f>HYPERLINK("http://141.218.60.56/~jnz1568/getInfo.php?workbook=10_01.xlsx&amp;sheet=A0&amp;row=83&amp;col=15&amp;number=128840000000&amp;sourceID=12","128840000000")</f>
        <v>128840000000</v>
      </c>
      <c r="P83" s="4" t="str">
        <f>HYPERLINK("http://141.218.60.56/~jnz1568/getInfo.php?workbook=10_01.xlsx&amp;sheet=A0&amp;row=83&amp;col=16&amp;number=&amp;sourceID=12","")</f>
        <v/>
      </c>
      <c r="Q83" s="4" t="str">
        <f>HYPERLINK("http://141.218.60.56/~jnz1568/getInfo.php?workbook=10_01.xlsx&amp;sheet=A0&amp;row=83&amp;col=17&amp;number=32.409&amp;sourceID=12","32.409")</f>
        <v>32.409</v>
      </c>
      <c r="R83" s="4" t="str">
        <f>HYPERLINK("http://141.218.60.56/~jnz1568/getInfo.php?workbook=10_01.xlsx&amp;sheet=A0&amp;row=83&amp;col=18&amp;number=&amp;sourceID=12","")</f>
        <v/>
      </c>
      <c r="S83" s="4" t="str">
        <f>HYPERLINK("http://141.218.60.56/~jnz1568/getInfo.php?workbook=10_01.xlsx&amp;sheet=A0&amp;row=83&amp;col=19&amp;number=96.467&amp;sourceID=12","96.467")</f>
        <v>96.467</v>
      </c>
      <c r="T83" s="4" t="str">
        <f>HYPERLINK("http://141.218.60.56/~jnz1568/getInfo.php?workbook=10_01.xlsx&amp;sheet=A0&amp;row=83&amp;col=20&amp;number=&amp;sourceID=12","")</f>
        <v/>
      </c>
      <c r="U83" s="4" t="str">
        <f>HYPERLINK("http://141.218.60.56/~jnz1568/getInfo.php?workbook=10_01.xlsx&amp;sheet=A0&amp;row=83&amp;col=21&amp;number=1.28800000096e+11&amp;sourceID=30","1.28800000096e+11")</f>
        <v>1.28800000096e+11</v>
      </c>
      <c r="V83" s="4" t="str">
        <f>HYPERLINK("http://141.218.60.56/~jnz1568/getInfo.php?workbook=10_01.xlsx&amp;sheet=A0&amp;row=83&amp;col=22&amp;number=128800000000&amp;sourceID=30","128800000000")</f>
        <v>128800000000</v>
      </c>
      <c r="W83" s="4" t="str">
        <f>HYPERLINK("http://141.218.60.56/~jnz1568/getInfo.php?workbook=10_01.xlsx&amp;sheet=A0&amp;row=83&amp;col=23&amp;number=&amp;sourceID=30","")</f>
        <v/>
      </c>
      <c r="X83" s="4" t="str">
        <f>HYPERLINK("http://141.218.60.56/~jnz1568/getInfo.php?workbook=10_01.xlsx&amp;sheet=A0&amp;row=83&amp;col=24&amp;number=&amp;sourceID=30","")</f>
        <v/>
      </c>
      <c r="Y83" s="4" t="str">
        <f>HYPERLINK("http://141.218.60.56/~jnz1568/getInfo.php?workbook=10_01.xlsx&amp;sheet=A0&amp;row=83&amp;col=25&amp;number=96.47&amp;sourceID=30","96.47")</f>
        <v>96.47</v>
      </c>
      <c r="Z83" s="4" t="str">
        <f>HYPERLINK("http://141.218.60.56/~jnz1568/getInfo.php?workbook=10_01.xlsx&amp;sheet=A0&amp;row=83&amp;col=26&amp;number==&amp;sourceID=13","=")</f>
        <v>=</v>
      </c>
      <c r="AA83" s="4" t="str">
        <f>HYPERLINK("http://141.218.60.56/~jnz1568/getInfo.php?workbook=10_01.xlsx&amp;sheet=A0&amp;row=83&amp;col=27&amp;number=129000000000&amp;sourceID=13","129000000000")</f>
        <v>129000000000</v>
      </c>
      <c r="AB83" s="4" t="str">
        <f>HYPERLINK("http://141.218.60.56/~jnz1568/getInfo.php?workbook=10_01.xlsx&amp;sheet=A0&amp;row=83&amp;col=28&amp;number=&amp;sourceID=13","")</f>
        <v/>
      </c>
      <c r="AC83" s="4" t="str">
        <f>HYPERLINK("http://141.218.60.56/~jnz1568/getInfo.php?workbook=10_01.xlsx&amp;sheet=A0&amp;row=83&amp;col=29&amp;number=&amp;sourceID=13","")</f>
        <v/>
      </c>
      <c r="AD83" s="4" t="str">
        <f>HYPERLINK("http://141.218.60.56/~jnz1568/getInfo.php?workbook=10_01.xlsx&amp;sheet=A0&amp;row=83&amp;col=30&amp;number=&amp;sourceID=13","")</f>
        <v/>
      </c>
      <c r="AE83" s="4" t="str">
        <f>HYPERLINK("http://141.218.60.56/~jnz1568/getInfo.php?workbook=10_01.xlsx&amp;sheet=A0&amp;row=83&amp;col=31&amp;number=&amp;sourceID=13","")</f>
        <v/>
      </c>
      <c r="AF83" s="4" t="str">
        <f>HYPERLINK("http://141.218.60.56/~jnz1568/getInfo.php?workbook=10_01.xlsx&amp;sheet=A0&amp;row=83&amp;col=32&amp;number=&amp;sourceID=20","")</f>
        <v/>
      </c>
    </row>
    <row r="84" spans="1:32">
      <c r="A84" s="3">
        <v>10</v>
      </c>
      <c r="B84" s="3">
        <v>1</v>
      </c>
      <c r="C84" s="3">
        <v>14</v>
      </c>
      <c r="D84" s="3">
        <v>8</v>
      </c>
      <c r="E84" s="3">
        <f>((1/(INDEX(E0!J$4:J$28,C84,1)-INDEX(E0!J$4:J$28,D84,1))))*100000000</f>
        <v>0</v>
      </c>
      <c r="F84" s="4" t="str">
        <f>HYPERLINK("http://141.218.60.56/~jnz1568/getInfo.php?workbook=10_01.xlsx&amp;sheet=A0&amp;row=84&amp;col=6&amp;number=&amp;sourceID=18","")</f>
        <v/>
      </c>
      <c r="G84" s="4" t="str">
        <f>HYPERLINK("http://141.218.60.56/~jnz1568/getInfo.php?workbook=10_01.xlsx&amp;sheet=A0&amp;row=84&amp;col=7&amp;number==&amp;sourceID=11","=")</f>
        <v>=</v>
      </c>
      <c r="H84" s="4" t="str">
        <f>HYPERLINK("http://141.218.60.56/~jnz1568/getInfo.php?workbook=10_01.xlsx&amp;sheet=A0&amp;row=84&amp;col=8&amp;number=&amp;sourceID=11","")</f>
        <v/>
      </c>
      <c r="I84" s="4" t="str">
        <f>HYPERLINK("http://141.218.60.56/~jnz1568/getInfo.php?workbook=10_01.xlsx&amp;sheet=A0&amp;row=84&amp;col=9&amp;number=1288100&amp;sourceID=11","1288100")</f>
        <v>1288100</v>
      </c>
      <c r="J84" s="4" t="str">
        <f>HYPERLINK("http://141.218.60.56/~jnz1568/getInfo.php?workbook=10_01.xlsx&amp;sheet=A0&amp;row=84&amp;col=10&amp;number=&amp;sourceID=11","")</f>
        <v/>
      </c>
      <c r="K84" s="4" t="str">
        <f>HYPERLINK("http://141.218.60.56/~jnz1568/getInfo.php?workbook=10_01.xlsx&amp;sheet=A0&amp;row=84&amp;col=11&amp;number=0.01453&amp;sourceID=11","0.01453")</f>
        <v>0.01453</v>
      </c>
      <c r="L84" s="4" t="str">
        <f>HYPERLINK("http://141.218.60.56/~jnz1568/getInfo.php?workbook=10_01.xlsx&amp;sheet=A0&amp;row=84&amp;col=12&amp;number=&amp;sourceID=11","")</f>
        <v/>
      </c>
      <c r="M84" s="4" t="str">
        <f>HYPERLINK("http://141.218.60.56/~jnz1568/getInfo.php?workbook=10_01.xlsx&amp;sheet=A0&amp;row=84&amp;col=13&amp;number=6.8616e-05&amp;sourceID=11","6.8616e-05")</f>
        <v>6.8616e-05</v>
      </c>
      <c r="N84" s="4" t="str">
        <f>HYPERLINK("http://141.218.60.56/~jnz1568/getInfo.php?workbook=10_01.xlsx&amp;sheet=A0&amp;row=84&amp;col=14&amp;number=1288200&amp;sourceID=12","1288200")</f>
        <v>1288200</v>
      </c>
      <c r="O84" s="4" t="str">
        <f>HYPERLINK("http://141.218.60.56/~jnz1568/getInfo.php?workbook=10_01.xlsx&amp;sheet=A0&amp;row=84&amp;col=15&amp;number=&amp;sourceID=12","")</f>
        <v/>
      </c>
      <c r="P84" s="4" t="str">
        <f>HYPERLINK("http://141.218.60.56/~jnz1568/getInfo.php?workbook=10_01.xlsx&amp;sheet=A0&amp;row=84&amp;col=16&amp;number=1288200&amp;sourceID=12","1288200")</f>
        <v>1288200</v>
      </c>
      <c r="Q84" s="4" t="str">
        <f>HYPERLINK("http://141.218.60.56/~jnz1568/getInfo.php?workbook=10_01.xlsx&amp;sheet=A0&amp;row=84&amp;col=17&amp;number=&amp;sourceID=12","")</f>
        <v/>
      </c>
      <c r="R84" s="4" t="str">
        <f>HYPERLINK("http://141.218.60.56/~jnz1568/getInfo.php?workbook=10_01.xlsx&amp;sheet=A0&amp;row=84&amp;col=18&amp;number=0.014531&amp;sourceID=12","0.014531")</f>
        <v>0.014531</v>
      </c>
      <c r="S84" s="4" t="str">
        <f>HYPERLINK("http://141.218.60.56/~jnz1568/getInfo.php?workbook=10_01.xlsx&amp;sheet=A0&amp;row=84&amp;col=19&amp;number=&amp;sourceID=12","")</f>
        <v/>
      </c>
      <c r="T84" s="4" t="str">
        <f>HYPERLINK("http://141.218.60.56/~jnz1568/getInfo.php?workbook=10_01.xlsx&amp;sheet=A0&amp;row=84&amp;col=20&amp;number=6.8618e-05&amp;sourceID=12","6.8618e-05")</f>
        <v>6.8618e-05</v>
      </c>
      <c r="U84" s="4" t="str">
        <f>HYPERLINK("http://141.218.60.56/~jnz1568/getInfo.php?workbook=10_01.xlsx&amp;sheet=A0&amp;row=84&amp;col=21&amp;number=1288000.01453&amp;sourceID=30","1288000.01453")</f>
        <v>1288000.01453</v>
      </c>
      <c r="V84" s="4" t="str">
        <f>HYPERLINK("http://141.218.60.56/~jnz1568/getInfo.php?workbook=10_01.xlsx&amp;sheet=A0&amp;row=84&amp;col=22&amp;number=&amp;sourceID=30","")</f>
        <v/>
      </c>
      <c r="W84" s="4" t="str">
        <f>HYPERLINK("http://141.218.60.56/~jnz1568/getInfo.php?workbook=10_01.xlsx&amp;sheet=A0&amp;row=84&amp;col=23&amp;number=1288000&amp;sourceID=30","1288000")</f>
        <v>1288000</v>
      </c>
      <c r="X84" s="4" t="str">
        <f>HYPERLINK("http://141.218.60.56/~jnz1568/getInfo.php?workbook=10_01.xlsx&amp;sheet=A0&amp;row=84&amp;col=24&amp;number=0.01453&amp;sourceID=30","0.01453")</f>
        <v>0.01453</v>
      </c>
      <c r="Y84" s="4" t="str">
        <f>HYPERLINK("http://141.218.60.56/~jnz1568/getInfo.php?workbook=10_01.xlsx&amp;sheet=A0&amp;row=84&amp;col=25&amp;number=&amp;sourceID=30","")</f>
        <v/>
      </c>
      <c r="Z84" s="4" t="str">
        <f>HYPERLINK("http://141.218.60.56/~jnz1568/getInfo.php?workbook=10_01.xlsx&amp;sheet=A0&amp;row=84&amp;col=26&amp;number==&amp;sourceID=13","=")</f>
        <v>=</v>
      </c>
      <c r="AA84" s="4" t="str">
        <f>HYPERLINK("http://141.218.60.56/~jnz1568/getInfo.php?workbook=10_01.xlsx&amp;sheet=A0&amp;row=84&amp;col=27&amp;number=&amp;sourceID=13","")</f>
        <v/>
      </c>
      <c r="AB84" s="4" t="str">
        <f>HYPERLINK("http://141.218.60.56/~jnz1568/getInfo.php?workbook=10_01.xlsx&amp;sheet=A0&amp;row=84&amp;col=28&amp;number=1290000&amp;sourceID=13","1290000")</f>
        <v>1290000</v>
      </c>
      <c r="AC84" s="4" t="str">
        <f>HYPERLINK("http://141.218.60.56/~jnz1568/getInfo.php?workbook=10_01.xlsx&amp;sheet=A0&amp;row=84&amp;col=29&amp;number=&amp;sourceID=13","")</f>
        <v/>
      </c>
      <c r="AD84" s="4" t="str">
        <f>HYPERLINK("http://141.218.60.56/~jnz1568/getInfo.php?workbook=10_01.xlsx&amp;sheet=A0&amp;row=84&amp;col=30&amp;number=0.0241&amp;sourceID=13","0.0241")</f>
        <v>0.0241</v>
      </c>
      <c r="AE84" s="4" t="str">
        <f>HYPERLINK("http://141.218.60.56/~jnz1568/getInfo.php?workbook=10_01.xlsx&amp;sheet=A0&amp;row=84&amp;col=31&amp;number=&amp;sourceID=13","")</f>
        <v/>
      </c>
      <c r="AF84" s="4" t="str">
        <f>HYPERLINK("http://141.218.60.56/~jnz1568/getInfo.php?workbook=10_01.xlsx&amp;sheet=A0&amp;row=84&amp;col=32&amp;number=&amp;sourceID=20","")</f>
        <v/>
      </c>
    </row>
    <row r="85" spans="1:32">
      <c r="A85" s="3">
        <v>10</v>
      </c>
      <c r="B85" s="3">
        <v>1</v>
      </c>
      <c r="C85" s="3">
        <v>14</v>
      </c>
      <c r="D85" s="3">
        <v>9</v>
      </c>
      <c r="E85" s="3">
        <f>((1/(INDEX(E0!J$4:J$28,C85,1)-INDEX(E0!J$4:J$28,D85,1))))*100000000</f>
        <v>0</v>
      </c>
      <c r="F85" s="4" t="str">
        <f>HYPERLINK("http://141.218.60.56/~jnz1568/getInfo.php?workbook=10_01.xlsx&amp;sheet=A0&amp;row=85&amp;col=6&amp;number=&amp;sourceID=18","")</f>
        <v/>
      </c>
      <c r="G85" s="4" t="str">
        <f>HYPERLINK("http://141.218.60.56/~jnz1568/getInfo.php?workbook=10_01.xlsx&amp;sheet=A0&amp;row=85&amp;col=7&amp;number==&amp;sourceID=11","=")</f>
        <v>=</v>
      </c>
      <c r="H85" s="4" t="str">
        <f>HYPERLINK("http://141.218.60.56/~jnz1568/getInfo.php?workbook=10_01.xlsx&amp;sheet=A0&amp;row=85&amp;col=8&amp;number=9194000000&amp;sourceID=11","9194000000")</f>
        <v>9194000000</v>
      </c>
      <c r="I85" s="4" t="str">
        <f>HYPERLINK("http://141.218.60.56/~jnz1568/getInfo.php?workbook=10_01.xlsx&amp;sheet=A0&amp;row=85&amp;col=9&amp;number=&amp;sourceID=11","")</f>
        <v/>
      </c>
      <c r="J85" s="4" t="str">
        <f>HYPERLINK("http://141.218.60.56/~jnz1568/getInfo.php?workbook=10_01.xlsx&amp;sheet=A0&amp;row=85&amp;col=10&amp;number=21.54&amp;sourceID=11","21.54")</f>
        <v>21.54</v>
      </c>
      <c r="K85" s="4" t="str">
        <f>HYPERLINK("http://141.218.60.56/~jnz1568/getInfo.php?workbook=10_01.xlsx&amp;sheet=A0&amp;row=85&amp;col=11&amp;number=&amp;sourceID=11","")</f>
        <v/>
      </c>
      <c r="L85" s="4" t="str">
        <f>HYPERLINK("http://141.218.60.56/~jnz1568/getInfo.php?workbook=10_01.xlsx&amp;sheet=A0&amp;row=85&amp;col=12&amp;number=&amp;sourceID=11","")</f>
        <v/>
      </c>
      <c r="M85" s="4" t="str">
        <f>HYPERLINK("http://141.218.60.56/~jnz1568/getInfo.php?workbook=10_01.xlsx&amp;sheet=A0&amp;row=85&amp;col=13&amp;number=&amp;sourceID=11","")</f>
        <v/>
      </c>
      <c r="N85" s="4" t="str">
        <f>HYPERLINK("http://141.218.60.56/~jnz1568/getInfo.php?workbook=10_01.xlsx&amp;sheet=A0&amp;row=85&amp;col=14&amp;number=9194300000&amp;sourceID=12","9194300000")</f>
        <v>9194300000</v>
      </c>
      <c r="O85" s="4" t="str">
        <f>HYPERLINK("http://141.218.60.56/~jnz1568/getInfo.php?workbook=10_01.xlsx&amp;sheet=A0&amp;row=85&amp;col=15&amp;number=9194300000&amp;sourceID=12","9194300000")</f>
        <v>9194300000</v>
      </c>
      <c r="P85" s="4" t="str">
        <f>HYPERLINK("http://141.218.60.56/~jnz1568/getInfo.php?workbook=10_01.xlsx&amp;sheet=A0&amp;row=85&amp;col=16&amp;number=&amp;sourceID=12","")</f>
        <v/>
      </c>
      <c r="Q85" s="4" t="str">
        <f>HYPERLINK("http://141.218.60.56/~jnz1568/getInfo.php?workbook=10_01.xlsx&amp;sheet=A0&amp;row=85&amp;col=17&amp;number=21.541&amp;sourceID=12","21.541")</f>
        <v>21.541</v>
      </c>
      <c r="R85" s="4" t="str">
        <f>HYPERLINK("http://141.218.60.56/~jnz1568/getInfo.php?workbook=10_01.xlsx&amp;sheet=A0&amp;row=85&amp;col=18&amp;number=&amp;sourceID=12","")</f>
        <v/>
      </c>
      <c r="S85" s="4" t="str">
        <f>HYPERLINK("http://141.218.60.56/~jnz1568/getInfo.php?workbook=10_01.xlsx&amp;sheet=A0&amp;row=85&amp;col=19&amp;number=&amp;sourceID=12","")</f>
        <v/>
      </c>
      <c r="T85" s="4" t="str">
        <f>HYPERLINK("http://141.218.60.56/~jnz1568/getInfo.php?workbook=10_01.xlsx&amp;sheet=A0&amp;row=85&amp;col=20&amp;number=&amp;sourceID=12","")</f>
        <v/>
      </c>
      <c r="U85" s="4" t="str">
        <f>HYPERLINK("http://141.218.60.56/~jnz1568/getInfo.php?workbook=10_01.xlsx&amp;sheet=A0&amp;row=85&amp;col=21&amp;number=9194000000&amp;sourceID=30","9194000000")</f>
        <v>9194000000</v>
      </c>
      <c r="V85" s="4" t="str">
        <f>HYPERLINK("http://141.218.60.56/~jnz1568/getInfo.php?workbook=10_01.xlsx&amp;sheet=A0&amp;row=85&amp;col=22&amp;number=9194000000&amp;sourceID=30","9194000000")</f>
        <v>9194000000</v>
      </c>
      <c r="W85" s="4" t="str">
        <f>HYPERLINK("http://141.218.60.56/~jnz1568/getInfo.php?workbook=10_01.xlsx&amp;sheet=A0&amp;row=85&amp;col=23&amp;number=&amp;sourceID=30","")</f>
        <v/>
      </c>
      <c r="X85" s="4" t="str">
        <f>HYPERLINK("http://141.218.60.56/~jnz1568/getInfo.php?workbook=10_01.xlsx&amp;sheet=A0&amp;row=85&amp;col=24&amp;number=&amp;sourceID=30","")</f>
        <v/>
      </c>
      <c r="Y85" s="4" t="str">
        <f>HYPERLINK("http://141.218.60.56/~jnz1568/getInfo.php?workbook=10_01.xlsx&amp;sheet=A0&amp;row=85&amp;col=25&amp;number=&amp;sourceID=30","")</f>
        <v/>
      </c>
      <c r="Z85" s="4" t="str">
        <f>HYPERLINK("http://141.218.60.56/~jnz1568/getInfo.php?workbook=10_01.xlsx&amp;sheet=A0&amp;row=85&amp;col=26&amp;number==&amp;sourceID=13","=")</f>
        <v>=</v>
      </c>
      <c r="AA85" s="4" t="str">
        <f>HYPERLINK("http://141.218.60.56/~jnz1568/getInfo.php?workbook=10_01.xlsx&amp;sheet=A0&amp;row=85&amp;col=27&amp;number=9190000000&amp;sourceID=13","9190000000")</f>
        <v>9190000000</v>
      </c>
      <c r="AB85" s="4" t="str">
        <f>HYPERLINK("http://141.218.60.56/~jnz1568/getInfo.php?workbook=10_01.xlsx&amp;sheet=A0&amp;row=85&amp;col=28&amp;number=&amp;sourceID=13","")</f>
        <v/>
      </c>
      <c r="AC85" s="4" t="str">
        <f>HYPERLINK("http://141.218.60.56/~jnz1568/getInfo.php?workbook=10_01.xlsx&amp;sheet=A0&amp;row=85&amp;col=29&amp;number=&amp;sourceID=13","")</f>
        <v/>
      </c>
      <c r="AD85" s="4" t="str">
        <f>HYPERLINK("http://141.218.60.56/~jnz1568/getInfo.php?workbook=10_01.xlsx&amp;sheet=A0&amp;row=85&amp;col=30&amp;number=&amp;sourceID=13","")</f>
        <v/>
      </c>
      <c r="AE85" s="4" t="str">
        <f>HYPERLINK("http://141.218.60.56/~jnz1568/getInfo.php?workbook=10_01.xlsx&amp;sheet=A0&amp;row=85&amp;col=31&amp;number=&amp;sourceID=13","")</f>
        <v/>
      </c>
      <c r="AF85" s="4" t="str">
        <f>HYPERLINK("http://141.218.60.56/~jnz1568/getInfo.php?workbook=10_01.xlsx&amp;sheet=A0&amp;row=85&amp;col=32&amp;number=&amp;sourceID=20","")</f>
        <v/>
      </c>
    </row>
    <row r="86" spans="1:32">
      <c r="A86" s="3">
        <v>10</v>
      </c>
      <c r="B86" s="3">
        <v>1</v>
      </c>
      <c r="C86" s="3">
        <v>14</v>
      </c>
      <c r="D86" s="3">
        <v>10</v>
      </c>
      <c r="E86" s="3">
        <f>((1/(INDEX(E0!J$4:J$28,C86,1)-INDEX(E0!J$4:J$28,D86,1))))*100000000</f>
        <v>0</v>
      </c>
      <c r="F86" s="4" t="str">
        <f>HYPERLINK("http://141.218.60.56/~jnz1568/getInfo.php?workbook=10_01.xlsx&amp;sheet=A0&amp;row=86&amp;col=6&amp;number=&amp;sourceID=18","")</f>
        <v/>
      </c>
      <c r="G86" s="4" t="str">
        <f>HYPERLINK("http://141.218.60.56/~jnz1568/getInfo.php?workbook=10_01.xlsx&amp;sheet=A0&amp;row=86&amp;col=7&amp;number==&amp;sourceID=11","=")</f>
        <v>=</v>
      </c>
      <c r="H86" s="4" t="str">
        <f>HYPERLINK("http://141.218.60.56/~jnz1568/getInfo.php?workbook=10_01.xlsx&amp;sheet=A0&amp;row=86&amp;col=8&amp;number=&amp;sourceID=11","")</f>
        <v/>
      </c>
      <c r="I86" s="4" t="str">
        <f>HYPERLINK("http://141.218.60.56/~jnz1568/getInfo.php?workbook=10_01.xlsx&amp;sheet=A0&amp;row=86&amp;col=9&amp;number=2.5499e-08&amp;sourceID=11","2.5499e-08")</f>
        <v>2.5499e-08</v>
      </c>
      <c r="J86" s="4" t="str">
        <f>HYPERLINK("http://141.218.60.56/~jnz1568/getInfo.php?workbook=10_01.xlsx&amp;sheet=A0&amp;row=86&amp;col=10&amp;number=&amp;sourceID=11","")</f>
        <v/>
      </c>
      <c r="K86" s="4" t="str">
        <f>HYPERLINK("http://141.218.60.56/~jnz1568/getInfo.php?workbook=10_01.xlsx&amp;sheet=A0&amp;row=86&amp;col=11&amp;number=&amp;sourceID=11","")</f>
        <v/>
      </c>
      <c r="L86" s="4" t="str">
        <f>HYPERLINK("http://141.218.60.56/~jnz1568/getInfo.php?workbook=10_01.xlsx&amp;sheet=A0&amp;row=86&amp;col=12&amp;number=&amp;sourceID=11","")</f>
        <v/>
      </c>
      <c r="M86" s="4" t="str">
        <f>HYPERLINK("http://141.218.60.56/~jnz1568/getInfo.php?workbook=10_01.xlsx&amp;sheet=A0&amp;row=86&amp;col=13&amp;number=0&amp;sourceID=11","0")</f>
        <v>0</v>
      </c>
      <c r="N86" s="4" t="str">
        <f>HYPERLINK("http://141.218.60.56/~jnz1568/getInfo.php?workbook=10_01.xlsx&amp;sheet=A0&amp;row=86&amp;col=14&amp;number=2.5501e-08&amp;sourceID=12","2.5501e-08")</f>
        <v>2.5501e-08</v>
      </c>
      <c r="O86" s="4" t="str">
        <f>HYPERLINK("http://141.218.60.56/~jnz1568/getInfo.php?workbook=10_01.xlsx&amp;sheet=A0&amp;row=86&amp;col=15&amp;number=&amp;sourceID=12","")</f>
        <v/>
      </c>
      <c r="P86" s="4" t="str">
        <f>HYPERLINK("http://141.218.60.56/~jnz1568/getInfo.php?workbook=10_01.xlsx&amp;sheet=A0&amp;row=86&amp;col=16&amp;number=2.5501e-08&amp;sourceID=12","2.5501e-08")</f>
        <v>2.5501e-08</v>
      </c>
      <c r="Q86" s="4" t="str">
        <f>HYPERLINK("http://141.218.60.56/~jnz1568/getInfo.php?workbook=10_01.xlsx&amp;sheet=A0&amp;row=86&amp;col=17&amp;number=&amp;sourceID=12","")</f>
        <v/>
      </c>
      <c r="R86" s="4" t="str">
        <f>HYPERLINK("http://141.218.60.56/~jnz1568/getInfo.php?workbook=10_01.xlsx&amp;sheet=A0&amp;row=86&amp;col=18&amp;number=&amp;sourceID=12","")</f>
        <v/>
      </c>
      <c r="S86" s="4" t="str">
        <f>HYPERLINK("http://141.218.60.56/~jnz1568/getInfo.php?workbook=10_01.xlsx&amp;sheet=A0&amp;row=86&amp;col=19&amp;number=&amp;sourceID=12","")</f>
        <v/>
      </c>
      <c r="T86" s="4" t="str">
        <f>HYPERLINK("http://141.218.60.56/~jnz1568/getInfo.php?workbook=10_01.xlsx&amp;sheet=A0&amp;row=86&amp;col=20&amp;number=0&amp;sourceID=12","0")</f>
        <v>0</v>
      </c>
      <c r="U86" s="4" t="str">
        <f>HYPERLINK("http://141.218.60.56/~jnz1568/getInfo.php?workbook=10_01.xlsx&amp;sheet=A0&amp;row=86&amp;col=21&amp;number=2.55e-08&amp;sourceID=30","2.55e-08")</f>
        <v>2.55e-08</v>
      </c>
      <c r="V86" s="4" t="str">
        <f>HYPERLINK("http://141.218.60.56/~jnz1568/getInfo.php?workbook=10_01.xlsx&amp;sheet=A0&amp;row=86&amp;col=22&amp;number=&amp;sourceID=30","")</f>
        <v/>
      </c>
      <c r="W86" s="4" t="str">
        <f>HYPERLINK("http://141.218.60.56/~jnz1568/getInfo.php?workbook=10_01.xlsx&amp;sheet=A0&amp;row=86&amp;col=23&amp;number=2.55e-08&amp;sourceID=30","2.55e-08")</f>
        <v>2.55e-08</v>
      </c>
      <c r="X86" s="4" t="str">
        <f>HYPERLINK("http://141.218.60.56/~jnz1568/getInfo.php?workbook=10_01.xlsx&amp;sheet=A0&amp;row=86&amp;col=24&amp;number=&amp;sourceID=30","")</f>
        <v/>
      </c>
      <c r="Y86" s="4" t="str">
        <f>HYPERLINK("http://141.218.60.56/~jnz1568/getInfo.php?workbook=10_01.xlsx&amp;sheet=A0&amp;row=86&amp;col=25&amp;number=&amp;sourceID=30","")</f>
        <v/>
      </c>
      <c r="Z86" s="4" t="str">
        <f>HYPERLINK("http://141.218.60.56/~jnz1568/getInfo.php?workbook=10_01.xlsx&amp;sheet=A0&amp;row=86&amp;col=26&amp;number=&amp;sourceID=13","")</f>
        <v/>
      </c>
      <c r="AA86" s="4" t="str">
        <f>HYPERLINK("http://141.218.60.56/~jnz1568/getInfo.php?workbook=10_01.xlsx&amp;sheet=A0&amp;row=86&amp;col=27&amp;number=&amp;sourceID=13","")</f>
        <v/>
      </c>
      <c r="AB86" s="4" t="str">
        <f>HYPERLINK("http://141.218.60.56/~jnz1568/getInfo.php?workbook=10_01.xlsx&amp;sheet=A0&amp;row=86&amp;col=28&amp;number=&amp;sourceID=13","")</f>
        <v/>
      </c>
      <c r="AC86" s="4" t="str">
        <f>HYPERLINK("http://141.218.60.56/~jnz1568/getInfo.php?workbook=10_01.xlsx&amp;sheet=A0&amp;row=86&amp;col=29&amp;number=&amp;sourceID=13","")</f>
        <v/>
      </c>
      <c r="AD86" s="4" t="str">
        <f>HYPERLINK("http://141.218.60.56/~jnz1568/getInfo.php?workbook=10_01.xlsx&amp;sheet=A0&amp;row=86&amp;col=30&amp;number=&amp;sourceID=13","")</f>
        <v/>
      </c>
      <c r="AE86" s="4" t="str">
        <f>HYPERLINK("http://141.218.60.56/~jnz1568/getInfo.php?workbook=10_01.xlsx&amp;sheet=A0&amp;row=86&amp;col=31&amp;number=&amp;sourceID=13","")</f>
        <v/>
      </c>
      <c r="AF86" s="4" t="str">
        <f>HYPERLINK("http://141.218.60.56/~jnz1568/getInfo.php?workbook=10_01.xlsx&amp;sheet=A0&amp;row=86&amp;col=32&amp;number=&amp;sourceID=20","")</f>
        <v/>
      </c>
    </row>
    <row r="87" spans="1:32">
      <c r="A87" s="3">
        <v>10</v>
      </c>
      <c r="B87" s="3">
        <v>1</v>
      </c>
      <c r="C87" s="3">
        <v>14</v>
      </c>
      <c r="D87" s="3">
        <v>11</v>
      </c>
      <c r="E87" s="3">
        <f>((1/(INDEX(E0!J$4:J$28,C87,1)-INDEX(E0!J$4:J$28,D87,1))))*100000000</f>
        <v>0</v>
      </c>
      <c r="F87" s="4" t="str">
        <f>HYPERLINK("http://141.218.60.56/~jnz1568/getInfo.php?workbook=10_01.xlsx&amp;sheet=A0&amp;row=87&amp;col=6&amp;number=&amp;sourceID=18","")</f>
        <v/>
      </c>
      <c r="G87" s="4" t="str">
        <f>HYPERLINK("http://141.218.60.56/~jnz1568/getInfo.php?workbook=10_01.xlsx&amp;sheet=A0&amp;row=87&amp;col=7&amp;number==&amp;sourceID=11","=")</f>
        <v>=</v>
      </c>
      <c r="H87" s="4" t="str">
        <f>HYPERLINK("http://141.218.60.56/~jnz1568/getInfo.php?workbook=10_01.xlsx&amp;sheet=A0&amp;row=87&amp;col=8&amp;number=&amp;sourceID=11","")</f>
        <v/>
      </c>
      <c r="I87" s="4" t="str">
        <f>HYPERLINK("http://141.218.60.56/~jnz1568/getInfo.php?workbook=10_01.xlsx&amp;sheet=A0&amp;row=87&amp;col=9&amp;number=&amp;sourceID=11","")</f>
        <v/>
      </c>
      <c r="J87" s="4" t="str">
        <f>HYPERLINK("http://141.218.60.56/~jnz1568/getInfo.php?workbook=10_01.xlsx&amp;sheet=A0&amp;row=87&amp;col=10&amp;number=0&amp;sourceID=11","0")</f>
        <v>0</v>
      </c>
      <c r="K87" s="4" t="str">
        <f>HYPERLINK("http://141.218.60.56/~jnz1568/getInfo.php?workbook=10_01.xlsx&amp;sheet=A0&amp;row=87&amp;col=11&amp;number=&amp;sourceID=11","")</f>
        <v/>
      </c>
      <c r="L87" s="4" t="str">
        <f>HYPERLINK("http://141.218.60.56/~jnz1568/getInfo.php?workbook=10_01.xlsx&amp;sheet=A0&amp;row=87&amp;col=12&amp;number=0&amp;sourceID=11","0")</f>
        <v>0</v>
      </c>
      <c r="M87" s="4" t="str">
        <f>HYPERLINK("http://141.218.60.56/~jnz1568/getInfo.php?workbook=10_01.xlsx&amp;sheet=A0&amp;row=87&amp;col=13&amp;number=&amp;sourceID=11","")</f>
        <v/>
      </c>
      <c r="N87" s="4" t="str">
        <f>HYPERLINK("http://141.218.60.56/~jnz1568/getInfo.php?workbook=10_01.xlsx&amp;sheet=A0&amp;row=87&amp;col=14&amp;number=0&amp;sourceID=12","0")</f>
        <v>0</v>
      </c>
      <c r="O87" s="4" t="str">
        <f>HYPERLINK("http://141.218.60.56/~jnz1568/getInfo.php?workbook=10_01.xlsx&amp;sheet=A0&amp;row=87&amp;col=15&amp;number=&amp;sourceID=12","")</f>
        <v/>
      </c>
      <c r="P87" s="4" t="str">
        <f>HYPERLINK("http://141.218.60.56/~jnz1568/getInfo.php?workbook=10_01.xlsx&amp;sheet=A0&amp;row=87&amp;col=16&amp;number=&amp;sourceID=12","")</f>
        <v/>
      </c>
      <c r="Q87" s="4" t="str">
        <f>HYPERLINK("http://141.218.60.56/~jnz1568/getInfo.php?workbook=10_01.xlsx&amp;sheet=A0&amp;row=87&amp;col=17&amp;number=0&amp;sourceID=12","0")</f>
        <v>0</v>
      </c>
      <c r="R87" s="4" t="str">
        <f>HYPERLINK("http://141.218.60.56/~jnz1568/getInfo.php?workbook=10_01.xlsx&amp;sheet=A0&amp;row=87&amp;col=18&amp;number=&amp;sourceID=12","")</f>
        <v/>
      </c>
      <c r="S87" s="4" t="str">
        <f>HYPERLINK("http://141.218.60.56/~jnz1568/getInfo.php?workbook=10_01.xlsx&amp;sheet=A0&amp;row=87&amp;col=19&amp;number=0&amp;sourceID=12","0")</f>
        <v>0</v>
      </c>
      <c r="T87" s="4" t="str">
        <f>HYPERLINK("http://141.218.60.56/~jnz1568/getInfo.php?workbook=10_01.xlsx&amp;sheet=A0&amp;row=87&amp;col=20&amp;number=&amp;sourceID=12","")</f>
        <v/>
      </c>
      <c r="U87" s="4" t="str">
        <f>HYPERLINK("http://141.218.60.56/~jnz1568/getInfo.php?workbook=10_01.xlsx&amp;sheet=A0&amp;row=87&amp;col=21&amp;number=0&amp;sourceID=30","0")</f>
        <v>0</v>
      </c>
      <c r="V87" s="4" t="str">
        <f>HYPERLINK("http://141.218.60.56/~jnz1568/getInfo.php?workbook=10_01.xlsx&amp;sheet=A0&amp;row=87&amp;col=22&amp;number=&amp;sourceID=30","")</f>
        <v/>
      </c>
      <c r="W87" s="4" t="str">
        <f>HYPERLINK("http://141.218.60.56/~jnz1568/getInfo.php?workbook=10_01.xlsx&amp;sheet=A0&amp;row=87&amp;col=23&amp;number=&amp;sourceID=30","")</f>
        <v/>
      </c>
      <c r="X87" s="4" t="str">
        <f>HYPERLINK("http://141.218.60.56/~jnz1568/getInfo.php?workbook=10_01.xlsx&amp;sheet=A0&amp;row=87&amp;col=24&amp;number=&amp;sourceID=30","")</f>
        <v/>
      </c>
      <c r="Y87" s="4" t="str">
        <f>HYPERLINK("http://141.218.60.56/~jnz1568/getInfo.php?workbook=10_01.xlsx&amp;sheet=A0&amp;row=87&amp;col=25&amp;number=0&amp;sourceID=30","0")</f>
        <v>0</v>
      </c>
      <c r="Z87" s="4" t="str">
        <f>HYPERLINK("http://141.218.60.56/~jnz1568/getInfo.php?workbook=10_01.xlsx&amp;sheet=A0&amp;row=87&amp;col=26&amp;number=&amp;sourceID=13","")</f>
        <v/>
      </c>
      <c r="AA87" s="4" t="str">
        <f>HYPERLINK("http://141.218.60.56/~jnz1568/getInfo.php?workbook=10_01.xlsx&amp;sheet=A0&amp;row=87&amp;col=27&amp;number=&amp;sourceID=13","")</f>
        <v/>
      </c>
      <c r="AB87" s="4" t="str">
        <f>HYPERLINK("http://141.218.60.56/~jnz1568/getInfo.php?workbook=10_01.xlsx&amp;sheet=A0&amp;row=87&amp;col=28&amp;number=&amp;sourceID=13","")</f>
        <v/>
      </c>
      <c r="AC87" s="4" t="str">
        <f>HYPERLINK("http://141.218.60.56/~jnz1568/getInfo.php?workbook=10_01.xlsx&amp;sheet=A0&amp;row=87&amp;col=29&amp;number=&amp;sourceID=13","")</f>
        <v/>
      </c>
      <c r="AD87" s="4" t="str">
        <f>HYPERLINK("http://141.218.60.56/~jnz1568/getInfo.php?workbook=10_01.xlsx&amp;sheet=A0&amp;row=87&amp;col=30&amp;number=&amp;sourceID=13","")</f>
        <v/>
      </c>
      <c r="AE87" s="4" t="str">
        <f>HYPERLINK("http://141.218.60.56/~jnz1568/getInfo.php?workbook=10_01.xlsx&amp;sheet=A0&amp;row=87&amp;col=31&amp;number=&amp;sourceID=13","")</f>
        <v/>
      </c>
      <c r="AF87" s="4" t="str">
        <f>HYPERLINK("http://141.218.60.56/~jnz1568/getInfo.php?workbook=10_01.xlsx&amp;sheet=A0&amp;row=87&amp;col=32&amp;number=&amp;sourceID=20","")</f>
        <v/>
      </c>
    </row>
    <row r="88" spans="1:32">
      <c r="A88" s="3">
        <v>10</v>
      </c>
      <c r="B88" s="3">
        <v>1</v>
      </c>
      <c r="C88" s="3">
        <v>14</v>
      </c>
      <c r="D88" s="3">
        <v>12</v>
      </c>
      <c r="E88" s="3">
        <f>((1/(INDEX(E0!J$4:J$28,C88,1)-INDEX(E0!J$4:J$28,D88,1))))*100000000</f>
        <v>0</v>
      </c>
      <c r="F88" s="4" t="str">
        <f>HYPERLINK("http://141.218.60.56/~jnz1568/getInfo.php?workbook=10_01.xlsx&amp;sheet=A0&amp;row=88&amp;col=6&amp;number=&amp;sourceID=18","")</f>
        <v/>
      </c>
      <c r="G88" s="4" t="str">
        <f>HYPERLINK("http://141.218.60.56/~jnz1568/getInfo.php?workbook=10_01.xlsx&amp;sheet=A0&amp;row=88&amp;col=7&amp;number==&amp;sourceID=11","=")</f>
        <v>=</v>
      </c>
      <c r="H88" s="4" t="str">
        <f>HYPERLINK("http://141.218.60.56/~jnz1568/getInfo.php?workbook=10_01.xlsx&amp;sheet=A0&amp;row=88&amp;col=8&amp;number=7.2175&amp;sourceID=11","7.2175")</f>
        <v>7.2175</v>
      </c>
      <c r="I88" s="4" t="str">
        <f>HYPERLINK("http://141.218.60.56/~jnz1568/getInfo.php?workbook=10_01.xlsx&amp;sheet=A0&amp;row=88&amp;col=9&amp;number=&amp;sourceID=11","")</f>
        <v/>
      </c>
      <c r="J88" s="4" t="str">
        <f>HYPERLINK("http://141.218.60.56/~jnz1568/getInfo.php?workbook=10_01.xlsx&amp;sheet=A0&amp;row=88&amp;col=10&amp;number=0&amp;sourceID=11","0")</f>
        <v>0</v>
      </c>
      <c r="K88" s="4" t="str">
        <f>HYPERLINK("http://141.218.60.56/~jnz1568/getInfo.php?workbook=10_01.xlsx&amp;sheet=A0&amp;row=88&amp;col=11&amp;number=&amp;sourceID=11","")</f>
        <v/>
      </c>
      <c r="L88" s="4" t="str">
        <f>HYPERLINK("http://141.218.60.56/~jnz1568/getInfo.php?workbook=10_01.xlsx&amp;sheet=A0&amp;row=88&amp;col=12&amp;number=0&amp;sourceID=11","0")</f>
        <v>0</v>
      </c>
      <c r="M88" s="4" t="str">
        <f>HYPERLINK("http://141.218.60.56/~jnz1568/getInfo.php?workbook=10_01.xlsx&amp;sheet=A0&amp;row=88&amp;col=13&amp;number=&amp;sourceID=11","")</f>
        <v/>
      </c>
      <c r="N88" s="4" t="str">
        <f>HYPERLINK("http://141.218.60.56/~jnz1568/getInfo.php?workbook=10_01.xlsx&amp;sheet=A0&amp;row=88&amp;col=14&amp;number=7.2178&amp;sourceID=12","7.2178")</f>
        <v>7.2178</v>
      </c>
      <c r="O88" s="4" t="str">
        <f>HYPERLINK("http://141.218.60.56/~jnz1568/getInfo.php?workbook=10_01.xlsx&amp;sheet=A0&amp;row=88&amp;col=15&amp;number=7.2178&amp;sourceID=12","7.2178")</f>
        <v>7.2178</v>
      </c>
      <c r="P88" s="4" t="str">
        <f>HYPERLINK("http://141.218.60.56/~jnz1568/getInfo.php?workbook=10_01.xlsx&amp;sheet=A0&amp;row=88&amp;col=16&amp;number=&amp;sourceID=12","")</f>
        <v/>
      </c>
      <c r="Q88" s="4" t="str">
        <f>HYPERLINK("http://141.218.60.56/~jnz1568/getInfo.php?workbook=10_01.xlsx&amp;sheet=A0&amp;row=88&amp;col=17&amp;number=0&amp;sourceID=12","0")</f>
        <v>0</v>
      </c>
      <c r="R88" s="4" t="str">
        <f>HYPERLINK("http://141.218.60.56/~jnz1568/getInfo.php?workbook=10_01.xlsx&amp;sheet=A0&amp;row=88&amp;col=18&amp;number=&amp;sourceID=12","")</f>
        <v/>
      </c>
      <c r="S88" s="4" t="str">
        <f>HYPERLINK("http://141.218.60.56/~jnz1568/getInfo.php?workbook=10_01.xlsx&amp;sheet=A0&amp;row=88&amp;col=19&amp;number=0&amp;sourceID=12","0")</f>
        <v>0</v>
      </c>
      <c r="T88" s="4" t="str">
        <f>HYPERLINK("http://141.218.60.56/~jnz1568/getInfo.php?workbook=10_01.xlsx&amp;sheet=A0&amp;row=88&amp;col=20&amp;number=&amp;sourceID=12","")</f>
        <v/>
      </c>
      <c r="U88" s="4" t="str">
        <f>HYPERLINK("http://141.218.60.56/~jnz1568/getInfo.php?workbook=10_01.xlsx&amp;sheet=A0&amp;row=88&amp;col=21&amp;number=7.218&amp;sourceID=30","7.218")</f>
        <v>7.218</v>
      </c>
      <c r="V88" s="4" t="str">
        <f>HYPERLINK("http://141.218.60.56/~jnz1568/getInfo.php?workbook=10_01.xlsx&amp;sheet=A0&amp;row=88&amp;col=22&amp;number=7.218&amp;sourceID=30","7.218")</f>
        <v>7.218</v>
      </c>
      <c r="W88" s="4" t="str">
        <f>HYPERLINK("http://141.218.60.56/~jnz1568/getInfo.php?workbook=10_01.xlsx&amp;sheet=A0&amp;row=88&amp;col=23&amp;number=&amp;sourceID=30","")</f>
        <v/>
      </c>
      <c r="X88" s="4" t="str">
        <f>HYPERLINK("http://141.218.60.56/~jnz1568/getInfo.php?workbook=10_01.xlsx&amp;sheet=A0&amp;row=88&amp;col=24&amp;number=&amp;sourceID=30","")</f>
        <v/>
      </c>
      <c r="Y88" s="4" t="str">
        <f>HYPERLINK("http://141.218.60.56/~jnz1568/getInfo.php?workbook=10_01.xlsx&amp;sheet=A0&amp;row=88&amp;col=25&amp;number=0&amp;sourceID=30","0")</f>
        <v>0</v>
      </c>
      <c r="Z88" s="4" t="str">
        <f>HYPERLINK("http://141.218.60.56/~jnz1568/getInfo.php?workbook=10_01.xlsx&amp;sheet=A0&amp;row=88&amp;col=26&amp;number==SUM(AA88:AE88)&amp;sourceID=13","=SUM(AA88:AE88)")</f>
        <v>=SUM(AA88:AE88)</v>
      </c>
      <c r="AA88" s="4" t="str">
        <f>HYPERLINK("http://141.218.60.56/~jnz1568/getInfo.php?workbook=10_01.xlsx&amp;sheet=A0&amp;row=88&amp;col=27&amp;number=3.78&amp;sourceID=13","3.78")</f>
        <v>3.78</v>
      </c>
      <c r="AB88" s="4" t="str">
        <f>HYPERLINK("http://141.218.60.56/~jnz1568/getInfo.php?workbook=10_01.xlsx&amp;sheet=A0&amp;row=88&amp;col=28&amp;number=&amp;sourceID=13","")</f>
        <v/>
      </c>
      <c r="AC88" s="4" t="str">
        <f>HYPERLINK("http://141.218.60.56/~jnz1568/getInfo.php?workbook=10_01.xlsx&amp;sheet=A0&amp;row=88&amp;col=29&amp;number=&amp;sourceID=13","")</f>
        <v/>
      </c>
      <c r="AD88" s="4" t="str">
        <f>HYPERLINK("http://141.218.60.56/~jnz1568/getInfo.php?workbook=10_01.xlsx&amp;sheet=A0&amp;row=88&amp;col=30&amp;number=&amp;sourceID=13","")</f>
        <v/>
      </c>
      <c r="AE88" s="4" t="str">
        <f>HYPERLINK("http://141.218.60.56/~jnz1568/getInfo.php?workbook=10_01.xlsx&amp;sheet=A0&amp;row=88&amp;col=31&amp;number=&amp;sourceID=13","")</f>
        <v/>
      </c>
      <c r="AF88" s="4" t="str">
        <f>HYPERLINK("http://141.218.60.56/~jnz1568/getInfo.php?workbook=10_01.xlsx&amp;sheet=A0&amp;row=88&amp;col=32&amp;number=&amp;sourceID=20","")</f>
        <v/>
      </c>
    </row>
    <row r="89" spans="1:32">
      <c r="A89" s="3">
        <v>10</v>
      </c>
      <c r="B89" s="3">
        <v>1</v>
      </c>
      <c r="C89" s="3">
        <v>14</v>
      </c>
      <c r="D89" s="3">
        <v>13</v>
      </c>
      <c r="E89" s="3">
        <f>((1/(INDEX(E0!J$4:J$28,C89,1)-INDEX(E0!J$4:J$28,D89,1))))*100000000</f>
        <v>0</v>
      </c>
      <c r="F89" s="4" t="str">
        <f>HYPERLINK("http://141.218.60.56/~jnz1568/getInfo.php?workbook=10_01.xlsx&amp;sheet=A0&amp;row=89&amp;col=6&amp;number=&amp;sourceID=18","")</f>
        <v/>
      </c>
      <c r="G89" s="4" t="str">
        <f>HYPERLINK("http://141.218.60.56/~jnz1568/getInfo.php?workbook=10_01.xlsx&amp;sheet=A0&amp;row=89&amp;col=7&amp;number==&amp;sourceID=11","=")</f>
        <v>=</v>
      </c>
      <c r="H89" s="4" t="str">
        <f>HYPERLINK("http://141.218.60.56/~jnz1568/getInfo.php?workbook=10_01.xlsx&amp;sheet=A0&amp;row=89&amp;col=8&amp;number=&amp;sourceID=11","")</f>
        <v/>
      </c>
      <c r="I89" s="4" t="str">
        <f>HYPERLINK("http://141.218.60.56/~jnz1568/getInfo.php?workbook=10_01.xlsx&amp;sheet=A0&amp;row=89&amp;col=9&amp;number=7.049e-12&amp;sourceID=11","7.049e-12")</f>
        <v>7.049e-12</v>
      </c>
      <c r="J89" s="4" t="str">
        <f>HYPERLINK("http://141.218.60.56/~jnz1568/getInfo.php?workbook=10_01.xlsx&amp;sheet=A0&amp;row=89&amp;col=10&amp;number=&amp;sourceID=11","")</f>
        <v/>
      </c>
      <c r="K89" s="4" t="str">
        <f>HYPERLINK("http://141.218.60.56/~jnz1568/getInfo.php?workbook=10_01.xlsx&amp;sheet=A0&amp;row=89&amp;col=11&amp;number=1.3e-14&amp;sourceID=11","1.3e-14")</f>
        <v>1.3e-14</v>
      </c>
      <c r="L89" s="4" t="str">
        <f>HYPERLINK("http://141.218.60.56/~jnz1568/getInfo.php?workbook=10_01.xlsx&amp;sheet=A0&amp;row=89&amp;col=12&amp;number=&amp;sourceID=11","")</f>
        <v/>
      </c>
      <c r="M89" s="4" t="str">
        <f>HYPERLINK("http://141.218.60.56/~jnz1568/getInfo.php?workbook=10_01.xlsx&amp;sheet=A0&amp;row=89&amp;col=13&amp;number=0&amp;sourceID=11","0")</f>
        <v>0</v>
      </c>
      <c r="N89" s="4" t="str">
        <f>HYPERLINK("http://141.218.60.56/~jnz1568/getInfo.php?workbook=10_01.xlsx&amp;sheet=A0&amp;row=89&amp;col=14&amp;number=7.062e-12&amp;sourceID=12","7.062e-12")</f>
        <v>7.062e-12</v>
      </c>
      <c r="O89" s="4" t="str">
        <f>HYPERLINK("http://141.218.60.56/~jnz1568/getInfo.php?workbook=10_01.xlsx&amp;sheet=A0&amp;row=89&amp;col=15&amp;number=&amp;sourceID=12","")</f>
        <v/>
      </c>
      <c r="P89" s="4" t="str">
        <f>HYPERLINK("http://141.218.60.56/~jnz1568/getInfo.php?workbook=10_01.xlsx&amp;sheet=A0&amp;row=89&amp;col=16&amp;number=7.05e-12&amp;sourceID=12","7.05e-12")</f>
        <v>7.05e-12</v>
      </c>
      <c r="Q89" s="4" t="str">
        <f>HYPERLINK("http://141.218.60.56/~jnz1568/getInfo.php?workbook=10_01.xlsx&amp;sheet=A0&amp;row=89&amp;col=17&amp;number=&amp;sourceID=12","")</f>
        <v/>
      </c>
      <c r="R89" s="4" t="str">
        <f>HYPERLINK("http://141.218.60.56/~jnz1568/getInfo.php?workbook=10_01.xlsx&amp;sheet=A0&amp;row=89&amp;col=18&amp;number=1.3e-14&amp;sourceID=12","1.3e-14")</f>
        <v>1.3e-14</v>
      </c>
      <c r="S89" s="4" t="str">
        <f>HYPERLINK("http://141.218.60.56/~jnz1568/getInfo.php?workbook=10_01.xlsx&amp;sheet=A0&amp;row=89&amp;col=19&amp;number=&amp;sourceID=12","")</f>
        <v/>
      </c>
      <c r="T89" s="4" t="str">
        <f>HYPERLINK("http://141.218.60.56/~jnz1568/getInfo.php?workbook=10_01.xlsx&amp;sheet=A0&amp;row=89&amp;col=20&amp;number=0&amp;sourceID=12","0")</f>
        <v>0</v>
      </c>
      <c r="U89" s="4" t="str">
        <f>HYPERLINK("http://141.218.60.56/~jnz1568/getInfo.php?workbook=10_01.xlsx&amp;sheet=A0&amp;row=89&amp;col=21&amp;number=7.063e-12&amp;sourceID=30","7.063e-12")</f>
        <v>7.063e-12</v>
      </c>
      <c r="V89" s="4" t="str">
        <f>HYPERLINK("http://141.218.60.56/~jnz1568/getInfo.php?workbook=10_01.xlsx&amp;sheet=A0&amp;row=89&amp;col=22&amp;number=&amp;sourceID=30","")</f>
        <v/>
      </c>
      <c r="W89" s="4" t="str">
        <f>HYPERLINK("http://141.218.60.56/~jnz1568/getInfo.php?workbook=10_01.xlsx&amp;sheet=A0&amp;row=89&amp;col=23&amp;number=7.05e-12&amp;sourceID=30","7.05e-12")</f>
        <v>7.05e-12</v>
      </c>
      <c r="X89" s="4" t="str">
        <f>HYPERLINK("http://141.218.60.56/~jnz1568/getInfo.php?workbook=10_01.xlsx&amp;sheet=A0&amp;row=89&amp;col=24&amp;number=1.3e-14&amp;sourceID=30","1.3e-14")</f>
        <v>1.3e-14</v>
      </c>
      <c r="Y89" s="4" t="str">
        <f>HYPERLINK("http://141.218.60.56/~jnz1568/getInfo.php?workbook=10_01.xlsx&amp;sheet=A0&amp;row=89&amp;col=25&amp;number=&amp;sourceID=30","")</f>
        <v/>
      </c>
      <c r="Z89" s="4" t="str">
        <f>HYPERLINK("http://141.218.60.56/~jnz1568/getInfo.php?workbook=10_01.xlsx&amp;sheet=A0&amp;row=89&amp;col=26&amp;number=&amp;sourceID=13","")</f>
        <v/>
      </c>
      <c r="AA89" s="4" t="str">
        <f>HYPERLINK("http://141.218.60.56/~jnz1568/getInfo.php?workbook=10_01.xlsx&amp;sheet=A0&amp;row=89&amp;col=27&amp;number=&amp;sourceID=13","")</f>
        <v/>
      </c>
      <c r="AB89" s="4" t="str">
        <f>HYPERLINK("http://141.218.60.56/~jnz1568/getInfo.php?workbook=10_01.xlsx&amp;sheet=A0&amp;row=89&amp;col=28&amp;number=&amp;sourceID=13","")</f>
        <v/>
      </c>
      <c r="AC89" s="4" t="str">
        <f>HYPERLINK("http://141.218.60.56/~jnz1568/getInfo.php?workbook=10_01.xlsx&amp;sheet=A0&amp;row=89&amp;col=29&amp;number=&amp;sourceID=13","")</f>
        <v/>
      </c>
      <c r="AD89" s="4" t="str">
        <f>HYPERLINK("http://141.218.60.56/~jnz1568/getInfo.php?workbook=10_01.xlsx&amp;sheet=A0&amp;row=89&amp;col=30&amp;number=&amp;sourceID=13","")</f>
        <v/>
      </c>
      <c r="AE89" s="4" t="str">
        <f>HYPERLINK("http://141.218.60.56/~jnz1568/getInfo.php?workbook=10_01.xlsx&amp;sheet=A0&amp;row=89&amp;col=31&amp;number=&amp;sourceID=13","")</f>
        <v/>
      </c>
      <c r="AF89" s="4" t="str">
        <f>HYPERLINK("http://141.218.60.56/~jnz1568/getInfo.php?workbook=10_01.xlsx&amp;sheet=A0&amp;row=89&amp;col=32&amp;number=&amp;sourceID=20","")</f>
        <v/>
      </c>
    </row>
    <row r="90" spans="1:32">
      <c r="A90" s="3">
        <v>10</v>
      </c>
      <c r="B90" s="3">
        <v>1</v>
      </c>
      <c r="C90" s="3">
        <v>15</v>
      </c>
      <c r="D90" s="3">
        <v>1</v>
      </c>
      <c r="E90" s="3">
        <f>((1/(INDEX(E0!J$4:J$28,C90,1)-INDEX(E0!J$4:J$28,D90,1))))*100000000</f>
        <v>0</v>
      </c>
      <c r="F90" s="4" t="str">
        <f>HYPERLINK("http://141.218.60.56/~jnz1568/getInfo.php?workbook=10_01.xlsx&amp;sheet=A0&amp;row=90&amp;col=6&amp;number=&amp;sourceID=18","")</f>
        <v/>
      </c>
      <c r="G90" s="4" t="str">
        <f>HYPERLINK("http://141.218.60.56/~jnz1568/getInfo.php?workbook=10_01.xlsx&amp;sheet=A0&amp;row=90&amp;col=7&amp;number==&amp;sourceID=11","=")</f>
        <v>=</v>
      </c>
      <c r="H90" s="4" t="str">
        <f>HYPERLINK("http://141.218.60.56/~jnz1568/getInfo.php?workbook=10_01.xlsx&amp;sheet=A0&amp;row=90&amp;col=8&amp;number=&amp;sourceID=11","")</f>
        <v/>
      </c>
      <c r="I90" s="4" t="str">
        <f>HYPERLINK("http://141.218.60.56/~jnz1568/getInfo.php?workbook=10_01.xlsx&amp;sheet=A0&amp;row=90&amp;col=9&amp;number=325640000&amp;sourceID=11","325640000")</f>
        <v>325640000</v>
      </c>
      <c r="J90" s="4" t="str">
        <f>HYPERLINK("http://141.218.60.56/~jnz1568/getInfo.php?workbook=10_01.xlsx&amp;sheet=A0&amp;row=90&amp;col=10&amp;number=&amp;sourceID=11","")</f>
        <v/>
      </c>
      <c r="K90" s="4" t="str">
        <f>HYPERLINK("http://141.218.60.56/~jnz1568/getInfo.php?workbook=10_01.xlsx&amp;sheet=A0&amp;row=90&amp;col=11&amp;number=&amp;sourceID=11","")</f>
        <v/>
      </c>
      <c r="L90" s="4" t="str">
        <f>HYPERLINK("http://141.218.60.56/~jnz1568/getInfo.php?workbook=10_01.xlsx&amp;sheet=A0&amp;row=90&amp;col=12&amp;number=&amp;sourceID=11","")</f>
        <v/>
      </c>
      <c r="M90" s="4" t="str">
        <f>HYPERLINK("http://141.218.60.56/~jnz1568/getInfo.php?workbook=10_01.xlsx&amp;sheet=A0&amp;row=90&amp;col=13&amp;number=452.36&amp;sourceID=11","452.36")</f>
        <v>452.36</v>
      </c>
      <c r="N90" s="4" t="str">
        <f>HYPERLINK("http://141.218.60.56/~jnz1568/getInfo.php?workbook=10_01.xlsx&amp;sheet=A0&amp;row=90&amp;col=14&amp;number=325650000&amp;sourceID=12","325650000")</f>
        <v>325650000</v>
      </c>
      <c r="O90" s="4" t="str">
        <f>HYPERLINK("http://141.218.60.56/~jnz1568/getInfo.php?workbook=10_01.xlsx&amp;sheet=A0&amp;row=90&amp;col=15&amp;number=&amp;sourceID=12","")</f>
        <v/>
      </c>
      <c r="P90" s="4" t="str">
        <f>HYPERLINK("http://141.218.60.56/~jnz1568/getInfo.php?workbook=10_01.xlsx&amp;sheet=A0&amp;row=90&amp;col=16&amp;number=325650000&amp;sourceID=12","325650000")</f>
        <v>325650000</v>
      </c>
      <c r="Q90" s="4" t="str">
        <f>HYPERLINK("http://141.218.60.56/~jnz1568/getInfo.php?workbook=10_01.xlsx&amp;sheet=A0&amp;row=90&amp;col=17&amp;number=&amp;sourceID=12","")</f>
        <v/>
      </c>
      <c r="R90" s="4" t="str">
        <f>HYPERLINK("http://141.218.60.56/~jnz1568/getInfo.php?workbook=10_01.xlsx&amp;sheet=A0&amp;row=90&amp;col=18&amp;number=&amp;sourceID=12","")</f>
        <v/>
      </c>
      <c r="S90" s="4" t="str">
        <f>HYPERLINK("http://141.218.60.56/~jnz1568/getInfo.php?workbook=10_01.xlsx&amp;sheet=A0&amp;row=90&amp;col=19&amp;number=&amp;sourceID=12","")</f>
        <v/>
      </c>
      <c r="T90" s="4" t="str">
        <f>HYPERLINK("http://141.218.60.56/~jnz1568/getInfo.php?workbook=10_01.xlsx&amp;sheet=A0&amp;row=90&amp;col=20&amp;number=452.37&amp;sourceID=12","452.37")</f>
        <v>452.37</v>
      </c>
      <c r="U90" s="4" t="str">
        <f>HYPERLINK("http://141.218.60.56/~jnz1568/getInfo.php?workbook=10_01.xlsx&amp;sheet=A0&amp;row=90&amp;col=21&amp;number=325600000&amp;sourceID=30","325600000")</f>
        <v>325600000</v>
      </c>
      <c r="V90" s="4" t="str">
        <f>HYPERLINK("http://141.218.60.56/~jnz1568/getInfo.php?workbook=10_01.xlsx&amp;sheet=A0&amp;row=90&amp;col=22&amp;number=&amp;sourceID=30","")</f>
        <v/>
      </c>
      <c r="W90" s="4" t="str">
        <f>HYPERLINK("http://141.218.60.56/~jnz1568/getInfo.php?workbook=10_01.xlsx&amp;sheet=A0&amp;row=90&amp;col=23&amp;number=325600000&amp;sourceID=30","325600000")</f>
        <v>325600000</v>
      </c>
      <c r="X90" s="4" t="str">
        <f>HYPERLINK("http://141.218.60.56/~jnz1568/getInfo.php?workbook=10_01.xlsx&amp;sheet=A0&amp;row=90&amp;col=24&amp;number=&amp;sourceID=30","")</f>
        <v/>
      </c>
      <c r="Y90" s="4" t="str">
        <f>HYPERLINK("http://141.218.60.56/~jnz1568/getInfo.php?workbook=10_01.xlsx&amp;sheet=A0&amp;row=90&amp;col=25&amp;number=&amp;sourceID=30","")</f>
        <v/>
      </c>
      <c r="Z90" s="4" t="str">
        <f>HYPERLINK("http://141.218.60.56/~jnz1568/getInfo.php?workbook=10_01.xlsx&amp;sheet=A0&amp;row=90&amp;col=26&amp;number==SUM(AA90:AE90)&amp;sourceID=13","=SUM(AA90:AE90)")</f>
        <v>=SUM(AA90:AE90)</v>
      </c>
      <c r="AA90" s="4" t="str">
        <f>HYPERLINK("http://141.218.60.56/~jnz1568/getInfo.php?workbook=10_01.xlsx&amp;sheet=A0&amp;row=90&amp;col=27&amp;number=&amp;sourceID=13","")</f>
        <v/>
      </c>
      <c r="AB90" s="4" t="str">
        <f>HYPERLINK("http://141.218.60.56/~jnz1568/getInfo.php?workbook=10_01.xlsx&amp;sheet=A0&amp;row=90&amp;col=28&amp;number=367000000&amp;sourceID=13","367000000")</f>
        <v>367000000</v>
      </c>
      <c r="AC90" s="4" t="str">
        <f>HYPERLINK("http://141.218.60.56/~jnz1568/getInfo.php?workbook=10_01.xlsx&amp;sheet=A0&amp;row=90&amp;col=29&amp;number=&amp;sourceID=13","")</f>
        <v/>
      </c>
      <c r="AD90" s="4" t="str">
        <f>HYPERLINK("http://141.218.60.56/~jnz1568/getInfo.php?workbook=10_01.xlsx&amp;sheet=A0&amp;row=90&amp;col=30&amp;number=&amp;sourceID=13","")</f>
        <v/>
      </c>
      <c r="AE90" s="4" t="str">
        <f>HYPERLINK("http://141.218.60.56/~jnz1568/getInfo.php?workbook=10_01.xlsx&amp;sheet=A0&amp;row=90&amp;col=31&amp;number=&amp;sourceID=13","")</f>
        <v/>
      </c>
      <c r="AF90" s="4" t="str">
        <f>HYPERLINK("http://141.218.60.56/~jnz1568/getInfo.php?workbook=10_01.xlsx&amp;sheet=A0&amp;row=90&amp;col=32&amp;number=&amp;sourceID=20","")</f>
        <v/>
      </c>
    </row>
    <row r="91" spans="1:32">
      <c r="A91" s="3">
        <v>10</v>
      </c>
      <c r="B91" s="3">
        <v>1</v>
      </c>
      <c r="C91" s="3">
        <v>15</v>
      </c>
      <c r="D91" s="3">
        <v>2</v>
      </c>
      <c r="E91" s="3">
        <f>((1/(INDEX(E0!J$4:J$28,C91,1)-INDEX(E0!J$4:J$28,D91,1))))*100000000</f>
        <v>0</v>
      </c>
      <c r="F91" s="4" t="str">
        <f>HYPERLINK("http://141.218.60.56/~jnz1568/getInfo.php?workbook=10_01.xlsx&amp;sheet=A0&amp;row=91&amp;col=6&amp;number=&amp;sourceID=18","")</f>
        <v/>
      </c>
      <c r="G91" s="4" t="str">
        <f>HYPERLINK("http://141.218.60.56/~jnz1568/getInfo.php?workbook=10_01.xlsx&amp;sheet=A0&amp;row=91&amp;col=7&amp;number==&amp;sourceID=11","=")</f>
        <v>=</v>
      </c>
      <c r="H91" s="4" t="str">
        <f>HYPERLINK("http://141.218.60.56/~jnz1568/getInfo.php?workbook=10_01.xlsx&amp;sheet=A0&amp;row=91&amp;col=8&amp;number=&amp;sourceID=11","")</f>
        <v/>
      </c>
      <c r="I91" s="4" t="str">
        <f>HYPERLINK("http://141.218.60.56/~jnz1568/getInfo.php?workbook=10_01.xlsx&amp;sheet=A0&amp;row=91&amp;col=9&amp;number=&amp;sourceID=11","")</f>
        <v/>
      </c>
      <c r="J91" s="4" t="str">
        <f>HYPERLINK("http://141.218.60.56/~jnz1568/getInfo.php?workbook=10_01.xlsx&amp;sheet=A0&amp;row=91&amp;col=10&amp;number=0.01769&amp;sourceID=11","0.01769")</f>
        <v>0.01769</v>
      </c>
      <c r="K91" s="4" t="str">
        <f>HYPERLINK("http://141.218.60.56/~jnz1568/getInfo.php?workbook=10_01.xlsx&amp;sheet=A0&amp;row=91&amp;col=11&amp;number=&amp;sourceID=11","")</f>
        <v/>
      </c>
      <c r="L91" s="4" t="str">
        <f>HYPERLINK("http://141.218.60.56/~jnz1568/getInfo.php?workbook=10_01.xlsx&amp;sheet=A0&amp;row=91&amp;col=12&amp;number=2304.2&amp;sourceID=11","2304.2")</f>
        <v>2304.2</v>
      </c>
      <c r="M91" s="4" t="str">
        <f>HYPERLINK("http://141.218.60.56/~jnz1568/getInfo.php?workbook=10_01.xlsx&amp;sheet=A0&amp;row=91&amp;col=13&amp;number=&amp;sourceID=11","")</f>
        <v/>
      </c>
      <c r="N91" s="4" t="str">
        <f>HYPERLINK("http://141.218.60.56/~jnz1568/getInfo.php?workbook=10_01.xlsx&amp;sheet=A0&amp;row=91&amp;col=14&amp;number=2304.3&amp;sourceID=12","2304.3")</f>
        <v>2304.3</v>
      </c>
      <c r="O91" s="4" t="str">
        <f>HYPERLINK("http://141.218.60.56/~jnz1568/getInfo.php?workbook=10_01.xlsx&amp;sheet=A0&amp;row=91&amp;col=15&amp;number=&amp;sourceID=12","")</f>
        <v/>
      </c>
      <c r="P91" s="4" t="str">
        <f>HYPERLINK("http://141.218.60.56/~jnz1568/getInfo.php?workbook=10_01.xlsx&amp;sheet=A0&amp;row=91&amp;col=16&amp;number=&amp;sourceID=12","")</f>
        <v/>
      </c>
      <c r="Q91" s="4" t="str">
        <f>HYPERLINK("http://141.218.60.56/~jnz1568/getInfo.php?workbook=10_01.xlsx&amp;sheet=A0&amp;row=91&amp;col=17&amp;number=0.01769&amp;sourceID=12","0.01769")</f>
        <v>0.01769</v>
      </c>
      <c r="R91" s="4" t="str">
        <f>HYPERLINK("http://141.218.60.56/~jnz1568/getInfo.php?workbook=10_01.xlsx&amp;sheet=A0&amp;row=91&amp;col=18&amp;number=&amp;sourceID=12","")</f>
        <v/>
      </c>
      <c r="S91" s="4" t="str">
        <f>HYPERLINK("http://141.218.60.56/~jnz1568/getInfo.php?workbook=10_01.xlsx&amp;sheet=A0&amp;row=91&amp;col=19&amp;number=2304.3&amp;sourceID=12","2304.3")</f>
        <v>2304.3</v>
      </c>
      <c r="T91" s="4" t="str">
        <f>HYPERLINK("http://141.218.60.56/~jnz1568/getInfo.php?workbook=10_01.xlsx&amp;sheet=A0&amp;row=91&amp;col=20&amp;number=&amp;sourceID=12","")</f>
        <v/>
      </c>
      <c r="U91" s="4" t="str">
        <f>HYPERLINK("http://141.218.60.56/~jnz1568/getInfo.php?workbook=10_01.xlsx&amp;sheet=A0&amp;row=91&amp;col=21&amp;number=2304&amp;sourceID=30","2304")</f>
        <v>2304</v>
      </c>
      <c r="V91" s="4" t="str">
        <f>HYPERLINK("http://141.218.60.56/~jnz1568/getInfo.php?workbook=10_01.xlsx&amp;sheet=A0&amp;row=91&amp;col=22&amp;number=&amp;sourceID=30","")</f>
        <v/>
      </c>
      <c r="W91" s="4" t="str">
        <f>HYPERLINK("http://141.218.60.56/~jnz1568/getInfo.php?workbook=10_01.xlsx&amp;sheet=A0&amp;row=91&amp;col=23&amp;number=&amp;sourceID=30","")</f>
        <v/>
      </c>
      <c r="X91" s="4" t="str">
        <f>HYPERLINK("http://141.218.60.56/~jnz1568/getInfo.php?workbook=10_01.xlsx&amp;sheet=A0&amp;row=91&amp;col=24&amp;number=&amp;sourceID=30","")</f>
        <v/>
      </c>
      <c r="Y91" s="4" t="str">
        <f>HYPERLINK("http://141.218.60.56/~jnz1568/getInfo.php?workbook=10_01.xlsx&amp;sheet=A0&amp;row=91&amp;col=25&amp;number=2304&amp;sourceID=30","2304")</f>
        <v>2304</v>
      </c>
      <c r="Z91" s="4" t="str">
        <f>HYPERLINK("http://141.218.60.56/~jnz1568/getInfo.php?workbook=10_01.xlsx&amp;sheet=A0&amp;row=91&amp;col=26&amp;number==&amp;sourceID=13","=")</f>
        <v>=</v>
      </c>
      <c r="AA91" s="4" t="str">
        <f>HYPERLINK("http://141.218.60.56/~jnz1568/getInfo.php?workbook=10_01.xlsx&amp;sheet=A0&amp;row=91&amp;col=27&amp;number=&amp;sourceID=13","")</f>
        <v/>
      </c>
      <c r="AB91" s="4" t="str">
        <f>HYPERLINK("http://141.218.60.56/~jnz1568/getInfo.php?workbook=10_01.xlsx&amp;sheet=A0&amp;row=91&amp;col=28&amp;number=&amp;sourceID=13","")</f>
        <v/>
      </c>
      <c r="AC91" s="4" t="str">
        <f>HYPERLINK("http://141.218.60.56/~jnz1568/getInfo.php?workbook=10_01.xlsx&amp;sheet=A0&amp;row=91&amp;col=29&amp;number=4.08&amp;sourceID=13","4.08")</f>
        <v>4.08</v>
      </c>
      <c r="AD91" s="4" t="str">
        <f>HYPERLINK("http://141.218.60.56/~jnz1568/getInfo.php?workbook=10_01.xlsx&amp;sheet=A0&amp;row=91&amp;col=30&amp;number=&amp;sourceID=13","")</f>
        <v/>
      </c>
      <c r="AE91" s="4" t="str">
        <f>HYPERLINK("http://141.218.60.56/~jnz1568/getInfo.php?workbook=10_01.xlsx&amp;sheet=A0&amp;row=91&amp;col=31&amp;number=9180&amp;sourceID=13","9180")</f>
        <v>9180</v>
      </c>
      <c r="AF91" s="4" t="str">
        <f>HYPERLINK("http://141.218.60.56/~jnz1568/getInfo.php?workbook=10_01.xlsx&amp;sheet=A0&amp;row=91&amp;col=32&amp;number=&amp;sourceID=20","")</f>
        <v/>
      </c>
    </row>
    <row r="92" spans="1:32">
      <c r="A92" s="3">
        <v>10</v>
      </c>
      <c r="B92" s="3">
        <v>1</v>
      </c>
      <c r="C92" s="3">
        <v>15</v>
      </c>
      <c r="D92" s="3">
        <v>3</v>
      </c>
      <c r="E92" s="3">
        <f>((1/(INDEX(E0!J$4:J$28,C92,1)-INDEX(E0!J$4:J$28,D92,1))))*100000000</f>
        <v>0</v>
      </c>
      <c r="F92" s="4" t="str">
        <f>HYPERLINK("http://141.218.60.56/~jnz1568/getInfo.php?workbook=10_01.xlsx&amp;sheet=A0&amp;row=92&amp;col=6&amp;number=&amp;sourceID=18","")</f>
        <v/>
      </c>
      <c r="G92" s="4" t="str">
        <f>HYPERLINK("http://141.218.60.56/~jnz1568/getInfo.php?workbook=10_01.xlsx&amp;sheet=A0&amp;row=92&amp;col=7&amp;number==&amp;sourceID=11","=")</f>
        <v>=</v>
      </c>
      <c r="H92" s="4" t="str">
        <f>HYPERLINK("http://141.218.60.56/~jnz1568/getInfo.php?workbook=10_01.xlsx&amp;sheet=A0&amp;row=92&amp;col=8&amp;number=&amp;sourceID=11","")</f>
        <v/>
      </c>
      <c r="I92" s="4" t="str">
        <f>HYPERLINK("http://141.218.60.56/~jnz1568/getInfo.php?workbook=10_01.xlsx&amp;sheet=A0&amp;row=92&amp;col=9&amp;number=5246800&amp;sourceID=11","5246800")</f>
        <v>5246800</v>
      </c>
      <c r="J92" s="4" t="str">
        <f>HYPERLINK("http://141.218.60.56/~jnz1568/getInfo.php?workbook=10_01.xlsx&amp;sheet=A0&amp;row=92&amp;col=10&amp;number=&amp;sourceID=11","")</f>
        <v/>
      </c>
      <c r="K92" s="4" t="str">
        <f>HYPERLINK("http://141.218.60.56/~jnz1568/getInfo.php?workbook=10_01.xlsx&amp;sheet=A0&amp;row=92&amp;col=11&amp;number=&amp;sourceID=11","")</f>
        <v/>
      </c>
      <c r="L92" s="4" t="str">
        <f>HYPERLINK("http://141.218.60.56/~jnz1568/getInfo.php?workbook=10_01.xlsx&amp;sheet=A0&amp;row=92&amp;col=12&amp;number=&amp;sourceID=11","")</f>
        <v/>
      </c>
      <c r="M92" s="4" t="str">
        <f>HYPERLINK("http://141.218.60.56/~jnz1568/getInfo.php?workbook=10_01.xlsx&amp;sheet=A0&amp;row=92&amp;col=13&amp;number=0.29159&amp;sourceID=11","0.29159")</f>
        <v>0.29159</v>
      </c>
      <c r="N92" s="4" t="str">
        <f>HYPERLINK("http://141.218.60.56/~jnz1568/getInfo.php?workbook=10_01.xlsx&amp;sheet=A0&amp;row=92&amp;col=14&amp;number=5247000&amp;sourceID=12","5247000")</f>
        <v>5247000</v>
      </c>
      <c r="O92" s="4" t="str">
        <f>HYPERLINK("http://141.218.60.56/~jnz1568/getInfo.php?workbook=10_01.xlsx&amp;sheet=A0&amp;row=92&amp;col=15&amp;number=&amp;sourceID=12","")</f>
        <v/>
      </c>
      <c r="P92" s="4" t="str">
        <f>HYPERLINK("http://141.218.60.56/~jnz1568/getInfo.php?workbook=10_01.xlsx&amp;sheet=A0&amp;row=92&amp;col=16&amp;number=5247000&amp;sourceID=12","5247000")</f>
        <v>5247000</v>
      </c>
      <c r="Q92" s="4" t="str">
        <f>HYPERLINK("http://141.218.60.56/~jnz1568/getInfo.php?workbook=10_01.xlsx&amp;sheet=A0&amp;row=92&amp;col=17&amp;number=&amp;sourceID=12","")</f>
        <v/>
      </c>
      <c r="R92" s="4" t="str">
        <f>HYPERLINK("http://141.218.60.56/~jnz1568/getInfo.php?workbook=10_01.xlsx&amp;sheet=A0&amp;row=92&amp;col=18&amp;number=&amp;sourceID=12","")</f>
        <v/>
      </c>
      <c r="S92" s="4" t="str">
        <f>HYPERLINK("http://141.218.60.56/~jnz1568/getInfo.php?workbook=10_01.xlsx&amp;sheet=A0&amp;row=92&amp;col=19&amp;number=&amp;sourceID=12","")</f>
        <v/>
      </c>
      <c r="T92" s="4" t="str">
        <f>HYPERLINK("http://141.218.60.56/~jnz1568/getInfo.php?workbook=10_01.xlsx&amp;sheet=A0&amp;row=92&amp;col=20&amp;number=0.2916&amp;sourceID=12","0.2916")</f>
        <v>0.2916</v>
      </c>
      <c r="U92" s="4" t="str">
        <f>HYPERLINK("http://141.218.60.56/~jnz1568/getInfo.php?workbook=10_01.xlsx&amp;sheet=A0&amp;row=92&amp;col=21&amp;number=5247000&amp;sourceID=30","5247000")</f>
        <v>5247000</v>
      </c>
      <c r="V92" s="4" t="str">
        <f>HYPERLINK("http://141.218.60.56/~jnz1568/getInfo.php?workbook=10_01.xlsx&amp;sheet=A0&amp;row=92&amp;col=22&amp;number=&amp;sourceID=30","")</f>
        <v/>
      </c>
      <c r="W92" s="4" t="str">
        <f>HYPERLINK("http://141.218.60.56/~jnz1568/getInfo.php?workbook=10_01.xlsx&amp;sheet=A0&amp;row=92&amp;col=23&amp;number=5247000&amp;sourceID=30","5247000")</f>
        <v>5247000</v>
      </c>
      <c r="X92" s="4" t="str">
        <f>HYPERLINK("http://141.218.60.56/~jnz1568/getInfo.php?workbook=10_01.xlsx&amp;sheet=A0&amp;row=92&amp;col=24&amp;number=&amp;sourceID=30","")</f>
        <v/>
      </c>
      <c r="Y92" s="4" t="str">
        <f>HYPERLINK("http://141.218.60.56/~jnz1568/getInfo.php?workbook=10_01.xlsx&amp;sheet=A0&amp;row=92&amp;col=25&amp;number=&amp;sourceID=30","")</f>
        <v/>
      </c>
      <c r="Z92" s="4" t="str">
        <f>HYPERLINK("http://141.218.60.56/~jnz1568/getInfo.php?workbook=10_01.xlsx&amp;sheet=A0&amp;row=92&amp;col=26&amp;number==&amp;sourceID=13","=")</f>
        <v>=</v>
      </c>
      <c r="AA92" s="4" t="str">
        <f>HYPERLINK("http://141.218.60.56/~jnz1568/getInfo.php?workbook=10_01.xlsx&amp;sheet=A0&amp;row=92&amp;col=27&amp;number=&amp;sourceID=13","")</f>
        <v/>
      </c>
      <c r="AB92" s="4" t="str">
        <f>HYPERLINK("http://141.218.60.56/~jnz1568/getInfo.php?workbook=10_01.xlsx&amp;sheet=A0&amp;row=92&amp;col=28&amp;number=5040000&amp;sourceID=13","5040000")</f>
        <v>5040000</v>
      </c>
      <c r="AC92" s="4" t="str">
        <f>HYPERLINK("http://141.218.60.56/~jnz1568/getInfo.php?workbook=10_01.xlsx&amp;sheet=A0&amp;row=92&amp;col=29&amp;number=&amp;sourceID=13","")</f>
        <v/>
      </c>
      <c r="AD92" s="4" t="str">
        <f>HYPERLINK("http://141.218.60.56/~jnz1568/getInfo.php?workbook=10_01.xlsx&amp;sheet=A0&amp;row=92&amp;col=30&amp;number=&amp;sourceID=13","")</f>
        <v/>
      </c>
      <c r="AE92" s="4" t="str">
        <f>HYPERLINK("http://141.218.60.56/~jnz1568/getInfo.php?workbook=10_01.xlsx&amp;sheet=A0&amp;row=92&amp;col=31&amp;number=&amp;sourceID=13","")</f>
        <v/>
      </c>
      <c r="AF92" s="4" t="str">
        <f>HYPERLINK("http://141.218.60.56/~jnz1568/getInfo.php?workbook=10_01.xlsx&amp;sheet=A0&amp;row=92&amp;col=32&amp;number=&amp;sourceID=20","")</f>
        <v/>
      </c>
    </row>
    <row r="93" spans="1:32">
      <c r="A93" s="3">
        <v>10</v>
      </c>
      <c r="B93" s="3">
        <v>1</v>
      </c>
      <c r="C93" s="3">
        <v>15</v>
      </c>
      <c r="D93" s="3">
        <v>4</v>
      </c>
      <c r="E93" s="3">
        <f>((1/(INDEX(E0!J$4:J$28,C93,1)-INDEX(E0!J$4:J$28,D93,1))))*100000000</f>
        <v>0</v>
      </c>
      <c r="F93" s="4" t="str">
        <f>HYPERLINK("http://141.218.60.56/~jnz1568/getInfo.php?workbook=10_01.xlsx&amp;sheet=A0&amp;row=93&amp;col=6&amp;number=&amp;sourceID=18","")</f>
        <v/>
      </c>
      <c r="G93" s="4" t="str">
        <f>HYPERLINK("http://141.218.60.56/~jnz1568/getInfo.php?workbook=10_01.xlsx&amp;sheet=A0&amp;row=93&amp;col=7&amp;number==&amp;sourceID=11","=")</f>
        <v>=</v>
      </c>
      <c r="H93" s="4" t="str">
        <f>HYPERLINK("http://141.218.60.56/~jnz1568/getInfo.php?workbook=10_01.xlsx&amp;sheet=A0&amp;row=93&amp;col=8&amp;number=206360000000&amp;sourceID=11","206360000000")</f>
        <v>206360000000</v>
      </c>
      <c r="I93" s="4" t="str">
        <f>HYPERLINK("http://141.218.60.56/~jnz1568/getInfo.php?workbook=10_01.xlsx&amp;sheet=A0&amp;row=93&amp;col=9&amp;number=&amp;sourceID=11","")</f>
        <v/>
      </c>
      <c r="J93" s="4" t="str">
        <f>HYPERLINK("http://141.218.60.56/~jnz1568/getInfo.php?workbook=10_01.xlsx&amp;sheet=A0&amp;row=93&amp;col=10&amp;number=0.00012524&amp;sourceID=11","0.00012524")</f>
        <v>0.00012524</v>
      </c>
      <c r="K93" s="4" t="str">
        <f>HYPERLINK("http://141.218.60.56/~jnz1568/getInfo.php?workbook=10_01.xlsx&amp;sheet=A0&amp;row=93&amp;col=11&amp;number=&amp;sourceID=11","")</f>
        <v/>
      </c>
      <c r="L93" s="4" t="str">
        <f>HYPERLINK("http://141.218.60.56/~jnz1568/getInfo.php?workbook=10_01.xlsx&amp;sheet=A0&amp;row=93&amp;col=12&amp;number=12500&amp;sourceID=11","12500")</f>
        <v>12500</v>
      </c>
      <c r="M93" s="4" t="str">
        <f>HYPERLINK("http://141.218.60.56/~jnz1568/getInfo.php?workbook=10_01.xlsx&amp;sheet=A0&amp;row=93&amp;col=13&amp;number=&amp;sourceID=11","")</f>
        <v/>
      </c>
      <c r="N93" s="4" t="str">
        <f>HYPERLINK("http://141.218.60.56/~jnz1568/getInfo.php?workbook=10_01.xlsx&amp;sheet=A0&amp;row=93&amp;col=14&amp;number=206360000000&amp;sourceID=12","206360000000")</f>
        <v>206360000000</v>
      </c>
      <c r="O93" s="4" t="str">
        <f>HYPERLINK("http://141.218.60.56/~jnz1568/getInfo.php?workbook=10_01.xlsx&amp;sheet=A0&amp;row=93&amp;col=15&amp;number=206360000000&amp;sourceID=12","206360000000")</f>
        <v>206360000000</v>
      </c>
      <c r="P93" s="4" t="str">
        <f>HYPERLINK("http://141.218.60.56/~jnz1568/getInfo.php?workbook=10_01.xlsx&amp;sheet=A0&amp;row=93&amp;col=16&amp;number=&amp;sourceID=12","")</f>
        <v/>
      </c>
      <c r="Q93" s="4" t="str">
        <f>HYPERLINK("http://141.218.60.56/~jnz1568/getInfo.php?workbook=10_01.xlsx&amp;sheet=A0&amp;row=93&amp;col=17&amp;number=0.00012528&amp;sourceID=12","0.00012528")</f>
        <v>0.00012528</v>
      </c>
      <c r="R93" s="4" t="str">
        <f>HYPERLINK("http://141.218.60.56/~jnz1568/getInfo.php?workbook=10_01.xlsx&amp;sheet=A0&amp;row=93&amp;col=18&amp;number=&amp;sourceID=12","")</f>
        <v/>
      </c>
      <c r="S93" s="4" t="str">
        <f>HYPERLINK("http://141.218.60.56/~jnz1568/getInfo.php?workbook=10_01.xlsx&amp;sheet=A0&amp;row=93&amp;col=19&amp;number=12501&amp;sourceID=12","12501")</f>
        <v>12501</v>
      </c>
      <c r="T93" s="4" t="str">
        <f>HYPERLINK("http://141.218.60.56/~jnz1568/getInfo.php?workbook=10_01.xlsx&amp;sheet=A0&amp;row=93&amp;col=20&amp;number=&amp;sourceID=12","")</f>
        <v/>
      </c>
      <c r="U93" s="4" t="str">
        <f>HYPERLINK("http://141.218.60.56/~jnz1568/getInfo.php?workbook=10_01.xlsx&amp;sheet=A0&amp;row=93&amp;col=21&amp;number=206400012500&amp;sourceID=30","206400012500")</f>
        <v>206400012500</v>
      </c>
      <c r="V93" s="4" t="str">
        <f>HYPERLINK("http://141.218.60.56/~jnz1568/getInfo.php?workbook=10_01.xlsx&amp;sheet=A0&amp;row=93&amp;col=22&amp;number=206400000000&amp;sourceID=30","206400000000")</f>
        <v>206400000000</v>
      </c>
      <c r="W93" s="4" t="str">
        <f>HYPERLINK("http://141.218.60.56/~jnz1568/getInfo.php?workbook=10_01.xlsx&amp;sheet=A0&amp;row=93&amp;col=23&amp;number=&amp;sourceID=30","")</f>
        <v/>
      </c>
      <c r="X93" s="4" t="str">
        <f>HYPERLINK("http://141.218.60.56/~jnz1568/getInfo.php?workbook=10_01.xlsx&amp;sheet=A0&amp;row=93&amp;col=24&amp;number=&amp;sourceID=30","")</f>
        <v/>
      </c>
      <c r="Y93" s="4" t="str">
        <f>HYPERLINK("http://141.218.60.56/~jnz1568/getInfo.php?workbook=10_01.xlsx&amp;sheet=A0&amp;row=93&amp;col=25&amp;number=12500&amp;sourceID=30","12500")</f>
        <v>12500</v>
      </c>
      <c r="Z93" s="4" t="str">
        <f>HYPERLINK("http://141.218.60.56/~jnz1568/getInfo.php?workbook=10_01.xlsx&amp;sheet=A0&amp;row=93&amp;col=26&amp;number==&amp;sourceID=13","=")</f>
        <v>=</v>
      </c>
      <c r="AA93" s="4" t="str">
        <f>HYPERLINK("http://141.218.60.56/~jnz1568/getInfo.php?workbook=10_01.xlsx&amp;sheet=A0&amp;row=93&amp;col=27&amp;number=206000000000&amp;sourceID=13","206000000000")</f>
        <v>206000000000</v>
      </c>
      <c r="AB93" s="4" t="str">
        <f>HYPERLINK("http://141.218.60.56/~jnz1568/getInfo.php?workbook=10_01.xlsx&amp;sheet=A0&amp;row=93&amp;col=28&amp;number=&amp;sourceID=13","")</f>
        <v/>
      </c>
      <c r="AC93" s="4" t="str">
        <f>HYPERLINK("http://141.218.60.56/~jnz1568/getInfo.php?workbook=10_01.xlsx&amp;sheet=A0&amp;row=93&amp;col=29&amp;number=&amp;sourceID=13","")</f>
        <v/>
      </c>
      <c r="AD93" s="4" t="str">
        <f>HYPERLINK("http://141.218.60.56/~jnz1568/getInfo.php?workbook=10_01.xlsx&amp;sheet=A0&amp;row=93&amp;col=30&amp;number=&amp;sourceID=13","")</f>
        <v/>
      </c>
      <c r="AE93" s="4" t="str">
        <f>HYPERLINK("http://141.218.60.56/~jnz1568/getInfo.php?workbook=10_01.xlsx&amp;sheet=A0&amp;row=93&amp;col=31&amp;number=&amp;sourceID=13","")</f>
        <v/>
      </c>
      <c r="AF93" s="4" t="str">
        <f>HYPERLINK("http://141.218.60.56/~jnz1568/getInfo.php?workbook=10_01.xlsx&amp;sheet=A0&amp;row=93&amp;col=32&amp;number=&amp;sourceID=20","")</f>
        <v/>
      </c>
    </row>
    <row r="94" spans="1:32">
      <c r="A94" s="3">
        <v>10</v>
      </c>
      <c r="B94" s="3">
        <v>1</v>
      </c>
      <c r="C94" s="3">
        <v>15</v>
      </c>
      <c r="D94" s="3">
        <v>5</v>
      </c>
      <c r="E94" s="3">
        <f>((1/(INDEX(E0!J$4:J$28,C94,1)-INDEX(E0!J$4:J$28,D94,1))))*100000000</f>
        <v>0</v>
      </c>
      <c r="F94" s="4" t="str">
        <f>HYPERLINK("http://141.218.60.56/~jnz1568/getInfo.php?workbook=10_01.xlsx&amp;sheet=A0&amp;row=94&amp;col=6&amp;number=&amp;sourceID=18","")</f>
        <v/>
      </c>
      <c r="G94" s="4" t="str">
        <f>HYPERLINK("http://141.218.60.56/~jnz1568/getInfo.php?workbook=10_01.xlsx&amp;sheet=A0&amp;row=94&amp;col=7&amp;number==&amp;sourceID=11","=")</f>
        <v>=</v>
      </c>
      <c r="H94" s="4" t="str">
        <f>HYPERLINK("http://141.218.60.56/~jnz1568/getInfo.php?workbook=10_01.xlsx&amp;sheet=A0&amp;row=94&amp;col=8&amp;number=&amp;sourceID=11","")</f>
        <v/>
      </c>
      <c r="I94" s="4" t="str">
        <f>HYPERLINK("http://141.218.60.56/~jnz1568/getInfo.php?workbook=10_01.xlsx&amp;sheet=A0&amp;row=94&amp;col=9&amp;number=&amp;sourceID=11","")</f>
        <v/>
      </c>
      <c r="J94" s="4" t="str">
        <f>HYPERLINK("http://141.218.60.56/~jnz1568/getInfo.php?workbook=10_01.xlsx&amp;sheet=A0&amp;row=94&amp;col=10&amp;number=70.567&amp;sourceID=11","70.567")</f>
        <v>70.567</v>
      </c>
      <c r="K94" s="4" t="str">
        <f>HYPERLINK("http://141.218.60.56/~jnz1568/getInfo.php?workbook=10_01.xlsx&amp;sheet=A0&amp;row=94&amp;col=11&amp;number=&amp;sourceID=11","")</f>
        <v/>
      </c>
      <c r="L94" s="4" t="str">
        <f>HYPERLINK("http://141.218.60.56/~jnz1568/getInfo.php?workbook=10_01.xlsx&amp;sheet=A0&amp;row=94&amp;col=12&amp;number=52.672&amp;sourceID=11","52.672")</f>
        <v>52.672</v>
      </c>
      <c r="M94" s="4" t="str">
        <f>HYPERLINK("http://141.218.60.56/~jnz1568/getInfo.php?workbook=10_01.xlsx&amp;sheet=A0&amp;row=94&amp;col=13&amp;number=&amp;sourceID=11","")</f>
        <v/>
      </c>
      <c r="N94" s="4" t="str">
        <f>HYPERLINK("http://141.218.60.56/~jnz1568/getInfo.php?workbook=10_01.xlsx&amp;sheet=A0&amp;row=94&amp;col=14&amp;number=123.24&amp;sourceID=12","123.24")</f>
        <v>123.24</v>
      </c>
      <c r="O94" s="4" t="str">
        <f>HYPERLINK("http://141.218.60.56/~jnz1568/getInfo.php?workbook=10_01.xlsx&amp;sheet=A0&amp;row=94&amp;col=15&amp;number=&amp;sourceID=12","")</f>
        <v/>
      </c>
      <c r="P94" s="4" t="str">
        <f>HYPERLINK("http://141.218.60.56/~jnz1568/getInfo.php?workbook=10_01.xlsx&amp;sheet=A0&amp;row=94&amp;col=16&amp;number=&amp;sourceID=12","")</f>
        <v/>
      </c>
      <c r="Q94" s="4" t="str">
        <f>HYPERLINK("http://141.218.60.56/~jnz1568/getInfo.php?workbook=10_01.xlsx&amp;sheet=A0&amp;row=94&amp;col=17&amp;number=70.569&amp;sourceID=12","70.569")</f>
        <v>70.569</v>
      </c>
      <c r="R94" s="4" t="str">
        <f>HYPERLINK("http://141.218.60.56/~jnz1568/getInfo.php?workbook=10_01.xlsx&amp;sheet=A0&amp;row=94&amp;col=18&amp;number=&amp;sourceID=12","")</f>
        <v/>
      </c>
      <c r="S94" s="4" t="str">
        <f>HYPERLINK("http://141.218.60.56/~jnz1568/getInfo.php?workbook=10_01.xlsx&amp;sheet=A0&amp;row=94&amp;col=19&amp;number=52.673&amp;sourceID=12","52.673")</f>
        <v>52.673</v>
      </c>
      <c r="T94" s="4" t="str">
        <f>HYPERLINK("http://141.218.60.56/~jnz1568/getInfo.php?workbook=10_01.xlsx&amp;sheet=A0&amp;row=94&amp;col=20&amp;number=&amp;sourceID=12","")</f>
        <v/>
      </c>
      <c r="U94" s="4" t="str">
        <f>HYPERLINK("http://141.218.60.56/~jnz1568/getInfo.php?workbook=10_01.xlsx&amp;sheet=A0&amp;row=94&amp;col=21&amp;number=52.67&amp;sourceID=30","52.67")</f>
        <v>52.67</v>
      </c>
      <c r="V94" s="4" t="str">
        <f>HYPERLINK("http://141.218.60.56/~jnz1568/getInfo.php?workbook=10_01.xlsx&amp;sheet=A0&amp;row=94&amp;col=22&amp;number=&amp;sourceID=30","")</f>
        <v/>
      </c>
      <c r="W94" s="4" t="str">
        <f>HYPERLINK("http://141.218.60.56/~jnz1568/getInfo.php?workbook=10_01.xlsx&amp;sheet=A0&amp;row=94&amp;col=23&amp;number=&amp;sourceID=30","")</f>
        <v/>
      </c>
      <c r="X94" s="4" t="str">
        <f>HYPERLINK("http://141.218.60.56/~jnz1568/getInfo.php?workbook=10_01.xlsx&amp;sheet=A0&amp;row=94&amp;col=24&amp;number=&amp;sourceID=30","")</f>
        <v/>
      </c>
      <c r="Y94" s="4" t="str">
        <f>HYPERLINK("http://141.218.60.56/~jnz1568/getInfo.php?workbook=10_01.xlsx&amp;sheet=A0&amp;row=94&amp;col=25&amp;number=52.67&amp;sourceID=30","52.67")</f>
        <v>52.67</v>
      </c>
      <c r="Z94" s="4" t="str">
        <f>HYPERLINK("http://141.218.60.56/~jnz1568/getInfo.php?workbook=10_01.xlsx&amp;sheet=A0&amp;row=94&amp;col=26&amp;number==&amp;sourceID=13","=")</f>
        <v>=</v>
      </c>
      <c r="AA94" s="4" t="str">
        <f>HYPERLINK("http://141.218.60.56/~jnz1568/getInfo.php?workbook=10_01.xlsx&amp;sheet=A0&amp;row=94&amp;col=27&amp;number=&amp;sourceID=13","")</f>
        <v/>
      </c>
      <c r="AB94" s="4" t="str">
        <f>HYPERLINK("http://141.218.60.56/~jnz1568/getInfo.php?workbook=10_01.xlsx&amp;sheet=A0&amp;row=94&amp;col=28&amp;number=&amp;sourceID=13","")</f>
        <v/>
      </c>
      <c r="AC94" s="4" t="str">
        <f>HYPERLINK("http://141.218.60.56/~jnz1568/getInfo.php?workbook=10_01.xlsx&amp;sheet=A0&amp;row=94&amp;col=29&amp;number=109&amp;sourceID=13","109")</f>
        <v>109</v>
      </c>
      <c r="AD94" s="4" t="str">
        <f>HYPERLINK("http://141.218.60.56/~jnz1568/getInfo.php?workbook=10_01.xlsx&amp;sheet=A0&amp;row=94&amp;col=30&amp;number=&amp;sourceID=13","")</f>
        <v/>
      </c>
      <c r="AE94" s="4" t="str">
        <f>HYPERLINK("http://141.218.60.56/~jnz1568/getInfo.php?workbook=10_01.xlsx&amp;sheet=A0&amp;row=94&amp;col=31&amp;number=210&amp;sourceID=13","210")</f>
        <v>210</v>
      </c>
      <c r="AF94" s="4" t="str">
        <f>HYPERLINK("http://141.218.60.56/~jnz1568/getInfo.php?workbook=10_01.xlsx&amp;sheet=A0&amp;row=94&amp;col=32&amp;number=&amp;sourceID=20","")</f>
        <v/>
      </c>
    </row>
    <row r="95" spans="1:32">
      <c r="A95" s="3">
        <v>10</v>
      </c>
      <c r="B95" s="3">
        <v>1</v>
      </c>
      <c r="C95" s="3">
        <v>15</v>
      </c>
      <c r="D95" s="3">
        <v>6</v>
      </c>
      <c r="E95" s="3">
        <f>((1/(INDEX(E0!J$4:J$28,C95,1)-INDEX(E0!J$4:J$28,D95,1))))*100000000</f>
        <v>0</v>
      </c>
      <c r="F95" s="4" t="str">
        <f>HYPERLINK("http://141.218.60.56/~jnz1568/getInfo.php?workbook=10_01.xlsx&amp;sheet=A0&amp;row=95&amp;col=6&amp;number=&amp;sourceID=18","")</f>
        <v/>
      </c>
      <c r="G95" s="4" t="str">
        <f>HYPERLINK("http://141.218.60.56/~jnz1568/getInfo.php?workbook=10_01.xlsx&amp;sheet=A0&amp;row=95&amp;col=7&amp;number==&amp;sourceID=11","=")</f>
        <v>=</v>
      </c>
      <c r="H95" s="4" t="str">
        <f>HYPERLINK("http://141.218.60.56/~jnz1568/getInfo.php?workbook=10_01.xlsx&amp;sheet=A0&amp;row=95&amp;col=8&amp;number=&amp;sourceID=11","")</f>
        <v/>
      </c>
      <c r="I95" s="4" t="str">
        <f>HYPERLINK("http://141.218.60.56/~jnz1568/getInfo.php?workbook=10_01.xlsx&amp;sheet=A0&amp;row=95&amp;col=9&amp;number=3783500&amp;sourceID=11","3783500")</f>
        <v>3783500</v>
      </c>
      <c r="J95" s="4" t="str">
        <f>HYPERLINK("http://141.218.60.56/~jnz1568/getInfo.php?workbook=10_01.xlsx&amp;sheet=A0&amp;row=95&amp;col=10&amp;number=&amp;sourceID=11","")</f>
        <v/>
      </c>
      <c r="K95" s="4" t="str">
        <f>HYPERLINK("http://141.218.60.56/~jnz1568/getInfo.php?workbook=10_01.xlsx&amp;sheet=A0&amp;row=95&amp;col=11&amp;number=&amp;sourceID=11","")</f>
        <v/>
      </c>
      <c r="L95" s="4" t="str">
        <f>HYPERLINK("http://141.218.60.56/~jnz1568/getInfo.php?workbook=10_01.xlsx&amp;sheet=A0&amp;row=95&amp;col=12&amp;number=&amp;sourceID=11","")</f>
        <v/>
      </c>
      <c r="M95" s="4" t="str">
        <f>HYPERLINK("http://141.218.60.56/~jnz1568/getInfo.php?workbook=10_01.xlsx&amp;sheet=A0&amp;row=95&amp;col=13&amp;number=0.014164&amp;sourceID=11","0.014164")</f>
        <v>0.014164</v>
      </c>
      <c r="N95" s="4" t="str">
        <f>HYPERLINK("http://141.218.60.56/~jnz1568/getInfo.php?workbook=10_01.xlsx&amp;sheet=A0&amp;row=95&amp;col=14&amp;number=3783600&amp;sourceID=12","3783600")</f>
        <v>3783600</v>
      </c>
      <c r="O95" s="4" t="str">
        <f>HYPERLINK("http://141.218.60.56/~jnz1568/getInfo.php?workbook=10_01.xlsx&amp;sheet=A0&amp;row=95&amp;col=15&amp;number=&amp;sourceID=12","")</f>
        <v/>
      </c>
      <c r="P95" s="4" t="str">
        <f>HYPERLINK("http://141.218.60.56/~jnz1568/getInfo.php?workbook=10_01.xlsx&amp;sheet=A0&amp;row=95&amp;col=16&amp;number=3783600&amp;sourceID=12","3783600")</f>
        <v>3783600</v>
      </c>
      <c r="Q95" s="4" t="str">
        <f>HYPERLINK("http://141.218.60.56/~jnz1568/getInfo.php?workbook=10_01.xlsx&amp;sheet=A0&amp;row=95&amp;col=17&amp;number=&amp;sourceID=12","")</f>
        <v/>
      </c>
      <c r="R95" s="4" t="str">
        <f>HYPERLINK("http://141.218.60.56/~jnz1568/getInfo.php?workbook=10_01.xlsx&amp;sheet=A0&amp;row=95&amp;col=18&amp;number=&amp;sourceID=12","")</f>
        <v/>
      </c>
      <c r="S95" s="4" t="str">
        <f>HYPERLINK("http://141.218.60.56/~jnz1568/getInfo.php?workbook=10_01.xlsx&amp;sheet=A0&amp;row=95&amp;col=19&amp;number=&amp;sourceID=12","")</f>
        <v/>
      </c>
      <c r="T95" s="4" t="str">
        <f>HYPERLINK("http://141.218.60.56/~jnz1568/getInfo.php?workbook=10_01.xlsx&amp;sheet=A0&amp;row=95&amp;col=20&amp;number=0.014164&amp;sourceID=12","0.014164")</f>
        <v>0.014164</v>
      </c>
      <c r="U95" s="4" t="str">
        <f>HYPERLINK("http://141.218.60.56/~jnz1568/getInfo.php?workbook=10_01.xlsx&amp;sheet=A0&amp;row=95&amp;col=21&amp;number=3784000&amp;sourceID=30","3784000")</f>
        <v>3784000</v>
      </c>
      <c r="V95" s="4" t="str">
        <f>HYPERLINK("http://141.218.60.56/~jnz1568/getInfo.php?workbook=10_01.xlsx&amp;sheet=A0&amp;row=95&amp;col=22&amp;number=&amp;sourceID=30","")</f>
        <v/>
      </c>
      <c r="W95" s="4" t="str">
        <f>HYPERLINK("http://141.218.60.56/~jnz1568/getInfo.php?workbook=10_01.xlsx&amp;sheet=A0&amp;row=95&amp;col=23&amp;number=3784000&amp;sourceID=30","3784000")</f>
        <v>3784000</v>
      </c>
      <c r="X95" s="4" t="str">
        <f>HYPERLINK("http://141.218.60.56/~jnz1568/getInfo.php?workbook=10_01.xlsx&amp;sheet=A0&amp;row=95&amp;col=24&amp;number=&amp;sourceID=30","")</f>
        <v/>
      </c>
      <c r="Y95" s="4" t="str">
        <f>HYPERLINK("http://141.218.60.56/~jnz1568/getInfo.php?workbook=10_01.xlsx&amp;sheet=A0&amp;row=95&amp;col=25&amp;number=&amp;sourceID=30","")</f>
        <v/>
      </c>
      <c r="Z95" s="4" t="str">
        <f>HYPERLINK("http://141.218.60.56/~jnz1568/getInfo.php?workbook=10_01.xlsx&amp;sheet=A0&amp;row=95&amp;col=26&amp;number==&amp;sourceID=13","=")</f>
        <v>=</v>
      </c>
      <c r="AA95" s="4" t="str">
        <f>HYPERLINK("http://141.218.60.56/~jnz1568/getInfo.php?workbook=10_01.xlsx&amp;sheet=A0&amp;row=95&amp;col=27&amp;number=&amp;sourceID=13","")</f>
        <v/>
      </c>
      <c r="AB95" s="4" t="str">
        <f>HYPERLINK("http://141.218.60.56/~jnz1568/getInfo.php?workbook=10_01.xlsx&amp;sheet=A0&amp;row=95&amp;col=28&amp;number=3770000&amp;sourceID=13","3770000")</f>
        <v>3770000</v>
      </c>
      <c r="AC95" s="4" t="str">
        <f>HYPERLINK("http://141.218.60.56/~jnz1568/getInfo.php?workbook=10_01.xlsx&amp;sheet=A0&amp;row=95&amp;col=29&amp;number=&amp;sourceID=13","")</f>
        <v/>
      </c>
      <c r="AD95" s="4" t="str">
        <f>HYPERLINK("http://141.218.60.56/~jnz1568/getInfo.php?workbook=10_01.xlsx&amp;sheet=A0&amp;row=95&amp;col=30&amp;number=&amp;sourceID=13","")</f>
        <v/>
      </c>
      <c r="AE95" s="4" t="str">
        <f>HYPERLINK("http://141.218.60.56/~jnz1568/getInfo.php?workbook=10_01.xlsx&amp;sheet=A0&amp;row=95&amp;col=31&amp;number=&amp;sourceID=13","")</f>
        <v/>
      </c>
      <c r="AF95" s="4" t="str">
        <f>HYPERLINK("http://141.218.60.56/~jnz1568/getInfo.php?workbook=10_01.xlsx&amp;sheet=A0&amp;row=95&amp;col=32&amp;number=&amp;sourceID=20","")</f>
        <v/>
      </c>
    </row>
    <row r="96" spans="1:32">
      <c r="A96" s="3">
        <v>10</v>
      </c>
      <c r="B96" s="3">
        <v>1</v>
      </c>
      <c r="C96" s="3">
        <v>15</v>
      </c>
      <c r="D96" s="3">
        <v>7</v>
      </c>
      <c r="E96" s="3">
        <f>((1/(INDEX(E0!J$4:J$28,C96,1)-INDEX(E0!J$4:J$28,D96,1))))*100000000</f>
        <v>0</v>
      </c>
      <c r="F96" s="4" t="str">
        <f>HYPERLINK("http://141.218.60.56/~jnz1568/getInfo.php?workbook=10_01.xlsx&amp;sheet=A0&amp;row=96&amp;col=6&amp;number=&amp;sourceID=18","")</f>
        <v/>
      </c>
      <c r="G96" s="4" t="str">
        <f>HYPERLINK("http://141.218.60.56/~jnz1568/getInfo.php?workbook=10_01.xlsx&amp;sheet=A0&amp;row=96&amp;col=7&amp;number==&amp;sourceID=11","=")</f>
        <v>=</v>
      </c>
      <c r="H96" s="4" t="str">
        <f>HYPERLINK("http://141.218.60.56/~jnz1568/getInfo.php?workbook=10_01.xlsx&amp;sheet=A0&amp;row=96&amp;col=8&amp;number=&amp;sourceID=11","")</f>
        <v/>
      </c>
      <c r="I96" s="4" t="str">
        <f>HYPERLINK("http://141.218.60.56/~jnz1568/getInfo.php?workbook=10_01.xlsx&amp;sheet=A0&amp;row=96&amp;col=9&amp;number=238180&amp;sourceID=11","238180")</f>
        <v>238180</v>
      </c>
      <c r="J96" s="4" t="str">
        <f>HYPERLINK("http://141.218.60.56/~jnz1568/getInfo.php?workbook=10_01.xlsx&amp;sheet=A0&amp;row=96&amp;col=10&amp;number=&amp;sourceID=11","")</f>
        <v/>
      </c>
      <c r="K96" s="4" t="str">
        <f>HYPERLINK("http://141.218.60.56/~jnz1568/getInfo.php?workbook=10_01.xlsx&amp;sheet=A0&amp;row=96&amp;col=11&amp;number=0.14349&amp;sourceID=11","0.14349")</f>
        <v>0.14349</v>
      </c>
      <c r="L96" s="4" t="str">
        <f>HYPERLINK("http://141.218.60.56/~jnz1568/getInfo.php?workbook=10_01.xlsx&amp;sheet=A0&amp;row=96&amp;col=12&amp;number=&amp;sourceID=11","")</f>
        <v/>
      </c>
      <c r="M96" s="4" t="str">
        <f>HYPERLINK("http://141.218.60.56/~jnz1568/getInfo.php?workbook=10_01.xlsx&amp;sheet=A0&amp;row=96&amp;col=13&amp;number=5.0747e-05&amp;sourceID=11","5.0747e-05")</f>
        <v>5.0747e-05</v>
      </c>
      <c r="N96" s="4" t="str">
        <f>HYPERLINK("http://141.218.60.56/~jnz1568/getInfo.php?workbook=10_01.xlsx&amp;sheet=A0&amp;row=96&amp;col=14&amp;number=238190&amp;sourceID=12","238190")</f>
        <v>238190</v>
      </c>
      <c r="O96" s="4" t="str">
        <f>HYPERLINK("http://141.218.60.56/~jnz1568/getInfo.php?workbook=10_01.xlsx&amp;sheet=A0&amp;row=96&amp;col=15&amp;number=&amp;sourceID=12","")</f>
        <v/>
      </c>
      <c r="P96" s="4" t="str">
        <f>HYPERLINK("http://141.218.60.56/~jnz1568/getInfo.php?workbook=10_01.xlsx&amp;sheet=A0&amp;row=96&amp;col=16&amp;number=238190&amp;sourceID=12","238190")</f>
        <v>238190</v>
      </c>
      <c r="Q96" s="4" t="str">
        <f>HYPERLINK("http://141.218.60.56/~jnz1568/getInfo.php?workbook=10_01.xlsx&amp;sheet=A0&amp;row=96&amp;col=17&amp;number=&amp;sourceID=12","")</f>
        <v/>
      </c>
      <c r="R96" s="4" t="str">
        <f>HYPERLINK("http://141.218.60.56/~jnz1568/getInfo.php?workbook=10_01.xlsx&amp;sheet=A0&amp;row=96&amp;col=18&amp;number=0.1435&amp;sourceID=12","0.1435")</f>
        <v>0.1435</v>
      </c>
      <c r="S96" s="4" t="str">
        <f>HYPERLINK("http://141.218.60.56/~jnz1568/getInfo.php?workbook=10_01.xlsx&amp;sheet=A0&amp;row=96&amp;col=19&amp;number=&amp;sourceID=12","")</f>
        <v/>
      </c>
      <c r="T96" s="4" t="str">
        <f>HYPERLINK("http://141.218.60.56/~jnz1568/getInfo.php?workbook=10_01.xlsx&amp;sheet=A0&amp;row=96&amp;col=20&amp;number=5.0749e-05&amp;sourceID=12","5.0749e-05")</f>
        <v>5.0749e-05</v>
      </c>
      <c r="U96" s="4" t="str">
        <f>HYPERLINK("http://141.218.60.56/~jnz1568/getInfo.php?workbook=10_01.xlsx&amp;sheet=A0&amp;row=96&amp;col=21&amp;number=238200.1435&amp;sourceID=30","238200.1435")</f>
        <v>238200.1435</v>
      </c>
      <c r="V96" s="4" t="str">
        <f>HYPERLINK("http://141.218.60.56/~jnz1568/getInfo.php?workbook=10_01.xlsx&amp;sheet=A0&amp;row=96&amp;col=22&amp;number=&amp;sourceID=30","")</f>
        <v/>
      </c>
      <c r="W96" s="4" t="str">
        <f>HYPERLINK("http://141.218.60.56/~jnz1568/getInfo.php?workbook=10_01.xlsx&amp;sheet=A0&amp;row=96&amp;col=23&amp;number=238200&amp;sourceID=30","238200")</f>
        <v>238200</v>
      </c>
      <c r="X96" s="4" t="str">
        <f>HYPERLINK("http://141.218.60.56/~jnz1568/getInfo.php?workbook=10_01.xlsx&amp;sheet=A0&amp;row=96&amp;col=24&amp;number=0.1435&amp;sourceID=30","0.1435")</f>
        <v>0.1435</v>
      </c>
      <c r="Y96" s="4" t="str">
        <f>HYPERLINK("http://141.218.60.56/~jnz1568/getInfo.php?workbook=10_01.xlsx&amp;sheet=A0&amp;row=96&amp;col=25&amp;number=&amp;sourceID=30","")</f>
        <v/>
      </c>
      <c r="Z96" s="4" t="str">
        <f>HYPERLINK("http://141.218.60.56/~jnz1568/getInfo.php?workbook=10_01.xlsx&amp;sheet=A0&amp;row=96&amp;col=26&amp;number==&amp;sourceID=13","=")</f>
        <v>=</v>
      </c>
      <c r="AA96" s="4" t="str">
        <f>HYPERLINK("http://141.218.60.56/~jnz1568/getInfo.php?workbook=10_01.xlsx&amp;sheet=A0&amp;row=96&amp;col=27&amp;number=&amp;sourceID=13","")</f>
        <v/>
      </c>
      <c r="AB96" s="4" t="str">
        <f>HYPERLINK("http://141.218.60.56/~jnz1568/getInfo.php?workbook=10_01.xlsx&amp;sheet=A0&amp;row=96&amp;col=28&amp;number=238000&amp;sourceID=13","238000")</f>
        <v>238000</v>
      </c>
      <c r="AC96" s="4" t="str">
        <f>HYPERLINK("http://141.218.60.56/~jnz1568/getInfo.php?workbook=10_01.xlsx&amp;sheet=A0&amp;row=96&amp;col=29&amp;number=&amp;sourceID=13","")</f>
        <v/>
      </c>
      <c r="AD96" s="4" t="str">
        <f>HYPERLINK("http://141.218.60.56/~jnz1568/getInfo.php?workbook=10_01.xlsx&amp;sheet=A0&amp;row=96&amp;col=30&amp;number=0.123&amp;sourceID=13","0.123")</f>
        <v>0.123</v>
      </c>
      <c r="AE96" s="4" t="str">
        <f>HYPERLINK("http://141.218.60.56/~jnz1568/getInfo.php?workbook=10_01.xlsx&amp;sheet=A0&amp;row=96&amp;col=31&amp;number=&amp;sourceID=13","")</f>
        <v/>
      </c>
      <c r="AF96" s="4" t="str">
        <f>HYPERLINK("http://141.218.60.56/~jnz1568/getInfo.php?workbook=10_01.xlsx&amp;sheet=A0&amp;row=96&amp;col=32&amp;number=&amp;sourceID=20","")</f>
        <v/>
      </c>
    </row>
    <row r="97" spans="1:32">
      <c r="A97" s="3">
        <v>10</v>
      </c>
      <c r="B97" s="3">
        <v>1</v>
      </c>
      <c r="C97" s="3">
        <v>15</v>
      </c>
      <c r="D97" s="3">
        <v>8</v>
      </c>
      <c r="E97" s="3">
        <f>((1/(INDEX(E0!J$4:J$28,C97,1)-INDEX(E0!J$4:J$28,D97,1))))*100000000</f>
        <v>0</v>
      </c>
      <c r="F97" s="4" t="str">
        <f>HYPERLINK("http://141.218.60.56/~jnz1568/getInfo.php?workbook=10_01.xlsx&amp;sheet=A0&amp;row=97&amp;col=6&amp;number=&amp;sourceID=18","")</f>
        <v/>
      </c>
      <c r="G97" s="4" t="str">
        <f>HYPERLINK("http://141.218.60.56/~jnz1568/getInfo.php?workbook=10_01.xlsx&amp;sheet=A0&amp;row=97&amp;col=7&amp;number==&amp;sourceID=11","=")</f>
        <v>=</v>
      </c>
      <c r="H97" s="4" t="str">
        <f>HYPERLINK("http://141.218.60.56/~jnz1568/getInfo.php?workbook=10_01.xlsx&amp;sheet=A0&amp;row=97&amp;col=8&amp;number=70405000000&amp;sourceID=11","70405000000")</f>
        <v>70405000000</v>
      </c>
      <c r="I97" s="4" t="str">
        <f>HYPERLINK("http://141.218.60.56/~jnz1568/getInfo.php?workbook=10_01.xlsx&amp;sheet=A0&amp;row=97&amp;col=9&amp;number=&amp;sourceID=11","")</f>
        <v/>
      </c>
      <c r="J97" s="4" t="str">
        <f>HYPERLINK("http://141.218.60.56/~jnz1568/getInfo.php?workbook=10_01.xlsx&amp;sheet=A0&amp;row=97&amp;col=10&amp;number=56.016&amp;sourceID=11","56.016")</f>
        <v>56.016</v>
      </c>
      <c r="K97" s="4" t="str">
        <f>HYPERLINK("http://141.218.60.56/~jnz1568/getInfo.php?workbook=10_01.xlsx&amp;sheet=A0&amp;row=97&amp;col=11&amp;number=&amp;sourceID=11","")</f>
        <v/>
      </c>
      <c r="L97" s="4" t="str">
        <f>HYPERLINK("http://141.218.60.56/~jnz1568/getInfo.php?workbook=10_01.xlsx&amp;sheet=A0&amp;row=97&amp;col=12&amp;number=287.09&amp;sourceID=11","287.09")</f>
        <v>287.09</v>
      </c>
      <c r="M97" s="4" t="str">
        <f>HYPERLINK("http://141.218.60.56/~jnz1568/getInfo.php?workbook=10_01.xlsx&amp;sheet=A0&amp;row=97&amp;col=13&amp;number=&amp;sourceID=11","")</f>
        <v/>
      </c>
      <c r="N97" s="4" t="str">
        <f>HYPERLINK("http://141.218.60.56/~jnz1568/getInfo.php?workbook=10_01.xlsx&amp;sheet=A0&amp;row=97&amp;col=14&amp;number=70407000000&amp;sourceID=12","70407000000")</f>
        <v>70407000000</v>
      </c>
      <c r="O97" s="4" t="str">
        <f>HYPERLINK("http://141.218.60.56/~jnz1568/getInfo.php?workbook=10_01.xlsx&amp;sheet=A0&amp;row=97&amp;col=15&amp;number=70407000000&amp;sourceID=12","70407000000")</f>
        <v>70407000000</v>
      </c>
      <c r="P97" s="4" t="str">
        <f>HYPERLINK("http://141.218.60.56/~jnz1568/getInfo.php?workbook=10_01.xlsx&amp;sheet=A0&amp;row=97&amp;col=16&amp;number=&amp;sourceID=12","")</f>
        <v/>
      </c>
      <c r="Q97" s="4" t="str">
        <f>HYPERLINK("http://141.218.60.56/~jnz1568/getInfo.php?workbook=10_01.xlsx&amp;sheet=A0&amp;row=97&amp;col=17&amp;number=56.018&amp;sourceID=12","56.018")</f>
        <v>56.018</v>
      </c>
      <c r="R97" s="4" t="str">
        <f>HYPERLINK("http://141.218.60.56/~jnz1568/getInfo.php?workbook=10_01.xlsx&amp;sheet=A0&amp;row=97&amp;col=18&amp;number=&amp;sourceID=12","")</f>
        <v/>
      </c>
      <c r="S97" s="4" t="str">
        <f>HYPERLINK("http://141.218.60.56/~jnz1568/getInfo.php?workbook=10_01.xlsx&amp;sheet=A0&amp;row=97&amp;col=19&amp;number=287.1&amp;sourceID=12","287.1")</f>
        <v>287.1</v>
      </c>
      <c r="T97" s="4" t="str">
        <f>HYPERLINK("http://141.218.60.56/~jnz1568/getInfo.php?workbook=10_01.xlsx&amp;sheet=A0&amp;row=97&amp;col=20&amp;number=&amp;sourceID=12","")</f>
        <v/>
      </c>
      <c r="U97" s="4" t="str">
        <f>HYPERLINK("http://141.218.60.56/~jnz1568/getInfo.php?workbook=10_01.xlsx&amp;sheet=A0&amp;row=97&amp;col=21&amp;number=70410000287.1&amp;sourceID=30","70410000287.1")</f>
        <v>70410000287.1</v>
      </c>
      <c r="V97" s="4" t="str">
        <f>HYPERLINK("http://141.218.60.56/~jnz1568/getInfo.php?workbook=10_01.xlsx&amp;sheet=A0&amp;row=97&amp;col=22&amp;number=70410000000&amp;sourceID=30","70410000000")</f>
        <v>70410000000</v>
      </c>
      <c r="W97" s="4" t="str">
        <f>HYPERLINK("http://141.218.60.56/~jnz1568/getInfo.php?workbook=10_01.xlsx&amp;sheet=A0&amp;row=97&amp;col=23&amp;number=&amp;sourceID=30","")</f>
        <v/>
      </c>
      <c r="X97" s="4" t="str">
        <f>HYPERLINK("http://141.218.60.56/~jnz1568/getInfo.php?workbook=10_01.xlsx&amp;sheet=A0&amp;row=97&amp;col=24&amp;number=&amp;sourceID=30","")</f>
        <v/>
      </c>
      <c r="Y97" s="4" t="str">
        <f>HYPERLINK("http://141.218.60.56/~jnz1568/getInfo.php?workbook=10_01.xlsx&amp;sheet=A0&amp;row=97&amp;col=25&amp;number=287.1&amp;sourceID=30","287.1")</f>
        <v>287.1</v>
      </c>
      <c r="Z97" s="4" t="str">
        <f>HYPERLINK("http://141.218.60.56/~jnz1568/getInfo.php?workbook=10_01.xlsx&amp;sheet=A0&amp;row=97&amp;col=26&amp;number==&amp;sourceID=13","=")</f>
        <v>=</v>
      </c>
      <c r="AA97" s="4" t="str">
        <f>HYPERLINK("http://141.218.60.56/~jnz1568/getInfo.php?workbook=10_01.xlsx&amp;sheet=A0&amp;row=97&amp;col=27&amp;number=70300000000&amp;sourceID=13","70300000000")</f>
        <v>70300000000</v>
      </c>
      <c r="AB97" s="4" t="str">
        <f>HYPERLINK("http://141.218.60.56/~jnz1568/getInfo.php?workbook=10_01.xlsx&amp;sheet=A0&amp;row=97&amp;col=28&amp;number=&amp;sourceID=13","")</f>
        <v/>
      </c>
      <c r="AC97" s="4" t="str">
        <f>HYPERLINK("http://141.218.60.56/~jnz1568/getInfo.php?workbook=10_01.xlsx&amp;sheet=A0&amp;row=97&amp;col=29&amp;number=&amp;sourceID=13","")</f>
        <v/>
      </c>
      <c r="AD97" s="4" t="str">
        <f>HYPERLINK("http://141.218.60.56/~jnz1568/getInfo.php?workbook=10_01.xlsx&amp;sheet=A0&amp;row=97&amp;col=30&amp;number=&amp;sourceID=13","")</f>
        <v/>
      </c>
      <c r="AE97" s="4" t="str">
        <f>HYPERLINK("http://141.218.60.56/~jnz1568/getInfo.php?workbook=10_01.xlsx&amp;sheet=A0&amp;row=97&amp;col=31&amp;number=&amp;sourceID=13","")</f>
        <v/>
      </c>
      <c r="AF97" s="4" t="str">
        <f>HYPERLINK("http://141.218.60.56/~jnz1568/getInfo.php?workbook=10_01.xlsx&amp;sheet=A0&amp;row=97&amp;col=32&amp;number=&amp;sourceID=20","")</f>
        <v/>
      </c>
    </row>
    <row r="98" spans="1:32">
      <c r="A98" s="3">
        <v>10</v>
      </c>
      <c r="B98" s="3">
        <v>1</v>
      </c>
      <c r="C98" s="3">
        <v>15</v>
      </c>
      <c r="D98" s="3">
        <v>9</v>
      </c>
      <c r="E98" s="3">
        <f>((1/(INDEX(E0!J$4:J$28,C98,1)-INDEX(E0!J$4:J$28,D98,1))))*100000000</f>
        <v>0</v>
      </c>
      <c r="F98" s="4" t="str">
        <f>HYPERLINK("http://141.218.60.56/~jnz1568/getInfo.php?workbook=10_01.xlsx&amp;sheet=A0&amp;row=98&amp;col=6&amp;number=&amp;sourceID=18","")</f>
        <v/>
      </c>
      <c r="G98" s="4" t="str">
        <f>HYPERLINK("http://141.218.60.56/~jnz1568/getInfo.php?workbook=10_01.xlsx&amp;sheet=A0&amp;row=98&amp;col=7&amp;number==&amp;sourceID=11","=")</f>
        <v>=</v>
      </c>
      <c r="H98" s="4" t="str">
        <f>HYPERLINK("http://141.218.60.56/~jnz1568/getInfo.php?workbook=10_01.xlsx&amp;sheet=A0&amp;row=98&amp;col=8&amp;number=&amp;sourceID=11","")</f>
        <v/>
      </c>
      <c r="I98" s="4" t="str">
        <f>HYPERLINK("http://141.218.60.56/~jnz1568/getInfo.php?workbook=10_01.xlsx&amp;sheet=A0&amp;row=98&amp;col=9&amp;number=951980&amp;sourceID=11","951980")</f>
        <v>951980</v>
      </c>
      <c r="J98" s="4" t="str">
        <f>HYPERLINK("http://141.218.60.56/~jnz1568/getInfo.php?workbook=10_01.xlsx&amp;sheet=A0&amp;row=98&amp;col=10&amp;number=&amp;sourceID=11","")</f>
        <v/>
      </c>
      <c r="K98" s="4" t="str">
        <f>HYPERLINK("http://141.218.60.56/~jnz1568/getInfo.php?workbook=10_01.xlsx&amp;sheet=A0&amp;row=98&amp;col=11&amp;number=0.60682&amp;sourceID=11","0.60682")</f>
        <v>0.60682</v>
      </c>
      <c r="L98" s="4" t="str">
        <f>HYPERLINK("http://141.218.60.56/~jnz1568/getInfo.php?workbook=10_01.xlsx&amp;sheet=A0&amp;row=98&amp;col=12&amp;number=&amp;sourceID=11","")</f>
        <v/>
      </c>
      <c r="M98" s="4" t="str">
        <f>HYPERLINK("http://141.218.60.56/~jnz1568/getInfo.php?workbook=10_01.xlsx&amp;sheet=A0&amp;row=98&amp;col=13&amp;number=0.0061526&amp;sourceID=11","0.0061526")</f>
        <v>0.0061526</v>
      </c>
      <c r="N98" s="4" t="str">
        <f>HYPERLINK("http://141.218.60.56/~jnz1568/getInfo.php?workbook=10_01.xlsx&amp;sheet=A0&amp;row=98&amp;col=14&amp;number=952010&amp;sourceID=12","952010")</f>
        <v>952010</v>
      </c>
      <c r="O98" s="4" t="str">
        <f>HYPERLINK("http://141.218.60.56/~jnz1568/getInfo.php?workbook=10_01.xlsx&amp;sheet=A0&amp;row=98&amp;col=15&amp;number=&amp;sourceID=12","")</f>
        <v/>
      </c>
      <c r="P98" s="4" t="str">
        <f>HYPERLINK("http://141.218.60.56/~jnz1568/getInfo.php?workbook=10_01.xlsx&amp;sheet=A0&amp;row=98&amp;col=16&amp;number=952010&amp;sourceID=12","952010")</f>
        <v>952010</v>
      </c>
      <c r="Q98" s="4" t="str">
        <f>HYPERLINK("http://141.218.60.56/~jnz1568/getInfo.php?workbook=10_01.xlsx&amp;sheet=A0&amp;row=98&amp;col=17&amp;number=&amp;sourceID=12","")</f>
        <v/>
      </c>
      <c r="R98" s="4" t="str">
        <f>HYPERLINK("http://141.218.60.56/~jnz1568/getInfo.php?workbook=10_01.xlsx&amp;sheet=A0&amp;row=98&amp;col=18&amp;number=0.60683&amp;sourceID=12","0.60683")</f>
        <v>0.60683</v>
      </c>
      <c r="S98" s="4" t="str">
        <f>HYPERLINK("http://141.218.60.56/~jnz1568/getInfo.php?workbook=10_01.xlsx&amp;sheet=A0&amp;row=98&amp;col=19&amp;number=&amp;sourceID=12","")</f>
        <v/>
      </c>
      <c r="T98" s="4" t="str">
        <f>HYPERLINK("http://141.218.60.56/~jnz1568/getInfo.php?workbook=10_01.xlsx&amp;sheet=A0&amp;row=98&amp;col=20&amp;number=0.0061528&amp;sourceID=12","0.0061528")</f>
        <v>0.0061528</v>
      </c>
      <c r="U98" s="4" t="str">
        <f>HYPERLINK("http://141.218.60.56/~jnz1568/getInfo.php?workbook=10_01.xlsx&amp;sheet=A0&amp;row=98&amp;col=21&amp;number=952000.6068&amp;sourceID=30","952000.6068")</f>
        <v>952000.6068</v>
      </c>
      <c r="V98" s="4" t="str">
        <f>HYPERLINK("http://141.218.60.56/~jnz1568/getInfo.php?workbook=10_01.xlsx&amp;sheet=A0&amp;row=98&amp;col=22&amp;number=&amp;sourceID=30","")</f>
        <v/>
      </c>
      <c r="W98" s="4" t="str">
        <f>HYPERLINK("http://141.218.60.56/~jnz1568/getInfo.php?workbook=10_01.xlsx&amp;sheet=A0&amp;row=98&amp;col=23&amp;number=952000&amp;sourceID=30","952000")</f>
        <v>952000</v>
      </c>
      <c r="X98" s="4" t="str">
        <f>HYPERLINK("http://141.218.60.56/~jnz1568/getInfo.php?workbook=10_01.xlsx&amp;sheet=A0&amp;row=98&amp;col=24&amp;number=0.6068&amp;sourceID=30","0.6068")</f>
        <v>0.6068</v>
      </c>
      <c r="Y98" s="4" t="str">
        <f>HYPERLINK("http://141.218.60.56/~jnz1568/getInfo.php?workbook=10_01.xlsx&amp;sheet=A0&amp;row=98&amp;col=25&amp;number=&amp;sourceID=30","")</f>
        <v/>
      </c>
      <c r="Z98" s="4" t="str">
        <f>HYPERLINK("http://141.218.60.56/~jnz1568/getInfo.php?workbook=10_01.xlsx&amp;sheet=A0&amp;row=98&amp;col=26&amp;number==&amp;sourceID=13","=")</f>
        <v>=</v>
      </c>
      <c r="AA98" s="4" t="str">
        <f>HYPERLINK("http://141.218.60.56/~jnz1568/getInfo.php?workbook=10_01.xlsx&amp;sheet=A0&amp;row=98&amp;col=27&amp;number=&amp;sourceID=13","")</f>
        <v/>
      </c>
      <c r="AB98" s="4" t="str">
        <f>HYPERLINK("http://141.218.60.56/~jnz1568/getInfo.php?workbook=10_01.xlsx&amp;sheet=A0&amp;row=98&amp;col=28&amp;number=951000&amp;sourceID=13","951000")</f>
        <v>951000</v>
      </c>
      <c r="AC98" s="4" t="str">
        <f>HYPERLINK("http://141.218.60.56/~jnz1568/getInfo.php?workbook=10_01.xlsx&amp;sheet=A0&amp;row=98&amp;col=29&amp;number=&amp;sourceID=13","")</f>
        <v/>
      </c>
      <c r="AD98" s="4" t="str">
        <f>HYPERLINK("http://141.218.60.56/~jnz1568/getInfo.php?workbook=10_01.xlsx&amp;sheet=A0&amp;row=98&amp;col=30&amp;number=0.607&amp;sourceID=13","0.607")</f>
        <v>0.607</v>
      </c>
      <c r="AE98" s="4" t="str">
        <f>HYPERLINK("http://141.218.60.56/~jnz1568/getInfo.php?workbook=10_01.xlsx&amp;sheet=A0&amp;row=98&amp;col=31&amp;number=&amp;sourceID=13","")</f>
        <v/>
      </c>
      <c r="AF98" s="4" t="str">
        <f>HYPERLINK("http://141.218.60.56/~jnz1568/getInfo.php?workbook=10_01.xlsx&amp;sheet=A0&amp;row=98&amp;col=32&amp;number=&amp;sourceID=20","")</f>
        <v/>
      </c>
    </row>
    <row r="99" spans="1:32">
      <c r="A99" s="3">
        <v>10</v>
      </c>
      <c r="B99" s="3">
        <v>1</v>
      </c>
      <c r="C99" s="3">
        <v>15</v>
      </c>
      <c r="D99" s="3">
        <v>10</v>
      </c>
      <c r="E99" s="3">
        <f>((1/(INDEX(E0!J$4:J$28,C99,1)-INDEX(E0!J$4:J$28,D99,1))))*100000000</f>
        <v>0</v>
      </c>
      <c r="F99" s="4" t="str">
        <f>HYPERLINK("http://141.218.60.56/~jnz1568/getInfo.php?workbook=10_01.xlsx&amp;sheet=A0&amp;row=99&amp;col=6&amp;number=&amp;sourceID=18","")</f>
        <v/>
      </c>
      <c r="G99" s="4" t="str">
        <f>HYPERLINK("http://141.218.60.56/~jnz1568/getInfo.php?workbook=10_01.xlsx&amp;sheet=A0&amp;row=99&amp;col=7&amp;number==&amp;sourceID=11","=")</f>
        <v>=</v>
      </c>
      <c r="H99" s="4" t="str">
        <f>HYPERLINK("http://141.218.60.56/~jnz1568/getInfo.php?workbook=10_01.xlsx&amp;sheet=A0&amp;row=99&amp;col=8&amp;number=&amp;sourceID=11","")</f>
        <v/>
      </c>
      <c r="I99" s="4" t="str">
        <f>HYPERLINK("http://141.218.60.56/~jnz1568/getInfo.php?workbook=10_01.xlsx&amp;sheet=A0&amp;row=99&amp;col=9&amp;number=&amp;sourceID=11","")</f>
        <v/>
      </c>
      <c r="J99" s="4" t="str">
        <f>HYPERLINK("http://141.218.60.56/~jnz1568/getInfo.php?workbook=10_01.xlsx&amp;sheet=A0&amp;row=99&amp;col=10&amp;number=0&amp;sourceID=11","0")</f>
        <v>0</v>
      </c>
      <c r="K99" s="4" t="str">
        <f>HYPERLINK("http://141.218.60.56/~jnz1568/getInfo.php?workbook=10_01.xlsx&amp;sheet=A0&amp;row=99&amp;col=11&amp;number=&amp;sourceID=11","")</f>
        <v/>
      </c>
      <c r="L99" s="4" t="str">
        <f>HYPERLINK("http://141.218.60.56/~jnz1568/getInfo.php?workbook=10_01.xlsx&amp;sheet=A0&amp;row=99&amp;col=12&amp;number=7.76e-13&amp;sourceID=11","7.76e-13")</f>
        <v>7.76e-13</v>
      </c>
      <c r="M99" s="4" t="str">
        <f>HYPERLINK("http://141.218.60.56/~jnz1568/getInfo.php?workbook=10_01.xlsx&amp;sheet=A0&amp;row=99&amp;col=13&amp;number=&amp;sourceID=11","")</f>
        <v/>
      </c>
      <c r="N99" s="4" t="str">
        <f>HYPERLINK("http://141.218.60.56/~jnz1568/getInfo.php?workbook=10_01.xlsx&amp;sheet=A0&amp;row=99&amp;col=14&amp;number=7.76e-13&amp;sourceID=12","7.76e-13")</f>
        <v>7.76e-13</v>
      </c>
      <c r="O99" s="4" t="str">
        <f>HYPERLINK("http://141.218.60.56/~jnz1568/getInfo.php?workbook=10_01.xlsx&amp;sheet=A0&amp;row=99&amp;col=15&amp;number=&amp;sourceID=12","")</f>
        <v/>
      </c>
      <c r="P99" s="4" t="str">
        <f>HYPERLINK("http://141.218.60.56/~jnz1568/getInfo.php?workbook=10_01.xlsx&amp;sheet=A0&amp;row=99&amp;col=16&amp;number=&amp;sourceID=12","")</f>
        <v/>
      </c>
      <c r="Q99" s="4" t="str">
        <f>HYPERLINK("http://141.218.60.56/~jnz1568/getInfo.php?workbook=10_01.xlsx&amp;sheet=A0&amp;row=99&amp;col=17&amp;number=0&amp;sourceID=12","0")</f>
        <v>0</v>
      </c>
      <c r="R99" s="4" t="str">
        <f>HYPERLINK("http://141.218.60.56/~jnz1568/getInfo.php?workbook=10_01.xlsx&amp;sheet=A0&amp;row=99&amp;col=18&amp;number=&amp;sourceID=12","")</f>
        <v/>
      </c>
      <c r="S99" s="4" t="str">
        <f>HYPERLINK("http://141.218.60.56/~jnz1568/getInfo.php?workbook=10_01.xlsx&amp;sheet=A0&amp;row=99&amp;col=19&amp;number=7.76e-13&amp;sourceID=12","7.76e-13")</f>
        <v>7.76e-13</v>
      </c>
      <c r="T99" s="4" t="str">
        <f>HYPERLINK("http://141.218.60.56/~jnz1568/getInfo.php?workbook=10_01.xlsx&amp;sheet=A0&amp;row=99&amp;col=20&amp;number=&amp;sourceID=12","")</f>
        <v/>
      </c>
      <c r="U99" s="4" t="str">
        <f>HYPERLINK("http://141.218.60.56/~jnz1568/getInfo.php?workbook=10_01.xlsx&amp;sheet=A0&amp;row=99&amp;col=21&amp;number=7.76e-13&amp;sourceID=30","7.76e-13")</f>
        <v>7.76e-13</v>
      </c>
      <c r="V99" s="4" t="str">
        <f>HYPERLINK("http://141.218.60.56/~jnz1568/getInfo.php?workbook=10_01.xlsx&amp;sheet=A0&amp;row=99&amp;col=22&amp;number=&amp;sourceID=30","")</f>
        <v/>
      </c>
      <c r="W99" s="4" t="str">
        <f>HYPERLINK("http://141.218.60.56/~jnz1568/getInfo.php?workbook=10_01.xlsx&amp;sheet=A0&amp;row=99&amp;col=23&amp;number=&amp;sourceID=30","")</f>
        <v/>
      </c>
      <c r="X99" s="4" t="str">
        <f>HYPERLINK("http://141.218.60.56/~jnz1568/getInfo.php?workbook=10_01.xlsx&amp;sheet=A0&amp;row=99&amp;col=24&amp;number=&amp;sourceID=30","")</f>
        <v/>
      </c>
      <c r="Y99" s="4" t="str">
        <f>HYPERLINK("http://141.218.60.56/~jnz1568/getInfo.php?workbook=10_01.xlsx&amp;sheet=A0&amp;row=99&amp;col=25&amp;number=7.76e-13&amp;sourceID=30","7.76e-13")</f>
        <v>7.76e-13</v>
      </c>
      <c r="Z99" s="4" t="str">
        <f>HYPERLINK("http://141.218.60.56/~jnz1568/getInfo.php?workbook=10_01.xlsx&amp;sheet=A0&amp;row=99&amp;col=26&amp;number=&amp;sourceID=13","")</f>
        <v/>
      </c>
      <c r="AA99" s="4" t="str">
        <f>HYPERLINK("http://141.218.60.56/~jnz1568/getInfo.php?workbook=10_01.xlsx&amp;sheet=A0&amp;row=99&amp;col=27&amp;number=&amp;sourceID=13","")</f>
        <v/>
      </c>
      <c r="AB99" s="4" t="str">
        <f>HYPERLINK("http://141.218.60.56/~jnz1568/getInfo.php?workbook=10_01.xlsx&amp;sheet=A0&amp;row=99&amp;col=28&amp;number=&amp;sourceID=13","")</f>
        <v/>
      </c>
      <c r="AC99" s="4" t="str">
        <f>HYPERLINK("http://141.218.60.56/~jnz1568/getInfo.php?workbook=10_01.xlsx&amp;sheet=A0&amp;row=99&amp;col=29&amp;number=&amp;sourceID=13","")</f>
        <v/>
      </c>
      <c r="AD99" s="4" t="str">
        <f>HYPERLINK("http://141.218.60.56/~jnz1568/getInfo.php?workbook=10_01.xlsx&amp;sheet=A0&amp;row=99&amp;col=30&amp;number=&amp;sourceID=13","")</f>
        <v/>
      </c>
      <c r="AE99" s="4" t="str">
        <f>HYPERLINK("http://141.218.60.56/~jnz1568/getInfo.php?workbook=10_01.xlsx&amp;sheet=A0&amp;row=99&amp;col=31&amp;number=&amp;sourceID=13","")</f>
        <v/>
      </c>
      <c r="AF99" s="4" t="str">
        <f>HYPERLINK("http://141.218.60.56/~jnz1568/getInfo.php?workbook=10_01.xlsx&amp;sheet=A0&amp;row=99&amp;col=32&amp;number=&amp;sourceID=20","")</f>
        <v/>
      </c>
    </row>
    <row r="100" spans="1:32">
      <c r="A100" s="3">
        <v>10</v>
      </c>
      <c r="B100" s="3">
        <v>1</v>
      </c>
      <c r="C100" s="3">
        <v>15</v>
      </c>
      <c r="D100" s="3">
        <v>11</v>
      </c>
      <c r="E100" s="3">
        <f>((1/(INDEX(E0!J$4:J$28,C100,1)-INDEX(E0!J$4:J$28,D100,1))))*100000000</f>
        <v>0</v>
      </c>
      <c r="F100" s="4" t="str">
        <f>HYPERLINK("http://141.218.60.56/~jnz1568/getInfo.php?workbook=10_01.xlsx&amp;sheet=A0&amp;row=100&amp;col=6&amp;number=&amp;sourceID=18","")</f>
        <v/>
      </c>
      <c r="G100" s="4" t="str">
        <f>HYPERLINK("http://141.218.60.56/~jnz1568/getInfo.php?workbook=10_01.xlsx&amp;sheet=A0&amp;row=100&amp;col=7&amp;number==&amp;sourceID=11","=")</f>
        <v>=</v>
      </c>
      <c r="H100" s="4" t="str">
        <f>HYPERLINK("http://141.218.60.56/~jnz1568/getInfo.php?workbook=10_01.xlsx&amp;sheet=A0&amp;row=100&amp;col=8&amp;number=&amp;sourceID=11","")</f>
        <v/>
      </c>
      <c r="I100" s="4" t="str">
        <f>HYPERLINK("http://141.218.60.56/~jnz1568/getInfo.php?workbook=10_01.xlsx&amp;sheet=A0&amp;row=100&amp;col=9&amp;number=5.4589e-08&amp;sourceID=11","5.4589e-08")</f>
        <v>5.4589e-08</v>
      </c>
      <c r="J100" s="4" t="str">
        <f>HYPERLINK("http://141.218.60.56/~jnz1568/getInfo.php?workbook=10_01.xlsx&amp;sheet=A0&amp;row=100&amp;col=10&amp;number=&amp;sourceID=11","")</f>
        <v/>
      </c>
      <c r="K100" s="4" t="str">
        <f>HYPERLINK("http://141.218.60.56/~jnz1568/getInfo.php?workbook=10_01.xlsx&amp;sheet=A0&amp;row=100&amp;col=11&amp;number=&amp;sourceID=11","")</f>
        <v/>
      </c>
      <c r="L100" s="4" t="str">
        <f>HYPERLINK("http://141.218.60.56/~jnz1568/getInfo.php?workbook=10_01.xlsx&amp;sheet=A0&amp;row=100&amp;col=12&amp;number=&amp;sourceID=11","")</f>
        <v/>
      </c>
      <c r="M100" s="4" t="str">
        <f>HYPERLINK("http://141.218.60.56/~jnz1568/getInfo.php?workbook=10_01.xlsx&amp;sheet=A0&amp;row=100&amp;col=13&amp;number=0&amp;sourceID=11","0")</f>
        <v>0</v>
      </c>
      <c r="N100" s="4" t="str">
        <f>HYPERLINK("http://141.218.60.56/~jnz1568/getInfo.php?workbook=10_01.xlsx&amp;sheet=A0&amp;row=100&amp;col=14&amp;number=5.4592e-08&amp;sourceID=12","5.4592e-08")</f>
        <v>5.4592e-08</v>
      </c>
      <c r="O100" s="4" t="str">
        <f>HYPERLINK("http://141.218.60.56/~jnz1568/getInfo.php?workbook=10_01.xlsx&amp;sheet=A0&amp;row=100&amp;col=15&amp;number=&amp;sourceID=12","")</f>
        <v/>
      </c>
      <c r="P100" s="4" t="str">
        <f>HYPERLINK("http://141.218.60.56/~jnz1568/getInfo.php?workbook=10_01.xlsx&amp;sheet=A0&amp;row=100&amp;col=16&amp;number=5.4592e-08&amp;sourceID=12","5.4592e-08")</f>
        <v>5.4592e-08</v>
      </c>
      <c r="Q100" s="4" t="str">
        <f>HYPERLINK("http://141.218.60.56/~jnz1568/getInfo.php?workbook=10_01.xlsx&amp;sheet=A0&amp;row=100&amp;col=17&amp;number=&amp;sourceID=12","")</f>
        <v/>
      </c>
      <c r="R100" s="4" t="str">
        <f>HYPERLINK("http://141.218.60.56/~jnz1568/getInfo.php?workbook=10_01.xlsx&amp;sheet=A0&amp;row=100&amp;col=18&amp;number=&amp;sourceID=12","")</f>
        <v/>
      </c>
      <c r="S100" s="4" t="str">
        <f>HYPERLINK("http://141.218.60.56/~jnz1568/getInfo.php?workbook=10_01.xlsx&amp;sheet=A0&amp;row=100&amp;col=19&amp;number=&amp;sourceID=12","")</f>
        <v/>
      </c>
      <c r="T100" s="4" t="str">
        <f>HYPERLINK("http://141.218.60.56/~jnz1568/getInfo.php?workbook=10_01.xlsx&amp;sheet=A0&amp;row=100&amp;col=20&amp;number=0&amp;sourceID=12","0")</f>
        <v>0</v>
      </c>
      <c r="U100" s="4" t="str">
        <f>HYPERLINK("http://141.218.60.56/~jnz1568/getInfo.php?workbook=10_01.xlsx&amp;sheet=A0&amp;row=100&amp;col=21&amp;number=5.459e-08&amp;sourceID=30","5.459e-08")</f>
        <v>5.459e-08</v>
      </c>
      <c r="V100" s="4" t="str">
        <f>HYPERLINK("http://141.218.60.56/~jnz1568/getInfo.php?workbook=10_01.xlsx&amp;sheet=A0&amp;row=100&amp;col=22&amp;number=&amp;sourceID=30","")</f>
        <v/>
      </c>
      <c r="W100" s="4" t="str">
        <f>HYPERLINK("http://141.218.60.56/~jnz1568/getInfo.php?workbook=10_01.xlsx&amp;sheet=A0&amp;row=100&amp;col=23&amp;number=5.459e-08&amp;sourceID=30","5.459e-08")</f>
        <v>5.459e-08</v>
      </c>
      <c r="X100" s="4" t="str">
        <f>HYPERLINK("http://141.218.60.56/~jnz1568/getInfo.php?workbook=10_01.xlsx&amp;sheet=A0&amp;row=100&amp;col=24&amp;number=&amp;sourceID=30","")</f>
        <v/>
      </c>
      <c r="Y100" s="4" t="str">
        <f>HYPERLINK("http://141.218.60.56/~jnz1568/getInfo.php?workbook=10_01.xlsx&amp;sheet=A0&amp;row=100&amp;col=25&amp;number=&amp;sourceID=30","")</f>
        <v/>
      </c>
      <c r="Z100" s="4" t="str">
        <f>HYPERLINK("http://141.218.60.56/~jnz1568/getInfo.php?workbook=10_01.xlsx&amp;sheet=A0&amp;row=100&amp;col=26&amp;number=&amp;sourceID=13","")</f>
        <v/>
      </c>
      <c r="AA100" s="4" t="str">
        <f>HYPERLINK("http://141.218.60.56/~jnz1568/getInfo.php?workbook=10_01.xlsx&amp;sheet=A0&amp;row=100&amp;col=27&amp;number=&amp;sourceID=13","")</f>
        <v/>
      </c>
      <c r="AB100" s="4" t="str">
        <f>HYPERLINK("http://141.218.60.56/~jnz1568/getInfo.php?workbook=10_01.xlsx&amp;sheet=A0&amp;row=100&amp;col=28&amp;number=&amp;sourceID=13","")</f>
        <v/>
      </c>
      <c r="AC100" s="4" t="str">
        <f>HYPERLINK("http://141.218.60.56/~jnz1568/getInfo.php?workbook=10_01.xlsx&amp;sheet=A0&amp;row=100&amp;col=29&amp;number=&amp;sourceID=13","")</f>
        <v/>
      </c>
      <c r="AD100" s="4" t="str">
        <f>HYPERLINK("http://141.218.60.56/~jnz1568/getInfo.php?workbook=10_01.xlsx&amp;sheet=A0&amp;row=100&amp;col=30&amp;number=&amp;sourceID=13","")</f>
        <v/>
      </c>
      <c r="AE100" s="4" t="str">
        <f>HYPERLINK("http://141.218.60.56/~jnz1568/getInfo.php?workbook=10_01.xlsx&amp;sheet=A0&amp;row=100&amp;col=31&amp;number=&amp;sourceID=13","")</f>
        <v/>
      </c>
      <c r="AF100" s="4" t="str">
        <f>HYPERLINK("http://141.218.60.56/~jnz1568/getInfo.php?workbook=10_01.xlsx&amp;sheet=A0&amp;row=100&amp;col=32&amp;number=&amp;sourceID=20","")</f>
        <v/>
      </c>
    </row>
    <row r="101" spans="1:32">
      <c r="A101" s="3">
        <v>10</v>
      </c>
      <c r="B101" s="3">
        <v>1</v>
      </c>
      <c r="C101" s="3">
        <v>15</v>
      </c>
      <c r="D101" s="3">
        <v>12</v>
      </c>
      <c r="E101" s="3">
        <f>((1/(INDEX(E0!J$4:J$28,C101,1)-INDEX(E0!J$4:J$28,D101,1))))*100000000</f>
        <v>0</v>
      </c>
      <c r="F101" s="4" t="str">
        <f>HYPERLINK("http://141.218.60.56/~jnz1568/getInfo.php?workbook=10_01.xlsx&amp;sheet=A0&amp;row=101&amp;col=6&amp;number=&amp;sourceID=18","")</f>
        <v/>
      </c>
      <c r="G101" s="4" t="str">
        <f>HYPERLINK("http://141.218.60.56/~jnz1568/getInfo.php?workbook=10_01.xlsx&amp;sheet=A0&amp;row=101&amp;col=7&amp;number==&amp;sourceID=11","=")</f>
        <v>=</v>
      </c>
      <c r="H101" s="4" t="str">
        <f>HYPERLINK("http://141.218.60.56/~jnz1568/getInfo.php?workbook=10_01.xlsx&amp;sheet=A0&amp;row=101&amp;col=8&amp;number=&amp;sourceID=11","")</f>
        <v/>
      </c>
      <c r="I101" s="4" t="str">
        <f>HYPERLINK("http://141.218.60.56/~jnz1568/getInfo.php?workbook=10_01.xlsx&amp;sheet=A0&amp;row=101&amp;col=9&amp;number=1.3314e-11&amp;sourceID=11","1.3314e-11")</f>
        <v>1.3314e-11</v>
      </c>
      <c r="J101" s="4" t="str">
        <f>HYPERLINK("http://141.218.60.56/~jnz1568/getInfo.php?workbook=10_01.xlsx&amp;sheet=A0&amp;row=101&amp;col=10&amp;number=&amp;sourceID=11","")</f>
        <v/>
      </c>
      <c r="K101" s="4" t="str">
        <f>HYPERLINK("http://141.218.60.56/~jnz1568/getInfo.php?workbook=10_01.xlsx&amp;sheet=A0&amp;row=101&amp;col=11&amp;number=3.8135e-05&amp;sourceID=11","3.8135e-05")</f>
        <v>3.8135e-05</v>
      </c>
      <c r="L101" s="4" t="str">
        <f>HYPERLINK("http://141.218.60.56/~jnz1568/getInfo.php?workbook=10_01.xlsx&amp;sheet=A0&amp;row=101&amp;col=12&amp;number=&amp;sourceID=11","")</f>
        <v/>
      </c>
      <c r="M101" s="4" t="str">
        <f>HYPERLINK("http://141.218.60.56/~jnz1568/getInfo.php?workbook=10_01.xlsx&amp;sheet=A0&amp;row=101&amp;col=13&amp;number=0&amp;sourceID=11","0")</f>
        <v>0</v>
      </c>
      <c r="N101" s="4" t="str">
        <f>HYPERLINK("http://141.218.60.56/~jnz1568/getInfo.php?workbook=10_01.xlsx&amp;sheet=A0&amp;row=101&amp;col=14&amp;number=3.8137e-05&amp;sourceID=12","3.8137e-05")</f>
        <v>3.8137e-05</v>
      </c>
      <c r="O101" s="4" t="str">
        <f>HYPERLINK("http://141.218.60.56/~jnz1568/getInfo.php?workbook=10_01.xlsx&amp;sheet=A0&amp;row=101&amp;col=15&amp;number=&amp;sourceID=12","")</f>
        <v/>
      </c>
      <c r="P101" s="4" t="str">
        <f>HYPERLINK("http://141.218.60.56/~jnz1568/getInfo.php?workbook=10_01.xlsx&amp;sheet=A0&amp;row=101&amp;col=16&amp;number=1.3315e-11&amp;sourceID=12","1.3315e-11")</f>
        <v>1.3315e-11</v>
      </c>
      <c r="Q101" s="4" t="str">
        <f>HYPERLINK("http://141.218.60.56/~jnz1568/getInfo.php?workbook=10_01.xlsx&amp;sheet=A0&amp;row=101&amp;col=17&amp;number=&amp;sourceID=12","")</f>
        <v/>
      </c>
      <c r="R101" s="4" t="str">
        <f>HYPERLINK("http://141.218.60.56/~jnz1568/getInfo.php?workbook=10_01.xlsx&amp;sheet=A0&amp;row=101&amp;col=18&amp;number=3.8137e-05&amp;sourceID=12","3.8137e-05")</f>
        <v>3.8137e-05</v>
      </c>
      <c r="S101" s="4" t="str">
        <f>HYPERLINK("http://141.218.60.56/~jnz1568/getInfo.php?workbook=10_01.xlsx&amp;sheet=A0&amp;row=101&amp;col=19&amp;number=&amp;sourceID=12","")</f>
        <v/>
      </c>
      <c r="T101" s="4" t="str">
        <f>HYPERLINK("http://141.218.60.56/~jnz1568/getInfo.php?workbook=10_01.xlsx&amp;sheet=A0&amp;row=101&amp;col=20&amp;number=0&amp;sourceID=12","0")</f>
        <v>0</v>
      </c>
      <c r="U101" s="4" t="str">
        <f>HYPERLINK("http://141.218.60.56/~jnz1568/getInfo.php?workbook=10_01.xlsx&amp;sheet=A0&amp;row=101&amp;col=21&amp;number=3.814001332e-05&amp;sourceID=30","3.814001332e-05")</f>
        <v>3.814001332e-05</v>
      </c>
      <c r="V101" s="4" t="str">
        <f>HYPERLINK("http://141.218.60.56/~jnz1568/getInfo.php?workbook=10_01.xlsx&amp;sheet=A0&amp;row=101&amp;col=22&amp;number=&amp;sourceID=30","")</f>
        <v/>
      </c>
      <c r="W101" s="4" t="str">
        <f>HYPERLINK("http://141.218.60.56/~jnz1568/getInfo.php?workbook=10_01.xlsx&amp;sheet=A0&amp;row=101&amp;col=23&amp;number=1.332e-11&amp;sourceID=30","1.332e-11")</f>
        <v>1.332e-11</v>
      </c>
      <c r="X101" s="4" t="str">
        <f>HYPERLINK("http://141.218.60.56/~jnz1568/getInfo.php?workbook=10_01.xlsx&amp;sheet=A0&amp;row=101&amp;col=24&amp;number=3.814e-05&amp;sourceID=30","3.814e-05")</f>
        <v>3.814e-05</v>
      </c>
      <c r="Y101" s="4" t="str">
        <f>HYPERLINK("http://141.218.60.56/~jnz1568/getInfo.php?workbook=10_01.xlsx&amp;sheet=A0&amp;row=101&amp;col=25&amp;number=&amp;sourceID=30","")</f>
        <v/>
      </c>
      <c r="Z101" s="4" t="str">
        <f>HYPERLINK("http://141.218.60.56/~jnz1568/getInfo.php?workbook=10_01.xlsx&amp;sheet=A0&amp;row=101&amp;col=26&amp;number==SUM(AA101:AE101)&amp;sourceID=13","=SUM(AA101:AE101)")</f>
        <v>=SUM(AA101:AE101)</v>
      </c>
      <c r="AA101" s="4" t="str">
        <f>HYPERLINK("http://141.218.60.56/~jnz1568/getInfo.php?workbook=10_01.xlsx&amp;sheet=A0&amp;row=101&amp;col=27&amp;number=&amp;sourceID=13","")</f>
        <v/>
      </c>
      <c r="AB101" s="4" t="str">
        <f>HYPERLINK("http://141.218.60.56/~jnz1568/getInfo.php?workbook=10_01.xlsx&amp;sheet=A0&amp;row=101&amp;col=28&amp;number=1.32e-11&amp;sourceID=13","1.32e-11")</f>
        <v>1.32e-11</v>
      </c>
      <c r="AC101" s="4" t="str">
        <f>HYPERLINK("http://141.218.60.56/~jnz1568/getInfo.php?workbook=10_01.xlsx&amp;sheet=A0&amp;row=101&amp;col=29&amp;number=&amp;sourceID=13","")</f>
        <v/>
      </c>
      <c r="AD101" s="4" t="str">
        <f>HYPERLINK("http://141.218.60.56/~jnz1568/getInfo.php?workbook=10_01.xlsx&amp;sheet=A0&amp;row=101&amp;col=30&amp;number=3.79e-05&amp;sourceID=13","3.79e-05")</f>
        <v>3.79e-05</v>
      </c>
      <c r="AE101" s="4" t="str">
        <f>HYPERLINK("http://141.218.60.56/~jnz1568/getInfo.php?workbook=10_01.xlsx&amp;sheet=A0&amp;row=101&amp;col=31&amp;number=&amp;sourceID=13","")</f>
        <v/>
      </c>
      <c r="AF101" s="4" t="str">
        <f>HYPERLINK("http://141.218.60.56/~jnz1568/getInfo.php?workbook=10_01.xlsx&amp;sheet=A0&amp;row=101&amp;col=32&amp;number=&amp;sourceID=20","")</f>
        <v/>
      </c>
    </row>
    <row r="102" spans="1:32">
      <c r="A102" s="3">
        <v>10</v>
      </c>
      <c r="B102" s="3">
        <v>1</v>
      </c>
      <c r="C102" s="3">
        <v>15</v>
      </c>
      <c r="D102" s="3">
        <v>13</v>
      </c>
      <c r="E102" s="3">
        <f>((1/(INDEX(E0!J$4:J$28,C102,1)-INDEX(E0!J$4:J$28,D102,1))))*100000000</f>
        <v>0</v>
      </c>
      <c r="F102" s="4" t="str">
        <f>HYPERLINK("http://141.218.60.56/~jnz1568/getInfo.php?workbook=10_01.xlsx&amp;sheet=A0&amp;row=102&amp;col=6&amp;number=&amp;sourceID=18","")</f>
        <v/>
      </c>
      <c r="G102" s="4" t="str">
        <f>HYPERLINK("http://141.218.60.56/~jnz1568/getInfo.php?workbook=10_01.xlsx&amp;sheet=A0&amp;row=102&amp;col=7&amp;number==&amp;sourceID=11","=")</f>
        <v>=</v>
      </c>
      <c r="H102" s="4" t="str">
        <f>HYPERLINK("http://141.218.60.56/~jnz1568/getInfo.php?workbook=10_01.xlsx&amp;sheet=A0&amp;row=102&amp;col=8&amp;number=12.371&amp;sourceID=11","12.371")</f>
        <v>12.371</v>
      </c>
      <c r="I102" s="4" t="str">
        <f>HYPERLINK("http://141.218.60.56/~jnz1568/getInfo.php?workbook=10_01.xlsx&amp;sheet=A0&amp;row=102&amp;col=9&amp;number=&amp;sourceID=11","")</f>
        <v/>
      </c>
      <c r="J102" s="4" t="str">
        <f>HYPERLINK("http://141.218.60.56/~jnz1568/getInfo.php?workbook=10_01.xlsx&amp;sheet=A0&amp;row=102&amp;col=10&amp;number=0&amp;sourceID=11","0")</f>
        <v>0</v>
      </c>
      <c r="K102" s="4" t="str">
        <f>HYPERLINK("http://141.218.60.56/~jnz1568/getInfo.php?workbook=10_01.xlsx&amp;sheet=A0&amp;row=102&amp;col=11&amp;number=&amp;sourceID=11","")</f>
        <v/>
      </c>
      <c r="L102" s="4" t="str">
        <f>HYPERLINK("http://141.218.60.56/~jnz1568/getInfo.php?workbook=10_01.xlsx&amp;sheet=A0&amp;row=102&amp;col=12&amp;number=4e-15&amp;sourceID=11","4e-15")</f>
        <v>4e-15</v>
      </c>
      <c r="M102" s="4" t="str">
        <f>HYPERLINK("http://141.218.60.56/~jnz1568/getInfo.php?workbook=10_01.xlsx&amp;sheet=A0&amp;row=102&amp;col=13&amp;number=&amp;sourceID=11","")</f>
        <v/>
      </c>
      <c r="N102" s="4" t="str">
        <f>HYPERLINK("http://141.218.60.56/~jnz1568/getInfo.php?workbook=10_01.xlsx&amp;sheet=A0&amp;row=102&amp;col=14&amp;number=12.372&amp;sourceID=12","12.372")</f>
        <v>12.372</v>
      </c>
      <c r="O102" s="4" t="str">
        <f>HYPERLINK("http://141.218.60.56/~jnz1568/getInfo.php?workbook=10_01.xlsx&amp;sheet=A0&amp;row=102&amp;col=15&amp;number=12.372&amp;sourceID=12","12.372")</f>
        <v>12.372</v>
      </c>
      <c r="P102" s="4" t="str">
        <f>HYPERLINK("http://141.218.60.56/~jnz1568/getInfo.php?workbook=10_01.xlsx&amp;sheet=A0&amp;row=102&amp;col=16&amp;number=&amp;sourceID=12","")</f>
        <v/>
      </c>
      <c r="Q102" s="4" t="str">
        <f>HYPERLINK("http://141.218.60.56/~jnz1568/getInfo.php?workbook=10_01.xlsx&amp;sheet=A0&amp;row=102&amp;col=17&amp;number=0&amp;sourceID=12","0")</f>
        <v>0</v>
      </c>
      <c r="R102" s="4" t="str">
        <f>HYPERLINK("http://141.218.60.56/~jnz1568/getInfo.php?workbook=10_01.xlsx&amp;sheet=A0&amp;row=102&amp;col=18&amp;number=&amp;sourceID=12","")</f>
        <v/>
      </c>
      <c r="S102" s="4" t="str">
        <f>HYPERLINK("http://141.218.60.56/~jnz1568/getInfo.php?workbook=10_01.xlsx&amp;sheet=A0&amp;row=102&amp;col=19&amp;number=4e-15&amp;sourceID=12","4e-15")</f>
        <v>4e-15</v>
      </c>
      <c r="T102" s="4" t="str">
        <f>HYPERLINK("http://141.218.60.56/~jnz1568/getInfo.php?workbook=10_01.xlsx&amp;sheet=A0&amp;row=102&amp;col=20&amp;number=&amp;sourceID=12","")</f>
        <v/>
      </c>
      <c r="U102" s="4" t="str">
        <f>HYPERLINK("http://141.218.60.56/~jnz1568/getInfo.php?workbook=10_01.xlsx&amp;sheet=A0&amp;row=102&amp;col=21&amp;number=12.37&amp;sourceID=30","12.37")</f>
        <v>12.37</v>
      </c>
      <c r="V102" s="4" t="str">
        <f>HYPERLINK("http://141.218.60.56/~jnz1568/getInfo.php?workbook=10_01.xlsx&amp;sheet=A0&amp;row=102&amp;col=22&amp;number=12.37&amp;sourceID=30","12.37")</f>
        <v>12.37</v>
      </c>
      <c r="W102" s="4" t="str">
        <f>HYPERLINK("http://141.218.60.56/~jnz1568/getInfo.php?workbook=10_01.xlsx&amp;sheet=A0&amp;row=102&amp;col=23&amp;number=&amp;sourceID=30","")</f>
        <v/>
      </c>
      <c r="X102" s="4" t="str">
        <f>HYPERLINK("http://141.218.60.56/~jnz1568/getInfo.php?workbook=10_01.xlsx&amp;sheet=A0&amp;row=102&amp;col=24&amp;number=&amp;sourceID=30","")</f>
        <v/>
      </c>
      <c r="Y102" s="4" t="str">
        <f>HYPERLINK("http://141.218.60.56/~jnz1568/getInfo.php?workbook=10_01.xlsx&amp;sheet=A0&amp;row=102&amp;col=25&amp;number=4e-15&amp;sourceID=30","4e-15")</f>
        <v>4e-15</v>
      </c>
      <c r="Z102" s="4" t="str">
        <f>HYPERLINK("http://141.218.60.56/~jnz1568/getInfo.php?workbook=10_01.xlsx&amp;sheet=A0&amp;row=102&amp;col=26&amp;number==SUM(AA102:AE102)&amp;sourceID=13","=SUM(AA102:AE102)")</f>
        <v>=SUM(AA102:AE102)</v>
      </c>
      <c r="AA102" s="4" t="str">
        <f>HYPERLINK("http://141.218.60.56/~jnz1568/getInfo.php?workbook=10_01.xlsx&amp;sheet=A0&amp;row=102&amp;col=27&amp;number=20.7&amp;sourceID=13","20.7")</f>
        <v>20.7</v>
      </c>
      <c r="AB102" s="4" t="str">
        <f>HYPERLINK("http://141.218.60.56/~jnz1568/getInfo.php?workbook=10_01.xlsx&amp;sheet=A0&amp;row=102&amp;col=28&amp;number=&amp;sourceID=13","")</f>
        <v/>
      </c>
      <c r="AC102" s="4" t="str">
        <f>HYPERLINK("http://141.218.60.56/~jnz1568/getInfo.php?workbook=10_01.xlsx&amp;sheet=A0&amp;row=102&amp;col=29&amp;number=&amp;sourceID=13","")</f>
        <v/>
      </c>
      <c r="AD102" s="4" t="str">
        <f>HYPERLINK("http://141.218.60.56/~jnz1568/getInfo.php?workbook=10_01.xlsx&amp;sheet=A0&amp;row=102&amp;col=30&amp;number=&amp;sourceID=13","")</f>
        <v/>
      </c>
      <c r="AE102" s="4" t="str">
        <f>HYPERLINK("http://141.218.60.56/~jnz1568/getInfo.php?workbook=10_01.xlsx&amp;sheet=A0&amp;row=102&amp;col=31&amp;number=&amp;sourceID=13","")</f>
        <v/>
      </c>
      <c r="AF102" s="4" t="str">
        <f>HYPERLINK("http://141.218.60.56/~jnz1568/getInfo.php?workbook=10_01.xlsx&amp;sheet=A0&amp;row=102&amp;col=32&amp;number=&amp;sourceID=20","")</f>
        <v/>
      </c>
    </row>
    <row r="103" spans="1:32">
      <c r="A103" s="3">
        <v>10</v>
      </c>
      <c r="B103" s="3">
        <v>1</v>
      </c>
      <c r="C103" s="3">
        <v>16</v>
      </c>
      <c r="D103" s="3">
        <v>1</v>
      </c>
      <c r="E103" s="3">
        <f>((1/(INDEX(E0!J$4:J$28,C103,1)-INDEX(E0!J$4:J$28,D103,1))))*100000000</f>
        <v>0</v>
      </c>
      <c r="F103" s="4" t="str">
        <f>HYPERLINK("http://141.218.60.56/~jnz1568/getInfo.php?workbook=10_01.xlsx&amp;sheet=A0&amp;row=103&amp;col=6&amp;number=&amp;sourceID=18","")</f>
        <v/>
      </c>
      <c r="G103" s="4" t="str">
        <f>HYPERLINK("http://141.218.60.56/~jnz1568/getInfo.php?workbook=10_01.xlsx&amp;sheet=A0&amp;row=103&amp;col=7&amp;number==&amp;sourceID=11","=")</f>
        <v>=</v>
      </c>
      <c r="H103" s="4" t="str">
        <f>HYPERLINK("http://141.218.60.56/~jnz1568/getInfo.php?workbook=10_01.xlsx&amp;sheet=A0&amp;row=103&amp;col=8&amp;number=&amp;sourceID=11","")</f>
        <v/>
      </c>
      <c r="I103" s="4" t="str">
        <f>HYPERLINK("http://141.218.60.56/~jnz1568/getInfo.php?workbook=10_01.xlsx&amp;sheet=A0&amp;row=103&amp;col=9&amp;number=&amp;sourceID=11","")</f>
        <v/>
      </c>
      <c r="J103" s="4" t="str">
        <f>HYPERLINK("http://141.218.60.56/~jnz1568/getInfo.php?workbook=10_01.xlsx&amp;sheet=A0&amp;row=103&amp;col=10&amp;number=30890&amp;sourceID=11","30890")</f>
        <v>30890</v>
      </c>
      <c r="K103" s="4" t="str">
        <f>HYPERLINK("http://141.218.60.56/~jnz1568/getInfo.php?workbook=10_01.xlsx&amp;sheet=A0&amp;row=103&amp;col=11&amp;number=&amp;sourceID=11","")</f>
        <v/>
      </c>
      <c r="L103" s="4" t="str">
        <f>HYPERLINK("http://141.218.60.56/~jnz1568/getInfo.php?workbook=10_01.xlsx&amp;sheet=A0&amp;row=103&amp;col=12&amp;number=&amp;sourceID=11","")</f>
        <v/>
      </c>
      <c r="M103" s="4" t="str">
        <f>HYPERLINK("http://141.218.60.56/~jnz1568/getInfo.php?workbook=10_01.xlsx&amp;sheet=A0&amp;row=103&amp;col=13&amp;number=&amp;sourceID=11","")</f>
        <v/>
      </c>
      <c r="N103" s="4" t="str">
        <f>HYPERLINK("http://141.218.60.56/~jnz1568/getInfo.php?workbook=10_01.xlsx&amp;sheet=A0&amp;row=103&amp;col=14&amp;number=30891&amp;sourceID=12","30891")</f>
        <v>30891</v>
      </c>
      <c r="O103" s="4" t="str">
        <f>HYPERLINK("http://141.218.60.56/~jnz1568/getInfo.php?workbook=10_01.xlsx&amp;sheet=A0&amp;row=103&amp;col=15&amp;number=&amp;sourceID=12","")</f>
        <v/>
      </c>
      <c r="P103" s="4" t="str">
        <f>HYPERLINK("http://141.218.60.56/~jnz1568/getInfo.php?workbook=10_01.xlsx&amp;sheet=A0&amp;row=103&amp;col=16&amp;number=&amp;sourceID=12","")</f>
        <v/>
      </c>
      <c r="Q103" s="4" t="str">
        <f>HYPERLINK("http://141.218.60.56/~jnz1568/getInfo.php?workbook=10_01.xlsx&amp;sheet=A0&amp;row=103&amp;col=17&amp;number=30891&amp;sourceID=12","30891")</f>
        <v>30891</v>
      </c>
      <c r="R103" s="4" t="str">
        <f>HYPERLINK("http://141.218.60.56/~jnz1568/getInfo.php?workbook=10_01.xlsx&amp;sheet=A0&amp;row=103&amp;col=18&amp;number=&amp;sourceID=12","")</f>
        <v/>
      </c>
      <c r="S103" s="4" t="str">
        <f>HYPERLINK("http://141.218.60.56/~jnz1568/getInfo.php?workbook=10_01.xlsx&amp;sheet=A0&amp;row=103&amp;col=19&amp;number=&amp;sourceID=12","")</f>
        <v/>
      </c>
      <c r="T103" s="4" t="str">
        <f>HYPERLINK("http://141.218.60.56/~jnz1568/getInfo.php?workbook=10_01.xlsx&amp;sheet=A0&amp;row=103&amp;col=20&amp;number=&amp;sourceID=12","")</f>
        <v/>
      </c>
      <c r="U103" s="4" t="str">
        <f>HYPERLINK("http://141.218.60.56/~jnz1568/getInfo.php?workbook=10_01.xlsx&amp;sheet=A0&amp;row=103&amp;col=21&amp;number=&amp;sourceID=30","")</f>
        <v/>
      </c>
      <c r="V103" s="4" t="str">
        <f>HYPERLINK("http://141.218.60.56/~jnz1568/getInfo.php?workbook=10_01.xlsx&amp;sheet=A0&amp;row=103&amp;col=22&amp;number=&amp;sourceID=30","")</f>
        <v/>
      </c>
      <c r="W103" s="4" t="str">
        <f>HYPERLINK("http://141.218.60.56/~jnz1568/getInfo.php?workbook=10_01.xlsx&amp;sheet=A0&amp;row=103&amp;col=23&amp;number=&amp;sourceID=30","")</f>
        <v/>
      </c>
      <c r="X103" s="4" t="str">
        <f>HYPERLINK("http://141.218.60.56/~jnz1568/getInfo.php?workbook=10_01.xlsx&amp;sheet=A0&amp;row=103&amp;col=24&amp;number=&amp;sourceID=30","")</f>
        <v/>
      </c>
      <c r="Y103" s="4" t="str">
        <f>HYPERLINK("http://141.218.60.56/~jnz1568/getInfo.php?workbook=10_01.xlsx&amp;sheet=A0&amp;row=103&amp;col=25&amp;number=&amp;sourceID=30","")</f>
        <v/>
      </c>
      <c r="Z103" s="4" t="str">
        <f>HYPERLINK("http://141.218.60.56/~jnz1568/getInfo.php?workbook=10_01.xlsx&amp;sheet=A0&amp;row=103&amp;col=26&amp;number==SUM(AA103:AE103)&amp;sourceID=13","=SUM(AA103:AE103)")</f>
        <v>=SUM(AA103:AE103)</v>
      </c>
      <c r="AA103" s="4" t="str">
        <f>HYPERLINK("http://141.218.60.56/~jnz1568/getInfo.php?workbook=10_01.xlsx&amp;sheet=A0&amp;row=103&amp;col=27&amp;number=&amp;sourceID=13","")</f>
        <v/>
      </c>
      <c r="AB103" s="4" t="str">
        <f>HYPERLINK("http://141.218.60.56/~jnz1568/getInfo.php?workbook=10_01.xlsx&amp;sheet=A0&amp;row=103&amp;col=28&amp;number=&amp;sourceID=13","")</f>
        <v/>
      </c>
      <c r="AC103" s="4" t="str">
        <f>HYPERLINK("http://141.218.60.56/~jnz1568/getInfo.php?workbook=10_01.xlsx&amp;sheet=A0&amp;row=103&amp;col=29&amp;number=6350&amp;sourceID=13","6350")</f>
        <v>6350</v>
      </c>
      <c r="AD103" s="4" t="str">
        <f>HYPERLINK("http://141.218.60.56/~jnz1568/getInfo.php?workbook=10_01.xlsx&amp;sheet=A0&amp;row=103&amp;col=30&amp;number=&amp;sourceID=13","")</f>
        <v/>
      </c>
      <c r="AE103" s="4" t="str">
        <f>HYPERLINK("http://141.218.60.56/~jnz1568/getInfo.php?workbook=10_01.xlsx&amp;sheet=A0&amp;row=103&amp;col=31&amp;number=&amp;sourceID=13","")</f>
        <v/>
      </c>
      <c r="AF103" s="4" t="str">
        <f>HYPERLINK("http://141.218.60.56/~jnz1568/getInfo.php?workbook=10_01.xlsx&amp;sheet=A0&amp;row=103&amp;col=32&amp;number=&amp;sourceID=20","")</f>
        <v/>
      </c>
    </row>
    <row r="104" spans="1:32">
      <c r="A104" s="3">
        <v>10</v>
      </c>
      <c r="B104" s="3">
        <v>1</v>
      </c>
      <c r="C104" s="3">
        <v>16</v>
      </c>
      <c r="D104" s="3">
        <v>2</v>
      </c>
      <c r="E104" s="3">
        <f>((1/(INDEX(E0!J$4:J$28,C104,1)-INDEX(E0!J$4:J$28,D104,1))))*100000000</f>
        <v>0</v>
      </c>
      <c r="F104" s="4" t="str">
        <f>HYPERLINK("http://141.218.60.56/~jnz1568/getInfo.php?workbook=10_01.xlsx&amp;sheet=A0&amp;row=104&amp;col=6&amp;number=&amp;sourceID=18","")</f>
        <v/>
      </c>
      <c r="G104" s="4" t="str">
        <f>HYPERLINK("http://141.218.60.56/~jnz1568/getInfo.php?workbook=10_01.xlsx&amp;sheet=A0&amp;row=104&amp;col=7&amp;number==&amp;sourceID=11","=")</f>
        <v>=</v>
      </c>
      <c r="H104" s="4" t="str">
        <f>HYPERLINK("http://141.218.60.56/~jnz1568/getInfo.php?workbook=10_01.xlsx&amp;sheet=A0&amp;row=104&amp;col=8&amp;number=&amp;sourceID=11","")</f>
        <v/>
      </c>
      <c r="I104" s="4" t="str">
        <f>HYPERLINK("http://141.218.60.56/~jnz1568/getInfo.php?workbook=10_01.xlsx&amp;sheet=A0&amp;row=104&amp;col=9&amp;number=&amp;sourceID=11","")</f>
        <v/>
      </c>
      <c r="J104" s="4" t="str">
        <f>HYPERLINK("http://141.218.60.56/~jnz1568/getInfo.php?workbook=10_01.xlsx&amp;sheet=A0&amp;row=104&amp;col=10&amp;number=&amp;sourceID=11","")</f>
        <v/>
      </c>
      <c r="K104" s="4" t="str">
        <f>HYPERLINK("http://141.218.60.56/~jnz1568/getInfo.php?workbook=10_01.xlsx&amp;sheet=A0&amp;row=104&amp;col=11&amp;number=&amp;sourceID=11","")</f>
        <v/>
      </c>
      <c r="L104" s="4" t="str">
        <f>HYPERLINK("http://141.218.60.56/~jnz1568/getInfo.php?workbook=10_01.xlsx&amp;sheet=A0&amp;row=104&amp;col=12&amp;number=&amp;sourceID=11","")</f>
        <v/>
      </c>
      <c r="M104" s="4" t="str">
        <f>HYPERLINK("http://141.218.60.56/~jnz1568/getInfo.php?workbook=10_01.xlsx&amp;sheet=A0&amp;row=104&amp;col=13&amp;number=1.1043&amp;sourceID=11","1.1043")</f>
        <v>1.1043</v>
      </c>
      <c r="N104" s="4" t="str">
        <f>HYPERLINK("http://141.218.60.56/~jnz1568/getInfo.php?workbook=10_01.xlsx&amp;sheet=A0&amp;row=104&amp;col=14&amp;number=1.1043&amp;sourceID=12","1.1043")</f>
        <v>1.1043</v>
      </c>
      <c r="O104" s="4" t="str">
        <f>HYPERLINK("http://141.218.60.56/~jnz1568/getInfo.php?workbook=10_01.xlsx&amp;sheet=A0&amp;row=104&amp;col=15&amp;number=&amp;sourceID=12","")</f>
        <v/>
      </c>
      <c r="P104" s="4" t="str">
        <f>HYPERLINK("http://141.218.60.56/~jnz1568/getInfo.php?workbook=10_01.xlsx&amp;sheet=A0&amp;row=104&amp;col=16&amp;number=&amp;sourceID=12","")</f>
        <v/>
      </c>
      <c r="Q104" s="4" t="str">
        <f>HYPERLINK("http://141.218.60.56/~jnz1568/getInfo.php?workbook=10_01.xlsx&amp;sheet=A0&amp;row=104&amp;col=17&amp;number=&amp;sourceID=12","")</f>
        <v/>
      </c>
      <c r="R104" s="4" t="str">
        <f>HYPERLINK("http://141.218.60.56/~jnz1568/getInfo.php?workbook=10_01.xlsx&amp;sheet=A0&amp;row=104&amp;col=18&amp;number=&amp;sourceID=12","")</f>
        <v/>
      </c>
      <c r="S104" s="4" t="str">
        <f>HYPERLINK("http://141.218.60.56/~jnz1568/getInfo.php?workbook=10_01.xlsx&amp;sheet=A0&amp;row=104&amp;col=19&amp;number=&amp;sourceID=12","")</f>
        <v/>
      </c>
      <c r="T104" s="4" t="str">
        <f>HYPERLINK("http://141.218.60.56/~jnz1568/getInfo.php?workbook=10_01.xlsx&amp;sheet=A0&amp;row=104&amp;col=20&amp;number=1.1043&amp;sourceID=12","1.1043")</f>
        <v>1.1043</v>
      </c>
      <c r="U104" s="4" t="str">
        <f>HYPERLINK("http://141.218.60.56/~jnz1568/getInfo.php?workbook=10_01.xlsx&amp;sheet=A0&amp;row=104&amp;col=21&amp;number=&amp;sourceID=30","")</f>
        <v/>
      </c>
      <c r="V104" s="4" t="str">
        <f>HYPERLINK("http://141.218.60.56/~jnz1568/getInfo.php?workbook=10_01.xlsx&amp;sheet=A0&amp;row=104&amp;col=22&amp;number=&amp;sourceID=30","")</f>
        <v/>
      </c>
      <c r="W104" s="4" t="str">
        <f>HYPERLINK("http://141.218.60.56/~jnz1568/getInfo.php?workbook=10_01.xlsx&amp;sheet=A0&amp;row=104&amp;col=23&amp;number=&amp;sourceID=30","")</f>
        <v/>
      </c>
      <c r="X104" s="4" t="str">
        <f>HYPERLINK("http://141.218.60.56/~jnz1568/getInfo.php?workbook=10_01.xlsx&amp;sheet=A0&amp;row=104&amp;col=24&amp;number=&amp;sourceID=30","")</f>
        <v/>
      </c>
      <c r="Y104" s="4" t="str">
        <f>HYPERLINK("http://141.218.60.56/~jnz1568/getInfo.php?workbook=10_01.xlsx&amp;sheet=A0&amp;row=104&amp;col=25&amp;number=&amp;sourceID=30","")</f>
        <v/>
      </c>
      <c r="Z104" s="4" t="str">
        <f>HYPERLINK("http://141.218.60.56/~jnz1568/getInfo.php?workbook=10_01.xlsx&amp;sheet=A0&amp;row=104&amp;col=26&amp;number=&amp;sourceID=13","")</f>
        <v/>
      </c>
      <c r="AA104" s="4" t="str">
        <f>HYPERLINK("http://141.218.60.56/~jnz1568/getInfo.php?workbook=10_01.xlsx&amp;sheet=A0&amp;row=104&amp;col=27&amp;number=&amp;sourceID=13","")</f>
        <v/>
      </c>
      <c r="AB104" s="4" t="str">
        <f>HYPERLINK("http://141.218.60.56/~jnz1568/getInfo.php?workbook=10_01.xlsx&amp;sheet=A0&amp;row=104&amp;col=28&amp;number=&amp;sourceID=13","")</f>
        <v/>
      </c>
      <c r="AC104" s="4" t="str">
        <f>HYPERLINK("http://141.218.60.56/~jnz1568/getInfo.php?workbook=10_01.xlsx&amp;sheet=A0&amp;row=104&amp;col=29&amp;number=&amp;sourceID=13","")</f>
        <v/>
      </c>
      <c r="AD104" s="4" t="str">
        <f>HYPERLINK("http://141.218.60.56/~jnz1568/getInfo.php?workbook=10_01.xlsx&amp;sheet=A0&amp;row=104&amp;col=30&amp;number=&amp;sourceID=13","")</f>
        <v/>
      </c>
      <c r="AE104" s="4" t="str">
        <f>HYPERLINK("http://141.218.60.56/~jnz1568/getInfo.php?workbook=10_01.xlsx&amp;sheet=A0&amp;row=104&amp;col=31&amp;number=&amp;sourceID=13","")</f>
        <v/>
      </c>
      <c r="AF104" s="4" t="str">
        <f>HYPERLINK("http://141.218.60.56/~jnz1568/getInfo.php?workbook=10_01.xlsx&amp;sheet=A0&amp;row=104&amp;col=32&amp;number=&amp;sourceID=20","")</f>
        <v/>
      </c>
    </row>
    <row r="105" spans="1:32">
      <c r="A105" s="3">
        <v>10</v>
      </c>
      <c r="B105" s="3">
        <v>1</v>
      </c>
      <c r="C105" s="3">
        <v>16</v>
      </c>
      <c r="D105" s="3">
        <v>3</v>
      </c>
      <c r="E105" s="3">
        <f>((1/(INDEX(E0!J$4:J$28,C105,1)-INDEX(E0!J$4:J$28,D105,1))))*100000000</f>
        <v>0</v>
      </c>
      <c r="F105" s="4" t="str">
        <f>HYPERLINK("http://141.218.60.56/~jnz1568/getInfo.php?workbook=10_01.xlsx&amp;sheet=A0&amp;row=105&amp;col=6&amp;number=&amp;sourceID=18","")</f>
        <v/>
      </c>
      <c r="G105" s="4" t="str">
        <f>HYPERLINK("http://141.218.60.56/~jnz1568/getInfo.php?workbook=10_01.xlsx&amp;sheet=A0&amp;row=105&amp;col=7&amp;number==&amp;sourceID=11","=")</f>
        <v>=</v>
      </c>
      <c r="H105" s="4" t="str">
        <f>HYPERLINK("http://141.218.60.56/~jnz1568/getInfo.php?workbook=10_01.xlsx&amp;sheet=A0&amp;row=105&amp;col=8&amp;number=&amp;sourceID=11","")</f>
        <v/>
      </c>
      <c r="I105" s="4" t="str">
        <f>HYPERLINK("http://141.218.60.56/~jnz1568/getInfo.php?workbook=10_01.xlsx&amp;sheet=A0&amp;row=105&amp;col=9&amp;number=&amp;sourceID=11","")</f>
        <v/>
      </c>
      <c r="J105" s="4" t="str">
        <f>HYPERLINK("http://141.218.60.56/~jnz1568/getInfo.php?workbook=10_01.xlsx&amp;sheet=A0&amp;row=105&amp;col=10&amp;number=12281&amp;sourceID=11","12281")</f>
        <v>12281</v>
      </c>
      <c r="K105" s="4" t="str">
        <f>HYPERLINK("http://141.218.60.56/~jnz1568/getInfo.php?workbook=10_01.xlsx&amp;sheet=A0&amp;row=105&amp;col=11&amp;number=&amp;sourceID=11","")</f>
        <v/>
      </c>
      <c r="L105" s="4" t="str">
        <f>HYPERLINK("http://141.218.60.56/~jnz1568/getInfo.php?workbook=10_01.xlsx&amp;sheet=A0&amp;row=105&amp;col=12&amp;number=&amp;sourceID=11","")</f>
        <v/>
      </c>
      <c r="M105" s="4" t="str">
        <f>HYPERLINK("http://141.218.60.56/~jnz1568/getInfo.php?workbook=10_01.xlsx&amp;sheet=A0&amp;row=105&amp;col=13&amp;number=&amp;sourceID=11","")</f>
        <v/>
      </c>
      <c r="N105" s="4" t="str">
        <f>HYPERLINK("http://141.218.60.56/~jnz1568/getInfo.php?workbook=10_01.xlsx&amp;sheet=A0&amp;row=105&amp;col=14&amp;number=12281&amp;sourceID=12","12281")</f>
        <v>12281</v>
      </c>
      <c r="O105" s="4" t="str">
        <f>HYPERLINK("http://141.218.60.56/~jnz1568/getInfo.php?workbook=10_01.xlsx&amp;sheet=A0&amp;row=105&amp;col=15&amp;number=&amp;sourceID=12","")</f>
        <v/>
      </c>
      <c r="P105" s="4" t="str">
        <f>HYPERLINK("http://141.218.60.56/~jnz1568/getInfo.php?workbook=10_01.xlsx&amp;sheet=A0&amp;row=105&amp;col=16&amp;number=&amp;sourceID=12","")</f>
        <v/>
      </c>
      <c r="Q105" s="4" t="str">
        <f>HYPERLINK("http://141.218.60.56/~jnz1568/getInfo.php?workbook=10_01.xlsx&amp;sheet=A0&amp;row=105&amp;col=17&amp;number=12281&amp;sourceID=12","12281")</f>
        <v>12281</v>
      </c>
      <c r="R105" s="4" t="str">
        <f>HYPERLINK("http://141.218.60.56/~jnz1568/getInfo.php?workbook=10_01.xlsx&amp;sheet=A0&amp;row=105&amp;col=18&amp;number=&amp;sourceID=12","")</f>
        <v/>
      </c>
      <c r="S105" s="4" t="str">
        <f>HYPERLINK("http://141.218.60.56/~jnz1568/getInfo.php?workbook=10_01.xlsx&amp;sheet=A0&amp;row=105&amp;col=19&amp;number=&amp;sourceID=12","")</f>
        <v/>
      </c>
      <c r="T105" s="4" t="str">
        <f>HYPERLINK("http://141.218.60.56/~jnz1568/getInfo.php?workbook=10_01.xlsx&amp;sheet=A0&amp;row=105&amp;col=20&amp;number=&amp;sourceID=12","")</f>
        <v/>
      </c>
      <c r="U105" s="4" t="str">
        <f>HYPERLINK("http://141.218.60.56/~jnz1568/getInfo.php?workbook=10_01.xlsx&amp;sheet=A0&amp;row=105&amp;col=21&amp;number=&amp;sourceID=30","")</f>
        <v/>
      </c>
      <c r="V105" s="4" t="str">
        <f>HYPERLINK("http://141.218.60.56/~jnz1568/getInfo.php?workbook=10_01.xlsx&amp;sheet=A0&amp;row=105&amp;col=22&amp;number=&amp;sourceID=30","")</f>
        <v/>
      </c>
      <c r="W105" s="4" t="str">
        <f>HYPERLINK("http://141.218.60.56/~jnz1568/getInfo.php?workbook=10_01.xlsx&amp;sheet=A0&amp;row=105&amp;col=23&amp;number=&amp;sourceID=30","")</f>
        <v/>
      </c>
      <c r="X105" s="4" t="str">
        <f>HYPERLINK("http://141.218.60.56/~jnz1568/getInfo.php?workbook=10_01.xlsx&amp;sheet=A0&amp;row=105&amp;col=24&amp;number=&amp;sourceID=30","")</f>
        <v/>
      </c>
      <c r="Y105" s="4" t="str">
        <f>HYPERLINK("http://141.218.60.56/~jnz1568/getInfo.php?workbook=10_01.xlsx&amp;sheet=A0&amp;row=105&amp;col=25&amp;number=&amp;sourceID=30","")</f>
        <v/>
      </c>
      <c r="Z105" s="4" t="str">
        <f>HYPERLINK("http://141.218.60.56/~jnz1568/getInfo.php?workbook=10_01.xlsx&amp;sheet=A0&amp;row=105&amp;col=26&amp;number==SUM(AA105:AE105)&amp;sourceID=13","=SUM(AA105:AE105)")</f>
        <v>=SUM(AA105:AE105)</v>
      </c>
      <c r="AA105" s="4" t="str">
        <f>HYPERLINK("http://141.218.60.56/~jnz1568/getInfo.php?workbook=10_01.xlsx&amp;sheet=A0&amp;row=105&amp;col=27&amp;number=&amp;sourceID=13","")</f>
        <v/>
      </c>
      <c r="AB105" s="4" t="str">
        <f>HYPERLINK("http://141.218.60.56/~jnz1568/getInfo.php?workbook=10_01.xlsx&amp;sheet=A0&amp;row=105&amp;col=28&amp;number=&amp;sourceID=13","")</f>
        <v/>
      </c>
      <c r="AC105" s="4" t="str">
        <f>HYPERLINK("http://141.218.60.56/~jnz1568/getInfo.php?workbook=10_01.xlsx&amp;sheet=A0&amp;row=105&amp;col=29&amp;number=12500&amp;sourceID=13","12500")</f>
        <v>12500</v>
      </c>
      <c r="AD105" s="4" t="str">
        <f>HYPERLINK("http://141.218.60.56/~jnz1568/getInfo.php?workbook=10_01.xlsx&amp;sheet=A0&amp;row=105&amp;col=30&amp;number=&amp;sourceID=13","")</f>
        <v/>
      </c>
      <c r="AE105" s="4" t="str">
        <f>HYPERLINK("http://141.218.60.56/~jnz1568/getInfo.php?workbook=10_01.xlsx&amp;sheet=A0&amp;row=105&amp;col=31&amp;number=&amp;sourceID=13","")</f>
        <v/>
      </c>
      <c r="AF105" s="4" t="str">
        <f>HYPERLINK("http://141.218.60.56/~jnz1568/getInfo.php?workbook=10_01.xlsx&amp;sheet=A0&amp;row=105&amp;col=32&amp;number=&amp;sourceID=20","")</f>
        <v/>
      </c>
    </row>
    <row r="106" spans="1:32">
      <c r="A106" s="3">
        <v>10</v>
      </c>
      <c r="B106" s="3">
        <v>1</v>
      </c>
      <c r="C106" s="3">
        <v>16</v>
      </c>
      <c r="D106" s="3">
        <v>4</v>
      </c>
      <c r="E106" s="3">
        <f>((1/(INDEX(E0!J$4:J$28,C106,1)-INDEX(E0!J$4:J$28,D106,1))))*100000000</f>
        <v>0</v>
      </c>
      <c r="F106" s="4" t="str">
        <f>HYPERLINK("http://141.218.60.56/~jnz1568/getInfo.php?workbook=10_01.xlsx&amp;sheet=A0&amp;row=106&amp;col=6&amp;number=&amp;sourceID=18","")</f>
        <v/>
      </c>
      <c r="G106" s="4" t="str">
        <f>HYPERLINK("http://141.218.60.56/~jnz1568/getInfo.php?workbook=10_01.xlsx&amp;sheet=A0&amp;row=106&amp;col=7&amp;number==&amp;sourceID=11","=")</f>
        <v>=</v>
      </c>
      <c r="H106" s="4" t="str">
        <f>HYPERLINK("http://141.218.60.56/~jnz1568/getInfo.php?workbook=10_01.xlsx&amp;sheet=A0&amp;row=106&amp;col=8&amp;number=&amp;sourceID=11","")</f>
        <v/>
      </c>
      <c r="I106" s="4" t="str">
        <f>HYPERLINK("http://141.218.60.56/~jnz1568/getInfo.php?workbook=10_01.xlsx&amp;sheet=A0&amp;row=106&amp;col=9&amp;number=61738000&amp;sourceID=11","61738000")</f>
        <v>61738000</v>
      </c>
      <c r="J106" s="4" t="str">
        <f>HYPERLINK("http://141.218.60.56/~jnz1568/getInfo.php?workbook=10_01.xlsx&amp;sheet=A0&amp;row=106&amp;col=10&amp;number=&amp;sourceID=11","")</f>
        <v/>
      </c>
      <c r="K106" s="4" t="str">
        <f>HYPERLINK("http://141.218.60.56/~jnz1568/getInfo.php?workbook=10_01.xlsx&amp;sheet=A0&amp;row=106&amp;col=11&amp;number=&amp;sourceID=11","")</f>
        <v/>
      </c>
      <c r="L106" s="4" t="str">
        <f>HYPERLINK("http://141.218.60.56/~jnz1568/getInfo.php?workbook=10_01.xlsx&amp;sheet=A0&amp;row=106&amp;col=12&amp;number=&amp;sourceID=11","")</f>
        <v/>
      </c>
      <c r="M106" s="4" t="str">
        <f>HYPERLINK("http://141.218.60.56/~jnz1568/getInfo.php?workbook=10_01.xlsx&amp;sheet=A0&amp;row=106&amp;col=13&amp;number=3.2999&amp;sourceID=11","3.2999")</f>
        <v>3.2999</v>
      </c>
      <c r="N106" s="4" t="str">
        <f>HYPERLINK("http://141.218.60.56/~jnz1568/getInfo.php?workbook=10_01.xlsx&amp;sheet=A0&amp;row=106&amp;col=14&amp;number=61740000&amp;sourceID=12","61740000")</f>
        <v>61740000</v>
      </c>
      <c r="O106" s="4" t="str">
        <f>HYPERLINK("http://141.218.60.56/~jnz1568/getInfo.php?workbook=10_01.xlsx&amp;sheet=A0&amp;row=106&amp;col=15&amp;number=&amp;sourceID=12","")</f>
        <v/>
      </c>
      <c r="P106" s="4" t="str">
        <f>HYPERLINK("http://141.218.60.56/~jnz1568/getInfo.php?workbook=10_01.xlsx&amp;sheet=A0&amp;row=106&amp;col=16&amp;number=61740000&amp;sourceID=12","61740000")</f>
        <v>61740000</v>
      </c>
      <c r="Q106" s="4" t="str">
        <f>HYPERLINK("http://141.218.60.56/~jnz1568/getInfo.php?workbook=10_01.xlsx&amp;sheet=A0&amp;row=106&amp;col=17&amp;number=&amp;sourceID=12","")</f>
        <v/>
      </c>
      <c r="R106" s="4" t="str">
        <f>HYPERLINK("http://141.218.60.56/~jnz1568/getInfo.php?workbook=10_01.xlsx&amp;sheet=A0&amp;row=106&amp;col=18&amp;number=&amp;sourceID=12","")</f>
        <v/>
      </c>
      <c r="S106" s="4" t="str">
        <f>HYPERLINK("http://141.218.60.56/~jnz1568/getInfo.php?workbook=10_01.xlsx&amp;sheet=A0&amp;row=106&amp;col=19&amp;number=&amp;sourceID=12","")</f>
        <v/>
      </c>
      <c r="T106" s="4" t="str">
        <f>HYPERLINK("http://141.218.60.56/~jnz1568/getInfo.php?workbook=10_01.xlsx&amp;sheet=A0&amp;row=106&amp;col=20&amp;number=3.3&amp;sourceID=12","3.3")</f>
        <v>3.3</v>
      </c>
      <c r="U106" s="4" t="str">
        <f>HYPERLINK("http://141.218.60.56/~jnz1568/getInfo.php?workbook=10_01.xlsx&amp;sheet=A0&amp;row=106&amp;col=21&amp;number=61740000&amp;sourceID=30","61740000")</f>
        <v>61740000</v>
      </c>
      <c r="V106" s="4" t="str">
        <f>HYPERLINK("http://141.218.60.56/~jnz1568/getInfo.php?workbook=10_01.xlsx&amp;sheet=A0&amp;row=106&amp;col=22&amp;number=&amp;sourceID=30","")</f>
        <v/>
      </c>
      <c r="W106" s="4" t="str">
        <f>HYPERLINK("http://141.218.60.56/~jnz1568/getInfo.php?workbook=10_01.xlsx&amp;sheet=A0&amp;row=106&amp;col=23&amp;number=61740000&amp;sourceID=30","61740000")</f>
        <v>61740000</v>
      </c>
      <c r="X106" s="4" t="str">
        <f>HYPERLINK("http://141.218.60.56/~jnz1568/getInfo.php?workbook=10_01.xlsx&amp;sheet=A0&amp;row=106&amp;col=24&amp;number=&amp;sourceID=30","")</f>
        <v/>
      </c>
      <c r="Y106" s="4" t="str">
        <f>HYPERLINK("http://141.218.60.56/~jnz1568/getInfo.php?workbook=10_01.xlsx&amp;sheet=A0&amp;row=106&amp;col=25&amp;number=&amp;sourceID=30","")</f>
        <v/>
      </c>
      <c r="Z106" s="4" t="str">
        <f>HYPERLINK("http://141.218.60.56/~jnz1568/getInfo.php?workbook=10_01.xlsx&amp;sheet=A0&amp;row=106&amp;col=26&amp;number==SUM(AA106:AE106)&amp;sourceID=13","=SUM(AA106:AE106)")</f>
        <v>=SUM(AA106:AE106)</v>
      </c>
      <c r="AA106" s="4" t="str">
        <f>HYPERLINK("http://141.218.60.56/~jnz1568/getInfo.php?workbook=10_01.xlsx&amp;sheet=A0&amp;row=106&amp;col=27&amp;number=&amp;sourceID=13","")</f>
        <v/>
      </c>
      <c r="AB106" s="4" t="str">
        <f>HYPERLINK("http://141.218.60.56/~jnz1568/getInfo.php?workbook=10_01.xlsx&amp;sheet=A0&amp;row=106&amp;col=28&amp;number=61900000&amp;sourceID=13","61900000")</f>
        <v>61900000</v>
      </c>
      <c r="AC106" s="4" t="str">
        <f>HYPERLINK("http://141.218.60.56/~jnz1568/getInfo.php?workbook=10_01.xlsx&amp;sheet=A0&amp;row=106&amp;col=29&amp;number=&amp;sourceID=13","")</f>
        <v/>
      </c>
      <c r="AD106" s="4" t="str">
        <f>HYPERLINK("http://141.218.60.56/~jnz1568/getInfo.php?workbook=10_01.xlsx&amp;sheet=A0&amp;row=106&amp;col=30&amp;number=&amp;sourceID=13","")</f>
        <v/>
      </c>
      <c r="AE106" s="4" t="str">
        <f>HYPERLINK("http://141.218.60.56/~jnz1568/getInfo.php?workbook=10_01.xlsx&amp;sheet=A0&amp;row=106&amp;col=31&amp;number=&amp;sourceID=13","")</f>
        <v/>
      </c>
      <c r="AF106" s="4" t="str">
        <f>HYPERLINK("http://141.218.60.56/~jnz1568/getInfo.php?workbook=10_01.xlsx&amp;sheet=A0&amp;row=106&amp;col=32&amp;number=&amp;sourceID=20","")</f>
        <v/>
      </c>
    </row>
    <row r="107" spans="1:32">
      <c r="A107" s="3">
        <v>10</v>
      </c>
      <c r="B107" s="3">
        <v>1</v>
      </c>
      <c r="C107" s="3">
        <v>16</v>
      </c>
      <c r="D107" s="3">
        <v>5</v>
      </c>
      <c r="E107" s="3">
        <f>((1/(INDEX(E0!J$4:J$28,C107,1)-INDEX(E0!J$4:J$28,D107,1))))*100000000</f>
        <v>0</v>
      </c>
      <c r="F107" s="4" t="str">
        <f>HYPERLINK("http://141.218.60.56/~jnz1568/getInfo.php?workbook=10_01.xlsx&amp;sheet=A0&amp;row=107&amp;col=6&amp;number=&amp;sourceID=18","")</f>
        <v/>
      </c>
      <c r="G107" s="4" t="str">
        <f>HYPERLINK("http://141.218.60.56/~jnz1568/getInfo.php?workbook=10_01.xlsx&amp;sheet=A0&amp;row=107&amp;col=7&amp;number==&amp;sourceID=11","=")</f>
        <v>=</v>
      </c>
      <c r="H107" s="4" t="str">
        <f>HYPERLINK("http://141.218.60.56/~jnz1568/getInfo.php?workbook=10_01.xlsx&amp;sheet=A0&amp;row=107&amp;col=8&amp;number=&amp;sourceID=11","")</f>
        <v/>
      </c>
      <c r="I107" s="4" t="str">
        <f>HYPERLINK("http://141.218.60.56/~jnz1568/getInfo.php?workbook=10_01.xlsx&amp;sheet=A0&amp;row=107&amp;col=9&amp;number=&amp;sourceID=11","")</f>
        <v/>
      </c>
      <c r="J107" s="4" t="str">
        <f>HYPERLINK("http://141.218.60.56/~jnz1568/getInfo.php?workbook=10_01.xlsx&amp;sheet=A0&amp;row=107&amp;col=10&amp;number=&amp;sourceID=11","")</f>
        <v/>
      </c>
      <c r="K107" s="4" t="str">
        <f>HYPERLINK("http://141.218.60.56/~jnz1568/getInfo.php?workbook=10_01.xlsx&amp;sheet=A0&amp;row=107&amp;col=11&amp;number=&amp;sourceID=11","")</f>
        <v/>
      </c>
      <c r="L107" s="4" t="str">
        <f>HYPERLINK("http://141.218.60.56/~jnz1568/getInfo.php?workbook=10_01.xlsx&amp;sheet=A0&amp;row=107&amp;col=12&amp;number=&amp;sourceID=11","")</f>
        <v/>
      </c>
      <c r="M107" s="4" t="str">
        <f>HYPERLINK("http://141.218.60.56/~jnz1568/getInfo.php?workbook=10_01.xlsx&amp;sheet=A0&amp;row=107&amp;col=13&amp;number=0.0070282&amp;sourceID=11","0.0070282")</f>
        <v>0.0070282</v>
      </c>
      <c r="N107" s="4" t="str">
        <f>HYPERLINK("http://141.218.60.56/~jnz1568/getInfo.php?workbook=10_01.xlsx&amp;sheet=A0&amp;row=107&amp;col=14&amp;number=0.0070284&amp;sourceID=12","0.0070284")</f>
        <v>0.0070284</v>
      </c>
      <c r="O107" s="4" t="str">
        <f>HYPERLINK("http://141.218.60.56/~jnz1568/getInfo.php?workbook=10_01.xlsx&amp;sheet=A0&amp;row=107&amp;col=15&amp;number=&amp;sourceID=12","")</f>
        <v/>
      </c>
      <c r="P107" s="4" t="str">
        <f>HYPERLINK("http://141.218.60.56/~jnz1568/getInfo.php?workbook=10_01.xlsx&amp;sheet=A0&amp;row=107&amp;col=16&amp;number=&amp;sourceID=12","")</f>
        <v/>
      </c>
      <c r="Q107" s="4" t="str">
        <f>HYPERLINK("http://141.218.60.56/~jnz1568/getInfo.php?workbook=10_01.xlsx&amp;sheet=A0&amp;row=107&amp;col=17&amp;number=&amp;sourceID=12","")</f>
        <v/>
      </c>
      <c r="R107" s="4" t="str">
        <f>HYPERLINK("http://141.218.60.56/~jnz1568/getInfo.php?workbook=10_01.xlsx&amp;sheet=A0&amp;row=107&amp;col=18&amp;number=&amp;sourceID=12","")</f>
        <v/>
      </c>
      <c r="S107" s="4" t="str">
        <f>HYPERLINK("http://141.218.60.56/~jnz1568/getInfo.php?workbook=10_01.xlsx&amp;sheet=A0&amp;row=107&amp;col=19&amp;number=&amp;sourceID=12","")</f>
        <v/>
      </c>
      <c r="T107" s="4" t="str">
        <f>HYPERLINK("http://141.218.60.56/~jnz1568/getInfo.php?workbook=10_01.xlsx&amp;sheet=A0&amp;row=107&amp;col=20&amp;number=0.0070284&amp;sourceID=12","0.0070284")</f>
        <v>0.0070284</v>
      </c>
      <c r="U107" s="4" t="str">
        <f>HYPERLINK("http://141.218.60.56/~jnz1568/getInfo.php?workbook=10_01.xlsx&amp;sheet=A0&amp;row=107&amp;col=21&amp;number=&amp;sourceID=30","")</f>
        <v/>
      </c>
      <c r="V107" s="4" t="str">
        <f>HYPERLINK("http://141.218.60.56/~jnz1568/getInfo.php?workbook=10_01.xlsx&amp;sheet=A0&amp;row=107&amp;col=22&amp;number=&amp;sourceID=30","")</f>
        <v/>
      </c>
      <c r="W107" s="4" t="str">
        <f>HYPERLINK("http://141.218.60.56/~jnz1568/getInfo.php?workbook=10_01.xlsx&amp;sheet=A0&amp;row=107&amp;col=23&amp;number=&amp;sourceID=30","")</f>
        <v/>
      </c>
      <c r="X107" s="4" t="str">
        <f>HYPERLINK("http://141.218.60.56/~jnz1568/getInfo.php?workbook=10_01.xlsx&amp;sheet=A0&amp;row=107&amp;col=24&amp;number=&amp;sourceID=30","")</f>
        <v/>
      </c>
      <c r="Y107" s="4" t="str">
        <f>HYPERLINK("http://141.218.60.56/~jnz1568/getInfo.php?workbook=10_01.xlsx&amp;sheet=A0&amp;row=107&amp;col=25&amp;number=&amp;sourceID=30","")</f>
        <v/>
      </c>
      <c r="Z107" s="4" t="str">
        <f>HYPERLINK("http://141.218.60.56/~jnz1568/getInfo.php?workbook=10_01.xlsx&amp;sheet=A0&amp;row=107&amp;col=26&amp;number=&amp;sourceID=13","")</f>
        <v/>
      </c>
      <c r="AA107" s="4" t="str">
        <f>HYPERLINK("http://141.218.60.56/~jnz1568/getInfo.php?workbook=10_01.xlsx&amp;sheet=A0&amp;row=107&amp;col=27&amp;number=&amp;sourceID=13","")</f>
        <v/>
      </c>
      <c r="AB107" s="4" t="str">
        <f>HYPERLINK("http://141.218.60.56/~jnz1568/getInfo.php?workbook=10_01.xlsx&amp;sheet=A0&amp;row=107&amp;col=28&amp;number=&amp;sourceID=13","")</f>
        <v/>
      </c>
      <c r="AC107" s="4" t="str">
        <f>HYPERLINK("http://141.218.60.56/~jnz1568/getInfo.php?workbook=10_01.xlsx&amp;sheet=A0&amp;row=107&amp;col=29&amp;number=&amp;sourceID=13","")</f>
        <v/>
      </c>
      <c r="AD107" s="4" t="str">
        <f>HYPERLINK("http://141.218.60.56/~jnz1568/getInfo.php?workbook=10_01.xlsx&amp;sheet=A0&amp;row=107&amp;col=30&amp;number=&amp;sourceID=13","")</f>
        <v/>
      </c>
      <c r="AE107" s="4" t="str">
        <f>HYPERLINK("http://141.218.60.56/~jnz1568/getInfo.php?workbook=10_01.xlsx&amp;sheet=A0&amp;row=107&amp;col=31&amp;number=&amp;sourceID=13","")</f>
        <v/>
      </c>
      <c r="AF107" s="4" t="str">
        <f>HYPERLINK("http://141.218.60.56/~jnz1568/getInfo.php?workbook=10_01.xlsx&amp;sheet=A0&amp;row=107&amp;col=32&amp;number=&amp;sourceID=20","")</f>
        <v/>
      </c>
    </row>
    <row r="108" spans="1:32">
      <c r="A108" s="3">
        <v>10</v>
      </c>
      <c r="B108" s="3">
        <v>1</v>
      </c>
      <c r="C108" s="3">
        <v>16</v>
      </c>
      <c r="D108" s="3">
        <v>6</v>
      </c>
      <c r="E108" s="3">
        <f>((1/(INDEX(E0!J$4:J$28,C108,1)-INDEX(E0!J$4:J$28,D108,1))))*100000000</f>
        <v>0</v>
      </c>
      <c r="F108" s="4" t="str">
        <f>HYPERLINK("http://141.218.60.56/~jnz1568/getInfo.php?workbook=10_01.xlsx&amp;sheet=A0&amp;row=108&amp;col=6&amp;number=&amp;sourceID=18","")</f>
        <v/>
      </c>
      <c r="G108" s="4" t="str">
        <f>HYPERLINK("http://141.218.60.56/~jnz1568/getInfo.php?workbook=10_01.xlsx&amp;sheet=A0&amp;row=108&amp;col=7&amp;number==&amp;sourceID=11","=")</f>
        <v>=</v>
      </c>
      <c r="H108" s="4" t="str">
        <f>HYPERLINK("http://141.218.60.56/~jnz1568/getInfo.php?workbook=10_01.xlsx&amp;sheet=A0&amp;row=108&amp;col=8&amp;number=&amp;sourceID=11","")</f>
        <v/>
      </c>
      <c r="I108" s="4" t="str">
        <f>HYPERLINK("http://141.218.60.56/~jnz1568/getInfo.php?workbook=10_01.xlsx&amp;sheet=A0&amp;row=108&amp;col=9&amp;number=&amp;sourceID=11","")</f>
        <v/>
      </c>
      <c r="J108" s="4" t="str">
        <f>HYPERLINK("http://141.218.60.56/~jnz1568/getInfo.php?workbook=10_01.xlsx&amp;sheet=A0&amp;row=108&amp;col=10&amp;number=113.43&amp;sourceID=11","113.43")</f>
        <v>113.43</v>
      </c>
      <c r="K108" s="4" t="str">
        <f>HYPERLINK("http://141.218.60.56/~jnz1568/getInfo.php?workbook=10_01.xlsx&amp;sheet=A0&amp;row=108&amp;col=11&amp;number=&amp;sourceID=11","")</f>
        <v/>
      </c>
      <c r="L108" s="4" t="str">
        <f>HYPERLINK("http://141.218.60.56/~jnz1568/getInfo.php?workbook=10_01.xlsx&amp;sheet=A0&amp;row=108&amp;col=12&amp;number=&amp;sourceID=11","")</f>
        <v/>
      </c>
      <c r="M108" s="4" t="str">
        <f>HYPERLINK("http://141.218.60.56/~jnz1568/getInfo.php?workbook=10_01.xlsx&amp;sheet=A0&amp;row=108&amp;col=13&amp;number=&amp;sourceID=11","")</f>
        <v/>
      </c>
      <c r="N108" s="4" t="str">
        <f>HYPERLINK("http://141.218.60.56/~jnz1568/getInfo.php?workbook=10_01.xlsx&amp;sheet=A0&amp;row=108&amp;col=14&amp;number=113.43&amp;sourceID=12","113.43")</f>
        <v>113.43</v>
      </c>
      <c r="O108" s="4" t="str">
        <f>HYPERLINK("http://141.218.60.56/~jnz1568/getInfo.php?workbook=10_01.xlsx&amp;sheet=A0&amp;row=108&amp;col=15&amp;number=&amp;sourceID=12","")</f>
        <v/>
      </c>
      <c r="P108" s="4" t="str">
        <f>HYPERLINK("http://141.218.60.56/~jnz1568/getInfo.php?workbook=10_01.xlsx&amp;sheet=A0&amp;row=108&amp;col=16&amp;number=&amp;sourceID=12","")</f>
        <v/>
      </c>
      <c r="Q108" s="4" t="str">
        <f>HYPERLINK("http://141.218.60.56/~jnz1568/getInfo.php?workbook=10_01.xlsx&amp;sheet=A0&amp;row=108&amp;col=17&amp;number=113.43&amp;sourceID=12","113.43")</f>
        <v>113.43</v>
      </c>
      <c r="R108" s="4" t="str">
        <f>HYPERLINK("http://141.218.60.56/~jnz1568/getInfo.php?workbook=10_01.xlsx&amp;sheet=A0&amp;row=108&amp;col=18&amp;number=&amp;sourceID=12","")</f>
        <v/>
      </c>
      <c r="S108" s="4" t="str">
        <f>HYPERLINK("http://141.218.60.56/~jnz1568/getInfo.php?workbook=10_01.xlsx&amp;sheet=A0&amp;row=108&amp;col=19&amp;number=&amp;sourceID=12","")</f>
        <v/>
      </c>
      <c r="T108" s="4" t="str">
        <f>HYPERLINK("http://141.218.60.56/~jnz1568/getInfo.php?workbook=10_01.xlsx&amp;sheet=A0&amp;row=108&amp;col=20&amp;number=&amp;sourceID=12","")</f>
        <v/>
      </c>
      <c r="U108" s="4" t="str">
        <f>HYPERLINK("http://141.218.60.56/~jnz1568/getInfo.php?workbook=10_01.xlsx&amp;sheet=A0&amp;row=108&amp;col=21&amp;number=&amp;sourceID=30","")</f>
        <v/>
      </c>
      <c r="V108" s="4" t="str">
        <f>HYPERLINK("http://141.218.60.56/~jnz1568/getInfo.php?workbook=10_01.xlsx&amp;sheet=A0&amp;row=108&amp;col=22&amp;number=&amp;sourceID=30","")</f>
        <v/>
      </c>
      <c r="W108" s="4" t="str">
        <f>HYPERLINK("http://141.218.60.56/~jnz1568/getInfo.php?workbook=10_01.xlsx&amp;sheet=A0&amp;row=108&amp;col=23&amp;number=&amp;sourceID=30","")</f>
        <v/>
      </c>
      <c r="X108" s="4" t="str">
        <f>HYPERLINK("http://141.218.60.56/~jnz1568/getInfo.php?workbook=10_01.xlsx&amp;sheet=A0&amp;row=108&amp;col=24&amp;number=&amp;sourceID=30","")</f>
        <v/>
      </c>
      <c r="Y108" s="4" t="str">
        <f>HYPERLINK("http://141.218.60.56/~jnz1568/getInfo.php?workbook=10_01.xlsx&amp;sheet=A0&amp;row=108&amp;col=25&amp;number=&amp;sourceID=30","")</f>
        <v/>
      </c>
      <c r="Z108" s="4" t="str">
        <f>HYPERLINK("http://141.218.60.56/~jnz1568/getInfo.php?workbook=10_01.xlsx&amp;sheet=A0&amp;row=108&amp;col=26&amp;number==SUM(AA108:AE108)&amp;sourceID=13","=SUM(AA108:AE108)")</f>
        <v>=SUM(AA108:AE108)</v>
      </c>
      <c r="AA108" s="4" t="str">
        <f>HYPERLINK("http://141.218.60.56/~jnz1568/getInfo.php?workbook=10_01.xlsx&amp;sheet=A0&amp;row=108&amp;col=27&amp;number=&amp;sourceID=13","")</f>
        <v/>
      </c>
      <c r="AB108" s="4" t="str">
        <f>HYPERLINK("http://141.218.60.56/~jnz1568/getInfo.php?workbook=10_01.xlsx&amp;sheet=A0&amp;row=108&amp;col=28&amp;number=&amp;sourceID=13","")</f>
        <v/>
      </c>
      <c r="AC108" s="4" t="str">
        <f>HYPERLINK("http://141.218.60.56/~jnz1568/getInfo.php?workbook=10_01.xlsx&amp;sheet=A0&amp;row=108&amp;col=29&amp;number=113&amp;sourceID=13","113")</f>
        <v>113</v>
      </c>
      <c r="AD108" s="4" t="str">
        <f>HYPERLINK("http://141.218.60.56/~jnz1568/getInfo.php?workbook=10_01.xlsx&amp;sheet=A0&amp;row=108&amp;col=30&amp;number=&amp;sourceID=13","")</f>
        <v/>
      </c>
      <c r="AE108" s="4" t="str">
        <f>HYPERLINK("http://141.218.60.56/~jnz1568/getInfo.php?workbook=10_01.xlsx&amp;sheet=A0&amp;row=108&amp;col=31&amp;number=&amp;sourceID=13","")</f>
        <v/>
      </c>
      <c r="AF108" s="4" t="str">
        <f>HYPERLINK("http://141.218.60.56/~jnz1568/getInfo.php?workbook=10_01.xlsx&amp;sheet=A0&amp;row=108&amp;col=32&amp;number=&amp;sourceID=20","")</f>
        <v/>
      </c>
    </row>
    <row r="109" spans="1:32">
      <c r="A109" s="3">
        <v>10</v>
      </c>
      <c r="B109" s="3">
        <v>1</v>
      </c>
      <c r="C109" s="3">
        <v>16</v>
      </c>
      <c r="D109" s="3">
        <v>7</v>
      </c>
      <c r="E109" s="3">
        <f>((1/(INDEX(E0!J$4:J$28,C109,1)-INDEX(E0!J$4:J$28,D109,1))))*100000000</f>
        <v>0</v>
      </c>
      <c r="F109" s="4" t="str">
        <f>HYPERLINK("http://141.218.60.56/~jnz1568/getInfo.php?workbook=10_01.xlsx&amp;sheet=A0&amp;row=109&amp;col=6&amp;number=&amp;sourceID=18","")</f>
        <v/>
      </c>
      <c r="G109" s="4" t="str">
        <f>HYPERLINK("http://141.218.60.56/~jnz1568/getInfo.php?workbook=10_01.xlsx&amp;sheet=A0&amp;row=109&amp;col=7&amp;number==&amp;sourceID=11","=")</f>
        <v>=</v>
      </c>
      <c r="H109" s="4" t="str">
        <f>HYPERLINK("http://141.218.60.56/~jnz1568/getInfo.php?workbook=10_01.xlsx&amp;sheet=A0&amp;row=109&amp;col=8&amp;number=&amp;sourceID=11","")</f>
        <v/>
      </c>
      <c r="I109" s="4" t="str">
        <f>HYPERLINK("http://141.218.60.56/~jnz1568/getInfo.php?workbook=10_01.xlsx&amp;sheet=A0&amp;row=109&amp;col=9&amp;number=&amp;sourceID=11","")</f>
        <v/>
      </c>
      <c r="J109" s="4" t="str">
        <f>HYPERLINK("http://141.218.60.56/~jnz1568/getInfo.php?workbook=10_01.xlsx&amp;sheet=A0&amp;row=109&amp;col=10&amp;number=13.515&amp;sourceID=11","13.515")</f>
        <v>13.515</v>
      </c>
      <c r="K109" s="4" t="str">
        <f>HYPERLINK("http://141.218.60.56/~jnz1568/getInfo.php?workbook=10_01.xlsx&amp;sheet=A0&amp;row=109&amp;col=11&amp;number=&amp;sourceID=11","")</f>
        <v/>
      </c>
      <c r="L109" s="4" t="str">
        <f>HYPERLINK("http://141.218.60.56/~jnz1568/getInfo.php?workbook=10_01.xlsx&amp;sheet=A0&amp;row=109&amp;col=12&amp;number=123.55&amp;sourceID=11","123.55")</f>
        <v>123.55</v>
      </c>
      <c r="M109" s="4" t="str">
        <f>HYPERLINK("http://141.218.60.56/~jnz1568/getInfo.php?workbook=10_01.xlsx&amp;sheet=A0&amp;row=109&amp;col=13&amp;number=&amp;sourceID=11","")</f>
        <v/>
      </c>
      <c r="N109" s="4" t="str">
        <f>HYPERLINK("http://141.218.60.56/~jnz1568/getInfo.php?workbook=10_01.xlsx&amp;sheet=A0&amp;row=109&amp;col=14&amp;number=137.06&amp;sourceID=12","137.06")</f>
        <v>137.06</v>
      </c>
      <c r="O109" s="4" t="str">
        <f>HYPERLINK("http://141.218.60.56/~jnz1568/getInfo.php?workbook=10_01.xlsx&amp;sheet=A0&amp;row=109&amp;col=15&amp;number=&amp;sourceID=12","")</f>
        <v/>
      </c>
      <c r="P109" s="4" t="str">
        <f>HYPERLINK("http://141.218.60.56/~jnz1568/getInfo.php?workbook=10_01.xlsx&amp;sheet=A0&amp;row=109&amp;col=16&amp;number=&amp;sourceID=12","")</f>
        <v/>
      </c>
      <c r="Q109" s="4" t="str">
        <f>HYPERLINK("http://141.218.60.56/~jnz1568/getInfo.php?workbook=10_01.xlsx&amp;sheet=A0&amp;row=109&amp;col=17&amp;number=13.515&amp;sourceID=12","13.515")</f>
        <v>13.515</v>
      </c>
      <c r="R109" s="4" t="str">
        <f>HYPERLINK("http://141.218.60.56/~jnz1568/getInfo.php?workbook=10_01.xlsx&amp;sheet=A0&amp;row=109&amp;col=18&amp;number=&amp;sourceID=12","")</f>
        <v/>
      </c>
      <c r="S109" s="4" t="str">
        <f>HYPERLINK("http://141.218.60.56/~jnz1568/getInfo.php?workbook=10_01.xlsx&amp;sheet=A0&amp;row=109&amp;col=19&amp;number=123.55&amp;sourceID=12","123.55")</f>
        <v>123.55</v>
      </c>
      <c r="T109" s="4" t="str">
        <f>HYPERLINK("http://141.218.60.56/~jnz1568/getInfo.php?workbook=10_01.xlsx&amp;sheet=A0&amp;row=109&amp;col=20&amp;number=&amp;sourceID=12","")</f>
        <v/>
      </c>
      <c r="U109" s="4" t="str">
        <f>HYPERLINK("http://141.218.60.56/~jnz1568/getInfo.php?workbook=10_01.xlsx&amp;sheet=A0&amp;row=109&amp;col=21&amp;number=123.6&amp;sourceID=30","123.6")</f>
        <v>123.6</v>
      </c>
      <c r="V109" s="4" t="str">
        <f>HYPERLINK("http://141.218.60.56/~jnz1568/getInfo.php?workbook=10_01.xlsx&amp;sheet=A0&amp;row=109&amp;col=22&amp;number=&amp;sourceID=30","")</f>
        <v/>
      </c>
      <c r="W109" s="4" t="str">
        <f>HYPERLINK("http://141.218.60.56/~jnz1568/getInfo.php?workbook=10_01.xlsx&amp;sheet=A0&amp;row=109&amp;col=23&amp;number=&amp;sourceID=30","")</f>
        <v/>
      </c>
      <c r="X109" s="4" t="str">
        <f>HYPERLINK("http://141.218.60.56/~jnz1568/getInfo.php?workbook=10_01.xlsx&amp;sheet=A0&amp;row=109&amp;col=24&amp;number=&amp;sourceID=30","")</f>
        <v/>
      </c>
      <c r="Y109" s="4" t="str">
        <f>HYPERLINK("http://141.218.60.56/~jnz1568/getInfo.php?workbook=10_01.xlsx&amp;sheet=A0&amp;row=109&amp;col=25&amp;number=123.6&amp;sourceID=30","123.6")</f>
        <v>123.6</v>
      </c>
      <c r="Z109" s="4" t="str">
        <f>HYPERLINK("http://141.218.60.56/~jnz1568/getInfo.php?workbook=10_01.xlsx&amp;sheet=A0&amp;row=109&amp;col=26&amp;number==SUM(AA109:AE109)&amp;sourceID=13","=SUM(AA109:AE109)")</f>
        <v>=SUM(AA109:AE109)</v>
      </c>
      <c r="AA109" s="4" t="str">
        <f>HYPERLINK("http://141.218.60.56/~jnz1568/getInfo.php?workbook=10_01.xlsx&amp;sheet=A0&amp;row=109&amp;col=27&amp;number=&amp;sourceID=13","")</f>
        <v/>
      </c>
      <c r="AB109" s="4" t="str">
        <f>HYPERLINK("http://141.218.60.56/~jnz1568/getInfo.php?workbook=10_01.xlsx&amp;sheet=A0&amp;row=109&amp;col=28&amp;number=&amp;sourceID=13","")</f>
        <v/>
      </c>
      <c r="AC109" s="4" t="str">
        <f>HYPERLINK("http://141.218.60.56/~jnz1568/getInfo.php?workbook=10_01.xlsx&amp;sheet=A0&amp;row=109&amp;col=29&amp;number=30.4&amp;sourceID=13","30.4")</f>
        <v>30.4</v>
      </c>
      <c r="AD109" s="4" t="str">
        <f>HYPERLINK("http://141.218.60.56/~jnz1568/getInfo.php?workbook=10_01.xlsx&amp;sheet=A0&amp;row=109&amp;col=30&amp;number=&amp;sourceID=13","")</f>
        <v/>
      </c>
      <c r="AE109" s="4" t="str">
        <f>HYPERLINK("http://141.218.60.56/~jnz1568/getInfo.php?workbook=10_01.xlsx&amp;sheet=A0&amp;row=109&amp;col=31&amp;number=494&amp;sourceID=13","494")</f>
        <v>494</v>
      </c>
      <c r="AF109" s="4" t="str">
        <f>HYPERLINK("http://141.218.60.56/~jnz1568/getInfo.php?workbook=10_01.xlsx&amp;sheet=A0&amp;row=109&amp;col=32&amp;number=&amp;sourceID=20","")</f>
        <v/>
      </c>
    </row>
    <row r="110" spans="1:32">
      <c r="A110" s="3">
        <v>10</v>
      </c>
      <c r="B110" s="3">
        <v>1</v>
      </c>
      <c r="C110" s="3">
        <v>16</v>
      </c>
      <c r="D110" s="3">
        <v>8</v>
      </c>
      <c r="E110" s="3">
        <f>((1/(INDEX(E0!J$4:J$28,C110,1)-INDEX(E0!J$4:J$28,D110,1))))*100000000</f>
        <v>0</v>
      </c>
      <c r="F110" s="4" t="str">
        <f>HYPERLINK("http://141.218.60.56/~jnz1568/getInfo.php?workbook=10_01.xlsx&amp;sheet=A0&amp;row=110&amp;col=6&amp;number=&amp;sourceID=18","")</f>
        <v/>
      </c>
      <c r="G110" s="4" t="str">
        <f>HYPERLINK("http://141.218.60.56/~jnz1568/getInfo.php?workbook=10_01.xlsx&amp;sheet=A0&amp;row=110&amp;col=7&amp;number==&amp;sourceID=11","=")</f>
        <v>=</v>
      </c>
      <c r="H110" s="4" t="str">
        <f>HYPERLINK("http://141.218.60.56/~jnz1568/getInfo.php?workbook=10_01.xlsx&amp;sheet=A0&amp;row=110&amp;col=8&amp;number=&amp;sourceID=11","")</f>
        <v/>
      </c>
      <c r="I110" s="4" t="str">
        <f>HYPERLINK("http://141.218.60.56/~jnz1568/getInfo.php?workbook=10_01.xlsx&amp;sheet=A0&amp;row=110&amp;col=9&amp;number=5800500&amp;sourceID=11","5800500")</f>
        <v>5800500</v>
      </c>
      <c r="J110" s="4" t="str">
        <f>HYPERLINK("http://141.218.60.56/~jnz1568/getInfo.php?workbook=10_01.xlsx&amp;sheet=A0&amp;row=110&amp;col=10&amp;number=&amp;sourceID=11","")</f>
        <v/>
      </c>
      <c r="K110" s="4" t="str">
        <f>HYPERLINK("http://141.218.60.56/~jnz1568/getInfo.php?workbook=10_01.xlsx&amp;sheet=A0&amp;row=110&amp;col=11&amp;number=&amp;sourceID=11","")</f>
        <v/>
      </c>
      <c r="L110" s="4" t="str">
        <f>HYPERLINK("http://141.218.60.56/~jnz1568/getInfo.php?workbook=10_01.xlsx&amp;sheet=A0&amp;row=110&amp;col=12&amp;number=&amp;sourceID=11","")</f>
        <v/>
      </c>
      <c r="M110" s="4" t="str">
        <f>HYPERLINK("http://141.218.60.56/~jnz1568/getInfo.php?workbook=10_01.xlsx&amp;sheet=A0&amp;row=110&amp;col=13&amp;number=0.020859&amp;sourceID=11","0.020859")</f>
        <v>0.020859</v>
      </c>
      <c r="N110" s="4" t="str">
        <f>HYPERLINK("http://141.218.60.56/~jnz1568/getInfo.php?workbook=10_01.xlsx&amp;sheet=A0&amp;row=110&amp;col=14&amp;number=5800700&amp;sourceID=12","5800700")</f>
        <v>5800700</v>
      </c>
      <c r="O110" s="4" t="str">
        <f>HYPERLINK("http://141.218.60.56/~jnz1568/getInfo.php?workbook=10_01.xlsx&amp;sheet=A0&amp;row=110&amp;col=15&amp;number=&amp;sourceID=12","")</f>
        <v/>
      </c>
      <c r="P110" s="4" t="str">
        <f>HYPERLINK("http://141.218.60.56/~jnz1568/getInfo.php?workbook=10_01.xlsx&amp;sheet=A0&amp;row=110&amp;col=16&amp;number=5800700&amp;sourceID=12","5800700")</f>
        <v>5800700</v>
      </c>
      <c r="Q110" s="4" t="str">
        <f>HYPERLINK("http://141.218.60.56/~jnz1568/getInfo.php?workbook=10_01.xlsx&amp;sheet=A0&amp;row=110&amp;col=17&amp;number=&amp;sourceID=12","")</f>
        <v/>
      </c>
      <c r="R110" s="4" t="str">
        <f>HYPERLINK("http://141.218.60.56/~jnz1568/getInfo.php?workbook=10_01.xlsx&amp;sheet=A0&amp;row=110&amp;col=18&amp;number=&amp;sourceID=12","")</f>
        <v/>
      </c>
      <c r="S110" s="4" t="str">
        <f>HYPERLINK("http://141.218.60.56/~jnz1568/getInfo.php?workbook=10_01.xlsx&amp;sheet=A0&amp;row=110&amp;col=19&amp;number=&amp;sourceID=12","")</f>
        <v/>
      </c>
      <c r="T110" s="4" t="str">
        <f>HYPERLINK("http://141.218.60.56/~jnz1568/getInfo.php?workbook=10_01.xlsx&amp;sheet=A0&amp;row=110&amp;col=20&amp;number=0.020859&amp;sourceID=12","0.020859")</f>
        <v>0.020859</v>
      </c>
      <c r="U110" s="4" t="str">
        <f>HYPERLINK("http://141.218.60.56/~jnz1568/getInfo.php?workbook=10_01.xlsx&amp;sheet=A0&amp;row=110&amp;col=21&amp;number=5801000&amp;sourceID=30","5801000")</f>
        <v>5801000</v>
      </c>
      <c r="V110" s="4" t="str">
        <f>HYPERLINK("http://141.218.60.56/~jnz1568/getInfo.php?workbook=10_01.xlsx&amp;sheet=A0&amp;row=110&amp;col=22&amp;number=&amp;sourceID=30","")</f>
        <v/>
      </c>
      <c r="W110" s="4" t="str">
        <f>HYPERLINK("http://141.218.60.56/~jnz1568/getInfo.php?workbook=10_01.xlsx&amp;sheet=A0&amp;row=110&amp;col=23&amp;number=5801000&amp;sourceID=30","5801000")</f>
        <v>5801000</v>
      </c>
      <c r="X110" s="4" t="str">
        <f>HYPERLINK("http://141.218.60.56/~jnz1568/getInfo.php?workbook=10_01.xlsx&amp;sheet=A0&amp;row=110&amp;col=24&amp;number=&amp;sourceID=30","")</f>
        <v/>
      </c>
      <c r="Y110" s="4" t="str">
        <f>HYPERLINK("http://141.218.60.56/~jnz1568/getInfo.php?workbook=10_01.xlsx&amp;sheet=A0&amp;row=110&amp;col=25&amp;number=&amp;sourceID=30","")</f>
        <v/>
      </c>
      <c r="Z110" s="4" t="str">
        <f>HYPERLINK("http://141.218.60.56/~jnz1568/getInfo.php?workbook=10_01.xlsx&amp;sheet=A0&amp;row=110&amp;col=26&amp;number==SUM(AA110:AE110)&amp;sourceID=13","=SUM(AA110:AE110)")</f>
        <v>=SUM(AA110:AE110)</v>
      </c>
      <c r="AA110" s="4" t="str">
        <f>HYPERLINK("http://141.218.60.56/~jnz1568/getInfo.php?workbook=10_01.xlsx&amp;sheet=A0&amp;row=110&amp;col=27&amp;number=&amp;sourceID=13","")</f>
        <v/>
      </c>
      <c r="AB110" s="4" t="str">
        <f>HYPERLINK("http://141.218.60.56/~jnz1568/getInfo.php?workbook=10_01.xlsx&amp;sheet=A0&amp;row=110&amp;col=28&amp;number=5800000&amp;sourceID=13","5800000")</f>
        <v>5800000</v>
      </c>
      <c r="AC110" s="4" t="str">
        <f>HYPERLINK("http://141.218.60.56/~jnz1568/getInfo.php?workbook=10_01.xlsx&amp;sheet=A0&amp;row=110&amp;col=29&amp;number=&amp;sourceID=13","")</f>
        <v/>
      </c>
      <c r="AD110" s="4" t="str">
        <f>HYPERLINK("http://141.218.60.56/~jnz1568/getInfo.php?workbook=10_01.xlsx&amp;sheet=A0&amp;row=110&amp;col=30&amp;number=&amp;sourceID=13","")</f>
        <v/>
      </c>
      <c r="AE110" s="4" t="str">
        <f>HYPERLINK("http://141.218.60.56/~jnz1568/getInfo.php?workbook=10_01.xlsx&amp;sheet=A0&amp;row=110&amp;col=31&amp;number=&amp;sourceID=13","")</f>
        <v/>
      </c>
      <c r="AF110" s="4" t="str">
        <f>HYPERLINK("http://141.218.60.56/~jnz1568/getInfo.php?workbook=10_01.xlsx&amp;sheet=A0&amp;row=110&amp;col=32&amp;number=&amp;sourceID=20","")</f>
        <v/>
      </c>
    </row>
    <row r="111" spans="1:32">
      <c r="A111" s="3">
        <v>10</v>
      </c>
      <c r="B111" s="3">
        <v>1</v>
      </c>
      <c r="C111" s="3">
        <v>16</v>
      </c>
      <c r="D111" s="3">
        <v>9</v>
      </c>
      <c r="E111" s="3">
        <f>((1/(INDEX(E0!J$4:J$28,C111,1)-INDEX(E0!J$4:J$28,D111,1))))*100000000</f>
        <v>0</v>
      </c>
      <c r="F111" s="4" t="str">
        <f>HYPERLINK("http://141.218.60.56/~jnz1568/getInfo.php?workbook=10_01.xlsx&amp;sheet=A0&amp;row=111&amp;col=6&amp;number=&amp;sourceID=18","")</f>
        <v/>
      </c>
      <c r="G111" s="4" t="str">
        <f>HYPERLINK("http://141.218.60.56/~jnz1568/getInfo.php?workbook=10_01.xlsx&amp;sheet=A0&amp;row=111&amp;col=7&amp;number==&amp;sourceID=11","=")</f>
        <v>=</v>
      </c>
      <c r="H111" s="4" t="str">
        <f>HYPERLINK("http://141.218.60.56/~jnz1568/getInfo.php?workbook=10_01.xlsx&amp;sheet=A0&amp;row=111&amp;col=8&amp;number=137940000000&amp;sourceID=11","137940000000")</f>
        <v>137940000000</v>
      </c>
      <c r="I111" s="4" t="str">
        <f>HYPERLINK("http://141.218.60.56/~jnz1568/getInfo.php?workbook=10_01.xlsx&amp;sheet=A0&amp;row=111&amp;col=9&amp;number=&amp;sourceID=11","")</f>
        <v/>
      </c>
      <c r="J111" s="4" t="str">
        <f>HYPERLINK("http://141.218.60.56/~jnz1568/getInfo.php?workbook=10_01.xlsx&amp;sheet=A0&amp;row=111&amp;col=10&amp;number=40.437&amp;sourceID=11","40.437")</f>
        <v>40.437</v>
      </c>
      <c r="K111" s="4" t="str">
        <f>HYPERLINK("http://141.218.60.56/~jnz1568/getInfo.php?workbook=10_01.xlsx&amp;sheet=A0&amp;row=111&amp;col=11&amp;number=&amp;sourceID=11","")</f>
        <v/>
      </c>
      <c r="L111" s="4" t="str">
        <f>HYPERLINK("http://141.218.60.56/~jnz1568/getInfo.php?workbook=10_01.xlsx&amp;sheet=A0&amp;row=111&amp;col=12&amp;number=849.43&amp;sourceID=11","849.43")</f>
        <v>849.43</v>
      </c>
      <c r="M111" s="4" t="str">
        <f>HYPERLINK("http://141.218.60.56/~jnz1568/getInfo.php?workbook=10_01.xlsx&amp;sheet=A0&amp;row=111&amp;col=13&amp;number=&amp;sourceID=11","")</f>
        <v/>
      </c>
      <c r="N111" s="4" t="str">
        <f>HYPERLINK("http://141.218.60.56/~jnz1568/getInfo.php?workbook=10_01.xlsx&amp;sheet=A0&amp;row=111&amp;col=14&amp;number=137940000000&amp;sourceID=12","137940000000")</f>
        <v>137940000000</v>
      </c>
      <c r="O111" s="4" t="str">
        <f>HYPERLINK("http://141.218.60.56/~jnz1568/getInfo.php?workbook=10_01.xlsx&amp;sheet=A0&amp;row=111&amp;col=15&amp;number=137940000000&amp;sourceID=12","137940000000")</f>
        <v>137940000000</v>
      </c>
      <c r="P111" s="4" t="str">
        <f>HYPERLINK("http://141.218.60.56/~jnz1568/getInfo.php?workbook=10_01.xlsx&amp;sheet=A0&amp;row=111&amp;col=16&amp;number=&amp;sourceID=12","")</f>
        <v/>
      </c>
      <c r="Q111" s="4" t="str">
        <f>HYPERLINK("http://141.218.60.56/~jnz1568/getInfo.php?workbook=10_01.xlsx&amp;sheet=A0&amp;row=111&amp;col=17&amp;number=40.438&amp;sourceID=12","40.438")</f>
        <v>40.438</v>
      </c>
      <c r="R111" s="4" t="str">
        <f>HYPERLINK("http://141.218.60.56/~jnz1568/getInfo.php?workbook=10_01.xlsx&amp;sheet=A0&amp;row=111&amp;col=18&amp;number=&amp;sourceID=12","")</f>
        <v/>
      </c>
      <c r="S111" s="4" t="str">
        <f>HYPERLINK("http://141.218.60.56/~jnz1568/getInfo.php?workbook=10_01.xlsx&amp;sheet=A0&amp;row=111&amp;col=19&amp;number=849.45&amp;sourceID=12","849.45")</f>
        <v>849.45</v>
      </c>
      <c r="T111" s="4" t="str">
        <f>HYPERLINK("http://141.218.60.56/~jnz1568/getInfo.php?workbook=10_01.xlsx&amp;sheet=A0&amp;row=111&amp;col=20&amp;number=&amp;sourceID=12","")</f>
        <v/>
      </c>
      <c r="U111" s="4" t="str">
        <f>HYPERLINK("http://141.218.60.56/~jnz1568/getInfo.php?workbook=10_01.xlsx&amp;sheet=A0&amp;row=111&amp;col=21&amp;number=1.3790000085e+11&amp;sourceID=30","1.3790000085e+11")</f>
        <v>1.3790000085e+11</v>
      </c>
      <c r="V111" s="4" t="str">
        <f>HYPERLINK("http://141.218.60.56/~jnz1568/getInfo.php?workbook=10_01.xlsx&amp;sheet=A0&amp;row=111&amp;col=22&amp;number=137900000000&amp;sourceID=30","137900000000")</f>
        <v>137900000000</v>
      </c>
      <c r="W111" s="4" t="str">
        <f>HYPERLINK("http://141.218.60.56/~jnz1568/getInfo.php?workbook=10_01.xlsx&amp;sheet=A0&amp;row=111&amp;col=23&amp;number=&amp;sourceID=30","")</f>
        <v/>
      </c>
      <c r="X111" s="4" t="str">
        <f>HYPERLINK("http://141.218.60.56/~jnz1568/getInfo.php?workbook=10_01.xlsx&amp;sheet=A0&amp;row=111&amp;col=24&amp;number=&amp;sourceID=30","")</f>
        <v/>
      </c>
      <c r="Y111" s="4" t="str">
        <f>HYPERLINK("http://141.218.60.56/~jnz1568/getInfo.php?workbook=10_01.xlsx&amp;sheet=A0&amp;row=111&amp;col=25&amp;number=849.5&amp;sourceID=30","849.5")</f>
        <v>849.5</v>
      </c>
      <c r="Z111" s="4" t="str">
        <f>HYPERLINK("http://141.218.60.56/~jnz1568/getInfo.php?workbook=10_01.xlsx&amp;sheet=A0&amp;row=111&amp;col=26&amp;number==SUM(AA111:AE111)&amp;sourceID=13","=SUM(AA111:AE111)")</f>
        <v>=SUM(AA111:AE111)</v>
      </c>
      <c r="AA111" s="4" t="str">
        <f>HYPERLINK("http://141.218.60.56/~jnz1568/getInfo.php?workbook=10_01.xlsx&amp;sheet=A0&amp;row=111&amp;col=27&amp;number=138000000000&amp;sourceID=13","138000000000")</f>
        <v>138000000000</v>
      </c>
      <c r="AB111" s="4" t="str">
        <f>HYPERLINK("http://141.218.60.56/~jnz1568/getInfo.php?workbook=10_01.xlsx&amp;sheet=A0&amp;row=111&amp;col=28&amp;number=&amp;sourceID=13","")</f>
        <v/>
      </c>
      <c r="AC111" s="4" t="str">
        <f>HYPERLINK("http://141.218.60.56/~jnz1568/getInfo.php?workbook=10_01.xlsx&amp;sheet=A0&amp;row=111&amp;col=29&amp;number=&amp;sourceID=13","")</f>
        <v/>
      </c>
      <c r="AD111" s="4" t="str">
        <f>HYPERLINK("http://141.218.60.56/~jnz1568/getInfo.php?workbook=10_01.xlsx&amp;sheet=A0&amp;row=111&amp;col=30&amp;number=&amp;sourceID=13","")</f>
        <v/>
      </c>
      <c r="AE111" s="4" t="str">
        <f>HYPERLINK("http://141.218.60.56/~jnz1568/getInfo.php?workbook=10_01.xlsx&amp;sheet=A0&amp;row=111&amp;col=31&amp;number=&amp;sourceID=13","")</f>
        <v/>
      </c>
      <c r="AF111" s="4" t="str">
        <f>HYPERLINK("http://141.218.60.56/~jnz1568/getInfo.php?workbook=10_01.xlsx&amp;sheet=A0&amp;row=111&amp;col=32&amp;number=&amp;sourceID=20","")</f>
        <v/>
      </c>
    </row>
    <row r="112" spans="1:32">
      <c r="A112" s="3">
        <v>10</v>
      </c>
      <c r="B112" s="3">
        <v>1</v>
      </c>
      <c r="C112" s="3">
        <v>16</v>
      </c>
      <c r="D112" s="3">
        <v>10</v>
      </c>
      <c r="E112" s="3">
        <f>((1/(INDEX(E0!J$4:J$28,C112,1)-INDEX(E0!J$4:J$28,D112,1))))*100000000</f>
        <v>0</v>
      </c>
      <c r="F112" s="4" t="str">
        <f>HYPERLINK("http://141.218.60.56/~jnz1568/getInfo.php?workbook=10_01.xlsx&amp;sheet=A0&amp;row=112&amp;col=6&amp;number=&amp;sourceID=18","")</f>
        <v/>
      </c>
      <c r="G112" s="4" t="str">
        <f>HYPERLINK("http://141.218.60.56/~jnz1568/getInfo.php?workbook=10_01.xlsx&amp;sheet=A0&amp;row=112&amp;col=7&amp;number==&amp;sourceID=11","=")</f>
        <v>=</v>
      </c>
      <c r="H112" s="4" t="str">
        <f>HYPERLINK("http://141.218.60.56/~jnz1568/getInfo.php?workbook=10_01.xlsx&amp;sheet=A0&amp;row=112&amp;col=8&amp;number=&amp;sourceID=11","")</f>
        <v/>
      </c>
      <c r="I112" s="4" t="str">
        <f>HYPERLINK("http://141.218.60.56/~jnz1568/getInfo.php?workbook=10_01.xlsx&amp;sheet=A0&amp;row=112&amp;col=9&amp;number=&amp;sourceID=11","")</f>
        <v/>
      </c>
      <c r="J112" s="4" t="str">
        <f>HYPERLINK("http://141.218.60.56/~jnz1568/getInfo.php?workbook=10_01.xlsx&amp;sheet=A0&amp;row=112&amp;col=10&amp;number=&amp;sourceID=11","")</f>
        <v/>
      </c>
      <c r="K112" s="4" t="str">
        <f>HYPERLINK("http://141.218.60.56/~jnz1568/getInfo.php?workbook=10_01.xlsx&amp;sheet=A0&amp;row=112&amp;col=11&amp;number=&amp;sourceID=11","")</f>
        <v/>
      </c>
      <c r="L112" s="4" t="str">
        <f>HYPERLINK("http://141.218.60.56/~jnz1568/getInfo.php?workbook=10_01.xlsx&amp;sheet=A0&amp;row=112&amp;col=12&amp;number=&amp;sourceID=11","")</f>
        <v/>
      </c>
      <c r="M112" s="4" t="str">
        <f>HYPERLINK("http://141.218.60.56/~jnz1568/getInfo.php?workbook=10_01.xlsx&amp;sheet=A0&amp;row=112&amp;col=13&amp;number=0&amp;sourceID=11","0")</f>
        <v>0</v>
      </c>
      <c r="N112" s="4" t="str">
        <f>HYPERLINK("http://141.218.60.56/~jnz1568/getInfo.php?workbook=10_01.xlsx&amp;sheet=A0&amp;row=112&amp;col=14&amp;number=0&amp;sourceID=12","0")</f>
        <v>0</v>
      </c>
      <c r="O112" s="4" t="str">
        <f>HYPERLINK("http://141.218.60.56/~jnz1568/getInfo.php?workbook=10_01.xlsx&amp;sheet=A0&amp;row=112&amp;col=15&amp;number=&amp;sourceID=12","")</f>
        <v/>
      </c>
      <c r="P112" s="4" t="str">
        <f>HYPERLINK("http://141.218.60.56/~jnz1568/getInfo.php?workbook=10_01.xlsx&amp;sheet=A0&amp;row=112&amp;col=16&amp;number=&amp;sourceID=12","")</f>
        <v/>
      </c>
      <c r="Q112" s="4" t="str">
        <f>HYPERLINK("http://141.218.60.56/~jnz1568/getInfo.php?workbook=10_01.xlsx&amp;sheet=A0&amp;row=112&amp;col=17&amp;number=&amp;sourceID=12","")</f>
        <v/>
      </c>
      <c r="R112" s="4" t="str">
        <f>HYPERLINK("http://141.218.60.56/~jnz1568/getInfo.php?workbook=10_01.xlsx&amp;sheet=A0&amp;row=112&amp;col=18&amp;number=&amp;sourceID=12","")</f>
        <v/>
      </c>
      <c r="S112" s="4" t="str">
        <f>HYPERLINK("http://141.218.60.56/~jnz1568/getInfo.php?workbook=10_01.xlsx&amp;sheet=A0&amp;row=112&amp;col=19&amp;number=&amp;sourceID=12","")</f>
        <v/>
      </c>
      <c r="T112" s="4" t="str">
        <f>HYPERLINK("http://141.218.60.56/~jnz1568/getInfo.php?workbook=10_01.xlsx&amp;sheet=A0&amp;row=112&amp;col=20&amp;number=0&amp;sourceID=12","0")</f>
        <v>0</v>
      </c>
      <c r="U112" s="4" t="str">
        <f>HYPERLINK("http://141.218.60.56/~jnz1568/getInfo.php?workbook=10_01.xlsx&amp;sheet=A0&amp;row=112&amp;col=21&amp;number=&amp;sourceID=30","")</f>
        <v/>
      </c>
      <c r="V112" s="4" t="str">
        <f>HYPERLINK("http://141.218.60.56/~jnz1568/getInfo.php?workbook=10_01.xlsx&amp;sheet=A0&amp;row=112&amp;col=22&amp;number=&amp;sourceID=30","")</f>
        <v/>
      </c>
      <c r="W112" s="4" t="str">
        <f>HYPERLINK("http://141.218.60.56/~jnz1568/getInfo.php?workbook=10_01.xlsx&amp;sheet=A0&amp;row=112&amp;col=23&amp;number=&amp;sourceID=30","")</f>
        <v/>
      </c>
      <c r="X112" s="4" t="str">
        <f>HYPERLINK("http://141.218.60.56/~jnz1568/getInfo.php?workbook=10_01.xlsx&amp;sheet=A0&amp;row=112&amp;col=24&amp;number=&amp;sourceID=30","")</f>
        <v/>
      </c>
      <c r="Y112" s="4" t="str">
        <f>HYPERLINK("http://141.218.60.56/~jnz1568/getInfo.php?workbook=10_01.xlsx&amp;sheet=A0&amp;row=112&amp;col=25&amp;number=&amp;sourceID=30","")</f>
        <v/>
      </c>
      <c r="Z112" s="4" t="str">
        <f>HYPERLINK("http://141.218.60.56/~jnz1568/getInfo.php?workbook=10_01.xlsx&amp;sheet=A0&amp;row=112&amp;col=26&amp;number=&amp;sourceID=13","")</f>
        <v/>
      </c>
      <c r="AA112" s="4" t="str">
        <f>HYPERLINK("http://141.218.60.56/~jnz1568/getInfo.php?workbook=10_01.xlsx&amp;sheet=A0&amp;row=112&amp;col=27&amp;number=&amp;sourceID=13","")</f>
        <v/>
      </c>
      <c r="AB112" s="4" t="str">
        <f>HYPERLINK("http://141.218.60.56/~jnz1568/getInfo.php?workbook=10_01.xlsx&amp;sheet=A0&amp;row=112&amp;col=28&amp;number=&amp;sourceID=13","")</f>
        <v/>
      </c>
      <c r="AC112" s="4" t="str">
        <f>HYPERLINK("http://141.218.60.56/~jnz1568/getInfo.php?workbook=10_01.xlsx&amp;sheet=A0&amp;row=112&amp;col=29&amp;number=&amp;sourceID=13","")</f>
        <v/>
      </c>
      <c r="AD112" s="4" t="str">
        <f>HYPERLINK("http://141.218.60.56/~jnz1568/getInfo.php?workbook=10_01.xlsx&amp;sheet=A0&amp;row=112&amp;col=30&amp;number=&amp;sourceID=13","")</f>
        <v/>
      </c>
      <c r="AE112" s="4" t="str">
        <f>HYPERLINK("http://141.218.60.56/~jnz1568/getInfo.php?workbook=10_01.xlsx&amp;sheet=A0&amp;row=112&amp;col=31&amp;number=&amp;sourceID=13","")</f>
        <v/>
      </c>
      <c r="AF112" s="4" t="str">
        <f>HYPERLINK("http://141.218.60.56/~jnz1568/getInfo.php?workbook=10_01.xlsx&amp;sheet=A0&amp;row=112&amp;col=32&amp;number=&amp;sourceID=20","")</f>
        <v/>
      </c>
    </row>
    <row r="113" spans="1:32">
      <c r="A113" s="3">
        <v>10</v>
      </c>
      <c r="B113" s="3">
        <v>1</v>
      </c>
      <c r="C113" s="3">
        <v>16</v>
      </c>
      <c r="D113" s="3">
        <v>11</v>
      </c>
      <c r="E113" s="3">
        <f>((1/(INDEX(E0!J$4:J$28,C113,1)-INDEX(E0!J$4:J$28,D113,1))))*100000000</f>
        <v>0</v>
      </c>
      <c r="F113" s="4" t="str">
        <f>HYPERLINK("http://141.218.60.56/~jnz1568/getInfo.php?workbook=10_01.xlsx&amp;sheet=A0&amp;row=113&amp;col=6&amp;number=&amp;sourceID=18","")</f>
        <v/>
      </c>
      <c r="G113" s="4" t="str">
        <f>HYPERLINK("http://141.218.60.56/~jnz1568/getInfo.php?workbook=10_01.xlsx&amp;sheet=A0&amp;row=113&amp;col=7&amp;number==&amp;sourceID=11","=")</f>
        <v>=</v>
      </c>
      <c r="H113" s="4" t="str">
        <f>HYPERLINK("http://141.218.60.56/~jnz1568/getInfo.php?workbook=10_01.xlsx&amp;sheet=A0&amp;row=113&amp;col=8&amp;number=&amp;sourceID=11","")</f>
        <v/>
      </c>
      <c r="I113" s="4" t="str">
        <f>HYPERLINK("http://141.218.60.56/~jnz1568/getInfo.php?workbook=10_01.xlsx&amp;sheet=A0&amp;row=113&amp;col=9&amp;number=&amp;sourceID=11","")</f>
        <v/>
      </c>
      <c r="J113" s="4" t="str">
        <f>HYPERLINK("http://141.218.60.56/~jnz1568/getInfo.php?workbook=10_01.xlsx&amp;sheet=A0&amp;row=113&amp;col=10&amp;number=0&amp;sourceID=11","0")</f>
        <v>0</v>
      </c>
      <c r="K113" s="4" t="str">
        <f>HYPERLINK("http://141.218.60.56/~jnz1568/getInfo.php?workbook=10_01.xlsx&amp;sheet=A0&amp;row=113&amp;col=11&amp;number=&amp;sourceID=11","")</f>
        <v/>
      </c>
      <c r="L113" s="4" t="str">
        <f>HYPERLINK("http://141.218.60.56/~jnz1568/getInfo.php?workbook=10_01.xlsx&amp;sheet=A0&amp;row=113&amp;col=12&amp;number=&amp;sourceID=11","")</f>
        <v/>
      </c>
      <c r="M113" s="4" t="str">
        <f>HYPERLINK("http://141.218.60.56/~jnz1568/getInfo.php?workbook=10_01.xlsx&amp;sheet=A0&amp;row=113&amp;col=13&amp;number=&amp;sourceID=11","")</f>
        <v/>
      </c>
      <c r="N113" s="4" t="str">
        <f>HYPERLINK("http://141.218.60.56/~jnz1568/getInfo.php?workbook=10_01.xlsx&amp;sheet=A0&amp;row=113&amp;col=14&amp;number=0&amp;sourceID=12","0")</f>
        <v>0</v>
      </c>
      <c r="O113" s="4" t="str">
        <f>HYPERLINK("http://141.218.60.56/~jnz1568/getInfo.php?workbook=10_01.xlsx&amp;sheet=A0&amp;row=113&amp;col=15&amp;number=&amp;sourceID=12","")</f>
        <v/>
      </c>
      <c r="P113" s="4" t="str">
        <f>HYPERLINK("http://141.218.60.56/~jnz1568/getInfo.php?workbook=10_01.xlsx&amp;sheet=A0&amp;row=113&amp;col=16&amp;number=&amp;sourceID=12","")</f>
        <v/>
      </c>
      <c r="Q113" s="4" t="str">
        <f>HYPERLINK("http://141.218.60.56/~jnz1568/getInfo.php?workbook=10_01.xlsx&amp;sheet=A0&amp;row=113&amp;col=17&amp;number=0&amp;sourceID=12","0")</f>
        <v>0</v>
      </c>
      <c r="R113" s="4" t="str">
        <f>HYPERLINK("http://141.218.60.56/~jnz1568/getInfo.php?workbook=10_01.xlsx&amp;sheet=A0&amp;row=113&amp;col=18&amp;number=&amp;sourceID=12","")</f>
        <v/>
      </c>
      <c r="S113" s="4" t="str">
        <f>HYPERLINK("http://141.218.60.56/~jnz1568/getInfo.php?workbook=10_01.xlsx&amp;sheet=A0&amp;row=113&amp;col=19&amp;number=&amp;sourceID=12","")</f>
        <v/>
      </c>
      <c r="T113" s="4" t="str">
        <f>HYPERLINK("http://141.218.60.56/~jnz1568/getInfo.php?workbook=10_01.xlsx&amp;sheet=A0&amp;row=113&amp;col=20&amp;number=&amp;sourceID=12","")</f>
        <v/>
      </c>
      <c r="U113" s="4" t="str">
        <f>HYPERLINK("http://141.218.60.56/~jnz1568/getInfo.php?workbook=10_01.xlsx&amp;sheet=A0&amp;row=113&amp;col=21&amp;number=&amp;sourceID=30","")</f>
        <v/>
      </c>
      <c r="V113" s="4" t="str">
        <f>HYPERLINK("http://141.218.60.56/~jnz1568/getInfo.php?workbook=10_01.xlsx&amp;sheet=A0&amp;row=113&amp;col=22&amp;number=&amp;sourceID=30","")</f>
        <v/>
      </c>
      <c r="W113" s="4" t="str">
        <f>HYPERLINK("http://141.218.60.56/~jnz1568/getInfo.php?workbook=10_01.xlsx&amp;sheet=A0&amp;row=113&amp;col=23&amp;number=&amp;sourceID=30","")</f>
        <v/>
      </c>
      <c r="X113" s="4" t="str">
        <f>HYPERLINK("http://141.218.60.56/~jnz1568/getInfo.php?workbook=10_01.xlsx&amp;sheet=A0&amp;row=113&amp;col=24&amp;number=&amp;sourceID=30","")</f>
        <v/>
      </c>
      <c r="Y113" s="4" t="str">
        <f>HYPERLINK("http://141.218.60.56/~jnz1568/getInfo.php?workbook=10_01.xlsx&amp;sheet=A0&amp;row=113&amp;col=25&amp;number=&amp;sourceID=30","")</f>
        <v/>
      </c>
      <c r="Z113" s="4" t="str">
        <f>HYPERLINK("http://141.218.60.56/~jnz1568/getInfo.php?workbook=10_01.xlsx&amp;sheet=A0&amp;row=113&amp;col=26&amp;number=&amp;sourceID=13","")</f>
        <v/>
      </c>
      <c r="AA113" s="4" t="str">
        <f>HYPERLINK("http://141.218.60.56/~jnz1568/getInfo.php?workbook=10_01.xlsx&amp;sheet=A0&amp;row=113&amp;col=27&amp;number=&amp;sourceID=13","")</f>
        <v/>
      </c>
      <c r="AB113" s="4" t="str">
        <f>HYPERLINK("http://141.218.60.56/~jnz1568/getInfo.php?workbook=10_01.xlsx&amp;sheet=A0&amp;row=113&amp;col=28&amp;number=&amp;sourceID=13","")</f>
        <v/>
      </c>
      <c r="AC113" s="4" t="str">
        <f>HYPERLINK("http://141.218.60.56/~jnz1568/getInfo.php?workbook=10_01.xlsx&amp;sheet=A0&amp;row=113&amp;col=29&amp;number=&amp;sourceID=13","")</f>
        <v/>
      </c>
      <c r="AD113" s="4" t="str">
        <f>HYPERLINK("http://141.218.60.56/~jnz1568/getInfo.php?workbook=10_01.xlsx&amp;sheet=A0&amp;row=113&amp;col=30&amp;number=&amp;sourceID=13","")</f>
        <v/>
      </c>
      <c r="AE113" s="4" t="str">
        <f>HYPERLINK("http://141.218.60.56/~jnz1568/getInfo.php?workbook=10_01.xlsx&amp;sheet=A0&amp;row=113&amp;col=31&amp;number=&amp;sourceID=13","")</f>
        <v/>
      </c>
      <c r="AF113" s="4" t="str">
        <f>HYPERLINK("http://141.218.60.56/~jnz1568/getInfo.php?workbook=10_01.xlsx&amp;sheet=A0&amp;row=113&amp;col=32&amp;number=&amp;sourceID=20","")</f>
        <v/>
      </c>
    </row>
    <row r="114" spans="1:32">
      <c r="A114" s="3">
        <v>10</v>
      </c>
      <c r="B114" s="3">
        <v>1</v>
      </c>
      <c r="C114" s="3">
        <v>16</v>
      </c>
      <c r="D114" s="3">
        <v>12</v>
      </c>
      <c r="E114" s="3">
        <f>((1/(INDEX(E0!J$4:J$28,C114,1)-INDEX(E0!J$4:J$28,D114,1))))*100000000</f>
        <v>0</v>
      </c>
      <c r="F114" s="4" t="str">
        <f>HYPERLINK("http://141.218.60.56/~jnz1568/getInfo.php?workbook=10_01.xlsx&amp;sheet=A0&amp;row=114&amp;col=6&amp;number=&amp;sourceID=18","")</f>
        <v/>
      </c>
      <c r="G114" s="4" t="str">
        <f>HYPERLINK("http://141.218.60.56/~jnz1568/getInfo.php?workbook=10_01.xlsx&amp;sheet=A0&amp;row=114&amp;col=7&amp;number==&amp;sourceID=11","=")</f>
        <v>=</v>
      </c>
      <c r="H114" s="4" t="str">
        <f>HYPERLINK("http://141.218.60.56/~jnz1568/getInfo.php?workbook=10_01.xlsx&amp;sheet=A0&amp;row=114&amp;col=8&amp;number=&amp;sourceID=11","")</f>
        <v/>
      </c>
      <c r="I114" s="4" t="str">
        <f>HYPERLINK("http://141.218.60.56/~jnz1568/getInfo.php?workbook=10_01.xlsx&amp;sheet=A0&amp;row=114&amp;col=9&amp;number=&amp;sourceID=11","")</f>
        <v/>
      </c>
      <c r="J114" s="4" t="str">
        <f>HYPERLINK("http://141.218.60.56/~jnz1568/getInfo.php?workbook=10_01.xlsx&amp;sheet=A0&amp;row=114&amp;col=10&amp;number=0&amp;sourceID=11","0")</f>
        <v>0</v>
      </c>
      <c r="K114" s="4" t="str">
        <f>HYPERLINK("http://141.218.60.56/~jnz1568/getInfo.php?workbook=10_01.xlsx&amp;sheet=A0&amp;row=114&amp;col=11&amp;number=&amp;sourceID=11","")</f>
        <v/>
      </c>
      <c r="L114" s="4" t="str">
        <f>HYPERLINK("http://141.218.60.56/~jnz1568/getInfo.php?workbook=10_01.xlsx&amp;sheet=A0&amp;row=114&amp;col=12&amp;number=4e-15&amp;sourceID=11","4e-15")</f>
        <v>4e-15</v>
      </c>
      <c r="M114" s="4" t="str">
        <f>HYPERLINK("http://141.218.60.56/~jnz1568/getInfo.php?workbook=10_01.xlsx&amp;sheet=A0&amp;row=114&amp;col=13&amp;number=&amp;sourceID=11","")</f>
        <v/>
      </c>
      <c r="N114" s="4" t="str">
        <f>HYPERLINK("http://141.218.60.56/~jnz1568/getInfo.php?workbook=10_01.xlsx&amp;sheet=A0&amp;row=114&amp;col=14&amp;number=4e-15&amp;sourceID=12","4e-15")</f>
        <v>4e-15</v>
      </c>
      <c r="O114" s="4" t="str">
        <f>HYPERLINK("http://141.218.60.56/~jnz1568/getInfo.php?workbook=10_01.xlsx&amp;sheet=A0&amp;row=114&amp;col=15&amp;number=&amp;sourceID=12","")</f>
        <v/>
      </c>
      <c r="P114" s="4" t="str">
        <f>HYPERLINK("http://141.218.60.56/~jnz1568/getInfo.php?workbook=10_01.xlsx&amp;sheet=A0&amp;row=114&amp;col=16&amp;number=&amp;sourceID=12","")</f>
        <v/>
      </c>
      <c r="Q114" s="4" t="str">
        <f>HYPERLINK("http://141.218.60.56/~jnz1568/getInfo.php?workbook=10_01.xlsx&amp;sheet=A0&amp;row=114&amp;col=17&amp;number=0&amp;sourceID=12","0")</f>
        <v>0</v>
      </c>
      <c r="R114" s="4" t="str">
        <f>HYPERLINK("http://141.218.60.56/~jnz1568/getInfo.php?workbook=10_01.xlsx&amp;sheet=A0&amp;row=114&amp;col=18&amp;number=&amp;sourceID=12","")</f>
        <v/>
      </c>
      <c r="S114" s="4" t="str">
        <f>HYPERLINK("http://141.218.60.56/~jnz1568/getInfo.php?workbook=10_01.xlsx&amp;sheet=A0&amp;row=114&amp;col=19&amp;number=4e-15&amp;sourceID=12","4e-15")</f>
        <v>4e-15</v>
      </c>
      <c r="T114" s="4" t="str">
        <f>HYPERLINK("http://141.218.60.56/~jnz1568/getInfo.php?workbook=10_01.xlsx&amp;sheet=A0&amp;row=114&amp;col=20&amp;number=&amp;sourceID=12","")</f>
        <v/>
      </c>
      <c r="U114" s="4" t="str">
        <f>HYPERLINK("http://141.218.60.56/~jnz1568/getInfo.php?workbook=10_01.xlsx&amp;sheet=A0&amp;row=114&amp;col=21&amp;number=4e-15&amp;sourceID=30","4e-15")</f>
        <v>4e-15</v>
      </c>
      <c r="V114" s="4" t="str">
        <f>HYPERLINK("http://141.218.60.56/~jnz1568/getInfo.php?workbook=10_01.xlsx&amp;sheet=A0&amp;row=114&amp;col=22&amp;number=&amp;sourceID=30","")</f>
        <v/>
      </c>
      <c r="W114" s="4" t="str">
        <f>HYPERLINK("http://141.218.60.56/~jnz1568/getInfo.php?workbook=10_01.xlsx&amp;sheet=A0&amp;row=114&amp;col=23&amp;number=&amp;sourceID=30","")</f>
        <v/>
      </c>
      <c r="X114" s="4" t="str">
        <f>HYPERLINK("http://141.218.60.56/~jnz1568/getInfo.php?workbook=10_01.xlsx&amp;sheet=A0&amp;row=114&amp;col=24&amp;number=&amp;sourceID=30","")</f>
        <v/>
      </c>
      <c r="Y114" s="4" t="str">
        <f>HYPERLINK("http://141.218.60.56/~jnz1568/getInfo.php?workbook=10_01.xlsx&amp;sheet=A0&amp;row=114&amp;col=25&amp;number=4e-15&amp;sourceID=30","4e-15")</f>
        <v>4e-15</v>
      </c>
      <c r="Z114" s="4" t="str">
        <f>HYPERLINK("http://141.218.60.56/~jnz1568/getInfo.php?workbook=10_01.xlsx&amp;sheet=A0&amp;row=114&amp;col=26&amp;number=&amp;sourceID=13","")</f>
        <v/>
      </c>
      <c r="AA114" s="4" t="str">
        <f>HYPERLINK("http://141.218.60.56/~jnz1568/getInfo.php?workbook=10_01.xlsx&amp;sheet=A0&amp;row=114&amp;col=27&amp;number=&amp;sourceID=13","")</f>
        <v/>
      </c>
      <c r="AB114" s="4" t="str">
        <f>HYPERLINK("http://141.218.60.56/~jnz1568/getInfo.php?workbook=10_01.xlsx&amp;sheet=A0&amp;row=114&amp;col=28&amp;number=&amp;sourceID=13","")</f>
        <v/>
      </c>
      <c r="AC114" s="4" t="str">
        <f>HYPERLINK("http://141.218.60.56/~jnz1568/getInfo.php?workbook=10_01.xlsx&amp;sheet=A0&amp;row=114&amp;col=29&amp;number=&amp;sourceID=13","")</f>
        <v/>
      </c>
      <c r="AD114" s="4" t="str">
        <f>HYPERLINK("http://141.218.60.56/~jnz1568/getInfo.php?workbook=10_01.xlsx&amp;sheet=A0&amp;row=114&amp;col=30&amp;number=&amp;sourceID=13","")</f>
        <v/>
      </c>
      <c r="AE114" s="4" t="str">
        <f>HYPERLINK("http://141.218.60.56/~jnz1568/getInfo.php?workbook=10_01.xlsx&amp;sheet=A0&amp;row=114&amp;col=31&amp;number=&amp;sourceID=13","")</f>
        <v/>
      </c>
      <c r="AF114" s="4" t="str">
        <f>HYPERLINK("http://141.218.60.56/~jnz1568/getInfo.php?workbook=10_01.xlsx&amp;sheet=A0&amp;row=114&amp;col=32&amp;number=&amp;sourceID=20","")</f>
        <v/>
      </c>
    </row>
    <row r="115" spans="1:32">
      <c r="A115" s="3">
        <v>10</v>
      </c>
      <c r="B115" s="3">
        <v>1</v>
      </c>
      <c r="C115" s="3">
        <v>16</v>
      </c>
      <c r="D115" s="3">
        <v>13</v>
      </c>
      <c r="E115" s="3">
        <f>((1/(INDEX(E0!J$4:J$28,C115,1)-INDEX(E0!J$4:J$28,D115,1))))*100000000</f>
        <v>0</v>
      </c>
      <c r="F115" s="4" t="str">
        <f>HYPERLINK("http://141.218.60.56/~jnz1568/getInfo.php?workbook=10_01.xlsx&amp;sheet=A0&amp;row=115&amp;col=6&amp;number=&amp;sourceID=18","")</f>
        <v/>
      </c>
      <c r="G115" s="4" t="str">
        <f>HYPERLINK("http://141.218.60.56/~jnz1568/getInfo.php?workbook=10_01.xlsx&amp;sheet=A0&amp;row=115&amp;col=7&amp;number==&amp;sourceID=11","=")</f>
        <v>=</v>
      </c>
      <c r="H115" s="4" t="str">
        <f>HYPERLINK("http://141.218.60.56/~jnz1568/getInfo.php?workbook=10_01.xlsx&amp;sheet=A0&amp;row=115&amp;col=8&amp;number=&amp;sourceID=11","")</f>
        <v/>
      </c>
      <c r="I115" s="4" t="str">
        <f>HYPERLINK("http://141.218.60.56/~jnz1568/getInfo.php?workbook=10_01.xlsx&amp;sheet=A0&amp;row=115&amp;col=9&amp;number=2.4079e-10&amp;sourceID=11","2.4079e-10")</f>
        <v>2.4079e-10</v>
      </c>
      <c r="J115" s="4" t="str">
        <f>HYPERLINK("http://141.218.60.56/~jnz1568/getInfo.php?workbook=10_01.xlsx&amp;sheet=A0&amp;row=115&amp;col=10&amp;number=&amp;sourceID=11","")</f>
        <v/>
      </c>
      <c r="K115" s="4" t="str">
        <f>HYPERLINK("http://141.218.60.56/~jnz1568/getInfo.php?workbook=10_01.xlsx&amp;sheet=A0&amp;row=115&amp;col=11&amp;number=&amp;sourceID=11","")</f>
        <v/>
      </c>
      <c r="L115" s="4" t="str">
        <f>HYPERLINK("http://141.218.60.56/~jnz1568/getInfo.php?workbook=10_01.xlsx&amp;sheet=A0&amp;row=115&amp;col=12&amp;number=&amp;sourceID=11","")</f>
        <v/>
      </c>
      <c r="M115" s="4" t="str">
        <f>HYPERLINK("http://141.218.60.56/~jnz1568/getInfo.php?workbook=10_01.xlsx&amp;sheet=A0&amp;row=115&amp;col=13&amp;number=0&amp;sourceID=11","0")</f>
        <v>0</v>
      </c>
      <c r="N115" s="4" t="str">
        <f>HYPERLINK("http://141.218.60.56/~jnz1568/getInfo.php?workbook=10_01.xlsx&amp;sheet=A0&amp;row=115&amp;col=14&amp;number=2.408e-10&amp;sourceID=12","2.408e-10")</f>
        <v>2.408e-10</v>
      </c>
      <c r="O115" s="4" t="str">
        <f>HYPERLINK("http://141.218.60.56/~jnz1568/getInfo.php?workbook=10_01.xlsx&amp;sheet=A0&amp;row=115&amp;col=15&amp;number=&amp;sourceID=12","")</f>
        <v/>
      </c>
      <c r="P115" s="4" t="str">
        <f>HYPERLINK("http://141.218.60.56/~jnz1568/getInfo.php?workbook=10_01.xlsx&amp;sheet=A0&amp;row=115&amp;col=16&amp;number=2.408e-10&amp;sourceID=12","2.408e-10")</f>
        <v>2.408e-10</v>
      </c>
      <c r="Q115" s="4" t="str">
        <f>HYPERLINK("http://141.218.60.56/~jnz1568/getInfo.php?workbook=10_01.xlsx&amp;sheet=A0&amp;row=115&amp;col=17&amp;number=&amp;sourceID=12","")</f>
        <v/>
      </c>
      <c r="R115" s="4" t="str">
        <f>HYPERLINK("http://141.218.60.56/~jnz1568/getInfo.php?workbook=10_01.xlsx&amp;sheet=A0&amp;row=115&amp;col=18&amp;number=&amp;sourceID=12","")</f>
        <v/>
      </c>
      <c r="S115" s="4" t="str">
        <f>HYPERLINK("http://141.218.60.56/~jnz1568/getInfo.php?workbook=10_01.xlsx&amp;sheet=A0&amp;row=115&amp;col=19&amp;number=&amp;sourceID=12","")</f>
        <v/>
      </c>
      <c r="T115" s="4" t="str">
        <f>HYPERLINK("http://141.218.60.56/~jnz1568/getInfo.php?workbook=10_01.xlsx&amp;sheet=A0&amp;row=115&amp;col=20&amp;number=0&amp;sourceID=12","0")</f>
        <v>0</v>
      </c>
      <c r="U115" s="4" t="str">
        <f>HYPERLINK("http://141.218.60.56/~jnz1568/getInfo.php?workbook=10_01.xlsx&amp;sheet=A0&amp;row=115&amp;col=21&amp;number=2.408e-10&amp;sourceID=30","2.408e-10")</f>
        <v>2.408e-10</v>
      </c>
      <c r="V115" s="4" t="str">
        <f>HYPERLINK("http://141.218.60.56/~jnz1568/getInfo.php?workbook=10_01.xlsx&amp;sheet=A0&amp;row=115&amp;col=22&amp;number=&amp;sourceID=30","")</f>
        <v/>
      </c>
      <c r="W115" s="4" t="str">
        <f>HYPERLINK("http://141.218.60.56/~jnz1568/getInfo.php?workbook=10_01.xlsx&amp;sheet=A0&amp;row=115&amp;col=23&amp;number=2.408e-10&amp;sourceID=30","2.408e-10")</f>
        <v>2.408e-10</v>
      </c>
      <c r="X115" s="4" t="str">
        <f>HYPERLINK("http://141.218.60.56/~jnz1568/getInfo.php?workbook=10_01.xlsx&amp;sheet=A0&amp;row=115&amp;col=24&amp;number=&amp;sourceID=30","")</f>
        <v/>
      </c>
      <c r="Y115" s="4" t="str">
        <f>HYPERLINK("http://141.218.60.56/~jnz1568/getInfo.php?workbook=10_01.xlsx&amp;sheet=A0&amp;row=115&amp;col=25&amp;number=&amp;sourceID=30","")</f>
        <v/>
      </c>
      <c r="Z115" s="4" t="str">
        <f>HYPERLINK("http://141.218.60.56/~jnz1568/getInfo.php?workbook=10_01.xlsx&amp;sheet=A0&amp;row=115&amp;col=26&amp;number=&amp;sourceID=13","")</f>
        <v/>
      </c>
      <c r="AA115" s="4" t="str">
        <f>HYPERLINK("http://141.218.60.56/~jnz1568/getInfo.php?workbook=10_01.xlsx&amp;sheet=A0&amp;row=115&amp;col=27&amp;number=&amp;sourceID=13","")</f>
        <v/>
      </c>
      <c r="AB115" s="4" t="str">
        <f>HYPERLINK("http://141.218.60.56/~jnz1568/getInfo.php?workbook=10_01.xlsx&amp;sheet=A0&amp;row=115&amp;col=28&amp;number=&amp;sourceID=13","")</f>
        <v/>
      </c>
      <c r="AC115" s="4" t="str">
        <f>HYPERLINK("http://141.218.60.56/~jnz1568/getInfo.php?workbook=10_01.xlsx&amp;sheet=A0&amp;row=115&amp;col=29&amp;number=&amp;sourceID=13","")</f>
        <v/>
      </c>
      <c r="AD115" s="4" t="str">
        <f>HYPERLINK("http://141.218.60.56/~jnz1568/getInfo.php?workbook=10_01.xlsx&amp;sheet=A0&amp;row=115&amp;col=30&amp;number=&amp;sourceID=13","")</f>
        <v/>
      </c>
      <c r="AE115" s="4" t="str">
        <f>HYPERLINK("http://141.218.60.56/~jnz1568/getInfo.php?workbook=10_01.xlsx&amp;sheet=A0&amp;row=115&amp;col=31&amp;number=&amp;sourceID=13","")</f>
        <v/>
      </c>
      <c r="AF115" s="4" t="str">
        <f>HYPERLINK("http://141.218.60.56/~jnz1568/getInfo.php?workbook=10_01.xlsx&amp;sheet=A0&amp;row=115&amp;col=32&amp;number=&amp;sourceID=20","")</f>
        <v/>
      </c>
    </row>
    <row r="116" spans="1:32">
      <c r="A116" s="3">
        <v>10</v>
      </c>
      <c r="B116" s="3">
        <v>1</v>
      </c>
      <c r="C116" s="3">
        <v>16</v>
      </c>
      <c r="D116" s="3">
        <v>14</v>
      </c>
      <c r="E116" s="3">
        <f>((1/(INDEX(E0!J$4:J$28,C116,1)-INDEX(E0!J$4:J$28,D116,1))))*100000000</f>
        <v>0</v>
      </c>
      <c r="F116" s="4" t="str">
        <f>HYPERLINK("http://141.218.60.56/~jnz1568/getInfo.php?workbook=10_01.xlsx&amp;sheet=A0&amp;row=116&amp;col=6&amp;number=&amp;sourceID=18","")</f>
        <v/>
      </c>
      <c r="G116" s="4" t="str">
        <f>HYPERLINK("http://141.218.60.56/~jnz1568/getInfo.php?workbook=10_01.xlsx&amp;sheet=A0&amp;row=116&amp;col=7&amp;number==&amp;sourceID=11","=")</f>
        <v>=</v>
      </c>
      <c r="H116" s="4" t="str">
        <f>HYPERLINK("http://141.218.60.56/~jnz1568/getInfo.php?workbook=10_01.xlsx&amp;sheet=A0&amp;row=116&amp;col=8&amp;number=&amp;sourceID=11","")</f>
        <v/>
      </c>
      <c r="I116" s="4" t="str">
        <f>HYPERLINK("http://141.218.60.56/~jnz1568/getInfo.php?workbook=10_01.xlsx&amp;sheet=A0&amp;row=116&amp;col=9&amp;number=1.06e-13&amp;sourceID=11","1.06e-13")</f>
        <v>1.06e-13</v>
      </c>
      <c r="J116" s="4" t="str">
        <f>HYPERLINK("http://141.218.60.56/~jnz1568/getInfo.php?workbook=10_01.xlsx&amp;sheet=A0&amp;row=116&amp;col=10&amp;number=&amp;sourceID=11","")</f>
        <v/>
      </c>
      <c r="K116" s="4" t="str">
        <f>HYPERLINK("http://141.218.60.56/~jnz1568/getInfo.php?workbook=10_01.xlsx&amp;sheet=A0&amp;row=116&amp;col=11&amp;number=5.098e-06&amp;sourceID=11","5.098e-06")</f>
        <v>5.098e-06</v>
      </c>
      <c r="L116" s="4" t="str">
        <f>HYPERLINK("http://141.218.60.56/~jnz1568/getInfo.php?workbook=10_01.xlsx&amp;sheet=A0&amp;row=116&amp;col=12&amp;number=&amp;sourceID=11","")</f>
        <v/>
      </c>
      <c r="M116" s="4" t="str">
        <f>HYPERLINK("http://141.218.60.56/~jnz1568/getInfo.php?workbook=10_01.xlsx&amp;sheet=A0&amp;row=116&amp;col=13&amp;number=0&amp;sourceID=11","0")</f>
        <v>0</v>
      </c>
      <c r="N116" s="4" t="str">
        <f>HYPERLINK("http://141.218.60.56/~jnz1568/getInfo.php?workbook=10_01.xlsx&amp;sheet=A0&amp;row=116&amp;col=14&amp;number=5.0982e-06&amp;sourceID=12","5.0982e-06")</f>
        <v>5.0982e-06</v>
      </c>
      <c r="O116" s="4" t="str">
        <f>HYPERLINK("http://141.218.60.56/~jnz1568/getInfo.php?workbook=10_01.xlsx&amp;sheet=A0&amp;row=116&amp;col=15&amp;number=&amp;sourceID=12","")</f>
        <v/>
      </c>
      <c r="P116" s="4" t="str">
        <f>HYPERLINK("http://141.218.60.56/~jnz1568/getInfo.php?workbook=10_01.xlsx&amp;sheet=A0&amp;row=116&amp;col=16&amp;number=1.06e-13&amp;sourceID=12","1.06e-13")</f>
        <v>1.06e-13</v>
      </c>
      <c r="Q116" s="4" t="str">
        <f>HYPERLINK("http://141.218.60.56/~jnz1568/getInfo.php?workbook=10_01.xlsx&amp;sheet=A0&amp;row=116&amp;col=17&amp;number=&amp;sourceID=12","")</f>
        <v/>
      </c>
      <c r="R116" s="4" t="str">
        <f>HYPERLINK("http://141.218.60.56/~jnz1568/getInfo.php?workbook=10_01.xlsx&amp;sheet=A0&amp;row=116&amp;col=18&amp;number=5.0982e-06&amp;sourceID=12","5.0982e-06")</f>
        <v>5.0982e-06</v>
      </c>
      <c r="S116" s="4" t="str">
        <f>HYPERLINK("http://141.218.60.56/~jnz1568/getInfo.php?workbook=10_01.xlsx&amp;sheet=A0&amp;row=116&amp;col=19&amp;number=&amp;sourceID=12","")</f>
        <v/>
      </c>
      <c r="T116" s="4" t="str">
        <f>HYPERLINK("http://141.218.60.56/~jnz1568/getInfo.php?workbook=10_01.xlsx&amp;sheet=A0&amp;row=116&amp;col=20&amp;number=0&amp;sourceID=12","0")</f>
        <v>0</v>
      </c>
      <c r="U116" s="4" t="str">
        <f>HYPERLINK("http://141.218.60.56/~jnz1568/getInfo.php?workbook=10_01.xlsx&amp;sheet=A0&amp;row=116&amp;col=21&amp;number=5.098000106e-06&amp;sourceID=30","5.098000106e-06")</f>
        <v>5.098000106e-06</v>
      </c>
      <c r="V116" s="4" t="str">
        <f>HYPERLINK("http://141.218.60.56/~jnz1568/getInfo.php?workbook=10_01.xlsx&amp;sheet=A0&amp;row=116&amp;col=22&amp;number=&amp;sourceID=30","")</f>
        <v/>
      </c>
      <c r="W116" s="4" t="str">
        <f>HYPERLINK("http://141.218.60.56/~jnz1568/getInfo.php?workbook=10_01.xlsx&amp;sheet=A0&amp;row=116&amp;col=23&amp;number=1.06e-13&amp;sourceID=30","1.06e-13")</f>
        <v>1.06e-13</v>
      </c>
      <c r="X116" s="4" t="str">
        <f>HYPERLINK("http://141.218.60.56/~jnz1568/getInfo.php?workbook=10_01.xlsx&amp;sheet=A0&amp;row=116&amp;col=24&amp;number=5.098e-06&amp;sourceID=30","5.098e-06")</f>
        <v>5.098e-06</v>
      </c>
      <c r="Y116" s="4" t="str">
        <f>HYPERLINK("http://141.218.60.56/~jnz1568/getInfo.php?workbook=10_01.xlsx&amp;sheet=A0&amp;row=116&amp;col=25&amp;number=&amp;sourceID=30","")</f>
        <v/>
      </c>
      <c r="Z116" s="4" t="str">
        <f>HYPERLINK("http://141.218.60.56/~jnz1568/getInfo.php?workbook=10_01.xlsx&amp;sheet=A0&amp;row=116&amp;col=26&amp;number=&amp;sourceID=13","")</f>
        <v/>
      </c>
      <c r="AA116" s="4" t="str">
        <f>HYPERLINK("http://141.218.60.56/~jnz1568/getInfo.php?workbook=10_01.xlsx&amp;sheet=A0&amp;row=116&amp;col=27&amp;number=&amp;sourceID=13","")</f>
        <v/>
      </c>
      <c r="AB116" s="4" t="str">
        <f>HYPERLINK("http://141.218.60.56/~jnz1568/getInfo.php?workbook=10_01.xlsx&amp;sheet=A0&amp;row=116&amp;col=28&amp;number=&amp;sourceID=13","")</f>
        <v/>
      </c>
      <c r="AC116" s="4" t="str">
        <f>HYPERLINK("http://141.218.60.56/~jnz1568/getInfo.php?workbook=10_01.xlsx&amp;sheet=A0&amp;row=116&amp;col=29&amp;number=&amp;sourceID=13","")</f>
        <v/>
      </c>
      <c r="AD116" s="4" t="str">
        <f>HYPERLINK("http://141.218.60.56/~jnz1568/getInfo.php?workbook=10_01.xlsx&amp;sheet=A0&amp;row=116&amp;col=30&amp;number=&amp;sourceID=13","")</f>
        <v/>
      </c>
      <c r="AE116" s="4" t="str">
        <f>HYPERLINK("http://141.218.60.56/~jnz1568/getInfo.php?workbook=10_01.xlsx&amp;sheet=A0&amp;row=116&amp;col=31&amp;number=&amp;sourceID=13","")</f>
        <v/>
      </c>
      <c r="AF116" s="4" t="str">
        <f>HYPERLINK("http://141.218.60.56/~jnz1568/getInfo.php?workbook=10_01.xlsx&amp;sheet=A0&amp;row=116&amp;col=32&amp;number=&amp;sourceID=20","")</f>
        <v/>
      </c>
    </row>
    <row r="117" spans="1:32">
      <c r="A117" s="3">
        <v>10</v>
      </c>
      <c r="B117" s="3">
        <v>1</v>
      </c>
      <c r="C117" s="3">
        <v>16</v>
      </c>
      <c r="D117" s="3">
        <v>15</v>
      </c>
      <c r="E117" s="3">
        <f>((1/(INDEX(E0!J$4:J$28,C117,1)-INDEX(E0!J$4:J$28,D117,1))))*100000000</f>
        <v>0</v>
      </c>
      <c r="F117" s="4" t="str">
        <f>HYPERLINK("http://141.218.60.56/~jnz1568/getInfo.php?workbook=10_01.xlsx&amp;sheet=A0&amp;row=117&amp;col=6&amp;number=&amp;sourceID=18","")</f>
        <v/>
      </c>
      <c r="G117" s="4" t="str">
        <f>HYPERLINK("http://141.218.60.56/~jnz1568/getInfo.php?workbook=10_01.xlsx&amp;sheet=A0&amp;row=117&amp;col=7&amp;number==&amp;sourceID=11","=")</f>
        <v>=</v>
      </c>
      <c r="H117" s="4" t="str">
        <f>HYPERLINK("http://141.218.60.56/~jnz1568/getInfo.php?workbook=10_01.xlsx&amp;sheet=A0&amp;row=117&amp;col=8&amp;number=0.96493&amp;sourceID=11","0.96493")</f>
        <v>0.96493</v>
      </c>
      <c r="I117" s="4" t="str">
        <f>HYPERLINK("http://141.218.60.56/~jnz1568/getInfo.php?workbook=10_01.xlsx&amp;sheet=A0&amp;row=117&amp;col=9&amp;number=&amp;sourceID=11","")</f>
        <v/>
      </c>
      <c r="J117" s="4" t="str">
        <f>HYPERLINK("http://141.218.60.56/~jnz1568/getInfo.php?workbook=10_01.xlsx&amp;sheet=A0&amp;row=117&amp;col=10&amp;number=0&amp;sourceID=11","0")</f>
        <v>0</v>
      </c>
      <c r="K117" s="4" t="str">
        <f>HYPERLINK("http://141.218.60.56/~jnz1568/getInfo.php?workbook=10_01.xlsx&amp;sheet=A0&amp;row=117&amp;col=11&amp;number=&amp;sourceID=11","")</f>
        <v/>
      </c>
      <c r="L117" s="4" t="str">
        <f>HYPERLINK("http://141.218.60.56/~jnz1568/getInfo.php?workbook=10_01.xlsx&amp;sheet=A0&amp;row=117&amp;col=12&amp;number=0&amp;sourceID=11","0")</f>
        <v>0</v>
      </c>
      <c r="M117" s="4" t="str">
        <f>HYPERLINK("http://141.218.60.56/~jnz1568/getInfo.php?workbook=10_01.xlsx&amp;sheet=A0&amp;row=117&amp;col=13&amp;number=&amp;sourceID=11","")</f>
        <v/>
      </c>
      <c r="N117" s="4" t="str">
        <f>HYPERLINK("http://141.218.60.56/~jnz1568/getInfo.php?workbook=10_01.xlsx&amp;sheet=A0&amp;row=117&amp;col=14&amp;number=0.96496&amp;sourceID=12","0.96496")</f>
        <v>0.96496</v>
      </c>
      <c r="O117" s="4" t="str">
        <f>HYPERLINK("http://141.218.60.56/~jnz1568/getInfo.php?workbook=10_01.xlsx&amp;sheet=A0&amp;row=117&amp;col=15&amp;number=0.96496&amp;sourceID=12","0.96496")</f>
        <v>0.96496</v>
      </c>
      <c r="P117" s="4" t="str">
        <f>HYPERLINK("http://141.218.60.56/~jnz1568/getInfo.php?workbook=10_01.xlsx&amp;sheet=A0&amp;row=117&amp;col=16&amp;number=&amp;sourceID=12","")</f>
        <v/>
      </c>
      <c r="Q117" s="4" t="str">
        <f>HYPERLINK("http://141.218.60.56/~jnz1568/getInfo.php?workbook=10_01.xlsx&amp;sheet=A0&amp;row=117&amp;col=17&amp;number=0&amp;sourceID=12","0")</f>
        <v>0</v>
      </c>
      <c r="R117" s="4" t="str">
        <f>HYPERLINK("http://141.218.60.56/~jnz1568/getInfo.php?workbook=10_01.xlsx&amp;sheet=A0&amp;row=117&amp;col=18&amp;number=&amp;sourceID=12","")</f>
        <v/>
      </c>
      <c r="S117" s="4" t="str">
        <f>HYPERLINK("http://141.218.60.56/~jnz1568/getInfo.php?workbook=10_01.xlsx&amp;sheet=A0&amp;row=117&amp;col=19&amp;number=0&amp;sourceID=12","0")</f>
        <v>0</v>
      </c>
      <c r="T117" s="4" t="str">
        <f>HYPERLINK("http://141.218.60.56/~jnz1568/getInfo.php?workbook=10_01.xlsx&amp;sheet=A0&amp;row=117&amp;col=20&amp;number=&amp;sourceID=12","")</f>
        <v/>
      </c>
      <c r="U117" s="4" t="str">
        <f>HYPERLINK("http://141.218.60.56/~jnz1568/getInfo.php?workbook=10_01.xlsx&amp;sheet=A0&amp;row=117&amp;col=21&amp;number=0.965&amp;sourceID=30","0.965")</f>
        <v>0.965</v>
      </c>
      <c r="V117" s="4" t="str">
        <f>HYPERLINK("http://141.218.60.56/~jnz1568/getInfo.php?workbook=10_01.xlsx&amp;sheet=A0&amp;row=117&amp;col=22&amp;number=0.965&amp;sourceID=30","0.965")</f>
        <v>0.965</v>
      </c>
      <c r="W117" s="4" t="str">
        <f>HYPERLINK("http://141.218.60.56/~jnz1568/getInfo.php?workbook=10_01.xlsx&amp;sheet=A0&amp;row=117&amp;col=23&amp;number=&amp;sourceID=30","")</f>
        <v/>
      </c>
      <c r="X117" s="4" t="str">
        <f>HYPERLINK("http://141.218.60.56/~jnz1568/getInfo.php?workbook=10_01.xlsx&amp;sheet=A0&amp;row=117&amp;col=24&amp;number=&amp;sourceID=30","")</f>
        <v/>
      </c>
      <c r="Y117" s="4" t="str">
        <f>HYPERLINK("http://141.218.60.56/~jnz1568/getInfo.php?workbook=10_01.xlsx&amp;sheet=A0&amp;row=117&amp;col=25&amp;number=0&amp;sourceID=30","0")</f>
        <v>0</v>
      </c>
      <c r="Z117" s="4" t="str">
        <f>HYPERLINK("http://141.218.60.56/~jnz1568/getInfo.php?workbook=10_01.xlsx&amp;sheet=A0&amp;row=117&amp;col=26&amp;number=&amp;sourceID=13","")</f>
        <v/>
      </c>
      <c r="AA117" s="4" t="str">
        <f>HYPERLINK("http://141.218.60.56/~jnz1568/getInfo.php?workbook=10_01.xlsx&amp;sheet=A0&amp;row=117&amp;col=27&amp;number=&amp;sourceID=13","")</f>
        <v/>
      </c>
      <c r="AB117" s="4" t="str">
        <f>HYPERLINK("http://141.218.60.56/~jnz1568/getInfo.php?workbook=10_01.xlsx&amp;sheet=A0&amp;row=117&amp;col=28&amp;number=&amp;sourceID=13","")</f>
        <v/>
      </c>
      <c r="AC117" s="4" t="str">
        <f>HYPERLINK("http://141.218.60.56/~jnz1568/getInfo.php?workbook=10_01.xlsx&amp;sheet=A0&amp;row=117&amp;col=29&amp;number=&amp;sourceID=13","")</f>
        <v/>
      </c>
      <c r="AD117" s="4" t="str">
        <f>HYPERLINK("http://141.218.60.56/~jnz1568/getInfo.php?workbook=10_01.xlsx&amp;sheet=A0&amp;row=117&amp;col=30&amp;number=&amp;sourceID=13","")</f>
        <v/>
      </c>
      <c r="AE117" s="4" t="str">
        <f>HYPERLINK("http://141.218.60.56/~jnz1568/getInfo.php?workbook=10_01.xlsx&amp;sheet=A0&amp;row=117&amp;col=31&amp;number=&amp;sourceID=13","")</f>
        <v/>
      </c>
      <c r="AF117" s="4" t="str">
        <f>HYPERLINK("http://141.218.60.56/~jnz1568/getInfo.php?workbook=10_01.xlsx&amp;sheet=A0&amp;row=117&amp;col=32&amp;number=&amp;sourceID=20","")</f>
        <v/>
      </c>
    </row>
    <row r="118" spans="1:32">
      <c r="A118" s="3">
        <v>10</v>
      </c>
      <c r="B118" s="3">
        <v>1</v>
      </c>
      <c r="C118" s="3">
        <v>17</v>
      </c>
      <c r="D118" s="3">
        <v>1</v>
      </c>
      <c r="E118" s="3">
        <f>((1/(INDEX(E0!J$4:J$28,C118,1)-INDEX(E0!J$4:J$28,D118,1))))*100000000</f>
        <v>0</v>
      </c>
      <c r="F118" s="4" t="str">
        <f>HYPERLINK("http://141.218.60.56/~jnz1568/getInfo.php?workbook=10_01.xlsx&amp;sheet=A0&amp;row=118&amp;col=6&amp;number=&amp;sourceID=18","")</f>
        <v/>
      </c>
      <c r="G118" s="4" t="str">
        <f>HYPERLINK("http://141.218.60.56/~jnz1568/getInfo.php?workbook=10_01.xlsx&amp;sheet=A0&amp;row=118&amp;col=7&amp;number==&amp;sourceID=11","=")</f>
        <v>=</v>
      </c>
      <c r="H118" s="4" t="str">
        <f>HYPERLINK("http://141.218.60.56/~jnz1568/getInfo.php?workbook=10_01.xlsx&amp;sheet=A0&amp;row=118&amp;col=8&amp;number=343260000000&amp;sourceID=11","343260000000")</f>
        <v>343260000000</v>
      </c>
      <c r="I118" s="4" t="str">
        <f>HYPERLINK("http://141.218.60.56/~jnz1568/getInfo.php?workbook=10_01.xlsx&amp;sheet=A0&amp;row=118&amp;col=9&amp;number=&amp;sourceID=11","")</f>
        <v/>
      </c>
      <c r="J118" s="4" t="str">
        <f>HYPERLINK("http://141.218.60.56/~jnz1568/getInfo.php?workbook=10_01.xlsx&amp;sheet=A0&amp;row=118&amp;col=10&amp;number=&amp;sourceID=11","")</f>
        <v/>
      </c>
      <c r="K118" s="4" t="str">
        <f>HYPERLINK("http://141.218.60.56/~jnz1568/getInfo.php?workbook=10_01.xlsx&amp;sheet=A0&amp;row=118&amp;col=11&amp;number=&amp;sourceID=11","")</f>
        <v/>
      </c>
      <c r="L118" s="4" t="str">
        <f>HYPERLINK("http://141.218.60.56/~jnz1568/getInfo.php?workbook=10_01.xlsx&amp;sheet=A0&amp;row=118&amp;col=12&amp;number=&amp;sourceID=11","")</f>
        <v/>
      </c>
      <c r="M118" s="4" t="str">
        <f>HYPERLINK("http://141.218.60.56/~jnz1568/getInfo.php?workbook=10_01.xlsx&amp;sheet=A0&amp;row=118&amp;col=13&amp;number=&amp;sourceID=11","")</f>
        <v/>
      </c>
      <c r="N118" s="4" t="str">
        <f>HYPERLINK("http://141.218.60.56/~jnz1568/getInfo.php?workbook=10_01.xlsx&amp;sheet=A0&amp;row=118&amp;col=14&amp;number=343270000000&amp;sourceID=12","343270000000")</f>
        <v>343270000000</v>
      </c>
      <c r="O118" s="4" t="str">
        <f>HYPERLINK("http://141.218.60.56/~jnz1568/getInfo.php?workbook=10_01.xlsx&amp;sheet=A0&amp;row=118&amp;col=15&amp;number=343270000000&amp;sourceID=12","343270000000")</f>
        <v>343270000000</v>
      </c>
      <c r="P118" s="4" t="str">
        <f>HYPERLINK("http://141.218.60.56/~jnz1568/getInfo.php?workbook=10_01.xlsx&amp;sheet=A0&amp;row=118&amp;col=16&amp;number=&amp;sourceID=12","")</f>
        <v/>
      </c>
      <c r="Q118" s="4" t="str">
        <f>HYPERLINK("http://141.218.60.56/~jnz1568/getInfo.php?workbook=10_01.xlsx&amp;sheet=A0&amp;row=118&amp;col=17&amp;number=&amp;sourceID=12","")</f>
        <v/>
      </c>
      <c r="R118" s="4" t="str">
        <f>HYPERLINK("http://141.218.60.56/~jnz1568/getInfo.php?workbook=10_01.xlsx&amp;sheet=A0&amp;row=118&amp;col=18&amp;number=&amp;sourceID=12","")</f>
        <v/>
      </c>
      <c r="S118" s="4" t="str">
        <f>HYPERLINK("http://141.218.60.56/~jnz1568/getInfo.php?workbook=10_01.xlsx&amp;sheet=A0&amp;row=118&amp;col=19&amp;number=&amp;sourceID=12","")</f>
        <v/>
      </c>
      <c r="T118" s="4" t="str">
        <f>HYPERLINK("http://141.218.60.56/~jnz1568/getInfo.php?workbook=10_01.xlsx&amp;sheet=A0&amp;row=118&amp;col=20&amp;number=&amp;sourceID=12","")</f>
        <v/>
      </c>
      <c r="U118" s="4" t="str">
        <f>HYPERLINK("http://141.218.60.56/~jnz1568/getInfo.php?workbook=10_01.xlsx&amp;sheet=A0&amp;row=118&amp;col=21&amp;number=343300000000&amp;sourceID=30","343300000000")</f>
        <v>343300000000</v>
      </c>
      <c r="V118" s="4" t="str">
        <f>HYPERLINK("http://141.218.60.56/~jnz1568/getInfo.php?workbook=10_01.xlsx&amp;sheet=A0&amp;row=118&amp;col=22&amp;number=343300000000&amp;sourceID=30","343300000000")</f>
        <v>343300000000</v>
      </c>
      <c r="W118" s="4" t="str">
        <f>HYPERLINK("http://141.218.60.56/~jnz1568/getInfo.php?workbook=10_01.xlsx&amp;sheet=A0&amp;row=118&amp;col=23&amp;number=&amp;sourceID=30","")</f>
        <v/>
      </c>
      <c r="X118" s="4" t="str">
        <f>HYPERLINK("http://141.218.60.56/~jnz1568/getInfo.php?workbook=10_01.xlsx&amp;sheet=A0&amp;row=118&amp;col=24&amp;number=&amp;sourceID=30","")</f>
        <v/>
      </c>
      <c r="Y118" s="4" t="str">
        <f>HYPERLINK("http://141.218.60.56/~jnz1568/getInfo.php?workbook=10_01.xlsx&amp;sheet=A0&amp;row=118&amp;col=25&amp;number=&amp;sourceID=30","")</f>
        <v/>
      </c>
      <c r="Z118" s="4" t="str">
        <f>HYPERLINK("http://141.218.60.56/~jnz1568/getInfo.php?workbook=10_01.xlsx&amp;sheet=A0&amp;row=118&amp;col=26&amp;number=&amp;sourceID=13","")</f>
        <v/>
      </c>
      <c r="AA118" s="4" t="str">
        <f>HYPERLINK("http://141.218.60.56/~jnz1568/getInfo.php?workbook=10_01.xlsx&amp;sheet=A0&amp;row=118&amp;col=27&amp;number=&amp;sourceID=13","")</f>
        <v/>
      </c>
      <c r="AB118" s="4" t="str">
        <f>HYPERLINK("http://141.218.60.56/~jnz1568/getInfo.php?workbook=10_01.xlsx&amp;sheet=A0&amp;row=118&amp;col=28&amp;number=&amp;sourceID=13","")</f>
        <v/>
      </c>
      <c r="AC118" s="4" t="str">
        <f>HYPERLINK("http://141.218.60.56/~jnz1568/getInfo.php?workbook=10_01.xlsx&amp;sheet=A0&amp;row=118&amp;col=29&amp;number=&amp;sourceID=13","")</f>
        <v/>
      </c>
      <c r="AD118" s="4" t="str">
        <f>HYPERLINK("http://141.218.60.56/~jnz1568/getInfo.php?workbook=10_01.xlsx&amp;sheet=A0&amp;row=118&amp;col=30&amp;number=&amp;sourceID=13","")</f>
        <v/>
      </c>
      <c r="AE118" s="4" t="str">
        <f>HYPERLINK("http://141.218.60.56/~jnz1568/getInfo.php?workbook=10_01.xlsx&amp;sheet=A0&amp;row=118&amp;col=31&amp;number=&amp;sourceID=13","")</f>
        <v/>
      </c>
      <c r="AF118" s="4" t="str">
        <f>HYPERLINK("http://141.218.60.56/~jnz1568/getInfo.php?workbook=10_01.xlsx&amp;sheet=A0&amp;row=118&amp;col=32&amp;number=&amp;sourceID=20","")</f>
        <v/>
      </c>
    </row>
    <row r="119" spans="1:32">
      <c r="A119" s="3">
        <v>10</v>
      </c>
      <c r="B119" s="3">
        <v>1</v>
      </c>
      <c r="C119" s="3">
        <v>17</v>
      </c>
      <c r="D119" s="3">
        <v>2</v>
      </c>
      <c r="E119" s="3">
        <f>((1/(INDEX(E0!J$4:J$28,C119,1)-INDEX(E0!J$4:J$28,D119,1))))*100000000</f>
        <v>0</v>
      </c>
      <c r="F119" s="4" t="str">
        <f>HYPERLINK("http://141.218.60.56/~jnz1568/getInfo.php?workbook=10_01.xlsx&amp;sheet=A0&amp;row=119&amp;col=6&amp;number=&amp;sourceID=18","")</f>
        <v/>
      </c>
      <c r="G119" s="4" t="str">
        <f>HYPERLINK("http://141.218.60.56/~jnz1568/getInfo.php?workbook=10_01.xlsx&amp;sheet=A0&amp;row=119&amp;col=7&amp;number==&amp;sourceID=11","=")</f>
        <v>=</v>
      </c>
      <c r="H119" s="4" t="str">
        <f>HYPERLINK("http://141.218.60.56/~jnz1568/getInfo.php?workbook=10_01.xlsx&amp;sheet=A0&amp;row=119&amp;col=8&amp;number=&amp;sourceID=11","")</f>
        <v/>
      </c>
      <c r="I119" s="4" t="str">
        <f>HYPERLINK("http://141.218.60.56/~jnz1568/getInfo.php?workbook=10_01.xlsx&amp;sheet=A0&amp;row=119&amp;col=9&amp;number=&amp;sourceID=11","")</f>
        <v/>
      </c>
      <c r="J119" s="4" t="str">
        <f>HYPERLINK("http://141.218.60.56/~jnz1568/getInfo.php?workbook=10_01.xlsx&amp;sheet=A0&amp;row=119&amp;col=10&amp;number=&amp;sourceID=11","")</f>
        <v/>
      </c>
      <c r="K119" s="4" t="str">
        <f>HYPERLINK("http://141.218.60.56/~jnz1568/getInfo.php?workbook=10_01.xlsx&amp;sheet=A0&amp;row=119&amp;col=11&amp;number=2.4916&amp;sourceID=11","2.4916")</f>
        <v>2.4916</v>
      </c>
      <c r="L119" s="4" t="str">
        <f>HYPERLINK("http://141.218.60.56/~jnz1568/getInfo.php?workbook=10_01.xlsx&amp;sheet=A0&amp;row=119&amp;col=12&amp;number=&amp;sourceID=11","")</f>
        <v/>
      </c>
      <c r="M119" s="4" t="str">
        <f>HYPERLINK("http://141.218.60.56/~jnz1568/getInfo.php?workbook=10_01.xlsx&amp;sheet=A0&amp;row=119&amp;col=13&amp;number=&amp;sourceID=11","")</f>
        <v/>
      </c>
      <c r="N119" s="4" t="str">
        <f>HYPERLINK("http://141.218.60.56/~jnz1568/getInfo.php?workbook=10_01.xlsx&amp;sheet=A0&amp;row=119&amp;col=14&amp;number=2.4919&amp;sourceID=12","2.4919")</f>
        <v>2.4919</v>
      </c>
      <c r="O119" s="4" t="str">
        <f>HYPERLINK("http://141.218.60.56/~jnz1568/getInfo.php?workbook=10_01.xlsx&amp;sheet=A0&amp;row=119&amp;col=15&amp;number=&amp;sourceID=12","")</f>
        <v/>
      </c>
      <c r="P119" s="4" t="str">
        <f>HYPERLINK("http://141.218.60.56/~jnz1568/getInfo.php?workbook=10_01.xlsx&amp;sheet=A0&amp;row=119&amp;col=16&amp;number=&amp;sourceID=12","")</f>
        <v/>
      </c>
      <c r="Q119" s="4" t="str">
        <f>HYPERLINK("http://141.218.60.56/~jnz1568/getInfo.php?workbook=10_01.xlsx&amp;sheet=A0&amp;row=119&amp;col=17&amp;number=&amp;sourceID=12","")</f>
        <v/>
      </c>
      <c r="R119" s="4" t="str">
        <f>HYPERLINK("http://141.218.60.56/~jnz1568/getInfo.php?workbook=10_01.xlsx&amp;sheet=A0&amp;row=119&amp;col=18&amp;number=2.4919&amp;sourceID=12","2.4919")</f>
        <v>2.4919</v>
      </c>
      <c r="S119" s="4" t="str">
        <f>HYPERLINK("http://141.218.60.56/~jnz1568/getInfo.php?workbook=10_01.xlsx&amp;sheet=A0&amp;row=119&amp;col=19&amp;number=&amp;sourceID=12","")</f>
        <v/>
      </c>
      <c r="T119" s="4" t="str">
        <f>HYPERLINK("http://141.218.60.56/~jnz1568/getInfo.php?workbook=10_01.xlsx&amp;sheet=A0&amp;row=119&amp;col=20&amp;number=&amp;sourceID=12","")</f>
        <v/>
      </c>
      <c r="U119" s="4" t="str">
        <f>HYPERLINK("http://141.218.60.56/~jnz1568/getInfo.php?workbook=10_01.xlsx&amp;sheet=A0&amp;row=119&amp;col=21&amp;number=2.492&amp;sourceID=30","2.492")</f>
        <v>2.492</v>
      </c>
      <c r="V119" s="4" t="str">
        <f>HYPERLINK("http://141.218.60.56/~jnz1568/getInfo.php?workbook=10_01.xlsx&amp;sheet=A0&amp;row=119&amp;col=22&amp;number=&amp;sourceID=30","")</f>
        <v/>
      </c>
      <c r="W119" s="4" t="str">
        <f>HYPERLINK("http://141.218.60.56/~jnz1568/getInfo.php?workbook=10_01.xlsx&amp;sheet=A0&amp;row=119&amp;col=23&amp;number=&amp;sourceID=30","")</f>
        <v/>
      </c>
      <c r="X119" s="4" t="str">
        <f>HYPERLINK("http://141.218.60.56/~jnz1568/getInfo.php?workbook=10_01.xlsx&amp;sheet=A0&amp;row=119&amp;col=24&amp;number=2.492&amp;sourceID=30","2.492")</f>
        <v>2.492</v>
      </c>
      <c r="Y119" s="4" t="str">
        <f>HYPERLINK("http://141.218.60.56/~jnz1568/getInfo.php?workbook=10_01.xlsx&amp;sheet=A0&amp;row=119&amp;col=25&amp;number=&amp;sourceID=30","")</f>
        <v/>
      </c>
      <c r="Z119" s="4" t="str">
        <f>HYPERLINK("http://141.218.60.56/~jnz1568/getInfo.php?workbook=10_01.xlsx&amp;sheet=A0&amp;row=119&amp;col=26&amp;number=&amp;sourceID=13","")</f>
        <v/>
      </c>
      <c r="AA119" s="4" t="str">
        <f>HYPERLINK("http://141.218.60.56/~jnz1568/getInfo.php?workbook=10_01.xlsx&amp;sheet=A0&amp;row=119&amp;col=27&amp;number=&amp;sourceID=13","")</f>
        <v/>
      </c>
      <c r="AB119" s="4" t="str">
        <f>HYPERLINK("http://141.218.60.56/~jnz1568/getInfo.php?workbook=10_01.xlsx&amp;sheet=A0&amp;row=119&amp;col=28&amp;number=&amp;sourceID=13","")</f>
        <v/>
      </c>
      <c r="AC119" s="4" t="str">
        <f>HYPERLINK("http://141.218.60.56/~jnz1568/getInfo.php?workbook=10_01.xlsx&amp;sheet=A0&amp;row=119&amp;col=29&amp;number=&amp;sourceID=13","")</f>
        <v/>
      </c>
      <c r="AD119" s="4" t="str">
        <f>HYPERLINK("http://141.218.60.56/~jnz1568/getInfo.php?workbook=10_01.xlsx&amp;sheet=A0&amp;row=119&amp;col=30&amp;number=&amp;sourceID=13","")</f>
        <v/>
      </c>
      <c r="AE119" s="4" t="str">
        <f>HYPERLINK("http://141.218.60.56/~jnz1568/getInfo.php?workbook=10_01.xlsx&amp;sheet=A0&amp;row=119&amp;col=31&amp;number=&amp;sourceID=13","")</f>
        <v/>
      </c>
      <c r="AF119" s="4" t="str">
        <f>HYPERLINK("http://141.218.60.56/~jnz1568/getInfo.php?workbook=10_01.xlsx&amp;sheet=A0&amp;row=119&amp;col=32&amp;number=&amp;sourceID=20","")</f>
        <v/>
      </c>
    </row>
    <row r="120" spans="1:32">
      <c r="A120" s="3">
        <v>10</v>
      </c>
      <c r="B120" s="3">
        <v>1</v>
      </c>
      <c r="C120" s="3">
        <v>17</v>
      </c>
      <c r="D120" s="3">
        <v>3</v>
      </c>
      <c r="E120" s="3">
        <f>((1/(INDEX(E0!J$4:J$28,C120,1)-INDEX(E0!J$4:J$28,D120,1))))*100000000</f>
        <v>0</v>
      </c>
      <c r="F120" s="4" t="str">
        <f>HYPERLINK("http://141.218.60.56/~jnz1568/getInfo.php?workbook=10_01.xlsx&amp;sheet=A0&amp;row=120&amp;col=6&amp;number=&amp;sourceID=18","")</f>
        <v/>
      </c>
      <c r="G120" s="4" t="str">
        <f>HYPERLINK("http://141.218.60.56/~jnz1568/getInfo.php?workbook=10_01.xlsx&amp;sheet=A0&amp;row=120&amp;col=7&amp;number==&amp;sourceID=11","=")</f>
        <v>=</v>
      </c>
      <c r="H120" s="4" t="str">
        <f>HYPERLINK("http://141.218.60.56/~jnz1568/getInfo.php?workbook=10_01.xlsx&amp;sheet=A0&amp;row=120&amp;col=8&amp;number=49632000000&amp;sourceID=11","49632000000")</f>
        <v>49632000000</v>
      </c>
      <c r="I120" s="4" t="str">
        <f>HYPERLINK("http://141.218.60.56/~jnz1568/getInfo.php?workbook=10_01.xlsx&amp;sheet=A0&amp;row=120&amp;col=9&amp;number=&amp;sourceID=11","")</f>
        <v/>
      </c>
      <c r="J120" s="4" t="str">
        <f>HYPERLINK("http://141.218.60.56/~jnz1568/getInfo.php?workbook=10_01.xlsx&amp;sheet=A0&amp;row=120&amp;col=10&amp;number=&amp;sourceID=11","")</f>
        <v/>
      </c>
      <c r="K120" s="4" t="str">
        <f>HYPERLINK("http://141.218.60.56/~jnz1568/getInfo.php?workbook=10_01.xlsx&amp;sheet=A0&amp;row=120&amp;col=11&amp;number=&amp;sourceID=11","")</f>
        <v/>
      </c>
      <c r="L120" s="4" t="str">
        <f>HYPERLINK("http://141.218.60.56/~jnz1568/getInfo.php?workbook=10_01.xlsx&amp;sheet=A0&amp;row=120&amp;col=12&amp;number=&amp;sourceID=11","")</f>
        <v/>
      </c>
      <c r="M120" s="4" t="str">
        <f>HYPERLINK("http://141.218.60.56/~jnz1568/getInfo.php?workbook=10_01.xlsx&amp;sheet=A0&amp;row=120&amp;col=13&amp;number=&amp;sourceID=11","")</f>
        <v/>
      </c>
      <c r="N120" s="4" t="str">
        <f>HYPERLINK("http://141.218.60.56/~jnz1568/getInfo.php?workbook=10_01.xlsx&amp;sheet=A0&amp;row=120&amp;col=14&amp;number=49634000000&amp;sourceID=12","49634000000")</f>
        <v>49634000000</v>
      </c>
      <c r="O120" s="4" t="str">
        <f>HYPERLINK("http://141.218.60.56/~jnz1568/getInfo.php?workbook=10_01.xlsx&amp;sheet=A0&amp;row=120&amp;col=15&amp;number=49634000000&amp;sourceID=12","49634000000")</f>
        <v>49634000000</v>
      </c>
      <c r="P120" s="4" t="str">
        <f>HYPERLINK("http://141.218.60.56/~jnz1568/getInfo.php?workbook=10_01.xlsx&amp;sheet=A0&amp;row=120&amp;col=16&amp;number=&amp;sourceID=12","")</f>
        <v/>
      </c>
      <c r="Q120" s="4" t="str">
        <f>HYPERLINK("http://141.218.60.56/~jnz1568/getInfo.php?workbook=10_01.xlsx&amp;sheet=A0&amp;row=120&amp;col=17&amp;number=&amp;sourceID=12","")</f>
        <v/>
      </c>
      <c r="R120" s="4" t="str">
        <f>HYPERLINK("http://141.218.60.56/~jnz1568/getInfo.php?workbook=10_01.xlsx&amp;sheet=A0&amp;row=120&amp;col=18&amp;number=&amp;sourceID=12","")</f>
        <v/>
      </c>
      <c r="S120" s="4" t="str">
        <f>HYPERLINK("http://141.218.60.56/~jnz1568/getInfo.php?workbook=10_01.xlsx&amp;sheet=A0&amp;row=120&amp;col=19&amp;number=&amp;sourceID=12","")</f>
        <v/>
      </c>
      <c r="T120" s="4" t="str">
        <f>HYPERLINK("http://141.218.60.56/~jnz1568/getInfo.php?workbook=10_01.xlsx&amp;sheet=A0&amp;row=120&amp;col=20&amp;number=&amp;sourceID=12","")</f>
        <v/>
      </c>
      <c r="U120" s="4" t="str">
        <f>HYPERLINK("http://141.218.60.56/~jnz1568/getInfo.php?workbook=10_01.xlsx&amp;sheet=A0&amp;row=120&amp;col=21&amp;number=49630000000&amp;sourceID=30","49630000000")</f>
        <v>49630000000</v>
      </c>
      <c r="V120" s="4" t="str">
        <f>HYPERLINK("http://141.218.60.56/~jnz1568/getInfo.php?workbook=10_01.xlsx&amp;sheet=A0&amp;row=120&amp;col=22&amp;number=49630000000&amp;sourceID=30","49630000000")</f>
        <v>49630000000</v>
      </c>
      <c r="W120" s="4" t="str">
        <f>HYPERLINK("http://141.218.60.56/~jnz1568/getInfo.php?workbook=10_01.xlsx&amp;sheet=A0&amp;row=120&amp;col=23&amp;number=&amp;sourceID=30","")</f>
        <v/>
      </c>
      <c r="X120" s="4" t="str">
        <f>HYPERLINK("http://141.218.60.56/~jnz1568/getInfo.php?workbook=10_01.xlsx&amp;sheet=A0&amp;row=120&amp;col=24&amp;number=&amp;sourceID=30","")</f>
        <v/>
      </c>
      <c r="Y120" s="4" t="str">
        <f>HYPERLINK("http://141.218.60.56/~jnz1568/getInfo.php?workbook=10_01.xlsx&amp;sheet=A0&amp;row=120&amp;col=25&amp;number=&amp;sourceID=30","")</f>
        <v/>
      </c>
      <c r="Z120" s="4" t="str">
        <f>HYPERLINK("http://141.218.60.56/~jnz1568/getInfo.php?workbook=10_01.xlsx&amp;sheet=A0&amp;row=120&amp;col=26&amp;number=&amp;sourceID=13","")</f>
        <v/>
      </c>
      <c r="AA120" s="4" t="str">
        <f>HYPERLINK("http://141.218.60.56/~jnz1568/getInfo.php?workbook=10_01.xlsx&amp;sheet=A0&amp;row=120&amp;col=27&amp;number=&amp;sourceID=13","")</f>
        <v/>
      </c>
      <c r="AB120" s="4" t="str">
        <f>HYPERLINK("http://141.218.60.56/~jnz1568/getInfo.php?workbook=10_01.xlsx&amp;sheet=A0&amp;row=120&amp;col=28&amp;number=&amp;sourceID=13","")</f>
        <v/>
      </c>
      <c r="AC120" s="4" t="str">
        <f>HYPERLINK("http://141.218.60.56/~jnz1568/getInfo.php?workbook=10_01.xlsx&amp;sheet=A0&amp;row=120&amp;col=29&amp;number=&amp;sourceID=13","")</f>
        <v/>
      </c>
      <c r="AD120" s="4" t="str">
        <f>HYPERLINK("http://141.218.60.56/~jnz1568/getInfo.php?workbook=10_01.xlsx&amp;sheet=A0&amp;row=120&amp;col=30&amp;number=&amp;sourceID=13","")</f>
        <v/>
      </c>
      <c r="AE120" s="4" t="str">
        <f>HYPERLINK("http://141.218.60.56/~jnz1568/getInfo.php?workbook=10_01.xlsx&amp;sheet=A0&amp;row=120&amp;col=31&amp;number=&amp;sourceID=13","")</f>
        <v/>
      </c>
      <c r="AF120" s="4" t="str">
        <f>HYPERLINK("http://141.218.60.56/~jnz1568/getInfo.php?workbook=10_01.xlsx&amp;sheet=A0&amp;row=120&amp;col=32&amp;number=&amp;sourceID=20","")</f>
        <v/>
      </c>
    </row>
    <row r="121" spans="1:32">
      <c r="A121" s="3">
        <v>10</v>
      </c>
      <c r="B121" s="3">
        <v>1</v>
      </c>
      <c r="C121" s="3">
        <v>17</v>
      </c>
      <c r="D121" s="3">
        <v>4</v>
      </c>
      <c r="E121" s="3">
        <f>((1/(INDEX(E0!J$4:J$28,C121,1)-INDEX(E0!J$4:J$28,D121,1))))*100000000</f>
        <v>0</v>
      </c>
      <c r="F121" s="4" t="str">
        <f>HYPERLINK("http://141.218.60.56/~jnz1568/getInfo.php?workbook=10_01.xlsx&amp;sheet=A0&amp;row=121&amp;col=6&amp;number=&amp;sourceID=18","")</f>
        <v/>
      </c>
      <c r="G121" s="4" t="str">
        <f>HYPERLINK("http://141.218.60.56/~jnz1568/getInfo.php?workbook=10_01.xlsx&amp;sheet=A0&amp;row=121&amp;col=7&amp;number==&amp;sourceID=11","=")</f>
        <v>=</v>
      </c>
      <c r="H121" s="4" t="str">
        <f>HYPERLINK("http://141.218.60.56/~jnz1568/getInfo.php?workbook=10_01.xlsx&amp;sheet=A0&amp;row=121&amp;col=8&amp;number=&amp;sourceID=11","")</f>
        <v/>
      </c>
      <c r="I121" s="4" t="str">
        <f>HYPERLINK("http://141.218.60.56/~jnz1568/getInfo.php?workbook=10_01.xlsx&amp;sheet=A0&amp;row=121&amp;col=9&amp;number=5254400&amp;sourceID=11","5254400")</f>
        <v>5254400</v>
      </c>
      <c r="J121" s="4" t="str">
        <f>HYPERLINK("http://141.218.60.56/~jnz1568/getInfo.php?workbook=10_01.xlsx&amp;sheet=A0&amp;row=121&amp;col=10&amp;number=&amp;sourceID=11","")</f>
        <v/>
      </c>
      <c r="K121" s="4" t="str">
        <f>HYPERLINK("http://141.218.60.56/~jnz1568/getInfo.php?workbook=10_01.xlsx&amp;sheet=A0&amp;row=121&amp;col=11&amp;number=43.715&amp;sourceID=11","43.715")</f>
        <v>43.715</v>
      </c>
      <c r="L121" s="4" t="str">
        <f>HYPERLINK("http://141.218.60.56/~jnz1568/getInfo.php?workbook=10_01.xlsx&amp;sheet=A0&amp;row=121&amp;col=12&amp;number=&amp;sourceID=11","")</f>
        <v/>
      </c>
      <c r="M121" s="4" t="str">
        <f>HYPERLINK("http://141.218.60.56/~jnz1568/getInfo.php?workbook=10_01.xlsx&amp;sheet=A0&amp;row=121&amp;col=13&amp;number=&amp;sourceID=11","")</f>
        <v/>
      </c>
      <c r="N121" s="4" t="str">
        <f>HYPERLINK("http://141.218.60.56/~jnz1568/getInfo.php?workbook=10_01.xlsx&amp;sheet=A0&amp;row=121&amp;col=14&amp;number=5254500&amp;sourceID=12","5254500")</f>
        <v>5254500</v>
      </c>
      <c r="O121" s="4" t="str">
        <f>HYPERLINK("http://141.218.60.56/~jnz1568/getInfo.php?workbook=10_01.xlsx&amp;sheet=A0&amp;row=121&amp;col=15&amp;number=&amp;sourceID=12","")</f>
        <v/>
      </c>
      <c r="P121" s="4" t="str">
        <f>HYPERLINK("http://141.218.60.56/~jnz1568/getInfo.php?workbook=10_01.xlsx&amp;sheet=A0&amp;row=121&amp;col=16&amp;number=5254500&amp;sourceID=12","5254500")</f>
        <v>5254500</v>
      </c>
      <c r="Q121" s="4" t="str">
        <f>HYPERLINK("http://141.218.60.56/~jnz1568/getInfo.php?workbook=10_01.xlsx&amp;sheet=A0&amp;row=121&amp;col=17&amp;number=&amp;sourceID=12","")</f>
        <v/>
      </c>
      <c r="R121" s="4" t="str">
        <f>HYPERLINK("http://141.218.60.56/~jnz1568/getInfo.php?workbook=10_01.xlsx&amp;sheet=A0&amp;row=121&amp;col=18&amp;number=43.715&amp;sourceID=12","43.715")</f>
        <v>43.715</v>
      </c>
      <c r="S121" s="4" t="str">
        <f>HYPERLINK("http://141.218.60.56/~jnz1568/getInfo.php?workbook=10_01.xlsx&amp;sheet=A0&amp;row=121&amp;col=19&amp;number=&amp;sourceID=12","")</f>
        <v/>
      </c>
      <c r="T121" s="4" t="str">
        <f>HYPERLINK("http://141.218.60.56/~jnz1568/getInfo.php?workbook=10_01.xlsx&amp;sheet=A0&amp;row=121&amp;col=20&amp;number=&amp;sourceID=12","")</f>
        <v/>
      </c>
      <c r="U121" s="4" t="str">
        <f>HYPERLINK("http://141.218.60.56/~jnz1568/getInfo.php?workbook=10_01.xlsx&amp;sheet=A0&amp;row=121&amp;col=21&amp;number=5254043.72&amp;sourceID=30","5254043.72")</f>
        <v>5254043.72</v>
      </c>
      <c r="V121" s="4" t="str">
        <f>HYPERLINK("http://141.218.60.56/~jnz1568/getInfo.php?workbook=10_01.xlsx&amp;sheet=A0&amp;row=121&amp;col=22&amp;number=&amp;sourceID=30","")</f>
        <v/>
      </c>
      <c r="W121" s="4" t="str">
        <f>HYPERLINK("http://141.218.60.56/~jnz1568/getInfo.php?workbook=10_01.xlsx&amp;sheet=A0&amp;row=121&amp;col=23&amp;number=5254000&amp;sourceID=30","5254000")</f>
        <v>5254000</v>
      </c>
      <c r="X121" s="4" t="str">
        <f>HYPERLINK("http://141.218.60.56/~jnz1568/getInfo.php?workbook=10_01.xlsx&amp;sheet=A0&amp;row=121&amp;col=24&amp;number=43.72&amp;sourceID=30","43.72")</f>
        <v>43.72</v>
      </c>
      <c r="Y121" s="4" t="str">
        <f>HYPERLINK("http://141.218.60.56/~jnz1568/getInfo.php?workbook=10_01.xlsx&amp;sheet=A0&amp;row=121&amp;col=25&amp;number=&amp;sourceID=30","")</f>
        <v/>
      </c>
      <c r="Z121" s="4" t="str">
        <f>HYPERLINK("http://141.218.60.56/~jnz1568/getInfo.php?workbook=10_01.xlsx&amp;sheet=A0&amp;row=121&amp;col=26&amp;number=&amp;sourceID=13","")</f>
        <v/>
      </c>
      <c r="AA121" s="4" t="str">
        <f>HYPERLINK("http://141.218.60.56/~jnz1568/getInfo.php?workbook=10_01.xlsx&amp;sheet=A0&amp;row=121&amp;col=27&amp;number=&amp;sourceID=13","")</f>
        <v/>
      </c>
      <c r="AB121" s="4" t="str">
        <f>HYPERLINK("http://141.218.60.56/~jnz1568/getInfo.php?workbook=10_01.xlsx&amp;sheet=A0&amp;row=121&amp;col=28&amp;number=&amp;sourceID=13","")</f>
        <v/>
      </c>
      <c r="AC121" s="4" t="str">
        <f>HYPERLINK("http://141.218.60.56/~jnz1568/getInfo.php?workbook=10_01.xlsx&amp;sheet=A0&amp;row=121&amp;col=29&amp;number=&amp;sourceID=13","")</f>
        <v/>
      </c>
      <c r="AD121" s="4" t="str">
        <f>HYPERLINK("http://141.218.60.56/~jnz1568/getInfo.php?workbook=10_01.xlsx&amp;sheet=A0&amp;row=121&amp;col=30&amp;number=&amp;sourceID=13","")</f>
        <v/>
      </c>
      <c r="AE121" s="4" t="str">
        <f>HYPERLINK("http://141.218.60.56/~jnz1568/getInfo.php?workbook=10_01.xlsx&amp;sheet=A0&amp;row=121&amp;col=31&amp;number=&amp;sourceID=13","")</f>
        <v/>
      </c>
      <c r="AF121" s="4" t="str">
        <f>HYPERLINK("http://141.218.60.56/~jnz1568/getInfo.php?workbook=10_01.xlsx&amp;sheet=A0&amp;row=121&amp;col=32&amp;number=&amp;sourceID=20","")</f>
        <v/>
      </c>
    </row>
    <row r="122" spans="1:32">
      <c r="A122" s="3">
        <v>10</v>
      </c>
      <c r="B122" s="3">
        <v>1</v>
      </c>
      <c r="C122" s="3">
        <v>17</v>
      </c>
      <c r="D122" s="3">
        <v>5</v>
      </c>
      <c r="E122" s="3">
        <f>((1/(INDEX(E0!J$4:J$28,C122,1)-INDEX(E0!J$4:J$28,D122,1))))*100000000</f>
        <v>0</v>
      </c>
      <c r="F122" s="4" t="str">
        <f>HYPERLINK("http://141.218.60.56/~jnz1568/getInfo.php?workbook=10_01.xlsx&amp;sheet=A0&amp;row=122&amp;col=6&amp;number=&amp;sourceID=18","")</f>
        <v/>
      </c>
      <c r="G122" s="4" t="str">
        <f>HYPERLINK("http://141.218.60.56/~jnz1568/getInfo.php?workbook=10_01.xlsx&amp;sheet=A0&amp;row=122&amp;col=7&amp;number==&amp;sourceID=11","=")</f>
        <v>=</v>
      </c>
      <c r="H122" s="4" t="str">
        <f>HYPERLINK("http://141.218.60.56/~jnz1568/getInfo.php?workbook=10_01.xlsx&amp;sheet=A0&amp;row=122&amp;col=8&amp;number=&amp;sourceID=11","")</f>
        <v/>
      </c>
      <c r="I122" s="4" t="str">
        <f>HYPERLINK("http://141.218.60.56/~jnz1568/getInfo.php?workbook=10_01.xlsx&amp;sheet=A0&amp;row=122&amp;col=9&amp;number=&amp;sourceID=11","")</f>
        <v/>
      </c>
      <c r="J122" s="4" t="str">
        <f>HYPERLINK("http://141.218.60.56/~jnz1568/getInfo.php?workbook=10_01.xlsx&amp;sheet=A0&amp;row=122&amp;col=10&amp;number=&amp;sourceID=11","")</f>
        <v/>
      </c>
      <c r="K122" s="4" t="str">
        <f>HYPERLINK("http://141.218.60.56/~jnz1568/getInfo.php?workbook=10_01.xlsx&amp;sheet=A0&amp;row=122&amp;col=11&amp;number=0.077346&amp;sourceID=11","0.077346")</f>
        <v>0.077346</v>
      </c>
      <c r="L122" s="4" t="str">
        <f>HYPERLINK("http://141.218.60.56/~jnz1568/getInfo.php?workbook=10_01.xlsx&amp;sheet=A0&amp;row=122&amp;col=12&amp;number=&amp;sourceID=11","")</f>
        <v/>
      </c>
      <c r="M122" s="4" t="str">
        <f>HYPERLINK("http://141.218.60.56/~jnz1568/getInfo.php?workbook=10_01.xlsx&amp;sheet=A0&amp;row=122&amp;col=13&amp;number=&amp;sourceID=11","")</f>
        <v/>
      </c>
      <c r="N122" s="4" t="str">
        <f>HYPERLINK("http://141.218.60.56/~jnz1568/getInfo.php?workbook=10_01.xlsx&amp;sheet=A0&amp;row=122&amp;col=14&amp;number=0.077348&amp;sourceID=12","0.077348")</f>
        <v>0.077348</v>
      </c>
      <c r="O122" s="4" t="str">
        <f>HYPERLINK("http://141.218.60.56/~jnz1568/getInfo.php?workbook=10_01.xlsx&amp;sheet=A0&amp;row=122&amp;col=15&amp;number=&amp;sourceID=12","")</f>
        <v/>
      </c>
      <c r="P122" s="4" t="str">
        <f>HYPERLINK("http://141.218.60.56/~jnz1568/getInfo.php?workbook=10_01.xlsx&amp;sheet=A0&amp;row=122&amp;col=16&amp;number=&amp;sourceID=12","")</f>
        <v/>
      </c>
      <c r="Q122" s="4" t="str">
        <f>HYPERLINK("http://141.218.60.56/~jnz1568/getInfo.php?workbook=10_01.xlsx&amp;sheet=A0&amp;row=122&amp;col=17&amp;number=&amp;sourceID=12","")</f>
        <v/>
      </c>
      <c r="R122" s="4" t="str">
        <f>HYPERLINK("http://141.218.60.56/~jnz1568/getInfo.php?workbook=10_01.xlsx&amp;sheet=A0&amp;row=122&amp;col=18&amp;number=0.077348&amp;sourceID=12","0.077348")</f>
        <v>0.077348</v>
      </c>
      <c r="S122" s="4" t="str">
        <f>HYPERLINK("http://141.218.60.56/~jnz1568/getInfo.php?workbook=10_01.xlsx&amp;sheet=A0&amp;row=122&amp;col=19&amp;number=&amp;sourceID=12","")</f>
        <v/>
      </c>
      <c r="T122" s="4" t="str">
        <f>HYPERLINK("http://141.218.60.56/~jnz1568/getInfo.php?workbook=10_01.xlsx&amp;sheet=A0&amp;row=122&amp;col=20&amp;number=&amp;sourceID=12","")</f>
        <v/>
      </c>
      <c r="U122" s="4" t="str">
        <f>HYPERLINK("http://141.218.60.56/~jnz1568/getInfo.php?workbook=10_01.xlsx&amp;sheet=A0&amp;row=122&amp;col=21&amp;number=0.07742&amp;sourceID=30","0.07742")</f>
        <v>0.07742</v>
      </c>
      <c r="V122" s="4" t="str">
        <f>HYPERLINK("http://141.218.60.56/~jnz1568/getInfo.php?workbook=10_01.xlsx&amp;sheet=A0&amp;row=122&amp;col=22&amp;number=&amp;sourceID=30","")</f>
        <v/>
      </c>
      <c r="W122" s="4" t="str">
        <f>HYPERLINK("http://141.218.60.56/~jnz1568/getInfo.php?workbook=10_01.xlsx&amp;sheet=A0&amp;row=122&amp;col=23&amp;number=&amp;sourceID=30","")</f>
        <v/>
      </c>
      <c r="X122" s="4" t="str">
        <f>HYPERLINK("http://141.218.60.56/~jnz1568/getInfo.php?workbook=10_01.xlsx&amp;sheet=A0&amp;row=122&amp;col=24&amp;number=0.07742&amp;sourceID=30","0.07742")</f>
        <v>0.07742</v>
      </c>
      <c r="Y122" s="4" t="str">
        <f>HYPERLINK("http://141.218.60.56/~jnz1568/getInfo.php?workbook=10_01.xlsx&amp;sheet=A0&amp;row=122&amp;col=25&amp;number=&amp;sourceID=30","")</f>
        <v/>
      </c>
      <c r="Z122" s="4" t="str">
        <f>HYPERLINK("http://141.218.60.56/~jnz1568/getInfo.php?workbook=10_01.xlsx&amp;sheet=A0&amp;row=122&amp;col=26&amp;number=&amp;sourceID=13","")</f>
        <v/>
      </c>
      <c r="AA122" s="4" t="str">
        <f>HYPERLINK("http://141.218.60.56/~jnz1568/getInfo.php?workbook=10_01.xlsx&amp;sheet=A0&amp;row=122&amp;col=27&amp;number=&amp;sourceID=13","")</f>
        <v/>
      </c>
      <c r="AB122" s="4" t="str">
        <f>HYPERLINK("http://141.218.60.56/~jnz1568/getInfo.php?workbook=10_01.xlsx&amp;sheet=A0&amp;row=122&amp;col=28&amp;number=&amp;sourceID=13","")</f>
        <v/>
      </c>
      <c r="AC122" s="4" t="str">
        <f>HYPERLINK("http://141.218.60.56/~jnz1568/getInfo.php?workbook=10_01.xlsx&amp;sheet=A0&amp;row=122&amp;col=29&amp;number=&amp;sourceID=13","")</f>
        <v/>
      </c>
      <c r="AD122" s="4" t="str">
        <f>HYPERLINK("http://141.218.60.56/~jnz1568/getInfo.php?workbook=10_01.xlsx&amp;sheet=A0&amp;row=122&amp;col=30&amp;number=&amp;sourceID=13","")</f>
        <v/>
      </c>
      <c r="AE122" s="4" t="str">
        <f>HYPERLINK("http://141.218.60.56/~jnz1568/getInfo.php?workbook=10_01.xlsx&amp;sheet=A0&amp;row=122&amp;col=31&amp;number=&amp;sourceID=13","")</f>
        <v/>
      </c>
      <c r="AF122" s="4" t="str">
        <f>HYPERLINK("http://141.218.60.56/~jnz1568/getInfo.php?workbook=10_01.xlsx&amp;sheet=A0&amp;row=122&amp;col=32&amp;number=&amp;sourceID=20","")</f>
        <v/>
      </c>
    </row>
    <row r="123" spans="1:32">
      <c r="A123" s="3">
        <v>10</v>
      </c>
      <c r="B123" s="3">
        <v>1</v>
      </c>
      <c r="C123" s="3">
        <v>17</v>
      </c>
      <c r="D123" s="3">
        <v>6</v>
      </c>
      <c r="E123" s="3">
        <f>((1/(INDEX(E0!J$4:J$28,C123,1)-INDEX(E0!J$4:J$28,D123,1))))*100000000</f>
        <v>0</v>
      </c>
      <c r="F123" s="4" t="str">
        <f>HYPERLINK("http://141.218.60.56/~jnz1568/getInfo.php?workbook=10_01.xlsx&amp;sheet=A0&amp;row=123&amp;col=6&amp;number=&amp;sourceID=18","")</f>
        <v/>
      </c>
      <c r="G123" s="4" t="str">
        <f>HYPERLINK("http://141.218.60.56/~jnz1568/getInfo.php?workbook=10_01.xlsx&amp;sheet=A0&amp;row=123&amp;col=7&amp;number==&amp;sourceID=11","=")</f>
        <v>=</v>
      </c>
      <c r="H123" s="4" t="str">
        <f>HYPERLINK("http://141.218.60.56/~jnz1568/getInfo.php?workbook=10_01.xlsx&amp;sheet=A0&amp;row=123&amp;col=8&amp;number=16430000000&amp;sourceID=11","16430000000")</f>
        <v>16430000000</v>
      </c>
      <c r="I123" s="4" t="str">
        <f>HYPERLINK("http://141.218.60.56/~jnz1568/getInfo.php?workbook=10_01.xlsx&amp;sheet=A0&amp;row=123&amp;col=9&amp;number=&amp;sourceID=11","")</f>
        <v/>
      </c>
      <c r="J123" s="4" t="str">
        <f>HYPERLINK("http://141.218.60.56/~jnz1568/getInfo.php?workbook=10_01.xlsx&amp;sheet=A0&amp;row=123&amp;col=10&amp;number=&amp;sourceID=11","")</f>
        <v/>
      </c>
      <c r="K123" s="4" t="str">
        <f>HYPERLINK("http://141.218.60.56/~jnz1568/getInfo.php?workbook=10_01.xlsx&amp;sheet=A0&amp;row=123&amp;col=11&amp;number=&amp;sourceID=11","")</f>
        <v/>
      </c>
      <c r="L123" s="4" t="str">
        <f>HYPERLINK("http://141.218.60.56/~jnz1568/getInfo.php?workbook=10_01.xlsx&amp;sheet=A0&amp;row=123&amp;col=12&amp;number=&amp;sourceID=11","")</f>
        <v/>
      </c>
      <c r="M123" s="4" t="str">
        <f>HYPERLINK("http://141.218.60.56/~jnz1568/getInfo.php?workbook=10_01.xlsx&amp;sheet=A0&amp;row=123&amp;col=13&amp;number=&amp;sourceID=11","")</f>
        <v/>
      </c>
      <c r="N123" s="4" t="str">
        <f>HYPERLINK("http://141.218.60.56/~jnz1568/getInfo.php?workbook=10_01.xlsx&amp;sheet=A0&amp;row=123&amp;col=14&amp;number=16431000000&amp;sourceID=12","16431000000")</f>
        <v>16431000000</v>
      </c>
      <c r="O123" s="4" t="str">
        <f>HYPERLINK("http://141.218.60.56/~jnz1568/getInfo.php?workbook=10_01.xlsx&amp;sheet=A0&amp;row=123&amp;col=15&amp;number=16431000000&amp;sourceID=12","16431000000")</f>
        <v>16431000000</v>
      </c>
      <c r="P123" s="4" t="str">
        <f>HYPERLINK("http://141.218.60.56/~jnz1568/getInfo.php?workbook=10_01.xlsx&amp;sheet=A0&amp;row=123&amp;col=16&amp;number=&amp;sourceID=12","")</f>
        <v/>
      </c>
      <c r="Q123" s="4" t="str">
        <f>HYPERLINK("http://141.218.60.56/~jnz1568/getInfo.php?workbook=10_01.xlsx&amp;sheet=A0&amp;row=123&amp;col=17&amp;number=&amp;sourceID=12","")</f>
        <v/>
      </c>
      <c r="R123" s="4" t="str">
        <f>HYPERLINK("http://141.218.60.56/~jnz1568/getInfo.php?workbook=10_01.xlsx&amp;sheet=A0&amp;row=123&amp;col=18&amp;number=&amp;sourceID=12","")</f>
        <v/>
      </c>
      <c r="S123" s="4" t="str">
        <f>HYPERLINK("http://141.218.60.56/~jnz1568/getInfo.php?workbook=10_01.xlsx&amp;sheet=A0&amp;row=123&amp;col=19&amp;number=&amp;sourceID=12","")</f>
        <v/>
      </c>
      <c r="T123" s="4" t="str">
        <f>HYPERLINK("http://141.218.60.56/~jnz1568/getInfo.php?workbook=10_01.xlsx&amp;sheet=A0&amp;row=123&amp;col=20&amp;number=&amp;sourceID=12","")</f>
        <v/>
      </c>
      <c r="U123" s="4" t="str">
        <f>HYPERLINK("http://141.218.60.56/~jnz1568/getInfo.php?workbook=10_01.xlsx&amp;sheet=A0&amp;row=123&amp;col=21&amp;number=16430000000&amp;sourceID=30","16430000000")</f>
        <v>16430000000</v>
      </c>
      <c r="V123" s="4" t="str">
        <f>HYPERLINK("http://141.218.60.56/~jnz1568/getInfo.php?workbook=10_01.xlsx&amp;sheet=A0&amp;row=123&amp;col=22&amp;number=16430000000&amp;sourceID=30","16430000000")</f>
        <v>16430000000</v>
      </c>
      <c r="W123" s="4" t="str">
        <f>HYPERLINK("http://141.218.60.56/~jnz1568/getInfo.php?workbook=10_01.xlsx&amp;sheet=A0&amp;row=123&amp;col=23&amp;number=&amp;sourceID=30","")</f>
        <v/>
      </c>
      <c r="X123" s="4" t="str">
        <f>HYPERLINK("http://141.218.60.56/~jnz1568/getInfo.php?workbook=10_01.xlsx&amp;sheet=A0&amp;row=123&amp;col=24&amp;number=&amp;sourceID=30","")</f>
        <v/>
      </c>
      <c r="Y123" s="4" t="str">
        <f>HYPERLINK("http://141.218.60.56/~jnz1568/getInfo.php?workbook=10_01.xlsx&amp;sheet=A0&amp;row=123&amp;col=25&amp;number=&amp;sourceID=30","")</f>
        <v/>
      </c>
      <c r="Z123" s="4" t="str">
        <f>HYPERLINK("http://141.218.60.56/~jnz1568/getInfo.php?workbook=10_01.xlsx&amp;sheet=A0&amp;row=123&amp;col=26&amp;number=&amp;sourceID=13","")</f>
        <v/>
      </c>
      <c r="AA123" s="4" t="str">
        <f>HYPERLINK("http://141.218.60.56/~jnz1568/getInfo.php?workbook=10_01.xlsx&amp;sheet=A0&amp;row=123&amp;col=27&amp;number=&amp;sourceID=13","")</f>
        <v/>
      </c>
      <c r="AB123" s="4" t="str">
        <f>HYPERLINK("http://141.218.60.56/~jnz1568/getInfo.php?workbook=10_01.xlsx&amp;sheet=A0&amp;row=123&amp;col=28&amp;number=&amp;sourceID=13","")</f>
        <v/>
      </c>
      <c r="AC123" s="4" t="str">
        <f>HYPERLINK("http://141.218.60.56/~jnz1568/getInfo.php?workbook=10_01.xlsx&amp;sheet=A0&amp;row=123&amp;col=29&amp;number=&amp;sourceID=13","")</f>
        <v/>
      </c>
      <c r="AD123" s="4" t="str">
        <f>HYPERLINK("http://141.218.60.56/~jnz1568/getInfo.php?workbook=10_01.xlsx&amp;sheet=A0&amp;row=123&amp;col=30&amp;number=&amp;sourceID=13","")</f>
        <v/>
      </c>
      <c r="AE123" s="4" t="str">
        <f>HYPERLINK("http://141.218.60.56/~jnz1568/getInfo.php?workbook=10_01.xlsx&amp;sheet=A0&amp;row=123&amp;col=31&amp;number=&amp;sourceID=13","")</f>
        <v/>
      </c>
      <c r="AF123" s="4" t="str">
        <f>HYPERLINK("http://141.218.60.56/~jnz1568/getInfo.php?workbook=10_01.xlsx&amp;sheet=A0&amp;row=123&amp;col=32&amp;number=&amp;sourceID=20","")</f>
        <v/>
      </c>
    </row>
    <row r="124" spans="1:32">
      <c r="A124" s="3">
        <v>10</v>
      </c>
      <c r="B124" s="3">
        <v>1</v>
      </c>
      <c r="C124" s="3">
        <v>17</v>
      </c>
      <c r="D124" s="3">
        <v>7</v>
      </c>
      <c r="E124" s="3">
        <f>((1/(INDEX(E0!J$4:J$28,C124,1)-INDEX(E0!J$4:J$28,D124,1))))*100000000</f>
        <v>0</v>
      </c>
      <c r="F124" s="4" t="str">
        <f>HYPERLINK("http://141.218.60.56/~jnz1568/getInfo.php?workbook=10_01.xlsx&amp;sheet=A0&amp;row=124&amp;col=6&amp;number=&amp;sourceID=18","")</f>
        <v/>
      </c>
      <c r="G124" s="4" t="str">
        <f>HYPERLINK("http://141.218.60.56/~jnz1568/getInfo.php?workbook=10_01.xlsx&amp;sheet=A0&amp;row=124&amp;col=7&amp;number==&amp;sourceID=11","=")</f>
        <v>=</v>
      </c>
      <c r="H124" s="4" t="str">
        <f>HYPERLINK("http://141.218.60.56/~jnz1568/getInfo.php?workbook=10_01.xlsx&amp;sheet=A0&amp;row=124&amp;col=8&amp;number=1520300000&amp;sourceID=11","1520300000")</f>
        <v>1520300000</v>
      </c>
      <c r="I124" s="4" t="str">
        <f>HYPERLINK("http://141.218.60.56/~jnz1568/getInfo.php?workbook=10_01.xlsx&amp;sheet=A0&amp;row=124&amp;col=9&amp;number=&amp;sourceID=11","")</f>
        <v/>
      </c>
      <c r="J124" s="4" t="str">
        <f>HYPERLINK("http://141.218.60.56/~jnz1568/getInfo.php?workbook=10_01.xlsx&amp;sheet=A0&amp;row=124&amp;col=10&amp;number=&amp;sourceID=11","")</f>
        <v/>
      </c>
      <c r="K124" s="4" t="str">
        <f>HYPERLINK("http://141.218.60.56/~jnz1568/getInfo.php?workbook=10_01.xlsx&amp;sheet=A0&amp;row=124&amp;col=11&amp;number=&amp;sourceID=11","")</f>
        <v/>
      </c>
      <c r="L124" s="4" t="str">
        <f>HYPERLINK("http://141.218.60.56/~jnz1568/getInfo.php?workbook=10_01.xlsx&amp;sheet=A0&amp;row=124&amp;col=12&amp;number=0.40924&amp;sourceID=11","0.40924")</f>
        <v>0.40924</v>
      </c>
      <c r="M124" s="4" t="str">
        <f>HYPERLINK("http://141.218.60.56/~jnz1568/getInfo.php?workbook=10_01.xlsx&amp;sheet=A0&amp;row=124&amp;col=13&amp;number=&amp;sourceID=11","")</f>
        <v/>
      </c>
      <c r="N124" s="4" t="str">
        <f>HYPERLINK("http://141.218.60.56/~jnz1568/getInfo.php?workbook=10_01.xlsx&amp;sheet=A0&amp;row=124&amp;col=14&amp;number=1520300000&amp;sourceID=12","1520300000")</f>
        <v>1520300000</v>
      </c>
      <c r="O124" s="4" t="str">
        <f>HYPERLINK("http://141.218.60.56/~jnz1568/getInfo.php?workbook=10_01.xlsx&amp;sheet=A0&amp;row=124&amp;col=15&amp;number=1520300000&amp;sourceID=12","1520300000")</f>
        <v>1520300000</v>
      </c>
      <c r="P124" s="4" t="str">
        <f>HYPERLINK("http://141.218.60.56/~jnz1568/getInfo.php?workbook=10_01.xlsx&amp;sheet=A0&amp;row=124&amp;col=16&amp;number=&amp;sourceID=12","")</f>
        <v/>
      </c>
      <c r="Q124" s="4" t="str">
        <f>HYPERLINK("http://141.218.60.56/~jnz1568/getInfo.php?workbook=10_01.xlsx&amp;sheet=A0&amp;row=124&amp;col=17&amp;number=&amp;sourceID=12","")</f>
        <v/>
      </c>
      <c r="R124" s="4" t="str">
        <f>HYPERLINK("http://141.218.60.56/~jnz1568/getInfo.php?workbook=10_01.xlsx&amp;sheet=A0&amp;row=124&amp;col=18&amp;number=&amp;sourceID=12","")</f>
        <v/>
      </c>
      <c r="S124" s="4" t="str">
        <f>HYPERLINK("http://141.218.60.56/~jnz1568/getInfo.php?workbook=10_01.xlsx&amp;sheet=A0&amp;row=124&amp;col=19&amp;number=0.40925&amp;sourceID=12","0.40925")</f>
        <v>0.40925</v>
      </c>
      <c r="T124" s="4" t="str">
        <f>HYPERLINK("http://141.218.60.56/~jnz1568/getInfo.php?workbook=10_01.xlsx&amp;sheet=A0&amp;row=124&amp;col=20&amp;number=&amp;sourceID=12","")</f>
        <v/>
      </c>
      <c r="U124" s="4" t="str">
        <f>HYPERLINK("http://141.218.60.56/~jnz1568/getInfo.php?workbook=10_01.xlsx&amp;sheet=A0&amp;row=124&amp;col=21&amp;number=1520000000.41&amp;sourceID=30","1520000000.41")</f>
        <v>1520000000.41</v>
      </c>
      <c r="V124" s="4" t="str">
        <f>HYPERLINK("http://141.218.60.56/~jnz1568/getInfo.php?workbook=10_01.xlsx&amp;sheet=A0&amp;row=124&amp;col=22&amp;number=1520000000&amp;sourceID=30","1520000000")</f>
        <v>1520000000</v>
      </c>
      <c r="W124" s="4" t="str">
        <f>HYPERLINK("http://141.218.60.56/~jnz1568/getInfo.php?workbook=10_01.xlsx&amp;sheet=A0&amp;row=124&amp;col=23&amp;number=&amp;sourceID=30","")</f>
        <v/>
      </c>
      <c r="X124" s="4" t="str">
        <f>HYPERLINK("http://141.218.60.56/~jnz1568/getInfo.php?workbook=10_01.xlsx&amp;sheet=A0&amp;row=124&amp;col=24&amp;number=&amp;sourceID=30","")</f>
        <v/>
      </c>
      <c r="Y124" s="4" t="str">
        <f>HYPERLINK("http://141.218.60.56/~jnz1568/getInfo.php?workbook=10_01.xlsx&amp;sheet=A0&amp;row=124&amp;col=25&amp;number=0.4092&amp;sourceID=30","0.4092")</f>
        <v>0.4092</v>
      </c>
      <c r="Z124" s="4" t="str">
        <f>HYPERLINK("http://141.218.60.56/~jnz1568/getInfo.php?workbook=10_01.xlsx&amp;sheet=A0&amp;row=124&amp;col=26&amp;number=&amp;sourceID=13","")</f>
        <v/>
      </c>
      <c r="AA124" s="4" t="str">
        <f>HYPERLINK("http://141.218.60.56/~jnz1568/getInfo.php?workbook=10_01.xlsx&amp;sheet=A0&amp;row=124&amp;col=27&amp;number=&amp;sourceID=13","")</f>
        <v/>
      </c>
      <c r="AB124" s="4" t="str">
        <f>HYPERLINK("http://141.218.60.56/~jnz1568/getInfo.php?workbook=10_01.xlsx&amp;sheet=A0&amp;row=124&amp;col=28&amp;number=&amp;sourceID=13","")</f>
        <v/>
      </c>
      <c r="AC124" s="4" t="str">
        <f>HYPERLINK("http://141.218.60.56/~jnz1568/getInfo.php?workbook=10_01.xlsx&amp;sheet=A0&amp;row=124&amp;col=29&amp;number=&amp;sourceID=13","")</f>
        <v/>
      </c>
      <c r="AD124" s="4" t="str">
        <f>HYPERLINK("http://141.218.60.56/~jnz1568/getInfo.php?workbook=10_01.xlsx&amp;sheet=A0&amp;row=124&amp;col=30&amp;number=&amp;sourceID=13","")</f>
        <v/>
      </c>
      <c r="AE124" s="4" t="str">
        <f>HYPERLINK("http://141.218.60.56/~jnz1568/getInfo.php?workbook=10_01.xlsx&amp;sheet=A0&amp;row=124&amp;col=31&amp;number=&amp;sourceID=13","")</f>
        <v/>
      </c>
      <c r="AF124" s="4" t="str">
        <f>HYPERLINK("http://141.218.60.56/~jnz1568/getInfo.php?workbook=10_01.xlsx&amp;sheet=A0&amp;row=124&amp;col=32&amp;number=&amp;sourceID=20","")</f>
        <v/>
      </c>
    </row>
    <row r="125" spans="1:32">
      <c r="A125" s="3">
        <v>10</v>
      </c>
      <c r="B125" s="3">
        <v>1</v>
      </c>
      <c r="C125" s="3">
        <v>17</v>
      </c>
      <c r="D125" s="3">
        <v>8</v>
      </c>
      <c r="E125" s="3">
        <f>((1/(INDEX(E0!J$4:J$28,C125,1)-INDEX(E0!J$4:J$28,D125,1))))*100000000</f>
        <v>0</v>
      </c>
      <c r="F125" s="4" t="str">
        <f>HYPERLINK("http://141.218.60.56/~jnz1568/getInfo.php?workbook=10_01.xlsx&amp;sheet=A0&amp;row=125&amp;col=6&amp;number=&amp;sourceID=18","")</f>
        <v/>
      </c>
      <c r="G125" s="4" t="str">
        <f>HYPERLINK("http://141.218.60.56/~jnz1568/getInfo.php?workbook=10_01.xlsx&amp;sheet=A0&amp;row=125&amp;col=7&amp;number==&amp;sourceID=11","=")</f>
        <v>=</v>
      </c>
      <c r="H125" s="4" t="str">
        <f>HYPERLINK("http://141.218.60.56/~jnz1568/getInfo.php?workbook=10_01.xlsx&amp;sheet=A0&amp;row=125&amp;col=8&amp;number=&amp;sourceID=11","")</f>
        <v/>
      </c>
      <c r="I125" s="4" t="str">
        <f>HYPERLINK("http://141.218.60.56/~jnz1568/getInfo.php?workbook=10_01.xlsx&amp;sheet=A0&amp;row=125&amp;col=9&amp;number=1427400&amp;sourceID=11","1427400")</f>
        <v>1427400</v>
      </c>
      <c r="J125" s="4" t="str">
        <f>HYPERLINK("http://141.218.60.56/~jnz1568/getInfo.php?workbook=10_01.xlsx&amp;sheet=A0&amp;row=125&amp;col=10&amp;number=&amp;sourceID=11","")</f>
        <v/>
      </c>
      <c r="K125" s="4" t="str">
        <f>HYPERLINK("http://141.218.60.56/~jnz1568/getInfo.php?workbook=10_01.xlsx&amp;sheet=A0&amp;row=125&amp;col=11&amp;number=4.1701&amp;sourceID=11","4.1701")</f>
        <v>4.1701</v>
      </c>
      <c r="L125" s="4" t="str">
        <f>HYPERLINK("http://141.218.60.56/~jnz1568/getInfo.php?workbook=10_01.xlsx&amp;sheet=A0&amp;row=125&amp;col=12&amp;number=&amp;sourceID=11","")</f>
        <v/>
      </c>
      <c r="M125" s="4" t="str">
        <f>HYPERLINK("http://141.218.60.56/~jnz1568/getInfo.php?workbook=10_01.xlsx&amp;sheet=A0&amp;row=125&amp;col=13&amp;number=&amp;sourceID=11","")</f>
        <v/>
      </c>
      <c r="N125" s="4" t="str">
        <f>HYPERLINK("http://141.218.60.56/~jnz1568/getInfo.php?workbook=10_01.xlsx&amp;sheet=A0&amp;row=125&amp;col=14&amp;number=1427400&amp;sourceID=12","1427400")</f>
        <v>1427400</v>
      </c>
      <c r="O125" s="4" t="str">
        <f>HYPERLINK("http://141.218.60.56/~jnz1568/getInfo.php?workbook=10_01.xlsx&amp;sheet=A0&amp;row=125&amp;col=15&amp;number=&amp;sourceID=12","")</f>
        <v/>
      </c>
      <c r="P125" s="4" t="str">
        <f>HYPERLINK("http://141.218.60.56/~jnz1568/getInfo.php?workbook=10_01.xlsx&amp;sheet=A0&amp;row=125&amp;col=16&amp;number=1427400&amp;sourceID=12","1427400")</f>
        <v>1427400</v>
      </c>
      <c r="Q125" s="4" t="str">
        <f>HYPERLINK("http://141.218.60.56/~jnz1568/getInfo.php?workbook=10_01.xlsx&amp;sheet=A0&amp;row=125&amp;col=17&amp;number=&amp;sourceID=12","")</f>
        <v/>
      </c>
      <c r="R125" s="4" t="str">
        <f>HYPERLINK("http://141.218.60.56/~jnz1568/getInfo.php?workbook=10_01.xlsx&amp;sheet=A0&amp;row=125&amp;col=18&amp;number=4.1703&amp;sourceID=12","4.1703")</f>
        <v>4.1703</v>
      </c>
      <c r="S125" s="4" t="str">
        <f>HYPERLINK("http://141.218.60.56/~jnz1568/getInfo.php?workbook=10_01.xlsx&amp;sheet=A0&amp;row=125&amp;col=19&amp;number=&amp;sourceID=12","")</f>
        <v/>
      </c>
      <c r="T125" s="4" t="str">
        <f>HYPERLINK("http://141.218.60.56/~jnz1568/getInfo.php?workbook=10_01.xlsx&amp;sheet=A0&amp;row=125&amp;col=20&amp;number=&amp;sourceID=12","")</f>
        <v/>
      </c>
      <c r="U125" s="4" t="str">
        <f>HYPERLINK("http://141.218.60.56/~jnz1568/getInfo.php?workbook=10_01.xlsx&amp;sheet=A0&amp;row=125&amp;col=21&amp;number=1427004.17&amp;sourceID=30","1427004.17")</f>
        <v>1427004.17</v>
      </c>
      <c r="V125" s="4" t="str">
        <f>HYPERLINK("http://141.218.60.56/~jnz1568/getInfo.php?workbook=10_01.xlsx&amp;sheet=A0&amp;row=125&amp;col=22&amp;number=&amp;sourceID=30","")</f>
        <v/>
      </c>
      <c r="W125" s="4" t="str">
        <f>HYPERLINK("http://141.218.60.56/~jnz1568/getInfo.php?workbook=10_01.xlsx&amp;sheet=A0&amp;row=125&amp;col=23&amp;number=1427000&amp;sourceID=30","1427000")</f>
        <v>1427000</v>
      </c>
      <c r="X125" s="4" t="str">
        <f>HYPERLINK("http://141.218.60.56/~jnz1568/getInfo.php?workbook=10_01.xlsx&amp;sheet=A0&amp;row=125&amp;col=24&amp;number=4.17&amp;sourceID=30","4.17")</f>
        <v>4.17</v>
      </c>
      <c r="Y125" s="4" t="str">
        <f>HYPERLINK("http://141.218.60.56/~jnz1568/getInfo.php?workbook=10_01.xlsx&amp;sheet=A0&amp;row=125&amp;col=25&amp;number=&amp;sourceID=30","")</f>
        <v/>
      </c>
      <c r="Z125" s="4" t="str">
        <f>HYPERLINK("http://141.218.60.56/~jnz1568/getInfo.php?workbook=10_01.xlsx&amp;sheet=A0&amp;row=125&amp;col=26&amp;number=&amp;sourceID=13","")</f>
        <v/>
      </c>
      <c r="AA125" s="4" t="str">
        <f>HYPERLINK("http://141.218.60.56/~jnz1568/getInfo.php?workbook=10_01.xlsx&amp;sheet=A0&amp;row=125&amp;col=27&amp;number=&amp;sourceID=13","")</f>
        <v/>
      </c>
      <c r="AB125" s="4" t="str">
        <f>HYPERLINK("http://141.218.60.56/~jnz1568/getInfo.php?workbook=10_01.xlsx&amp;sheet=A0&amp;row=125&amp;col=28&amp;number=&amp;sourceID=13","")</f>
        <v/>
      </c>
      <c r="AC125" s="4" t="str">
        <f>HYPERLINK("http://141.218.60.56/~jnz1568/getInfo.php?workbook=10_01.xlsx&amp;sheet=A0&amp;row=125&amp;col=29&amp;number=&amp;sourceID=13","")</f>
        <v/>
      </c>
      <c r="AD125" s="4" t="str">
        <f>HYPERLINK("http://141.218.60.56/~jnz1568/getInfo.php?workbook=10_01.xlsx&amp;sheet=A0&amp;row=125&amp;col=30&amp;number=&amp;sourceID=13","")</f>
        <v/>
      </c>
      <c r="AE125" s="4" t="str">
        <f>HYPERLINK("http://141.218.60.56/~jnz1568/getInfo.php?workbook=10_01.xlsx&amp;sheet=A0&amp;row=125&amp;col=31&amp;number=&amp;sourceID=13","")</f>
        <v/>
      </c>
      <c r="AF125" s="4" t="str">
        <f>HYPERLINK("http://141.218.60.56/~jnz1568/getInfo.php?workbook=10_01.xlsx&amp;sheet=A0&amp;row=125&amp;col=32&amp;number=&amp;sourceID=20","")</f>
        <v/>
      </c>
    </row>
    <row r="126" spans="1:32">
      <c r="A126" s="3">
        <v>10</v>
      </c>
      <c r="B126" s="3">
        <v>1</v>
      </c>
      <c r="C126" s="3">
        <v>17</v>
      </c>
      <c r="D126" s="3">
        <v>9</v>
      </c>
      <c r="E126" s="3">
        <f>((1/(INDEX(E0!J$4:J$28,C126,1)-INDEX(E0!J$4:J$28,D126,1))))*100000000</f>
        <v>0</v>
      </c>
      <c r="F126" s="4" t="str">
        <f>HYPERLINK("http://141.218.60.56/~jnz1568/getInfo.php?workbook=10_01.xlsx&amp;sheet=A0&amp;row=126&amp;col=6&amp;number=&amp;sourceID=18","")</f>
        <v/>
      </c>
      <c r="G126" s="4" t="str">
        <f>HYPERLINK("http://141.218.60.56/~jnz1568/getInfo.php?workbook=10_01.xlsx&amp;sheet=A0&amp;row=126&amp;col=7&amp;number==&amp;sourceID=11","=")</f>
        <v>=</v>
      </c>
      <c r="H126" s="4" t="str">
        <f>HYPERLINK("http://141.218.60.56/~jnz1568/getInfo.php?workbook=10_01.xlsx&amp;sheet=A0&amp;row=126&amp;col=8&amp;number=&amp;sourceID=11","")</f>
        <v/>
      </c>
      <c r="I126" s="4" t="str">
        <f>HYPERLINK("http://141.218.60.56/~jnz1568/getInfo.php?workbook=10_01.xlsx&amp;sheet=A0&amp;row=126&amp;col=9&amp;number=&amp;sourceID=11","")</f>
        <v/>
      </c>
      <c r="J126" s="4" t="str">
        <f>HYPERLINK("http://141.218.60.56/~jnz1568/getInfo.php?workbook=10_01.xlsx&amp;sheet=A0&amp;row=126&amp;col=10&amp;number=22.434&amp;sourceID=11","22.434")</f>
        <v>22.434</v>
      </c>
      <c r="K126" s="4" t="str">
        <f>HYPERLINK("http://141.218.60.56/~jnz1568/getInfo.php?workbook=10_01.xlsx&amp;sheet=A0&amp;row=126&amp;col=11&amp;number=&amp;sourceID=11","")</f>
        <v/>
      </c>
      <c r="L126" s="4" t="str">
        <f>HYPERLINK("http://141.218.60.56/~jnz1568/getInfo.php?workbook=10_01.xlsx&amp;sheet=A0&amp;row=126&amp;col=12&amp;number=4.38&amp;sourceID=11","4.38")</f>
        <v>4.38</v>
      </c>
      <c r="M126" s="4" t="str">
        <f>HYPERLINK("http://141.218.60.56/~jnz1568/getInfo.php?workbook=10_01.xlsx&amp;sheet=A0&amp;row=126&amp;col=13&amp;number=&amp;sourceID=11","")</f>
        <v/>
      </c>
      <c r="N126" s="4" t="str">
        <f>HYPERLINK("http://141.218.60.56/~jnz1568/getInfo.php?workbook=10_01.xlsx&amp;sheet=A0&amp;row=126&amp;col=14&amp;number=26.814&amp;sourceID=12","26.814")</f>
        <v>26.814</v>
      </c>
      <c r="O126" s="4" t="str">
        <f>HYPERLINK("http://141.218.60.56/~jnz1568/getInfo.php?workbook=10_01.xlsx&amp;sheet=A0&amp;row=126&amp;col=15&amp;number=&amp;sourceID=12","")</f>
        <v/>
      </c>
      <c r="P126" s="4" t="str">
        <f>HYPERLINK("http://141.218.60.56/~jnz1568/getInfo.php?workbook=10_01.xlsx&amp;sheet=A0&amp;row=126&amp;col=16&amp;number=&amp;sourceID=12","")</f>
        <v/>
      </c>
      <c r="Q126" s="4" t="str">
        <f>HYPERLINK("http://141.218.60.56/~jnz1568/getInfo.php?workbook=10_01.xlsx&amp;sheet=A0&amp;row=126&amp;col=17&amp;number=22.434&amp;sourceID=12","22.434")</f>
        <v>22.434</v>
      </c>
      <c r="R126" s="4" t="str">
        <f>HYPERLINK("http://141.218.60.56/~jnz1568/getInfo.php?workbook=10_01.xlsx&amp;sheet=A0&amp;row=126&amp;col=18&amp;number=&amp;sourceID=12","")</f>
        <v/>
      </c>
      <c r="S126" s="4" t="str">
        <f>HYPERLINK("http://141.218.60.56/~jnz1568/getInfo.php?workbook=10_01.xlsx&amp;sheet=A0&amp;row=126&amp;col=19&amp;number=4.3801&amp;sourceID=12","4.3801")</f>
        <v>4.3801</v>
      </c>
      <c r="T126" s="4" t="str">
        <f>HYPERLINK("http://141.218.60.56/~jnz1568/getInfo.php?workbook=10_01.xlsx&amp;sheet=A0&amp;row=126&amp;col=20&amp;number=&amp;sourceID=12","")</f>
        <v/>
      </c>
      <c r="U126" s="4" t="str">
        <f>HYPERLINK("http://141.218.60.56/~jnz1568/getInfo.php?workbook=10_01.xlsx&amp;sheet=A0&amp;row=126&amp;col=21&amp;number=4.38&amp;sourceID=30","4.38")</f>
        <v>4.38</v>
      </c>
      <c r="V126" s="4" t="str">
        <f>HYPERLINK("http://141.218.60.56/~jnz1568/getInfo.php?workbook=10_01.xlsx&amp;sheet=A0&amp;row=126&amp;col=22&amp;number=&amp;sourceID=30","")</f>
        <v/>
      </c>
      <c r="W126" s="4" t="str">
        <f>HYPERLINK("http://141.218.60.56/~jnz1568/getInfo.php?workbook=10_01.xlsx&amp;sheet=A0&amp;row=126&amp;col=23&amp;number=&amp;sourceID=30","")</f>
        <v/>
      </c>
      <c r="X126" s="4" t="str">
        <f>HYPERLINK("http://141.218.60.56/~jnz1568/getInfo.php?workbook=10_01.xlsx&amp;sheet=A0&amp;row=126&amp;col=24&amp;number=&amp;sourceID=30","")</f>
        <v/>
      </c>
      <c r="Y126" s="4" t="str">
        <f>HYPERLINK("http://141.218.60.56/~jnz1568/getInfo.php?workbook=10_01.xlsx&amp;sheet=A0&amp;row=126&amp;col=25&amp;number=4.38&amp;sourceID=30","4.38")</f>
        <v>4.38</v>
      </c>
      <c r="Z126" s="4" t="str">
        <f>HYPERLINK("http://141.218.60.56/~jnz1568/getInfo.php?workbook=10_01.xlsx&amp;sheet=A0&amp;row=126&amp;col=26&amp;number=&amp;sourceID=13","")</f>
        <v/>
      </c>
      <c r="AA126" s="4" t="str">
        <f>HYPERLINK("http://141.218.60.56/~jnz1568/getInfo.php?workbook=10_01.xlsx&amp;sheet=A0&amp;row=126&amp;col=27&amp;number=&amp;sourceID=13","")</f>
        <v/>
      </c>
      <c r="AB126" s="4" t="str">
        <f>HYPERLINK("http://141.218.60.56/~jnz1568/getInfo.php?workbook=10_01.xlsx&amp;sheet=A0&amp;row=126&amp;col=28&amp;number=&amp;sourceID=13","")</f>
        <v/>
      </c>
      <c r="AC126" s="4" t="str">
        <f>HYPERLINK("http://141.218.60.56/~jnz1568/getInfo.php?workbook=10_01.xlsx&amp;sheet=A0&amp;row=126&amp;col=29&amp;number=&amp;sourceID=13","")</f>
        <v/>
      </c>
      <c r="AD126" s="4" t="str">
        <f>HYPERLINK("http://141.218.60.56/~jnz1568/getInfo.php?workbook=10_01.xlsx&amp;sheet=A0&amp;row=126&amp;col=30&amp;number=&amp;sourceID=13","")</f>
        <v/>
      </c>
      <c r="AE126" s="4" t="str">
        <f>HYPERLINK("http://141.218.60.56/~jnz1568/getInfo.php?workbook=10_01.xlsx&amp;sheet=A0&amp;row=126&amp;col=31&amp;number=&amp;sourceID=13","")</f>
        <v/>
      </c>
      <c r="AF126" s="4" t="str">
        <f>HYPERLINK("http://141.218.60.56/~jnz1568/getInfo.php?workbook=10_01.xlsx&amp;sheet=A0&amp;row=126&amp;col=32&amp;number=&amp;sourceID=20","")</f>
        <v/>
      </c>
    </row>
    <row r="127" spans="1:32">
      <c r="A127" s="3">
        <v>10</v>
      </c>
      <c r="B127" s="3">
        <v>1</v>
      </c>
      <c r="C127" s="3">
        <v>17</v>
      </c>
      <c r="D127" s="3">
        <v>10</v>
      </c>
      <c r="E127" s="3">
        <f>((1/(INDEX(E0!J$4:J$28,C127,1)-INDEX(E0!J$4:J$28,D127,1))))*100000000</f>
        <v>0</v>
      </c>
      <c r="F127" s="4" t="str">
        <f>HYPERLINK("http://141.218.60.56/~jnz1568/getInfo.php?workbook=10_01.xlsx&amp;sheet=A0&amp;row=127&amp;col=6&amp;number=&amp;sourceID=18","")</f>
        <v/>
      </c>
      <c r="G127" s="4" t="str">
        <f>HYPERLINK("http://141.218.60.56/~jnz1568/getInfo.php?workbook=10_01.xlsx&amp;sheet=A0&amp;row=127&amp;col=7&amp;number==&amp;sourceID=11","=")</f>
        <v>=</v>
      </c>
      <c r="H127" s="4" t="str">
        <f>HYPERLINK("http://141.218.60.56/~jnz1568/getInfo.php?workbook=10_01.xlsx&amp;sheet=A0&amp;row=127&amp;col=8&amp;number=&amp;sourceID=11","")</f>
        <v/>
      </c>
      <c r="I127" s="4" t="str">
        <f>HYPERLINK("http://141.218.60.56/~jnz1568/getInfo.php?workbook=10_01.xlsx&amp;sheet=A0&amp;row=127&amp;col=9&amp;number=&amp;sourceID=11","")</f>
        <v/>
      </c>
      <c r="J127" s="4" t="str">
        <f>HYPERLINK("http://141.218.60.56/~jnz1568/getInfo.php?workbook=10_01.xlsx&amp;sheet=A0&amp;row=127&amp;col=10&amp;number=&amp;sourceID=11","")</f>
        <v/>
      </c>
      <c r="K127" s="4" t="str">
        <f>HYPERLINK("http://141.218.60.56/~jnz1568/getInfo.php?workbook=10_01.xlsx&amp;sheet=A0&amp;row=127&amp;col=11&amp;number=0.002461&amp;sourceID=11","0.002461")</f>
        <v>0.002461</v>
      </c>
      <c r="L127" s="4" t="str">
        <f>HYPERLINK("http://141.218.60.56/~jnz1568/getInfo.php?workbook=10_01.xlsx&amp;sheet=A0&amp;row=127&amp;col=12&amp;number=&amp;sourceID=11","")</f>
        <v/>
      </c>
      <c r="M127" s="4" t="str">
        <f>HYPERLINK("http://141.218.60.56/~jnz1568/getInfo.php?workbook=10_01.xlsx&amp;sheet=A0&amp;row=127&amp;col=13&amp;number=&amp;sourceID=11","")</f>
        <v/>
      </c>
      <c r="N127" s="4" t="str">
        <f>HYPERLINK("http://141.218.60.56/~jnz1568/getInfo.php?workbook=10_01.xlsx&amp;sheet=A0&amp;row=127&amp;col=14&amp;number=0.002461&amp;sourceID=12","0.002461")</f>
        <v>0.002461</v>
      </c>
      <c r="O127" s="4" t="str">
        <f>HYPERLINK("http://141.218.60.56/~jnz1568/getInfo.php?workbook=10_01.xlsx&amp;sheet=A0&amp;row=127&amp;col=15&amp;number=&amp;sourceID=12","")</f>
        <v/>
      </c>
      <c r="P127" s="4" t="str">
        <f>HYPERLINK("http://141.218.60.56/~jnz1568/getInfo.php?workbook=10_01.xlsx&amp;sheet=A0&amp;row=127&amp;col=16&amp;number=&amp;sourceID=12","")</f>
        <v/>
      </c>
      <c r="Q127" s="4" t="str">
        <f>HYPERLINK("http://141.218.60.56/~jnz1568/getInfo.php?workbook=10_01.xlsx&amp;sheet=A0&amp;row=127&amp;col=17&amp;number=&amp;sourceID=12","")</f>
        <v/>
      </c>
      <c r="R127" s="4" t="str">
        <f>HYPERLINK("http://141.218.60.56/~jnz1568/getInfo.php?workbook=10_01.xlsx&amp;sheet=A0&amp;row=127&amp;col=18&amp;number=0.002461&amp;sourceID=12","0.002461")</f>
        <v>0.002461</v>
      </c>
      <c r="S127" s="4" t="str">
        <f>HYPERLINK("http://141.218.60.56/~jnz1568/getInfo.php?workbook=10_01.xlsx&amp;sheet=A0&amp;row=127&amp;col=19&amp;number=&amp;sourceID=12","")</f>
        <v/>
      </c>
      <c r="T127" s="4" t="str">
        <f>HYPERLINK("http://141.218.60.56/~jnz1568/getInfo.php?workbook=10_01.xlsx&amp;sheet=A0&amp;row=127&amp;col=20&amp;number=&amp;sourceID=12","")</f>
        <v/>
      </c>
      <c r="U127" s="4" t="str">
        <f>HYPERLINK("http://141.218.60.56/~jnz1568/getInfo.php?workbook=10_01.xlsx&amp;sheet=A0&amp;row=127&amp;col=21&amp;number=0.002472&amp;sourceID=30","0.002472")</f>
        <v>0.002472</v>
      </c>
      <c r="V127" s="4" t="str">
        <f>HYPERLINK("http://141.218.60.56/~jnz1568/getInfo.php?workbook=10_01.xlsx&amp;sheet=A0&amp;row=127&amp;col=22&amp;number=&amp;sourceID=30","")</f>
        <v/>
      </c>
      <c r="W127" s="4" t="str">
        <f>HYPERLINK("http://141.218.60.56/~jnz1568/getInfo.php?workbook=10_01.xlsx&amp;sheet=A0&amp;row=127&amp;col=23&amp;number=&amp;sourceID=30","")</f>
        <v/>
      </c>
      <c r="X127" s="4" t="str">
        <f>HYPERLINK("http://141.218.60.56/~jnz1568/getInfo.php?workbook=10_01.xlsx&amp;sheet=A0&amp;row=127&amp;col=24&amp;number=0.002472&amp;sourceID=30","0.002472")</f>
        <v>0.002472</v>
      </c>
      <c r="Y127" s="4" t="str">
        <f>HYPERLINK("http://141.218.60.56/~jnz1568/getInfo.php?workbook=10_01.xlsx&amp;sheet=A0&amp;row=127&amp;col=25&amp;number=&amp;sourceID=30","")</f>
        <v/>
      </c>
      <c r="Z127" s="4" t="str">
        <f>HYPERLINK("http://141.218.60.56/~jnz1568/getInfo.php?workbook=10_01.xlsx&amp;sheet=A0&amp;row=127&amp;col=26&amp;number=&amp;sourceID=13","")</f>
        <v/>
      </c>
      <c r="AA127" s="4" t="str">
        <f>HYPERLINK("http://141.218.60.56/~jnz1568/getInfo.php?workbook=10_01.xlsx&amp;sheet=A0&amp;row=127&amp;col=27&amp;number=&amp;sourceID=13","")</f>
        <v/>
      </c>
      <c r="AB127" s="4" t="str">
        <f>HYPERLINK("http://141.218.60.56/~jnz1568/getInfo.php?workbook=10_01.xlsx&amp;sheet=A0&amp;row=127&amp;col=28&amp;number=&amp;sourceID=13","")</f>
        <v/>
      </c>
      <c r="AC127" s="4" t="str">
        <f>HYPERLINK("http://141.218.60.56/~jnz1568/getInfo.php?workbook=10_01.xlsx&amp;sheet=A0&amp;row=127&amp;col=29&amp;number=&amp;sourceID=13","")</f>
        <v/>
      </c>
      <c r="AD127" s="4" t="str">
        <f>HYPERLINK("http://141.218.60.56/~jnz1568/getInfo.php?workbook=10_01.xlsx&amp;sheet=A0&amp;row=127&amp;col=30&amp;number=&amp;sourceID=13","")</f>
        <v/>
      </c>
      <c r="AE127" s="4" t="str">
        <f>HYPERLINK("http://141.218.60.56/~jnz1568/getInfo.php?workbook=10_01.xlsx&amp;sheet=A0&amp;row=127&amp;col=31&amp;number=&amp;sourceID=13","")</f>
        <v/>
      </c>
      <c r="AF127" s="4" t="str">
        <f>HYPERLINK("http://141.218.60.56/~jnz1568/getInfo.php?workbook=10_01.xlsx&amp;sheet=A0&amp;row=127&amp;col=32&amp;number=&amp;sourceID=20","")</f>
        <v/>
      </c>
    </row>
    <row r="128" spans="1:32">
      <c r="A128" s="3">
        <v>10</v>
      </c>
      <c r="B128" s="3">
        <v>1</v>
      </c>
      <c r="C128" s="3">
        <v>17</v>
      </c>
      <c r="D128" s="3">
        <v>11</v>
      </c>
      <c r="E128" s="3">
        <f>((1/(INDEX(E0!J$4:J$28,C128,1)-INDEX(E0!J$4:J$28,D128,1))))*100000000</f>
        <v>0</v>
      </c>
      <c r="F128" s="4" t="str">
        <f>HYPERLINK("http://141.218.60.56/~jnz1568/getInfo.php?workbook=10_01.xlsx&amp;sheet=A0&amp;row=128&amp;col=6&amp;number=&amp;sourceID=18","")</f>
        <v/>
      </c>
      <c r="G128" s="4" t="str">
        <f>HYPERLINK("http://141.218.60.56/~jnz1568/getInfo.php?workbook=10_01.xlsx&amp;sheet=A0&amp;row=128&amp;col=7&amp;number==&amp;sourceID=11","=")</f>
        <v>=</v>
      </c>
      <c r="H128" s="4" t="str">
        <f>HYPERLINK("http://141.218.60.56/~jnz1568/getInfo.php?workbook=10_01.xlsx&amp;sheet=A0&amp;row=128&amp;col=8&amp;number=7394900000&amp;sourceID=11","7394900000")</f>
        <v>7394900000</v>
      </c>
      <c r="I128" s="4" t="str">
        <f>HYPERLINK("http://141.218.60.56/~jnz1568/getInfo.php?workbook=10_01.xlsx&amp;sheet=A0&amp;row=128&amp;col=9&amp;number=&amp;sourceID=11","")</f>
        <v/>
      </c>
      <c r="J128" s="4" t="str">
        <f>HYPERLINK("http://141.218.60.56/~jnz1568/getInfo.php?workbook=10_01.xlsx&amp;sheet=A0&amp;row=128&amp;col=10&amp;number=&amp;sourceID=11","")</f>
        <v/>
      </c>
      <c r="K128" s="4" t="str">
        <f>HYPERLINK("http://141.218.60.56/~jnz1568/getInfo.php?workbook=10_01.xlsx&amp;sheet=A0&amp;row=128&amp;col=11&amp;number=&amp;sourceID=11","")</f>
        <v/>
      </c>
      <c r="L128" s="4" t="str">
        <f>HYPERLINK("http://141.218.60.56/~jnz1568/getInfo.php?workbook=10_01.xlsx&amp;sheet=A0&amp;row=128&amp;col=12&amp;number=&amp;sourceID=11","")</f>
        <v/>
      </c>
      <c r="M128" s="4" t="str">
        <f>HYPERLINK("http://141.218.60.56/~jnz1568/getInfo.php?workbook=10_01.xlsx&amp;sheet=A0&amp;row=128&amp;col=13&amp;number=&amp;sourceID=11","")</f>
        <v/>
      </c>
      <c r="N128" s="4" t="str">
        <f>HYPERLINK("http://141.218.60.56/~jnz1568/getInfo.php?workbook=10_01.xlsx&amp;sheet=A0&amp;row=128&amp;col=14&amp;number=7395100000&amp;sourceID=12","7395100000")</f>
        <v>7395100000</v>
      </c>
      <c r="O128" s="4" t="str">
        <f>HYPERLINK("http://141.218.60.56/~jnz1568/getInfo.php?workbook=10_01.xlsx&amp;sheet=A0&amp;row=128&amp;col=15&amp;number=7395100000&amp;sourceID=12","7395100000")</f>
        <v>7395100000</v>
      </c>
      <c r="P128" s="4" t="str">
        <f>HYPERLINK("http://141.218.60.56/~jnz1568/getInfo.php?workbook=10_01.xlsx&amp;sheet=A0&amp;row=128&amp;col=16&amp;number=&amp;sourceID=12","")</f>
        <v/>
      </c>
      <c r="Q128" s="4" t="str">
        <f>HYPERLINK("http://141.218.60.56/~jnz1568/getInfo.php?workbook=10_01.xlsx&amp;sheet=A0&amp;row=128&amp;col=17&amp;number=&amp;sourceID=12","")</f>
        <v/>
      </c>
      <c r="R128" s="4" t="str">
        <f>HYPERLINK("http://141.218.60.56/~jnz1568/getInfo.php?workbook=10_01.xlsx&amp;sheet=A0&amp;row=128&amp;col=18&amp;number=&amp;sourceID=12","")</f>
        <v/>
      </c>
      <c r="S128" s="4" t="str">
        <f>HYPERLINK("http://141.218.60.56/~jnz1568/getInfo.php?workbook=10_01.xlsx&amp;sheet=A0&amp;row=128&amp;col=19&amp;number=&amp;sourceID=12","")</f>
        <v/>
      </c>
      <c r="T128" s="4" t="str">
        <f>HYPERLINK("http://141.218.60.56/~jnz1568/getInfo.php?workbook=10_01.xlsx&amp;sheet=A0&amp;row=128&amp;col=20&amp;number=&amp;sourceID=12","")</f>
        <v/>
      </c>
      <c r="U128" s="4" t="str">
        <f>HYPERLINK("http://141.218.60.56/~jnz1568/getInfo.php?workbook=10_01.xlsx&amp;sheet=A0&amp;row=128&amp;col=21&amp;number=7395000000&amp;sourceID=30","7395000000")</f>
        <v>7395000000</v>
      </c>
      <c r="V128" s="4" t="str">
        <f>HYPERLINK("http://141.218.60.56/~jnz1568/getInfo.php?workbook=10_01.xlsx&amp;sheet=A0&amp;row=128&amp;col=22&amp;number=7395000000&amp;sourceID=30","7395000000")</f>
        <v>7395000000</v>
      </c>
      <c r="W128" s="4" t="str">
        <f>HYPERLINK("http://141.218.60.56/~jnz1568/getInfo.php?workbook=10_01.xlsx&amp;sheet=A0&amp;row=128&amp;col=23&amp;number=&amp;sourceID=30","")</f>
        <v/>
      </c>
      <c r="X128" s="4" t="str">
        <f>HYPERLINK("http://141.218.60.56/~jnz1568/getInfo.php?workbook=10_01.xlsx&amp;sheet=A0&amp;row=128&amp;col=24&amp;number=&amp;sourceID=30","")</f>
        <v/>
      </c>
      <c r="Y128" s="4" t="str">
        <f>HYPERLINK("http://141.218.60.56/~jnz1568/getInfo.php?workbook=10_01.xlsx&amp;sheet=A0&amp;row=128&amp;col=25&amp;number=&amp;sourceID=30","")</f>
        <v/>
      </c>
      <c r="Z128" s="4" t="str">
        <f>HYPERLINK("http://141.218.60.56/~jnz1568/getInfo.php?workbook=10_01.xlsx&amp;sheet=A0&amp;row=128&amp;col=26&amp;number=&amp;sourceID=13","")</f>
        <v/>
      </c>
      <c r="AA128" s="4" t="str">
        <f>HYPERLINK("http://141.218.60.56/~jnz1568/getInfo.php?workbook=10_01.xlsx&amp;sheet=A0&amp;row=128&amp;col=27&amp;number=&amp;sourceID=13","")</f>
        <v/>
      </c>
      <c r="AB128" s="4" t="str">
        <f>HYPERLINK("http://141.218.60.56/~jnz1568/getInfo.php?workbook=10_01.xlsx&amp;sheet=A0&amp;row=128&amp;col=28&amp;number=&amp;sourceID=13","")</f>
        <v/>
      </c>
      <c r="AC128" s="4" t="str">
        <f>HYPERLINK("http://141.218.60.56/~jnz1568/getInfo.php?workbook=10_01.xlsx&amp;sheet=A0&amp;row=128&amp;col=29&amp;number=&amp;sourceID=13","")</f>
        <v/>
      </c>
      <c r="AD128" s="4" t="str">
        <f>HYPERLINK("http://141.218.60.56/~jnz1568/getInfo.php?workbook=10_01.xlsx&amp;sheet=A0&amp;row=128&amp;col=30&amp;number=&amp;sourceID=13","")</f>
        <v/>
      </c>
      <c r="AE128" s="4" t="str">
        <f>HYPERLINK("http://141.218.60.56/~jnz1568/getInfo.php?workbook=10_01.xlsx&amp;sheet=A0&amp;row=128&amp;col=31&amp;number=&amp;sourceID=13","")</f>
        <v/>
      </c>
      <c r="AF128" s="4" t="str">
        <f>HYPERLINK("http://141.218.60.56/~jnz1568/getInfo.php?workbook=10_01.xlsx&amp;sheet=A0&amp;row=128&amp;col=32&amp;number=&amp;sourceID=20","")</f>
        <v/>
      </c>
    </row>
    <row r="129" spans="1:32">
      <c r="A129" s="3">
        <v>10</v>
      </c>
      <c r="B129" s="3">
        <v>1</v>
      </c>
      <c r="C129" s="3">
        <v>17</v>
      </c>
      <c r="D129" s="3">
        <v>12</v>
      </c>
      <c r="E129" s="3">
        <f>((1/(INDEX(E0!J$4:J$28,C129,1)-INDEX(E0!J$4:J$28,D129,1))))*100000000</f>
        <v>0</v>
      </c>
      <c r="F129" s="4" t="str">
        <f>HYPERLINK("http://141.218.60.56/~jnz1568/getInfo.php?workbook=10_01.xlsx&amp;sheet=A0&amp;row=129&amp;col=6&amp;number=&amp;sourceID=18","")</f>
        <v/>
      </c>
      <c r="G129" s="4" t="str">
        <f>HYPERLINK("http://141.218.60.56/~jnz1568/getInfo.php?workbook=10_01.xlsx&amp;sheet=A0&amp;row=129&amp;col=7&amp;number==&amp;sourceID=11","=")</f>
        <v>=</v>
      </c>
      <c r="H129" s="4" t="str">
        <f>HYPERLINK("http://141.218.60.56/~jnz1568/getInfo.php?workbook=10_01.xlsx&amp;sheet=A0&amp;row=129&amp;col=8&amp;number=1912800000&amp;sourceID=11","1912800000")</f>
        <v>1912800000</v>
      </c>
      <c r="I129" s="4" t="str">
        <f>HYPERLINK("http://141.218.60.56/~jnz1568/getInfo.php?workbook=10_01.xlsx&amp;sheet=A0&amp;row=129&amp;col=9&amp;number=&amp;sourceID=11","")</f>
        <v/>
      </c>
      <c r="J129" s="4" t="str">
        <f>HYPERLINK("http://141.218.60.56/~jnz1568/getInfo.php?workbook=10_01.xlsx&amp;sheet=A0&amp;row=129&amp;col=10&amp;number=&amp;sourceID=11","")</f>
        <v/>
      </c>
      <c r="K129" s="4" t="str">
        <f>HYPERLINK("http://141.218.60.56/~jnz1568/getInfo.php?workbook=10_01.xlsx&amp;sheet=A0&amp;row=129&amp;col=11&amp;number=&amp;sourceID=11","")</f>
        <v/>
      </c>
      <c r="L129" s="4" t="str">
        <f>HYPERLINK("http://141.218.60.56/~jnz1568/getInfo.php?workbook=10_01.xlsx&amp;sheet=A0&amp;row=129&amp;col=12&amp;number=0.051454&amp;sourceID=11","0.051454")</f>
        <v>0.051454</v>
      </c>
      <c r="M129" s="4" t="str">
        <f>HYPERLINK("http://141.218.60.56/~jnz1568/getInfo.php?workbook=10_01.xlsx&amp;sheet=A0&amp;row=129&amp;col=13&amp;number=&amp;sourceID=11","")</f>
        <v/>
      </c>
      <c r="N129" s="4" t="str">
        <f>HYPERLINK("http://141.218.60.56/~jnz1568/getInfo.php?workbook=10_01.xlsx&amp;sheet=A0&amp;row=129&amp;col=14&amp;number=1912800000&amp;sourceID=12","1912800000")</f>
        <v>1912800000</v>
      </c>
      <c r="O129" s="4" t="str">
        <f>HYPERLINK("http://141.218.60.56/~jnz1568/getInfo.php?workbook=10_01.xlsx&amp;sheet=A0&amp;row=129&amp;col=15&amp;number=1912800000&amp;sourceID=12","1912800000")</f>
        <v>1912800000</v>
      </c>
      <c r="P129" s="4" t="str">
        <f>HYPERLINK("http://141.218.60.56/~jnz1568/getInfo.php?workbook=10_01.xlsx&amp;sheet=A0&amp;row=129&amp;col=16&amp;number=&amp;sourceID=12","")</f>
        <v/>
      </c>
      <c r="Q129" s="4" t="str">
        <f>HYPERLINK("http://141.218.60.56/~jnz1568/getInfo.php?workbook=10_01.xlsx&amp;sheet=A0&amp;row=129&amp;col=17&amp;number=&amp;sourceID=12","")</f>
        <v/>
      </c>
      <c r="R129" s="4" t="str">
        <f>HYPERLINK("http://141.218.60.56/~jnz1568/getInfo.php?workbook=10_01.xlsx&amp;sheet=A0&amp;row=129&amp;col=18&amp;number=&amp;sourceID=12","")</f>
        <v/>
      </c>
      <c r="S129" s="4" t="str">
        <f>HYPERLINK("http://141.218.60.56/~jnz1568/getInfo.php?workbook=10_01.xlsx&amp;sheet=A0&amp;row=129&amp;col=19&amp;number=0.051456&amp;sourceID=12","0.051456")</f>
        <v>0.051456</v>
      </c>
      <c r="T129" s="4" t="str">
        <f>HYPERLINK("http://141.218.60.56/~jnz1568/getInfo.php?workbook=10_01.xlsx&amp;sheet=A0&amp;row=129&amp;col=20&amp;number=&amp;sourceID=12","")</f>
        <v/>
      </c>
      <c r="U129" s="4" t="str">
        <f>HYPERLINK("http://141.218.60.56/~jnz1568/getInfo.php?workbook=10_01.xlsx&amp;sheet=A0&amp;row=129&amp;col=21&amp;number=1913000000.05&amp;sourceID=30","1913000000.05")</f>
        <v>1913000000.05</v>
      </c>
      <c r="V129" s="4" t="str">
        <f>HYPERLINK("http://141.218.60.56/~jnz1568/getInfo.php?workbook=10_01.xlsx&amp;sheet=A0&amp;row=129&amp;col=22&amp;number=1913000000&amp;sourceID=30","1913000000")</f>
        <v>1913000000</v>
      </c>
      <c r="W129" s="4" t="str">
        <f>HYPERLINK("http://141.218.60.56/~jnz1568/getInfo.php?workbook=10_01.xlsx&amp;sheet=A0&amp;row=129&amp;col=23&amp;number=&amp;sourceID=30","")</f>
        <v/>
      </c>
      <c r="X129" s="4" t="str">
        <f>HYPERLINK("http://141.218.60.56/~jnz1568/getInfo.php?workbook=10_01.xlsx&amp;sheet=A0&amp;row=129&amp;col=24&amp;number=&amp;sourceID=30","")</f>
        <v/>
      </c>
      <c r="Y129" s="4" t="str">
        <f>HYPERLINK("http://141.218.60.56/~jnz1568/getInfo.php?workbook=10_01.xlsx&amp;sheet=A0&amp;row=129&amp;col=25&amp;number=0.05146&amp;sourceID=30","0.05146")</f>
        <v>0.05146</v>
      </c>
      <c r="Z129" s="4" t="str">
        <f>HYPERLINK("http://141.218.60.56/~jnz1568/getInfo.php?workbook=10_01.xlsx&amp;sheet=A0&amp;row=129&amp;col=26&amp;number=&amp;sourceID=13","")</f>
        <v/>
      </c>
      <c r="AA129" s="4" t="str">
        <f>HYPERLINK("http://141.218.60.56/~jnz1568/getInfo.php?workbook=10_01.xlsx&amp;sheet=A0&amp;row=129&amp;col=27&amp;number=&amp;sourceID=13","")</f>
        <v/>
      </c>
      <c r="AB129" s="4" t="str">
        <f>HYPERLINK("http://141.218.60.56/~jnz1568/getInfo.php?workbook=10_01.xlsx&amp;sheet=A0&amp;row=129&amp;col=28&amp;number=&amp;sourceID=13","")</f>
        <v/>
      </c>
      <c r="AC129" s="4" t="str">
        <f>HYPERLINK("http://141.218.60.56/~jnz1568/getInfo.php?workbook=10_01.xlsx&amp;sheet=A0&amp;row=129&amp;col=29&amp;number=&amp;sourceID=13","")</f>
        <v/>
      </c>
      <c r="AD129" s="4" t="str">
        <f>HYPERLINK("http://141.218.60.56/~jnz1568/getInfo.php?workbook=10_01.xlsx&amp;sheet=A0&amp;row=129&amp;col=30&amp;number=&amp;sourceID=13","")</f>
        <v/>
      </c>
      <c r="AE129" s="4" t="str">
        <f>HYPERLINK("http://141.218.60.56/~jnz1568/getInfo.php?workbook=10_01.xlsx&amp;sheet=A0&amp;row=129&amp;col=31&amp;number=&amp;sourceID=13","")</f>
        <v/>
      </c>
      <c r="AF129" s="4" t="str">
        <f>HYPERLINK("http://141.218.60.56/~jnz1568/getInfo.php?workbook=10_01.xlsx&amp;sheet=A0&amp;row=129&amp;col=32&amp;number=&amp;sourceID=20","")</f>
        <v/>
      </c>
    </row>
    <row r="130" spans="1:32">
      <c r="A130" s="3">
        <v>10</v>
      </c>
      <c r="B130" s="3">
        <v>1</v>
      </c>
      <c r="C130" s="3">
        <v>17</v>
      </c>
      <c r="D130" s="3">
        <v>13</v>
      </c>
      <c r="E130" s="3">
        <f>((1/(INDEX(E0!J$4:J$28,C130,1)-INDEX(E0!J$4:J$28,D130,1))))*100000000</f>
        <v>0</v>
      </c>
      <c r="F130" s="4" t="str">
        <f>HYPERLINK("http://141.218.60.56/~jnz1568/getInfo.php?workbook=10_01.xlsx&amp;sheet=A0&amp;row=130&amp;col=6&amp;number=&amp;sourceID=18","")</f>
        <v/>
      </c>
      <c r="G130" s="4" t="str">
        <f>HYPERLINK("http://141.218.60.56/~jnz1568/getInfo.php?workbook=10_01.xlsx&amp;sheet=A0&amp;row=130&amp;col=7&amp;number==&amp;sourceID=11","=")</f>
        <v>=</v>
      </c>
      <c r="H130" s="4" t="str">
        <f>HYPERLINK("http://141.218.60.56/~jnz1568/getInfo.php?workbook=10_01.xlsx&amp;sheet=A0&amp;row=130&amp;col=8&amp;number=&amp;sourceID=11","")</f>
        <v/>
      </c>
      <c r="I130" s="4" t="str">
        <f>HYPERLINK("http://141.218.60.56/~jnz1568/getInfo.php?workbook=10_01.xlsx&amp;sheet=A0&amp;row=130&amp;col=9&amp;number=455130&amp;sourceID=11","455130")</f>
        <v>455130</v>
      </c>
      <c r="J130" s="4" t="str">
        <f>HYPERLINK("http://141.218.60.56/~jnz1568/getInfo.php?workbook=10_01.xlsx&amp;sheet=A0&amp;row=130&amp;col=10&amp;number=&amp;sourceID=11","")</f>
        <v/>
      </c>
      <c r="K130" s="4" t="str">
        <f>HYPERLINK("http://141.218.60.56/~jnz1568/getInfo.php?workbook=10_01.xlsx&amp;sheet=A0&amp;row=130&amp;col=11&amp;number=0.51846&amp;sourceID=11","0.51846")</f>
        <v>0.51846</v>
      </c>
      <c r="L130" s="4" t="str">
        <f>HYPERLINK("http://141.218.60.56/~jnz1568/getInfo.php?workbook=10_01.xlsx&amp;sheet=A0&amp;row=130&amp;col=12&amp;number=&amp;sourceID=11","")</f>
        <v/>
      </c>
      <c r="M130" s="4" t="str">
        <f>HYPERLINK("http://141.218.60.56/~jnz1568/getInfo.php?workbook=10_01.xlsx&amp;sheet=A0&amp;row=130&amp;col=13&amp;number=&amp;sourceID=11","")</f>
        <v/>
      </c>
      <c r="N130" s="4" t="str">
        <f>HYPERLINK("http://141.218.60.56/~jnz1568/getInfo.php?workbook=10_01.xlsx&amp;sheet=A0&amp;row=130&amp;col=14&amp;number=455140&amp;sourceID=12","455140")</f>
        <v>455140</v>
      </c>
      <c r="O130" s="4" t="str">
        <f>HYPERLINK("http://141.218.60.56/~jnz1568/getInfo.php?workbook=10_01.xlsx&amp;sheet=A0&amp;row=130&amp;col=15&amp;number=&amp;sourceID=12","")</f>
        <v/>
      </c>
      <c r="P130" s="4" t="str">
        <f>HYPERLINK("http://141.218.60.56/~jnz1568/getInfo.php?workbook=10_01.xlsx&amp;sheet=A0&amp;row=130&amp;col=16&amp;number=455140&amp;sourceID=12","455140")</f>
        <v>455140</v>
      </c>
      <c r="Q130" s="4" t="str">
        <f>HYPERLINK("http://141.218.60.56/~jnz1568/getInfo.php?workbook=10_01.xlsx&amp;sheet=A0&amp;row=130&amp;col=17&amp;number=&amp;sourceID=12","")</f>
        <v/>
      </c>
      <c r="R130" s="4" t="str">
        <f>HYPERLINK("http://141.218.60.56/~jnz1568/getInfo.php?workbook=10_01.xlsx&amp;sheet=A0&amp;row=130&amp;col=18&amp;number=0.51848&amp;sourceID=12","0.51848")</f>
        <v>0.51848</v>
      </c>
      <c r="S130" s="4" t="str">
        <f>HYPERLINK("http://141.218.60.56/~jnz1568/getInfo.php?workbook=10_01.xlsx&amp;sheet=A0&amp;row=130&amp;col=19&amp;number=&amp;sourceID=12","")</f>
        <v/>
      </c>
      <c r="T130" s="4" t="str">
        <f>HYPERLINK("http://141.218.60.56/~jnz1568/getInfo.php?workbook=10_01.xlsx&amp;sheet=A0&amp;row=130&amp;col=20&amp;number=&amp;sourceID=12","")</f>
        <v/>
      </c>
      <c r="U130" s="4" t="str">
        <f>HYPERLINK("http://141.218.60.56/~jnz1568/getInfo.php?workbook=10_01.xlsx&amp;sheet=A0&amp;row=130&amp;col=21&amp;number=455100.5184&amp;sourceID=30","455100.5184")</f>
        <v>455100.5184</v>
      </c>
      <c r="V130" s="4" t="str">
        <f>HYPERLINK("http://141.218.60.56/~jnz1568/getInfo.php?workbook=10_01.xlsx&amp;sheet=A0&amp;row=130&amp;col=22&amp;number=&amp;sourceID=30","")</f>
        <v/>
      </c>
      <c r="W130" s="4" t="str">
        <f>HYPERLINK("http://141.218.60.56/~jnz1568/getInfo.php?workbook=10_01.xlsx&amp;sheet=A0&amp;row=130&amp;col=23&amp;number=455100&amp;sourceID=30","455100")</f>
        <v>455100</v>
      </c>
      <c r="X130" s="4" t="str">
        <f>HYPERLINK("http://141.218.60.56/~jnz1568/getInfo.php?workbook=10_01.xlsx&amp;sheet=A0&amp;row=130&amp;col=24&amp;number=0.5184&amp;sourceID=30","0.5184")</f>
        <v>0.5184</v>
      </c>
      <c r="Y130" s="4" t="str">
        <f>HYPERLINK("http://141.218.60.56/~jnz1568/getInfo.php?workbook=10_01.xlsx&amp;sheet=A0&amp;row=130&amp;col=25&amp;number=&amp;sourceID=30","")</f>
        <v/>
      </c>
      <c r="Z130" s="4" t="str">
        <f>HYPERLINK("http://141.218.60.56/~jnz1568/getInfo.php?workbook=10_01.xlsx&amp;sheet=A0&amp;row=130&amp;col=26&amp;number=&amp;sourceID=13","")</f>
        <v/>
      </c>
      <c r="AA130" s="4" t="str">
        <f>HYPERLINK("http://141.218.60.56/~jnz1568/getInfo.php?workbook=10_01.xlsx&amp;sheet=A0&amp;row=130&amp;col=27&amp;number=&amp;sourceID=13","")</f>
        <v/>
      </c>
      <c r="AB130" s="4" t="str">
        <f>HYPERLINK("http://141.218.60.56/~jnz1568/getInfo.php?workbook=10_01.xlsx&amp;sheet=A0&amp;row=130&amp;col=28&amp;number=&amp;sourceID=13","")</f>
        <v/>
      </c>
      <c r="AC130" s="4" t="str">
        <f>HYPERLINK("http://141.218.60.56/~jnz1568/getInfo.php?workbook=10_01.xlsx&amp;sheet=A0&amp;row=130&amp;col=29&amp;number=&amp;sourceID=13","")</f>
        <v/>
      </c>
      <c r="AD130" s="4" t="str">
        <f>HYPERLINK("http://141.218.60.56/~jnz1568/getInfo.php?workbook=10_01.xlsx&amp;sheet=A0&amp;row=130&amp;col=30&amp;number=&amp;sourceID=13","")</f>
        <v/>
      </c>
      <c r="AE130" s="4" t="str">
        <f>HYPERLINK("http://141.218.60.56/~jnz1568/getInfo.php?workbook=10_01.xlsx&amp;sheet=A0&amp;row=130&amp;col=31&amp;number=&amp;sourceID=13","")</f>
        <v/>
      </c>
      <c r="AF130" s="4" t="str">
        <f>HYPERLINK("http://141.218.60.56/~jnz1568/getInfo.php?workbook=10_01.xlsx&amp;sheet=A0&amp;row=130&amp;col=32&amp;number=&amp;sourceID=20","")</f>
        <v/>
      </c>
    </row>
    <row r="131" spans="1:32">
      <c r="A131" s="3">
        <v>10</v>
      </c>
      <c r="B131" s="3">
        <v>1</v>
      </c>
      <c r="C131" s="3">
        <v>17</v>
      </c>
      <c r="D131" s="3">
        <v>14</v>
      </c>
      <c r="E131" s="3">
        <f>((1/(INDEX(E0!J$4:J$28,C131,1)-INDEX(E0!J$4:J$28,D131,1))))*100000000</f>
        <v>0</v>
      </c>
      <c r="F131" s="4" t="str">
        <f>HYPERLINK("http://141.218.60.56/~jnz1568/getInfo.php?workbook=10_01.xlsx&amp;sheet=A0&amp;row=131&amp;col=6&amp;number=&amp;sourceID=18","")</f>
        <v/>
      </c>
      <c r="G131" s="4" t="str">
        <f>HYPERLINK("http://141.218.60.56/~jnz1568/getInfo.php?workbook=10_01.xlsx&amp;sheet=A0&amp;row=131&amp;col=7&amp;number==&amp;sourceID=11","=")</f>
        <v>=</v>
      </c>
      <c r="H131" s="4" t="str">
        <f>HYPERLINK("http://141.218.60.56/~jnz1568/getInfo.php?workbook=10_01.xlsx&amp;sheet=A0&amp;row=131&amp;col=8&amp;number=&amp;sourceID=11","")</f>
        <v/>
      </c>
      <c r="I131" s="4" t="str">
        <f>HYPERLINK("http://141.218.60.56/~jnz1568/getInfo.php?workbook=10_01.xlsx&amp;sheet=A0&amp;row=131&amp;col=9&amp;number=47411&amp;sourceID=11","47411")</f>
        <v>47411</v>
      </c>
      <c r="J131" s="4" t="str">
        <f>HYPERLINK("http://141.218.60.56/~jnz1568/getInfo.php?workbook=10_01.xlsx&amp;sheet=A0&amp;row=131&amp;col=10&amp;number=&amp;sourceID=11","")</f>
        <v/>
      </c>
      <c r="K131" s="4" t="str">
        <f>HYPERLINK("http://141.218.60.56/~jnz1568/getInfo.php?workbook=10_01.xlsx&amp;sheet=A0&amp;row=131&amp;col=11&amp;number=&amp;sourceID=11","")</f>
        <v/>
      </c>
      <c r="L131" s="4" t="str">
        <f>HYPERLINK("http://141.218.60.56/~jnz1568/getInfo.php?workbook=10_01.xlsx&amp;sheet=A0&amp;row=131&amp;col=12&amp;number=&amp;sourceID=11","")</f>
        <v/>
      </c>
      <c r="M131" s="4" t="str">
        <f>HYPERLINK("http://141.218.60.56/~jnz1568/getInfo.php?workbook=10_01.xlsx&amp;sheet=A0&amp;row=131&amp;col=13&amp;number=7.7003e-07&amp;sourceID=11","7.7003e-07")</f>
        <v>7.7003e-07</v>
      </c>
      <c r="N131" s="4" t="str">
        <f>HYPERLINK("http://141.218.60.56/~jnz1568/getInfo.php?workbook=10_01.xlsx&amp;sheet=A0&amp;row=131&amp;col=14&amp;number=47412&amp;sourceID=12","47412")</f>
        <v>47412</v>
      </c>
      <c r="O131" s="4" t="str">
        <f>HYPERLINK("http://141.218.60.56/~jnz1568/getInfo.php?workbook=10_01.xlsx&amp;sheet=A0&amp;row=131&amp;col=15&amp;number=&amp;sourceID=12","")</f>
        <v/>
      </c>
      <c r="P131" s="4" t="str">
        <f>HYPERLINK("http://141.218.60.56/~jnz1568/getInfo.php?workbook=10_01.xlsx&amp;sheet=A0&amp;row=131&amp;col=16&amp;number=47412&amp;sourceID=12","47412")</f>
        <v>47412</v>
      </c>
      <c r="Q131" s="4" t="str">
        <f>HYPERLINK("http://141.218.60.56/~jnz1568/getInfo.php?workbook=10_01.xlsx&amp;sheet=A0&amp;row=131&amp;col=17&amp;number=&amp;sourceID=12","")</f>
        <v/>
      </c>
      <c r="R131" s="4" t="str">
        <f>HYPERLINK("http://141.218.60.56/~jnz1568/getInfo.php?workbook=10_01.xlsx&amp;sheet=A0&amp;row=131&amp;col=18&amp;number=&amp;sourceID=12","")</f>
        <v/>
      </c>
      <c r="S131" s="4" t="str">
        <f>HYPERLINK("http://141.218.60.56/~jnz1568/getInfo.php?workbook=10_01.xlsx&amp;sheet=A0&amp;row=131&amp;col=19&amp;number=&amp;sourceID=12","")</f>
        <v/>
      </c>
      <c r="T131" s="4" t="str">
        <f>HYPERLINK("http://141.218.60.56/~jnz1568/getInfo.php?workbook=10_01.xlsx&amp;sheet=A0&amp;row=131&amp;col=20&amp;number=7.7005e-07&amp;sourceID=12","7.7005e-07")</f>
        <v>7.7005e-07</v>
      </c>
      <c r="U131" s="4" t="str">
        <f>HYPERLINK("http://141.218.60.56/~jnz1568/getInfo.php?workbook=10_01.xlsx&amp;sheet=A0&amp;row=131&amp;col=21&amp;number=47410&amp;sourceID=30","47410")</f>
        <v>47410</v>
      </c>
      <c r="V131" s="4" t="str">
        <f>HYPERLINK("http://141.218.60.56/~jnz1568/getInfo.php?workbook=10_01.xlsx&amp;sheet=A0&amp;row=131&amp;col=22&amp;number=&amp;sourceID=30","")</f>
        <v/>
      </c>
      <c r="W131" s="4" t="str">
        <f>HYPERLINK("http://141.218.60.56/~jnz1568/getInfo.php?workbook=10_01.xlsx&amp;sheet=A0&amp;row=131&amp;col=23&amp;number=47410&amp;sourceID=30","47410")</f>
        <v>47410</v>
      </c>
      <c r="X131" s="4" t="str">
        <f>HYPERLINK("http://141.218.60.56/~jnz1568/getInfo.php?workbook=10_01.xlsx&amp;sheet=A0&amp;row=131&amp;col=24&amp;number=&amp;sourceID=30","")</f>
        <v/>
      </c>
      <c r="Y131" s="4" t="str">
        <f>HYPERLINK("http://141.218.60.56/~jnz1568/getInfo.php?workbook=10_01.xlsx&amp;sheet=A0&amp;row=131&amp;col=25&amp;number=&amp;sourceID=30","")</f>
        <v/>
      </c>
      <c r="Z131" s="4" t="str">
        <f>HYPERLINK("http://141.218.60.56/~jnz1568/getInfo.php?workbook=10_01.xlsx&amp;sheet=A0&amp;row=131&amp;col=26&amp;number=&amp;sourceID=13","")</f>
        <v/>
      </c>
      <c r="AA131" s="4" t="str">
        <f>HYPERLINK("http://141.218.60.56/~jnz1568/getInfo.php?workbook=10_01.xlsx&amp;sheet=A0&amp;row=131&amp;col=27&amp;number=&amp;sourceID=13","")</f>
        <v/>
      </c>
      <c r="AB131" s="4" t="str">
        <f>HYPERLINK("http://141.218.60.56/~jnz1568/getInfo.php?workbook=10_01.xlsx&amp;sheet=A0&amp;row=131&amp;col=28&amp;number=&amp;sourceID=13","")</f>
        <v/>
      </c>
      <c r="AC131" s="4" t="str">
        <f>HYPERLINK("http://141.218.60.56/~jnz1568/getInfo.php?workbook=10_01.xlsx&amp;sheet=A0&amp;row=131&amp;col=29&amp;number=&amp;sourceID=13","")</f>
        <v/>
      </c>
      <c r="AD131" s="4" t="str">
        <f>HYPERLINK("http://141.218.60.56/~jnz1568/getInfo.php?workbook=10_01.xlsx&amp;sheet=A0&amp;row=131&amp;col=30&amp;number=&amp;sourceID=13","")</f>
        <v/>
      </c>
      <c r="AE131" s="4" t="str">
        <f>HYPERLINK("http://141.218.60.56/~jnz1568/getInfo.php?workbook=10_01.xlsx&amp;sheet=A0&amp;row=131&amp;col=31&amp;number=&amp;sourceID=13","")</f>
        <v/>
      </c>
      <c r="AF131" s="4" t="str">
        <f>HYPERLINK("http://141.218.60.56/~jnz1568/getInfo.php?workbook=10_01.xlsx&amp;sheet=A0&amp;row=131&amp;col=32&amp;number=&amp;sourceID=20","")</f>
        <v/>
      </c>
    </row>
    <row r="132" spans="1:32">
      <c r="A132" s="3">
        <v>10</v>
      </c>
      <c r="B132" s="3">
        <v>1</v>
      </c>
      <c r="C132" s="3">
        <v>17</v>
      </c>
      <c r="D132" s="3">
        <v>15</v>
      </c>
      <c r="E132" s="3">
        <f>((1/(INDEX(E0!J$4:J$28,C132,1)-INDEX(E0!J$4:J$28,D132,1))))*100000000</f>
        <v>0</v>
      </c>
      <c r="F132" s="4" t="str">
        <f>HYPERLINK("http://141.218.60.56/~jnz1568/getInfo.php?workbook=10_01.xlsx&amp;sheet=A0&amp;row=132&amp;col=6&amp;number=&amp;sourceID=18","")</f>
        <v/>
      </c>
      <c r="G132" s="4" t="str">
        <f>HYPERLINK("http://141.218.60.56/~jnz1568/getInfo.php?workbook=10_01.xlsx&amp;sheet=A0&amp;row=132&amp;col=7&amp;number==&amp;sourceID=11","=")</f>
        <v>=</v>
      </c>
      <c r="H132" s="4" t="str">
        <f>HYPERLINK("http://141.218.60.56/~jnz1568/getInfo.php?workbook=10_01.xlsx&amp;sheet=A0&amp;row=132&amp;col=8&amp;number=&amp;sourceID=11","")</f>
        <v/>
      </c>
      <c r="I132" s="4" t="str">
        <f>HYPERLINK("http://141.218.60.56/~jnz1568/getInfo.php?workbook=10_01.xlsx&amp;sheet=A0&amp;row=132&amp;col=9&amp;number=&amp;sourceID=11","")</f>
        <v/>
      </c>
      <c r="J132" s="4" t="str">
        <f>HYPERLINK("http://141.218.60.56/~jnz1568/getInfo.php?workbook=10_01.xlsx&amp;sheet=A0&amp;row=132&amp;col=10&amp;number=7.673&amp;sourceID=11","7.673")</f>
        <v>7.673</v>
      </c>
      <c r="K132" s="4" t="str">
        <f>HYPERLINK("http://141.218.60.56/~jnz1568/getInfo.php?workbook=10_01.xlsx&amp;sheet=A0&amp;row=132&amp;col=11&amp;number=&amp;sourceID=11","")</f>
        <v/>
      </c>
      <c r="L132" s="4" t="str">
        <f>HYPERLINK("http://141.218.60.56/~jnz1568/getInfo.php?workbook=10_01.xlsx&amp;sheet=A0&amp;row=132&amp;col=12&amp;number=0.55039&amp;sourceID=11","0.55039")</f>
        <v>0.55039</v>
      </c>
      <c r="M132" s="4" t="str">
        <f>HYPERLINK("http://141.218.60.56/~jnz1568/getInfo.php?workbook=10_01.xlsx&amp;sheet=A0&amp;row=132&amp;col=13&amp;number=&amp;sourceID=11","")</f>
        <v/>
      </c>
      <c r="N132" s="4" t="str">
        <f>HYPERLINK("http://141.218.60.56/~jnz1568/getInfo.php?workbook=10_01.xlsx&amp;sheet=A0&amp;row=132&amp;col=14&amp;number=8.2236&amp;sourceID=12","8.2236")</f>
        <v>8.2236</v>
      </c>
      <c r="O132" s="4" t="str">
        <f>HYPERLINK("http://141.218.60.56/~jnz1568/getInfo.php?workbook=10_01.xlsx&amp;sheet=A0&amp;row=132&amp;col=15&amp;number=&amp;sourceID=12","")</f>
        <v/>
      </c>
      <c r="P132" s="4" t="str">
        <f>HYPERLINK("http://141.218.60.56/~jnz1568/getInfo.php?workbook=10_01.xlsx&amp;sheet=A0&amp;row=132&amp;col=16&amp;number=&amp;sourceID=12","")</f>
        <v/>
      </c>
      <c r="Q132" s="4" t="str">
        <f>HYPERLINK("http://141.218.60.56/~jnz1568/getInfo.php?workbook=10_01.xlsx&amp;sheet=A0&amp;row=132&amp;col=17&amp;number=7.6732&amp;sourceID=12","7.6732")</f>
        <v>7.6732</v>
      </c>
      <c r="R132" s="4" t="str">
        <f>HYPERLINK("http://141.218.60.56/~jnz1568/getInfo.php?workbook=10_01.xlsx&amp;sheet=A0&amp;row=132&amp;col=18&amp;number=&amp;sourceID=12","")</f>
        <v/>
      </c>
      <c r="S132" s="4" t="str">
        <f>HYPERLINK("http://141.218.60.56/~jnz1568/getInfo.php?workbook=10_01.xlsx&amp;sheet=A0&amp;row=132&amp;col=19&amp;number=0.5504&amp;sourceID=12","0.5504")</f>
        <v>0.5504</v>
      </c>
      <c r="T132" s="4" t="str">
        <f>HYPERLINK("http://141.218.60.56/~jnz1568/getInfo.php?workbook=10_01.xlsx&amp;sheet=A0&amp;row=132&amp;col=20&amp;number=&amp;sourceID=12","")</f>
        <v/>
      </c>
      <c r="U132" s="4" t="str">
        <f>HYPERLINK("http://141.218.60.56/~jnz1568/getInfo.php?workbook=10_01.xlsx&amp;sheet=A0&amp;row=132&amp;col=21&amp;number=0.5504&amp;sourceID=30","0.5504")</f>
        <v>0.5504</v>
      </c>
      <c r="V132" s="4" t="str">
        <f>HYPERLINK("http://141.218.60.56/~jnz1568/getInfo.php?workbook=10_01.xlsx&amp;sheet=A0&amp;row=132&amp;col=22&amp;number=&amp;sourceID=30","")</f>
        <v/>
      </c>
      <c r="W132" s="4" t="str">
        <f>HYPERLINK("http://141.218.60.56/~jnz1568/getInfo.php?workbook=10_01.xlsx&amp;sheet=A0&amp;row=132&amp;col=23&amp;number=&amp;sourceID=30","")</f>
        <v/>
      </c>
      <c r="X132" s="4" t="str">
        <f>HYPERLINK("http://141.218.60.56/~jnz1568/getInfo.php?workbook=10_01.xlsx&amp;sheet=A0&amp;row=132&amp;col=24&amp;number=&amp;sourceID=30","")</f>
        <v/>
      </c>
      <c r="Y132" s="4" t="str">
        <f>HYPERLINK("http://141.218.60.56/~jnz1568/getInfo.php?workbook=10_01.xlsx&amp;sheet=A0&amp;row=132&amp;col=25&amp;number=0.5504&amp;sourceID=30","0.5504")</f>
        <v>0.5504</v>
      </c>
      <c r="Z132" s="4" t="str">
        <f>HYPERLINK("http://141.218.60.56/~jnz1568/getInfo.php?workbook=10_01.xlsx&amp;sheet=A0&amp;row=132&amp;col=26&amp;number=&amp;sourceID=13","")</f>
        <v/>
      </c>
      <c r="AA132" s="4" t="str">
        <f>HYPERLINK("http://141.218.60.56/~jnz1568/getInfo.php?workbook=10_01.xlsx&amp;sheet=A0&amp;row=132&amp;col=27&amp;number=&amp;sourceID=13","")</f>
        <v/>
      </c>
      <c r="AB132" s="4" t="str">
        <f>HYPERLINK("http://141.218.60.56/~jnz1568/getInfo.php?workbook=10_01.xlsx&amp;sheet=A0&amp;row=132&amp;col=28&amp;number=&amp;sourceID=13","")</f>
        <v/>
      </c>
      <c r="AC132" s="4" t="str">
        <f>HYPERLINK("http://141.218.60.56/~jnz1568/getInfo.php?workbook=10_01.xlsx&amp;sheet=A0&amp;row=132&amp;col=29&amp;number=&amp;sourceID=13","")</f>
        <v/>
      </c>
      <c r="AD132" s="4" t="str">
        <f>HYPERLINK("http://141.218.60.56/~jnz1568/getInfo.php?workbook=10_01.xlsx&amp;sheet=A0&amp;row=132&amp;col=30&amp;number=&amp;sourceID=13","")</f>
        <v/>
      </c>
      <c r="AE132" s="4" t="str">
        <f>HYPERLINK("http://141.218.60.56/~jnz1568/getInfo.php?workbook=10_01.xlsx&amp;sheet=A0&amp;row=132&amp;col=31&amp;number=&amp;sourceID=13","")</f>
        <v/>
      </c>
      <c r="AF132" s="4" t="str">
        <f>HYPERLINK("http://141.218.60.56/~jnz1568/getInfo.php?workbook=10_01.xlsx&amp;sheet=A0&amp;row=132&amp;col=32&amp;number=&amp;sourceID=20","")</f>
        <v/>
      </c>
    </row>
    <row r="133" spans="1:32">
      <c r="A133" s="3">
        <v>10</v>
      </c>
      <c r="B133" s="3">
        <v>1</v>
      </c>
      <c r="C133" s="3">
        <v>17</v>
      </c>
      <c r="D133" s="3">
        <v>16</v>
      </c>
      <c r="E133" s="3">
        <f>((1/(INDEX(E0!J$4:J$28,C133,1)-INDEX(E0!J$4:J$28,D133,1))))*100000000</f>
        <v>0</v>
      </c>
      <c r="F133" s="4" t="str">
        <f>HYPERLINK("http://141.218.60.56/~jnz1568/getInfo.php?workbook=10_01.xlsx&amp;sheet=A0&amp;row=133&amp;col=6&amp;number=&amp;sourceID=18","")</f>
        <v/>
      </c>
      <c r="G133" s="4" t="str">
        <f>HYPERLINK("http://141.218.60.56/~jnz1568/getInfo.php?workbook=10_01.xlsx&amp;sheet=A0&amp;row=133&amp;col=7&amp;number==&amp;sourceID=11","=")</f>
        <v>=</v>
      </c>
      <c r="H133" s="4" t="str">
        <f>HYPERLINK("http://141.218.60.56/~jnz1568/getInfo.php?workbook=10_01.xlsx&amp;sheet=A0&amp;row=133&amp;col=8&amp;number=&amp;sourceID=11","")</f>
        <v/>
      </c>
      <c r="I133" s="4" t="str">
        <f>HYPERLINK("http://141.218.60.56/~jnz1568/getInfo.php?workbook=10_01.xlsx&amp;sheet=A0&amp;row=133&amp;col=9&amp;number=&amp;sourceID=11","")</f>
        <v/>
      </c>
      <c r="J133" s="4" t="str">
        <f>HYPERLINK("http://141.218.60.56/~jnz1568/getInfo.php?workbook=10_01.xlsx&amp;sheet=A0&amp;row=133&amp;col=10&amp;number=&amp;sourceID=11","")</f>
        <v/>
      </c>
      <c r="K133" s="4" t="str">
        <f>HYPERLINK("http://141.218.60.56/~jnz1568/getInfo.php?workbook=10_01.xlsx&amp;sheet=A0&amp;row=133&amp;col=11&amp;number=&amp;sourceID=11","")</f>
        <v/>
      </c>
      <c r="L133" s="4" t="str">
        <f>HYPERLINK("http://141.218.60.56/~jnz1568/getInfo.php?workbook=10_01.xlsx&amp;sheet=A0&amp;row=133&amp;col=12&amp;number=&amp;sourceID=11","")</f>
        <v/>
      </c>
      <c r="M133" s="4" t="str">
        <f>HYPERLINK("http://141.218.60.56/~jnz1568/getInfo.php?workbook=10_01.xlsx&amp;sheet=A0&amp;row=133&amp;col=13&amp;number=2.0791e-05&amp;sourceID=11","2.0791e-05")</f>
        <v>2.0791e-05</v>
      </c>
      <c r="N133" s="4" t="str">
        <f>HYPERLINK("http://141.218.60.56/~jnz1568/getInfo.php?workbook=10_01.xlsx&amp;sheet=A0&amp;row=133&amp;col=14&amp;number=2.0791e-05&amp;sourceID=12","2.0791e-05")</f>
        <v>2.0791e-05</v>
      </c>
      <c r="O133" s="4" t="str">
        <f>HYPERLINK("http://141.218.60.56/~jnz1568/getInfo.php?workbook=10_01.xlsx&amp;sheet=A0&amp;row=133&amp;col=15&amp;number=&amp;sourceID=12","")</f>
        <v/>
      </c>
      <c r="P133" s="4" t="str">
        <f>HYPERLINK("http://141.218.60.56/~jnz1568/getInfo.php?workbook=10_01.xlsx&amp;sheet=A0&amp;row=133&amp;col=16&amp;number=&amp;sourceID=12","")</f>
        <v/>
      </c>
      <c r="Q133" s="4" t="str">
        <f>HYPERLINK("http://141.218.60.56/~jnz1568/getInfo.php?workbook=10_01.xlsx&amp;sheet=A0&amp;row=133&amp;col=17&amp;number=&amp;sourceID=12","")</f>
        <v/>
      </c>
      <c r="R133" s="4" t="str">
        <f>HYPERLINK("http://141.218.60.56/~jnz1568/getInfo.php?workbook=10_01.xlsx&amp;sheet=A0&amp;row=133&amp;col=18&amp;number=&amp;sourceID=12","")</f>
        <v/>
      </c>
      <c r="S133" s="4" t="str">
        <f>HYPERLINK("http://141.218.60.56/~jnz1568/getInfo.php?workbook=10_01.xlsx&amp;sheet=A0&amp;row=133&amp;col=19&amp;number=&amp;sourceID=12","")</f>
        <v/>
      </c>
      <c r="T133" s="4" t="str">
        <f>HYPERLINK("http://141.218.60.56/~jnz1568/getInfo.php?workbook=10_01.xlsx&amp;sheet=A0&amp;row=133&amp;col=20&amp;number=2.0791e-05&amp;sourceID=12","2.0791e-05")</f>
        <v>2.0791e-05</v>
      </c>
      <c r="U133" s="4" t="str">
        <f>HYPERLINK("http://141.218.60.56/~jnz1568/getInfo.php?workbook=10_01.xlsx&amp;sheet=A0&amp;row=133&amp;col=21&amp;number=&amp;sourceID=30","")</f>
        <v/>
      </c>
      <c r="V133" s="4" t="str">
        <f>HYPERLINK("http://141.218.60.56/~jnz1568/getInfo.php?workbook=10_01.xlsx&amp;sheet=A0&amp;row=133&amp;col=22&amp;number=&amp;sourceID=30","")</f>
        <v/>
      </c>
      <c r="W133" s="4" t="str">
        <f>HYPERLINK("http://141.218.60.56/~jnz1568/getInfo.php?workbook=10_01.xlsx&amp;sheet=A0&amp;row=133&amp;col=23&amp;number=&amp;sourceID=30","")</f>
        <v/>
      </c>
      <c r="X133" s="4" t="str">
        <f>HYPERLINK("http://141.218.60.56/~jnz1568/getInfo.php?workbook=10_01.xlsx&amp;sheet=A0&amp;row=133&amp;col=24&amp;number=&amp;sourceID=30","")</f>
        <v/>
      </c>
      <c r="Y133" s="4" t="str">
        <f>HYPERLINK("http://141.218.60.56/~jnz1568/getInfo.php?workbook=10_01.xlsx&amp;sheet=A0&amp;row=133&amp;col=25&amp;number=&amp;sourceID=30","")</f>
        <v/>
      </c>
      <c r="Z133" s="4" t="str">
        <f>HYPERLINK("http://141.218.60.56/~jnz1568/getInfo.php?workbook=10_01.xlsx&amp;sheet=A0&amp;row=133&amp;col=26&amp;number=&amp;sourceID=13","")</f>
        <v/>
      </c>
      <c r="AA133" s="4" t="str">
        <f>HYPERLINK("http://141.218.60.56/~jnz1568/getInfo.php?workbook=10_01.xlsx&amp;sheet=A0&amp;row=133&amp;col=27&amp;number=&amp;sourceID=13","")</f>
        <v/>
      </c>
      <c r="AB133" s="4" t="str">
        <f>HYPERLINK("http://141.218.60.56/~jnz1568/getInfo.php?workbook=10_01.xlsx&amp;sheet=A0&amp;row=133&amp;col=28&amp;number=&amp;sourceID=13","")</f>
        <v/>
      </c>
      <c r="AC133" s="4" t="str">
        <f>HYPERLINK("http://141.218.60.56/~jnz1568/getInfo.php?workbook=10_01.xlsx&amp;sheet=A0&amp;row=133&amp;col=29&amp;number=&amp;sourceID=13","")</f>
        <v/>
      </c>
      <c r="AD133" s="4" t="str">
        <f>HYPERLINK("http://141.218.60.56/~jnz1568/getInfo.php?workbook=10_01.xlsx&amp;sheet=A0&amp;row=133&amp;col=30&amp;number=&amp;sourceID=13","")</f>
        <v/>
      </c>
      <c r="AE133" s="4" t="str">
        <f>HYPERLINK("http://141.218.60.56/~jnz1568/getInfo.php?workbook=10_01.xlsx&amp;sheet=A0&amp;row=133&amp;col=31&amp;number=&amp;sourceID=13","")</f>
        <v/>
      </c>
      <c r="AF133" s="4" t="str">
        <f>HYPERLINK("http://141.218.60.56/~jnz1568/getInfo.php?workbook=10_01.xlsx&amp;sheet=A0&amp;row=133&amp;col=32&amp;number=&amp;sourceID=20","")</f>
        <v/>
      </c>
    </row>
    <row r="134" spans="1:32">
      <c r="A134" s="3">
        <v>10</v>
      </c>
      <c r="B134" s="3">
        <v>1</v>
      </c>
      <c r="C134" s="3">
        <v>18</v>
      </c>
      <c r="D134" s="3">
        <v>1</v>
      </c>
      <c r="E134" s="3">
        <f>((1/(INDEX(E0!J$4:J$28,C134,1)-INDEX(E0!J$4:J$28,D134,1))))*100000000</f>
        <v>0</v>
      </c>
      <c r="F134" s="4" t="str">
        <f>HYPERLINK("http://141.218.60.56/~jnz1568/getInfo.php?workbook=10_01.xlsx&amp;sheet=A0&amp;row=134&amp;col=6&amp;number=&amp;sourceID=18","")</f>
        <v/>
      </c>
      <c r="G134" s="4" t="str">
        <f>HYPERLINK("http://141.218.60.56/~jnz1568/getInfo.php?workbook=10_01.xlsx&amp;sheet=A0&amp;row=134&amp;col=7&amp;number==SUM(H134:M134)&amp;sourceID=11","=SUM(H134:M134)")</f>
        <v>=SUM(H134:M134)</v>
      </c>
      <c r="H134" s="4" t="str">
        <f>HYPERLINK("http://141.218.60.56/~jnz1568/getInfo.php?workbook=10_01.xlsx&amp;sheet=A0&amp;row=134&amp;col=8&amp;number=&amp;sourceID=11","")</f>
        <v/>
      </c>
      <c r="I134" s="4" t="str">
        <f>HYPERLINK("http://141.218.60.56/~jnz1568/getInfo.php?workbook=10_01.xlsx&amp;sheet=A0&amp;row=134&amp;col=9&amp;number=&amp;sourceID=11","")</f>
        <v/>
      </c>
      <c r="J134" s="4" t="str">
        <f>HYPERLINK("http://141.218.60.56/~jnz1568/getInfo.php?workbook=10_01.xlsx&amp;sheet=A0&amp;row=134&amp;col=10&amp;number=&amp;sourceID=11","")</f>
        <v/>
      </c>
      <c r="K134" s="4" t="str">
        <f>HYPERLINK("http://141.218.60.56/~jnz1568/getInfo.php?workbook=10_01.xlsx&amp;sheet=A0&amp;row=134&amp;col=11&amp;number=2884.4&amp;sourceID=11","2884.4")</f>
        <v>2884.4</v>
      </c>
      <c r="L134" s="4" t="str">
        <f>HYPERLINK("http://141.218.60.56/~jnz1568/getInfo.php?workbook=10_01.xlsx&amp;sheet=A0&amp;row=134&amp;col=12&amp;number=&amp;sourceID=11","")</f>
        <v/>
      </c>
      <c r="M134" s="4" t="str">
        <f>HYPERLINK("http://141.218.60.56/~jnz1568/getInfo.php?workbook=10_01.xlsx&amp;sheet=A0&amp;row=134&amp;col=13&amp;number=&amp;sourceID=11","")</f>
        <v/>
      </c>
      <c r="N134" s="4" t="str">
        <f>HYPERLINK("http://141.218.60.56/~jnz1568/getInfo.php?workbook=10_01.xlsx&amp;sheet=A0&amp;row=134&amp;col=14&amp;number=2884.4&amp;sourceID=12","2884.4")</f>
        <v>2884.4</v>
      </c>
      <c r="O134" s="4" t="str">
        <f>HYPERLINK("http://141.218.60.56/~jnz1568/getInfo.php?workbook=10_01.xlsx&amp;sheet=A0&amp;row=134&amp;col=15&amp;number=&amp;sourceID=12","")</f>
        <v/>
      </c>
      <c r="P134" s="4" t="str">
        <f>HYPERLINK("http://141.218.60.56/~jnz1568/getInfo.php?workbook=10_01.xlsx&amp;sheet=A0&amp;row=134&amp;col=16&amp;number=&amp;sourceID=12","")</f>
        <v/>
      </c>
      <c r="Q134" s="4" t="str">
        <f>HYPERLINK("http://141.218.60.56/~jnz1568/getInfo.php?workbook=10_01.xlsx&amp;sheet=A0&amp;row=134&amp;col=17&amp;number=&amp;sourceID=12","")</f>
        <v/>
      </c>
      <c r="R134" s="4" t="str">
        <f>HYPERLINK("http://141.218.60.56/~jnz1568/getInfo.php?workbook=10_01.xlsx&amp;sheet=A0&amp;row=134&amp;col=18&amp;number=2884.4&amp;sourceID=12","2884.4")</f>
        <v>2884.4</v>
      </c>
      <c r="S134" s="4" t="str">
        <f>HYPERLINK("http://141.218.60.56/~jnz1568/getInfo.php?workbook=10_01.xlsx&amp;sheet=A0&amp;row=134&amp;col=19&amp;number=&amp;sourceID=12","")</f>
        <v/>
      </c>
      <c r="T134" s="4" t="str">
        <f>HYPERLINK("http://141.218.60.56/~jnz1568/getInfo.php?workbook=10_01.xlsx&amp;sheet=A0&amp;row=134&amp;col=20&amp;number=&amp;sourceID=12","")</f>
        <v/>
      </c>
      <c r="U134" s="4" t="str">
        <f>HYPERLINK("http://141.218.60.56/~jnz1568/getInfo.php?workbook=10_01.xlsx&amp;sheet=A0&amp;row=134&amp;col=21&amp;number=2884&amp;sourceID=30","2884")</f>
        <v>2884</v>
      </c>
      <c r="V134" s="4" t="str">
        <f>HYPERLINK("http://141.218.60.56/~jnz1568/getInfo.php?workbook=10_01.xlsx&amp;sheet=A0&amp;row=134&amp;col=22&amp;number=&amp;sourceID=30","")</f>
        <v/>
      </c>
      <c r="W134" s="4" t="str">
        <f>HYPERLINK("http://141.218.60.56/~jnz1568/getInfo.php?workbook=10_01.xlsx&amp;sheet=A0&amp;row=134&amp;col=23&amp;number=&amp;sourceID=30","")</f>
        <v/>
      </c>
      <c r="X134" s="4" t="str">
        <f>HYPERLINK("http://141.218.60.56/~jnz1568/getInfo.php?workbook=10_01.xlsx&amp;sheet=A0&amp;row=134&amp;col=24&amp;number=2884&amp;sourceID=30","2884")</f>
        <v>2884</v>
      </c>
      <c r="Y134" s="4" t="str">
        <f>HYPERLINK("http://141.218.60.56/~jnz1568/getInfo.php?workbook=10_01.xlsx&amp;sheet=A0&amp;row=134&amp;col=25&amp;number=&amp;sourceID=30","")</f>
        <v/>
      </c>
      <c r="Z134" s="4" t="str">
        <f>HYPERLINK("http://141.218.60.56/~jnz1568/getInfo.php?workbook=10_01.xlsx&amp;sheet=A0&amp;row=134&amp;col=26&amp;number=&amp;sourceID=13","")</f>
        <v/>
      </c>
      <c r="AA134" s="4" t="str">
        <f>HYPERLINK("http://141.218.60.56/~jnz1568/getInfo.php?workbook=10_01.xlsx&amp;sheet=A0&amp;row=134&amp;col=27&amp;number=&amp;sourceID=13","")</f>
        <v/>
      </c>
      <c r="AB134" s="4" t="str">
        <f>HYPERLINK("http://141.218.60.56/~jnz1568/getInfo.php?workbook=10_01.xlsx&amp;sheet=A0&amp;row=134&amp;col=28&amp;number=&amp;sourceID=13","")</f>
        <v/>
      </c>
      <c r="AC134" s="4" t="str">
        <f>HYPERLINK("http://141.218.60.56/~jnz1568/getInfo.php?workbook=10_01.xlsx&amp;sheet=A0&amp;row=134&amp;col=29&amp;number=&amp;sourceID=13","")</f>
        <v/>
      </c>
      <c r="AD134" s="4" t="str">
        <f>HYPERLINK("http://141.218.60.56/~jnz1568/getInfo.php?workbook=10_01.xlsx&amp;sheet=A0&amp;row=134&amp;col=30&amp;number=&amp;sourceID=13","")</f>
        <v/>
      </c>
      <c r="AE134" s="4" t="str">
        <f>HYPERLINK("http://141.218.60.56/~jnz1568/getInfo.php?workbook=10_01.xlsx&amp;sheet=A0&amp;row=134&amp;col=31&amp;number=&amp;sourceID=13","")</f>
        <v/>
      </c>
      <c r="AF134" s="4" t="str">
        <f>HYPERLINK("http://141.218.60.56/~jnz1568/getInfo.php?workbook=10_01.xlsx&amp;sheet=A0&amp;row=134&amp;col=32&amp;number=&amp;sourceID=20","")</f>
        <v/>
      </c>
    </row>
    <row r="135" spans="1:32">
      <c r="A135" s="3">
        <v>10</v>
      </c>
      <c r="B135" s="3">
        <v>1</v>
      </c>
      <c r="C135" s="3">
        <v>18</v>
      </c>
      <c r="D135" s="3">
        <v>2</v>
      </c>
      <c r="E135" s="3">
        <f>((1/(INDEX(E0!J$4:J$28,C135,1)-INDEX(E0!J$4:J$28,D135,1))))*100000000</f>
        <v>0</v>
      </c>
      <c r="F135" s="4" t="str">
        <f>HYPERLINK("http://141.218.60.56/~jnz1568/getInfo.php?workbook=10_01.xlsx&amp;sheet=A0&amp;row=135&amp;col=6&amp;number=&amp;sourceID=18","")</f>
        <v/>
      </c>
      <c r="G135" s="4" t="str">
        <f>HYPERLINK("http://141.218.60.56/~jnz1568/getInfo.php?workbook=10_01.xlsx&amp;sheet=A0&amp;row=135&amp;col=7&amp;number==&amp;sourceID=11","=")</f>
        <v>=</v>
      </c>
      <c r="H135" s="4" t="str">
        <f>HYPERLINK("http://141.218.60.56/~jnz1568/getInfo.php?workbook=10_01.xlsx&amp;sheet=A0&amp;row=135&amp;col=8&amp;number=4311000000&amp;sourceID=11","4311000000")</f>
        <v>4311000000</v>
      </c>
      <c r="I135" s="4" t="str">
        <f>HYPERLINK("http://141.218.60.56/~jnz1568/getInfo.php?workbook=10_01.xlsx&amp;sheet=A0&amp;row=135&amp;col=9&amp;number=&amp;sourceID=11","")</f>
        <v/>
      </c>
      <c r="J135" s="4" t="str">
        <f>HYPERLINK("http://141.218.60.56/~jnz1568/getInfo.php?workbook=10_01.xlsx&amp;sheet=A0&amp;row=135&amp;col=10&amp;number=&amp;sourceID=11","")</f>
        <v/>
      </c>
      <c r="K135" s="4" t="str">
        <f>HYPERLINK("http://141.218.60.56/~jnz1568/getInfo.php?workbook=10_01.xlsx&amp;sheet=A0&amp;row=135&amp;col=11&amp;number=&amp;sourceID=11","")</f>
        <v/>
      </c>
      <c r="L135" s="4" t="str">
        <f>HYPERLINK("http://141.218.60.56/~jnz1568/getInfo.php?workbook=10_01.xlsx&amp;sheet=A0&amp;row=135&amp;col=12&amp;number=&amp;sourceID=11","")</f>
        <v/>
      </c>
      <c r="M135" s="4" t="str">
        <f>HYPERLINK("http://141.218.60.56/~jnz1568/getInfo.php?workbook=10_01.xlsx&amp;sheet=A0&amp;row=135&amp;col=13&amp;number=&amp;sourceID=11","")</f>
        <v/>
      </c>
      <c r="N135" s="4" t="str">
        <f>HYPERLINK("http://141.218.60.56/~jnz1568/getInfo.php?workbook=10_01.xlsx&amp;sheet=A0&amp;row=135&amp;col=14&amp;number=4311100000&amp;sourceID=12","4311100000")</f>
        <v>4311100000</v>
      </c>
      <c r="O135" s="4" t="str">
        <f>HYPERLINK("http://141.218.60.56/~jnz1568/getInfo.php?workbook=10_01.xlsx&amp;sheet=A0&amp;row=135&amp;col=15&amp;number=4311100000&amp;sourceID=12","4311100000")</f>
        <v>4311100000</v>
      </c>
      <c r="P135" s="4" t="str">
        <f>HYPERLINK("http://141.218.60.56/~jnz1568/getInfo.php?workbook=10_01.xlsx&amp;sheet=A0&amp;row=135&amp;col=16&amp;number=&amp;sourceID=12","")</f>
        <v/>
      </c>
      <c r="Q135" s="4" t="str">
        <f>HYPERLINK("http://141.218.60.56/~jnz1568/getInfo.php?workbook=10_01.xlsx&amp;sheet=A0&amp;row=135&amp;col=17&amp;number=&amp;sourceID=12","")</f>
        <v/>
      </c>
      <c r="R135" s="4" t="str">
        <f>HYPERLINK("http://141.218.60.56/~jnz1568/getInfo.php?workbook=10_01.xlsx&amp;sheet=A0&amp;row=135&amp;col=18&amp;number=&amp;sourceID=12","")</f>
        <v/>
      </c>
      <c r="S135" s="4" t="str">
        <f>HYPERLINK("http://141.218.60.56/~jnz1568/getInfo.php?workbook=10_01.xlsx&amp;sheet=A0&amp;row=135&amp;col=19&amp;number=&amp;sourceID=12","")</f>
        <v/>
      </c>
      <c r="T135" s="4" t="str">
        <f>HYPERLINK("http://141.218.60.56/~jnz1568/getInfo.php?workbook=10_01.xlsx&amp;sheet=A0&amp;row=135&amp;col=20&amp;number=&amp;sourceID=12","")</f>
        <v/>
      </c>
      <c r="U135" s="4" t="str">
        <f>HYPERLINK("http://141.218.60.56/~jnz1568/getInfo.php?workbook=10_01.xlsx&amp;sheet=A0&amp;row=135&amp;col=21&amp;number=4311000000&amp;sourceID=30","4311000000")</f>
        <v>4311000000</v>
      </c>
      <c r="V135" s="4" t="str">
        <f>HYPERLINK("http://141.218.60.56/~jnz1568/getInfo.php?workbook=10_01.xlsx&amp;sheet=A0&amp;row=135&amp;col=22&amp;number=4311000000&amp;sourceID=30","4311000000")</f>
        <v>4311000000</v>
      </c>
      <c r="W135" s="4" t="str">
        <f>HYPERLINK("http://141.218.60.56/~jnz1568/getInfo.php?workbook=10_01.xlsx&amp;sheet=A0&amp;row=135&amp;col=23&amp;number=&amp;sourceID=30","")</f>
        <v/>
      </c>
      <c r="X135" s="4" t="str">
        <f>HYPERLINK("http://141.218.60.56/~jnz1568/getInfo.php?workbook=10_01.xlsx&amp;sheet=A0&amp;row=135&amp;col=24&amp;number=&amp;sourceID=30","")</f>
        <v/>
      </c>
      <c r="Y135" s="4" t="str">
        <f>HYPERLINK("http://141.218.60.56/~jnz1568/getInfo.php?workbook=10_01.xlsx&amp;sheet=A0&amp;row=135&amp;col=25&amp;number=&amp;sourceID=30","")</f>
        <v/>
      </c>
      <c r="Z135" s="4" t="str">
        <f>HYPERLINK("http://141.218.60.56/~jnz1568/getInfo.php?workbook=10_01.xlsx&amp;sheet=A0&amp;row=135&amp;col=26&amp;number=&amp;sourceID=13","")</f>
        <v/>
      </c>
      <c r="AA135" s="4" t="str">
        <f>HYPERLINK("http://141.218.60.56/~jnz1568/getInfo.php?workbook=10_01.xlsx&amp;sheet=A0&amp;row=135&amp;col=27&amp;number=&amp;sourceID=13","")</f>
        <v/>
      </c>
      <c r="AB135" s="4" t="str">
        <f>HYPERLINK("http://141.218.60.56/~jnz1568/getInfo.php?workbook=10_01.xlsx&amp;sheet=A0&amp;row=135&amp;col=28&amp;number=&amp;sourceID=13","")</f>
        <v/>
      </c>
      <c r="AC135" s="4" t="str">
        <f>HYPERLINK("http://141.218.60.56/~jnz1568/getInfo.php?workbook=10_01.xlsx&amp;sheet=A0&amp;row=135&amp;col=29&amp;number=&amp;sourceID=13","")</f>
        <v/>
      </c>
      <c r="AD135" s="4" t="str">
        <f>HYPERLINK("http://141.218.60.56/~jnz1568/getInfo.php?workbook=10_01.xlsx&amp;sheet=A0&amp;row=135&amp;col=30&amp;number=&amp;sourceID=13","")</f>
        <v/>
      </c>
      <c r="AE135" s="4" t="str">
        <f>HYPERLINK("http://141.218.60.56/~jnz1568/getInfo.php?workbook=10_01.xlsx&amp;sheet=A0&amp;row=135&amp;col=31&amp;number=&amp;sourceID=13","")</f>
        <v/>
      </c>
      <c r="AF135" s="4" t="str">
        <f>HYPERLINK("http://141.218.60.56/~jnz1568/getInfo.php?workbook=10_01.xlsx&amp;sheet=A0&amp;row=135&amp;col=32&amp;number=&amp;sourceID=20","")</f>
        <v/>
      </c>
    </row>
    <row r="136" spans="1:32">
      <c r="A136" s="3">
        <v>10</v>
      </c>
      <c r="B136" s="3">
        <v>1</v>
      </c>
      <c r="C136" s="3">
        <v>18</v>
      </c>
      <c r="D136" s="3">
        <v>3</v>
      </c>
      <c r="E136" s="3">
        <f>((1/(INDEX(E0!J$4:J$28,C136,1)-INDEX(E0!J$4:J$28,D136,1))))*100000000</f>
        <v>0</v>
      </c>
      <c r="F136" s="4" t="str">
        <f>HYPERLINK("http://141.218.60.56/~jnz1568/getInfo.php?workbook=10_01.xlsx&amp;sheet=A0&amp;row=136&amp;col=6&amp;number=&amp;sourceID=18","")</f>
        <v/>
      </c>
      <c r="G136" s="4" t="str">
        <f>HYPERLINK("http://141.218.60.56/~jnz1568/getInfo.php?workbook=10_01.xlsx&amp;sheet=A0&amp;row=136&amp;col=7&amp;number==&amp;sourceID=11","=")</f>
        <v>=</v>
      </c>
      <c r="H136" s="4" t="str">
        <f>HYPERLINK("http://141.218.60.56/~jnz1568/getInfo.php?workbook=10_01.xlsx&amp;sheet=A0&amp;row=136&amp;col=8&amp;number=&amp;sourceID=11","")</f>
        <v/>
      </c>
      <c r="I136" s="4" t="str">
        <f>HYPERLINK("http://141.218.60.56/~jnz1568/getInfo.php?workbook=10_01.xlsx&amp;sheet=A0&amp;row=136&amp;col=9&amp;number=&amp;sourceID=11","")</f>
        <v/>
      </c>
      <c r="J136" s="4" t="str">
        <f>HYPERLINK("http://141.218.60.56/~jnz1568/getInfo.php?workbook=10_01.xlsx&amp;sheet=A0&amp;row=136&amp;col=10&amp;number=&amp;sourceID=11","")</f>
        <v/>
      </c>
      <c r="K136" s="4" t="str">
        <f>HYPERLINK("http://141.218.60.56/~jnz1568/getInfo.php?workbook=10_01.xlsx&amp;sheet=A0&amp;row=136&amp;col=11&amp;number=10.9&amp;sourceID=11","10.9")</f>
        <v>10.9</v>
      </c>
      <c r="L136" s="4" t="str">
        <f>HYPERLINK("http://141.218.60.56/~jnz1568/getInfo.php?workbook=10_01.xlsx&amp;sheet=A0&amp;row=136&amp;col=12&amp;number=&amp;sourceID=11","")</f>
        <v/>
      </c>
      <c r="M136" s="4" t="str">
        <f>HYPERLINK("http://141.218.60.56/~jnz1568/getInfo.php?workbook=10_01.xlsx&amp;sheet=A0&amp;row=136&amp;col=13&amp;number=&amp;sourceID=11","")</f>
        <v/>
      </c>
      <c r="N136" s="4" t="str">
        <f>HYPERLINK("http://141.218.60.56/~jnz1568/getInfo.php?workbook=10_01.xlsx&amp;sheet=A0&amp;row=136&amp;col=14&amp;number=10.899&amp;sourceID=12","10.899")</f>
        <v>10.899</v>
      </c>
      <c r="O136" s="4" t="str">
        <f>HYPERLINK("http://141.218.60.56/~jnz1568/getInfo.php?workbook=10_01.xlsx&amp;sheet=A0&amp;row=136&amp;col=15&amp;number=&amp;sourceID=12","")</f>
        <v/>
      </c>
      <c r="P136" s="4" t="str">
        <f>HYPERLINK("http://141.218.60.56/~jnz1568/getInfo.php?workbook=10_01.xlsx&amp;sheet=A0&amp;row=136&amp;col=16&amp;number=&amp;sourceID=12","")</f>
        <v/>
      </c>
      <c r="Q136" s="4" t="str">
        <f>HYPERLINK("http://141.218.60.56/~jnz1568/getInfo.php?workbook=10_01.xlsx&amp;sheet=A0&amp;row=136&amp;col=17&amp;number=&amp;sourceID=12","")</f>
        <v/>
      </c>
      <c r="R136" s="4" t="str">
        <f>HYPERLINK("http://141.218.60.56/~jnz1568/getInfo.php?workbook=10_01.xlsx&amp;sheet=A0&amp;row=136&amp;col=18&amp;number=10.899&amp;sourceID=12","10.899")</f>
        <v>10.899</v>
      </c>
      <c r="S136" s="4" t="str">
        <f>HYPERLINK("http://141.218.60.56/~jnz1568/getInfo.php?workbook=10_01.xlsx&amp;sheet=A0&amp;row=136&amp;col=19&amp;number=&amp;sourceID=12","")</f>
        <v/>
      </c>
      <c r="T136" s="4" t="str">
        <f>HYPERLINK("http://141.218.60.56/~jnz1568/getInfo.php?workbook=10_01.xlsx&amp;sheet=A0&amp;row=136&amp;col=20&amp;number=&amp;sourceID=12","")</f>
        <v/>
      </c>
      <c r="U136" s="4" t="str">
        <f>HYPERLINK("http://141.218.60.56/~jnz1568/getInfo.php?workbook=10_01.xlsx&amp;sheet=A0&amp;row=136&amp;col=21&amp;number=10.9&amp;sourceID=30","10.9")</f>
        <v>10.9</v>
      </c>
      <c r="V136" s="4" t="str">
        <f>HYPERLINK("http://141.218.60.56/~jnz1568/getInfo.php?workbook=10_01.xlsx&amp;sheet=A0&amp;row=136&amp;col=22&amp;number=&amp;sourceID=30","")</f>
        <v/>
      </c>
      <c r="W136" s="4" t="str">
        <f>HYPERLINK("http://141.218.60.56/~jnz1568/getInfo.php?workbook=10_01.xlsx&amp;sheet=A0&amp;row=136&amp;col=23&amp;number=&amp;sourceID=30","")</f>
        <v/>
      </c>
      <c r="X136" s="4" t="str">
        <f>HYPERLINK("http://141.218.60.56/~jnz1568/getInfo.php?workbook=10_01.xlsx&amp;sheet=A0&amp;row=136&amp;col=24&amp;number=10.9&amp;sourceID=30","10.9")</f>
        <v>10.9</v>
      </c>
      <c r="Y136" s="4" t="str">
        <f>HYPERLINK("http://141.218.60.56/~jnz1568/getInfo.php?workbook=10_01.xlsx&amp;sheet=A0&amp;row=136&amp;col=25&amp;number=&amp;sourceID=30","")</f>
        <v/>
      </c>
      <c r="Z136" s="4" t="str">
        <f>HYPERLINK("http://141.218.60.56/~jnz1568/getInfo.php?workbook=10_01.xlsx&amp;sheet=A0&amp;row=136&amp;col=26&amp;number=&amp;sourceID=13","")</f>
        <v/>
      </c>
      <c r="AA136" s="4" t="str">
        <f>HYPERLINK("http://141.218.60.56/~jnz1568/getInfo.php?workbook=10_01.xlsx&amp;sheet=A0&amp;row=136&amp;col=27&amp;number=&amp;sourceID=13","")</f>
        <v/>
      </c>
      <c r="AB136" s="4" t="str">
        <f>HYPERLINK("http://141.218.60.56/~jnz1568/getInfo.php?workbook=10_01.xlsx&amp;sheet=A0&amp;row=136&amp;col=28&amp;number=&amp;sourceID=13","")</f>
        <v/>
      </c>
      <c r="AC136" s="4" t="str">
        <f>HYPERLINK("http://141.218.60.56/~jnz1568/getInfo.php?workbook=10_01.xlsx&amp;sheet=A0&amp;row=136&amp;col=29&amp;number=&amp;sourceID=13","")</f>
        <v/>
      </c>
      <c r="AD136" s="4" t="str">
        <f>HYPERLINK("http://141.218.60.56/~jnz1568/getInfo.php?workbook=10_01.xlsx&amp;sheet=A0&amp;row=136&amp;col=30&amp;number=&amp;sourceID=13","")</f>
        <v/>
      </c>
      <c r="AE136" s="4" t="str">
        <f>HYPERLINK("http://141.218.60.56/~jnz1568/getInfo.php?workbook=10_01.xlsx&amp;sheet=A0&amp;row=136&amp;col=31&amp;number=&amp;sourceID=13","")</f>
        <v/>
      </c>
      <c r="AF136" s="4" t="str">
        <f>HYPERLINK("http://141.218.60.56/~jnz1568/getInfo.php?workbook=10_01.xlsx&amp;sheet=A0&amp;row=136&amp;col=32&amp;number=&amp;sourceID=20","")</f>
        <v/>
      </c>
    </row>
    <row r="137" spans="1:32">
      <c r="A137" s="3">
        <v>10</v>
      </c>
      <c r="B137" s="3">
        <v>1</v>
      </c>
      <c r="C137" s="3">
        <v>18</v>
      </c>
      <c r="D137" s="3">
        <v>4</v>
      </c>
      <c r="E137" s="3">
        <f>((1/(INDEX(E0!J$4:J$28,C137,1)-INDEX(E0!J$4:J$28,D137,1))))*100000000</f>
        <v>0</v>
      </c>
      <c r="F137" s="4" t="str">
        <f>HYPERLINK("http://141.218.60.56/~jnz1568/getInfo.php?workbook=10_01.xlsx&amp;sheet=A0&amp;row=137&amp;col=6&amp;number=&amp;sourceID=18","")</f>
        <v/>
      </c>
      <c r="G137" s="4" t="str">
        <f>HYPERLINK("http://141.218.60.56/~jnz1568/getInfo.php?workbook=10_01.xlsx&amp;sheet=A0&amp;row=137&amp;col=7&amp;number==&amp;sourceID=11","=")</f>
        <v>=</v>
      </c>
      <c r="H137" s="4" t="str">
        <f>HYPERLINK("http://141.218.60.56/~jnz1568/getInfo.php?workbook=10_01.xlsx&amp;sheet=A0&amp;row=137&amp;col=8&amp;number=8710100000&amp;sourceID=11","8710100000")</f>
        <v>8710100000</v>
      </c>
      <c r="I137" s="4" t="str">
        <f>HYPERLINK("http://141.218.60.56/~jnz1568/getInfo.php?workbook=10_01.xlsx&amp;sheet=A0&amp;row=137&amp;col=9&amp;number=&amp;sourceID=11","")</f>
        <v/>
      </c>
      <c r="J137" s="4" t="str">
        <f>HYPERLINK("http://141.218.60.56/~jnz1568/getInfo.php?workbook=10_01.xlsx&amp;sheet=A0&amp;row=137&amp;col=10&amp;number=&amp;sourceID=11","")</f>
        <v/>
      </c>
      <c r="K137" s="4" t="str">
        <f>HYPERLINK("http://141.218.60.56/~jnz1568/getInfo.php?workbook=10_01.xlsx&amp;sheet=A0&amp;row=137&amp;col=11&amp;number=&amp;sourceID=11","")</f>
        <v/>
      </c>
      <c r="L137" s="4" t="str">
        <f>HYPERLINK("http://141.218.60.56/~jnz1568/getInfo.php?workbook=10_01.xlsx&amp;sheet=A0&amp;row=137&amp;col=12&amp;number=511.41&amp;sourceID=11","511.41")</f>
        <v>511.41</v>
      </c>
      <c r="M137" s="4" t="str">
        <f>HYPERLINK("http://141.218.60.56/~jnz1568/getInfo.php?workbook=10_01.xlsx&amp;sheet=A0&amp;row=137&amp;col=13&amp;number=&amp;sourceID=11","")</f>
        <v/>
      </c>
      <c r="N137" s="4" t="str">
        <f>HYPERLINK("http://141.218.60.56/~jnz1568/getInfo.php?workbook=10_01.xlsx&amp;sheet=A0&amp;row=137&amp;col=14&amp;number=8710400000&amp;sourceID=12","8710400000")</f>
        <v>8710400000</v>
      </c>
      <c r="O137" s="4" t="str">
        <f>HYPERLINK("http://141.218.60.56/~jnz1568/getInfo.php?workbook=10_01.xlsx&amp;sheet=A0&amp;row=137&amp;col=15&amp;number=8710400000&amp;sourceID=12","8710400000")</f>
        <v>8710400000</v>
      </c>
      <c r="P137" s="4" t="str">
        <f>HYPERLINK("http://141.218.60.56/~jnz1568/getInfo.php?workbook=10_01.xlsx&amp;sheet=A0&amp;row=137&amp;col=16&amp;number=&amp;sourceID=12","")</f>
        <v/>
      </c>
      <c r="Q137" s="4" t="str">
        <f>HYPERLINK("http://141.218.60.56/~jnz1568/getInfo.php?workbook=10_01.xlsx&amp;sheet=A0&amp;row=137&amp;col=17&amp;number=&amp;sourceID=12","")</f>
        <v/>
      </c>
      <c r="R137" s="4" t="str">
        <f>HYPERLINK("http://141.218.60.56/~jnz1568/getInfo.php?workbook=10_01.xlsx&amp;sheet=A0&amp;row=137&amp;col=18&amp;number=&amp;sourceID=12","")</f>
        <v/>
      </c>
      <c r="S137" s="4" t="str">
        <f>HYPERLINK("http://141.218.60.56/~jnz1568/getInfo.php?workbook=10_01.xlsx&amp;sheet=A0&amp;row=137&amp;col=19&amp;number=511.43&amp;sourceID=12","511.43")</f>
        <v>511.43</v>
      </c>
      <c r="T137" s="4" t="str">
        <f>HYPERLINK("http://141.218.60.56/~jnz1568/getInfo.php?workbook=10_01.xlsx&amp;sheet=A0&amp;row=137&amp;col=20&amp;number=&amp;sourceID=12","")</f>
        <v/>
      </c>
      <c r="U137" s="4" t="str">
        <f>HYPERLINK("http://141.218.60.56/~jnz1568/getInfo.php?workbook=10_01.xlsx&amp;sheet=A0&amp;row=137&amp;col=21&amp;number=8710000511.4&amp;sourceID=30","8710000511.4")</f>
        <v>8710000511.4</v>
      </c>
      <c r="V137" s="4" t="str">
        <f>HYPERLINK("http://141.218.60.56/~jnz1568/getInfo.php?workbook=10_01.xlsx&amp;sheet=A0&amp;row=137&amp;col=22&amp;number=8710000000&amp;sourceID=30","8710000000")</f>
        <v>8710000000</v>
      </c>
      <c r="W137" s="4" t="str">
        <f>HYPERLINK("http://141.218.60.56/~jnz1568/getInfo.php?workbook=10_01.xlsx&amp;sheet=A0&amp;row=137&amp;col=23&amp;number=&amp;sourceID=30","")</f>
        <v/>
      </c>
      <c r="X137" s="4" t="str">
        <f>HYPERLINK("http://141.218.60.56/~jnz1568/getInfo.php?workbook=10_01.xlsx&amp;sheet=A0&amp;row=137&amp;col=24&amp;number=&amp;sourceID=30","")</f>
        <v/>
      </c>
      <c r="Y137" s="4" t="str">
        <f>HYPERLINK("http://141.218.60.56/~jnz1568/getInfo.php?workbook=10_01.xlsx&amp;sheet=A0&amp;row=137&amp;col=25&amp;number=511.4&amp;sourceID=30","511.4")</f>
        <v>511.4</v>
      </c>
      <c r="Z137" s="4" t="str">
        <f>HYPERLINK("http://141.218.60.56/~jnz1568/getInfo.php?workbook=10_01.xlsx&amp;sheet=A0&amp;row=137&amp;col=26&amp;number=&amp;sourceID=13","")</f>
        <v/>
      </c>
      <c r="AA137" s="4" t="str">
        <f>HYPERLINK("http://141.218.60.56/~jnz1568/getInfo.php?workbook=10_01.xlsx&amp;sheet=A0&amp;row=137&amp;col=27&amp;number=&amp;sourceID=13","")</f>
        <v/>
      </c>
      <c r="AB137" s="4" t="str">
        <f>HYPERLINK("http://141.218.60.56/~jnz1568/getInfo.php?workbook=10_01.xlsx&amp;sheet=A0&amp;row=137&amp;col=28&amp;number=&amp;sourceID=13","")</f>
        <v/>
      </c>
      <c r="AC137" s="4" t="str">
        <f>HYPERLINK("http://141.218.60.56/~jnz1568/getInfo.php?workbook=10_01.xlsx&amp;sheet=A0&amp;row=137&amp;col=29&amp;number=&amp;sourceID=13","")</f>
        <v/>
      </c>
      <c r="AD137" s="4" t="str">
        <f>HYPERLINK("http://141.218.60.56/~jnz1568/getInfo.php?workbook=10_01.xlsx&amp;sheet=A0&amp;row=137&amp;col=30&amp;number=&amp;sourceID=13","")</f>
        <v/>
      </c>
      <c r="AE137" s="4" t="str">
        <f>HYPERLINK("http://141.218.60.56/~jnz1568/getInfo.php?workbook=10_01.xlsx&amp;sheet=A0&amp;row=137&amp;col=31&amp;number=&amp;sourceID=13","")</f>
        <v/>
      </c>
      <c r="AF137" s="4" t="str">
        <f>HYPERLINK("http://141.218.60.56/~jnz1568/getInfo.php?workbook=10_01.xlsx&amp;sheet=A0&amp;row=137&amp;col=32&amp;number=&amp;sourceID=20","")</f>
        <v/>
      </c>
    </row>
    <row r="138" spans="1:32">
      <c r="A138" s="3">
        <v>10</v>
      </c>
      <c r="B138" s="3">
        <v>1</v>
      </c>
      <c r="C138" s="3">
        <v>18</v>
      </c>
      <c r="D138" s="3">
        <v>5</v>
      </c>
      <c r="E138" s="3">
        <f>((1/(INDEX(E0!J$4:J$28,C138,1)-INDEX(E0!J$4:J$28,D138,1))))*100000000</f>
        <v>0</v>
      </c>
      <c r="F138" s="4" t="str">
        <f>HYPERLINK("http://141.218.60.56/~jnz1568/getInfo.php?workbook=10_01.xlsx&amp;sheet=A0&amp;row=138&amp;col=6&amp;number=&amp;sourceID=18","")</f>
        <v/>
      </c>
      <c r="G138" s="4" t="str">
        <f>HYPERLINK("http://141.218.60.56/~jnz1568/getInfo.php?workbook=10_01.xlsx&amp;sheet=A0&amp;row=138&amp;col=7&amp;number==&amp;sourceID=11","=")</f>
        <v>=</v>
      </c>
      <c r="H138" s="4" t="str">
        <f>HYPERLINK("http://141.218.60.56/~jnz1568/getInfo.php?workbook=10_01.xlsx&amp;sheet=A0&amp;row=138&amp;col=8&amp;number=3024900000&amp;sourceID=11","3024900000")</f>
        <v>3024900000</v>
      </c>
      <c r="I138" s="4" t="str">
        <f>HYPERLINK("http://141.218.60.56/~jnz1568/getInfo.php?workbook=10_01.xlsx&amp;sheet=A0&amp;row=138&amp;col=9&amp;number=&amp;sourceID=11","")</f>
        <v/>
      </c>
      <c r="J138" s="4" t="str">
        <f>HYPERLINK("http://141.218.60.56/~jnz1568/getInfo.php?workbook=10_01.xlsx&amp;sheet=A0&amp;row=138&amp;col=10&amp;number=&amp;sourceID=11","")</f>
        <v/>
      </c>
      <c r="K138" s="4" t="str">
        <f>HYPERLINK("http://141.218.60.56/~jnz1568/getInfo.php?workbook=10_01.xlsx&amp;sheet=A0&amp;row=138&amp;col=11&amp;number=&amp;sourceID=11","")</f>
        <v/>
      </c>
      <c r="L138" s="4" t="str">
        <f>HYPERLINK("http://141.218.60.56/~jnz1568/getInfo.php?workbook=10_01.xlsx&amp;sheet=A0&amp;row=138&amp;col=12&amp;number=&amp;sourceID=11","")</f>
        <v/>
      </c>
      <c r="M138" s="4" t="str">
        <f>HYPERLINK("http://141.218.60.56/~jnz1568/getInfo.php?workbook=10_01.xlsx&amp;sheet=A0&amp;row=138&amp;col=13&amp;number=&amp;sourceID=11","")</f>
        <v/>
      </c>
      <c r="N138" s="4" t="str">
        <f>HYPERLINK("http://141.218.60.56/~jnz1568/getInfo.php?workbook=10_01.xlsx&amp;sheet=A0&amp;row=138&amp;col=14&amp;number=3025000000&amp;sourceID=12","3025000000")</f>
        <v>3025000000</v>
      </c>
      <c r="O138" s="4" t="str">
        <f>HYPERLINK("http://141.218.60.56/~jnz1568/getInfo.php?workbook=10_01.xlsx&amp;sheet=A0&amp;row=138&amp;col=15&amp;number=3025000000&amp;sourceID=12","3025000000")</f>
        <v>3025000000</v>
      </c>
      <c r="P138" s="4" t="str">
        <f>HYPERLINK("http://141.218.60.56/~jnz1568/getInfo.php?workbook=10_01.xlsx&amp;sheet=A0&amp;row=138&amp;col=16&amp;number=&amp;sourceID=12","")</f>
        <v/>
      </c>
      <c r="Q138" s="4" t="str">
        <f>HYPERLINK("http://141.218.60.56/~jnz1568/getInfo.php?workbook=10_01.xlsx&amp;sheet=A0&amp;row=138&amp;col=17&amp;number=&amp;sourceID=12","")</f>
        <v/>
      </c>
      <c r="R138" s="4" t="str">
        <f>HYPERLINK("http://141.218.60.56/~jnz1568/getInfo.php?workbook=10_01.xlsx&amp;sheet=A0&amp;row=138&amp;col=18&amp;number=&amp;sourceID=12","")</f>
        <v/>
      </c>
      <c r="S138" s="4" t="str">
        <f>HYPERLINK("http://141.218.60.56/~jnz1568/getInfo.php?workbook=10_01.xlsx&amp;sheet=A0&amp;row=138&amp;col=19&amp;number=&amp;sourceID=12","")</f>
        <v/>
      </c>
      <c r="T138" s="4" t="str">
        <f>HYPERLINK("http://141.218.60.56/~jnz1568/getInfo.php?workbook=10_01.xlsx&amp;sheet=A0&amp;row=138&amp;col=20&amp;number=&amp;sourceID=12","")</f>
        <v/>
      </c>
      <c r="U138" s="4" t="str">
        <f>HYPERLINK("http://141.218.60.56/~jnz1568/getInfo.php?workbook=10_01.xlsx&amp;sheet=A0&amp;row=138&amp;col=21&amp;number=3025000000&amp;sourceID=30","3025000000")</f>
        <v>3025000000</v>
      </c>
      <c r="V138" s="4" t="str">
        <f>HYPERLINK("http://141.218.60.56/~jnz1568/getInfo.php?workbook=10_01.xlsx&amp;sheet=A0&amp;row=138&amp;col=22&amp;number=3025000000&amp;sourceID=30","3025000000")</f>
        <v>3025000000</v>
      </c>
      <c r="W138" s="4" t="str">
        <f>HYPERLINK("http://141.218.60.56/~jnz1568/getInfo.php?workbook=10_01.xlsx&amp;sheet=A0&amp;row=138&amp;col=23&amp;number=&amp;sourceID=30","")</f>
        <v/>
      </c>
      <c r="X138" s="4" t="str">
        <f>HYPERLINK("http://141.218.60.56/~jnz1568/getInfo.php?workbook=10_01.xlsx&amp;sheet=A0&amp;row=138&amp;col=24&amp;number=&amp;sourceID=30","")</f>
        <v/>
      </c>
      <c r="Y138" s="4" t="str">
        <f>HYPERLINK("http://141.218.60.56/~jnz1568/getInfo.php?workbook=10_01.xlsx&amp;sheet=A0&amp;row=138&amp;col=25&amp;number=&amp;sourceID=30","")</f>
        <v/>
      </c>
      <c r="Z138" s="4" t="str">
        <f>HYPERLINK("http://141.218.60.56/~jnz1568/getInfo.php?workbook=10_01.xlsx&amp;sheet=A0&amp;row=138&amp;col=26&amp;number=&amp;sourceID=13","")</f>
        <v/>
      </c>
      <c r="AA138" s="4" t="str">
        <f>HYPERLINK("http://141.218.60.56/~jnz1568/getInfo.php?workbook=10_01.xlsx&amp;sheet=A0&amp;row=138&amp;col=27&amp;number=&amp;sourceID=13","")</f>
        <v/>
      </c>
      <c r="AB138" s="4" t="str">
        <f>HYPERLINK("http://141.218.60.56/~jnz1568/getInfo.php?workbook=10_01.xlsx&amp;sheet=A0&amp;row=138&amp;col=28&amp;number=&amp;sourceID=13","")</f>
        <v/>
      </c>
      <c r="AC138" s="4" t="str">
        <f>HYPERLINK("http://141.218.60.56/~jnz1568/getInfo.php?workbook=10_01.xlsx&amp;sheet=A0&amp;row=138&amp;col=29&amp;number=&amp;sourceID=13","")</f>
        <v/>
      </c>
      <c r="AD138" s="4" t="str">
        <f>HYPERLINK("http://141.218.60.56/~jnz1568/getInfo.php?workbook=10_01.xlsx&amp;sheet=A0&amp;row=138&amp;col=30&amp;number=&amp;sourceID=13","")</f>
        <v/>
      </c>
      <c r="AE138" s="4" t="str">
        <f>HYPERLINK("http://141.218.60.56/~jnz1568/getInfo.php?workbook=10_01.xlsx&amp;sheet=A0&amp;row=138&amp;col=31&amp;number=&amp;sourceID=13","")</f>
        <v/>
      </c>
      <c r="AF138" s="4" t="str">
        <f>HYPERLINK("http://141.218.60.56/~jnz1568/getInfo.php?workbook=10_01.xlsx&amp;sheet=A0&amp;row=138&amp;col=32&amp;number=&amp;sourceID=20","")</f>
        <v/>
      </c>
    </row>
    <row r="139" spans="1:32">
      <c r="A139" s="3">
        <v>10</v>
      </c>
      <c r="B139" s="3">
        <v>1</v>
      </c>
      <c r="C139" s="3">
        <v>18</v>
      </c>
      <c r="D139" s="3">
        <v>6</v>
      </c>
      <c r="E139" s="3">
        <f>((1/(INDEX(E0!J$4:J$28,C139,1)-INDEX(E0!J$4:J$28,D139,1))))*100000000</f>
        <v>0</v>
      </c>
      <c r="F139" s="4" t="str">
        <f>HYPERLINK("http://141.218.60.56/~jnz1568/getInfo.php?workbook=10_01.xlsx&amp;sheet=A0&amp;row=139&amp;col=6&amp;number=&amp;sourceID=18","")</f>
        <v/>
      </c>
      <c r="G139" s="4" t="str">
        <f>HYPERLINK("http://141.218.60.56/~jnz1568/getInfo.php?workbook=10_01.xlsx&amp;sheet=A0&amp;row=139&amp;col=7&amp;number==&amp;sourceID=11","=")</f>
        <v>=</v>
      </c>
      <c r="H139" s="4" t="str">
        <f>HYPERLINK("http://141.218.60.56/~jnz1568/getInfo.php?workbook=10_01.xlsx&amp;sheet=A0&amp;row=139&amp;col=8&amp;number=&amp;sourceID=11","")</f>
        <v/>
      </c>
      <c r="I139" s="4" t="str">
        <f>HYPERLINK("http://141.218.60.56/~jnz1568/getInfo.php?workbook=10_01.xlsx&amp;sheet=A0&amp;row=139&amp;col=9&amp;number=&amp;sourceID=11","")</f>
        <v/>
      </c>
      <c r="J139" s="4" t="str">
        <f>HYPERLINK("http://141.218.60.56/~jnz1568/getInfo.php?workbook=10_01.xlsx&amp;sheet=A0&amp;row=139&amp;col=10&amp;number=&amp;sourceID=11","")</f>
        <v/>
      </c>
      <c r="K139" s="4" t="str">
        <f>HYPERLINK("http://141.218.60.56/~jnz1568/getInfo.php?workbook=10_01.xlsx&amp;sheet=A0&amp;row=139&amp;col=11&amp;number=0.26048&amp;sourceID=11","0.26048")</f>
        <v>0.26048</v>
      </c>
      <c r="L139" s="4" t="str">
        <f>HYPERLINK("http://141.218.60.56/~jnz1568/getInfo.php?workbook=10_01.xlsx&amp;sheet=A0&amp;row=139&amp;col=12&amp;number=&amp;sourceID=11","")</f>
        <v/>
      </c>
      <c r="M139" s="4" t="str">
        <f>HYPERLINK("http://141.218.60.56/~jnz1568/getInfo.php?workbook=10_01.xlsx&amp;sheet=A0&amp;row=139&amp;col=13&amp;number=&amp;sourceID=11","")</f>
        <v/>
      </c>
      <c r="N139" s="4" t="str">
        <f>HYPERLINK("http://141.218.60.56/~jnz1568/getInfo.php?workbook=10_01.xlsx&amp;sheet=A0&amp;row=139&amp;col=14&amp;number=0.26049&amp;sourceID=12","0.26049")</f>
        <v>0.26049</v>
      </c>
      <c r="O139" s="4" t="str">
        <f>HYPERLINK("http://141.218.60.56/~jnz1568/getInfo.php?workbook=10_01.xlsx&amp;sheet=A0&amp;row=139&amp;col=15&amp;number=&amp;sourceID=12","")</f>
        <v/>
      </c>
      <c r="P139" s="4" t="str">
        <f>HYPERLINK("http://141.218.60.56/~jnz1568/getInfo.php?workbook=10_01.xlsx&amp;sheet=A0&amp;row=139&amp;col=16&amp;number=&amp;sourceID=12","")</f>
        <v/>
      </c>
      <c r="Q139" s="4" t="str">
        <f>HYPERLINK("http://141.218.60.56/~jnz1568/getInfo.php?workbook=10_01.xlsx&amp;sheet=A0&amp;row=139&amp;col=17&amp;number=&amp;sourceID=12","")</f>
        <v/>
      </c>
      <c r="R139" s="4" t="str">
        <f>HYPERLINK("http://141.218.60.56/~jnz1568/getInfo.php?workbook=10_01.xlsx&amp;sheet=A0&amp;row=139&amp;col=18&amp;number=0.26049&amp;sourceID=12","0.26049")</f>
        <v>0.26049</v>
      </c>
      <c r="S139" s="4" t="str">
        <f>HYPERLINK("http://141.218.60.56/~jnz1568/getInfo.php?workbook=10_01.xlsx&amp;sheet=A0&amp;row=139&amp;col=19&amp;number=&amp;sourceID=12","")</f>
        <v/>
      </c>
      <c r="T139" s="4" t="str">
        <f>HYPERLINK("http://141.218.60.56/~jnz1568/getInfo.php?workbook=10_01.xlsx&amp;sheet=A0&amp;row=139&amp;col=20&amp;number=&amp;sourceID=12","")</f>
        <v/>
      </c>
      <c r="U139" s="4" t="str">
        <f>HYPERLINK("http://141.218.60.56/~jnz1568/getInfo.php?workbook=10_01.xlsx&amp;sheet=A0&amp;row=139&amp;col=21&amp;number=0.2603&amp;sourceID=30","0.2603")</f>
        <v>0.2603</v>
      </c>
      <c r="V139" s="4" t="str">
        <f>HYPERLINK("http://141.218.60.56/~jnz1568/getInfo.php?workbook=10_01.xlsx&amp;sheet=A0&amp;row=139&amp;col=22&amp;number=&amp;sourceID=30","")</f>
        <v/>
      </c>
      <c r="W139" s="4" t="str">
        <f>HYPERLINK("http://141.218.60.56/~jnz1568/getInfo.php?workbook=10_01.xlsx&amp;sheet=A0&amp;row=139&amp;col=23&amp;number=&amp;sourceID=30","")</f>
        <v/>
      </c>
      <c r="X139" s="4" t="str">
        <f>HYPERLINK("http://141.218.60.56/~jnz1568/getInfo.php?workbook=10_01.xlsx&amp;sheet=A0&amp;row=139&amp;col=24&amp;number=0.2603&amp;sourceID=30","0.2603")</f>
        <v>0.2603</v>
      </c>
      <c r="Y139" s="4" t="str">
        <f>HYPERLINK("http://141.218.60.56/~jnz1568/getInfo.php?workbook=10_01.xlsx&amp;sheet=A0&amp;row=139&amp;col=25&amp;number=&amp;sourceID=30","")</f>
        <v/>
      </c>
      <c r="Z139" s="4" t="str">
        <f>HYPERLINK("http://141.218.60.56/~jnz1568/getInfo.php?workbook=10_01.xlsx&amp;sheet=A0&amp;row=139&amp;col=26&amp;number=&amp;sourceID=13","")</f>
        <v/>
      </c>
      <c r="AA139" s="4" t="str">
        <f>HYPERLINK("http://141.218.60.56/~jnz1568/getInfo.php?workbook=10_01.xlsx&amp;sheet=A0&amp;row=139&amp;col=27&amp;number=&amp;sourceID=13","")</f>
        <v/>
      </c>
      <c r="AB139" s="4" t="str">
        <f>HYPERLINK("http://141.218.60.56/~jnz1568/getInfo.php?workbook=10_01.xlsx&amp;sheet=A0&amp;row=139&amp;col=28&amp;number=&amp;sourceID=13","")</f>
        <v/>
      </c>
      <c r="AC139" s="4" t="str">
        <f>HYPERLINK("http://141.218.60.56/~jnz1568/getInfo.php?workbook=10_01.xlsx&amp;sheet=A0&amp;row=139&amp;col=29&amp;number=&amp;sourceID=13","")</f>
        <v/>
      </c>
      <c r="AD139" s="4" t="str">
        <f>HYPERLINK("http://141.218.60.56/~jnz1568/getInfo.php?workbook=10_01.xlsx&amp;sheet=A0&amp;row=139&amp;col=30&amp;number=&amp;sourceID=13","")</f>
        <v/>
      </c>
      <c r="AE139" s="4" t="str">
        <f>HYPERLINK("http://141.218.60.56/~jnz1568/getInfo.php?workbook=10_01.xlsx&amp;sheet=A0&amp;row=139&amp;col=31&amp;number=&amp;sourceID=13","")</f>
        <v/>
      </c>
      <c r="AF139" s="4" t="str">
        <f>HYPERLINK("http://141.218.60.56/~jnz1568/getInfo.php?workbook=10_01.xlsx&amp;sheet=A0&amp;row=139&amp;col=32&amp;number=&amp;sourceID=20","")</f>
        <v/>
      </c>
    </row>
    <row r="140" spans="1:32">
      <c r="A140" s="3">
        <v>10</v>
      </c>
      <c r="B140" s="3">
        <v>1</v>
      </c>
      <c r="C140" s="3">
        <v>18</v>
      </c>
      <c r="D140" s="3">
        <v>7</v>
      </c>
      <c r="E140" s="3">
        <f>((1/(INDEX(E0!J$4:J$28,C140,1)-INDEX(E0!J$4:J$28,D140,1))))*100000000</f>
        <v>0</v>
      </c>
      <c r="F140" s="4" t="str">
        <f>HYPERLINK("http://141.218.60.56/~jnz1568/getInfo.php?workbook=10_01.xlsx&amp;sheet=A0&amp;row=140&amp;col=6&amp;number=&amp;sourceID=18","")</f>
        <v/>
      </c>
      <c r="G140" s="4" t="str">
        <f>HYPERLINK("http://141.218.60.56/~jnz1568/getInfo.php?workbook=10_01.xlsx&amp;sheet=A0&amp;row=140&amp;col=7&amp;number==&amp;sourceID=11","=")</f>
        <v>=</v>
      </c>
      <c r="H140" s="4" t="str">
        <f>HYPERLINK("http://141.218.60.56/~jnz1568/getInfo.php?workbook=10_01.xlsx&amp;sheet=A0&amp;row=140&amp;col=8&amp;number=&amp;sourceID=11","")</f>
        <v/>
      </c>
      <c r="I140" s="4" t="str">
        <f>HYPERLINK("http://141.218.60.56/~jnz1568/getInfo.php?workbook=10_01.xlsx&amp;sheet=A0&amp;row=140&amp;col=9&amp;number=256600&amp;sourceID=11","256600")</f>
        <v>256600</v>
      </c>
      <c r="J140" s="4" t="str">
        <f>HYPERLINK("http://141.218.60.56/~jnz1568/getInfo.php?workbook=10_01.xlsx&amp;sheet=A0&amp;row=140&amp;col=10&amp;number=&amp;sourceID=11","")</f>
        <v/>
      </c>
      <c r="K140" s="4" t="str">
        <f>HYPERLINK("http://141.218.60.56/~jnz1568/getInfo.php?workbook=10_01.xlsx&amp;sheet=A0&amp;row=140&amp;col=11&amp;number=3.4343e-05&amp;sourceID=11","3.4343e-05")</f>
        <v>3.4343e-05</v>
      </c>
      <c r="L140" s="4" t="str">
        <f>HYPERLINK("http://141.218.60.56/~jnz1568/getInfo.php?workbook=10_01.xlsx&amp;sheet=A0&amp;row=140&amp;col=12&amp;number=&amp;sourceID=11","")</f>
        <v/>
      </c>
      <c r="M140" s="4" t="str">
        <f>HYPERLINK("http://141.218.60.56/~jnz1568/getInfo.php?workbook=10_01.xlsx&amp;sheet=A0&amp;row=140&amp;col=13&amp;number=&amp;sourceID=11","")</f>
        <v/>
      </c>
      <c r="N140" s="4" t="str">
        <f>HYPERLINK("http://141.218.60.56/~jnz1568/getInfo.php?workbook=10_01.xlsx&amp;sheet=A0&amp;row=140&amp;col=14&amp;number=256610&amp;sourceID=12","256610")</f>
        <v>256610</v>
      </c>
      <c r="O140" s="4" t="str">
        <f>HYPERLINK("http://141.218.60.56/~jnz1568/getInfo.php?workbook=10_01.xlsx&amp;sheet=A0&amp;row=140&amp;col=15&amp;number=&amp;sourceID=12","")</f>
        <v/>
      </c>
      <c r="P140" s="4" t="str">
        <f>HYPERLINK("http://141.218.60.56/~jnz1568/getInfo.php?workbook=10_01.xlsx&amp;sheet=A0&amp;row=140&amp;col=16&amp;number=256610&amp;sourceID=12","256610")</f>
        <v>256610</v>
      </c>
      <c r="Q140" s="4" t="str">
        <f>HYPERLINK("http://141.218.60.56/~jnz1568/getInfo.php?workbook=10_01.xlsx&amp;sheet=A0&amp;row=140&amp;col=17&amp;number=&amp;sourceID=12","")</f>
        <v/>
      </c>
      <c r="R140" s="4" t="str">
        <f>HYPERLINK("http://141.218.60.56/~jnz1568/getInfo.php?workbook=10_01.xlsx&amp;sheet=A0&amp;row=140&amp;col=18&amp;number=3.4256e-05&amp;sourceID=12","3.4256e-05")</f>
        <v>3.4256e-05</v>
      </c>
      <c r="S140" s="4" t="str">
        <f>HYPERLINK("http://141.218.60.56/~jnz1568/getInfo.php?workbook=10_01.xlsx&amp;sheet=A0&amp;row=140&amp;col=19&amp;number=&amp;sourceID=12","")</f>
        <v/>
      </c>
      <c r="T140" s="4" t="str">
        <f>HYPERLINK("http://141.218.60.56/~jnz1568/getInfo.php?workbook=10_01.xlsx&amp;sheet=A0&amp;row=140&amp;col=20&amp;number=&amp;sourceID=12","")</f>
        <v/>
      </c>
      <c r="U140" s="4" t="str">
        <f>HYPERLINK("http://141.218.60.56/~jnz1568/getInfo.php?workbook=10_01.xlsx&amp;sheet=A0&amp;row=140&amp;col=21&amp;number=256600.000035&amp;sourceID=30","256600.000035")</f>
        <v>256600.000035</v>
      </c>
      <c r="V140" s="4" t="str">
        <f>HYPERLINK("http://141.218.60.56/~jnz1568/getInfo.php?workbook=10_01.xlsx&amp;sheet=A0&amp;row=140&amp;col=22&amp;number=&amp;sourceID=30","")</f>
        <v/>
      </c>
      <c r="W140" s="4" t="str">
        <f>HYPERLINK("http://141.218.60.56/~jnz1568/getInfo.php?workbook=10_01.xlsx&amp;sheet=A0&amp;row=140&amp;col=23&amp;number=256600&amp;sourceID=30","256600")</f>
        <v>256600</v>
      </c>
      <c r="X140" s="4" t="str">
        <f>HYPERLINK("http://141.218.60.56/~jnz1568/getInfo.php?workbook=10_01.xlsx&amp;sheet=A0&amp;row=140&amp;col=24&amp;number=3.538e-05&amp;sourceID=30","3.538e-05")</f>
        <v>3.538e-05</v>
      </c>
      <c r="Y140" s="4" t="str">
        <f>HYPERLINK("http://141.218.60.56/~jnz1568/getInfo.php?workbook=10_01.xlsx&amp;sheet=A0&amp;row=140&amp;col=25&amp;number=&amp;sourceID=30","")</f>
        <v/>
      </c>
      <c r="Z140" s="4" t="str">
        <f>HYPERLINK("http://141.218.60.56/~jnz1568/getInfo.php?workbook=10_01.xlsx&amp;sheet=A0&amp;row=140&amp;col=26&amp;number=&amp;sourceID=13","")</f>
        <v/>
      </c>
      <c r="AA140" s="4" t="str">
        <f>HYPERLINK("http://141.218.60.56/~jnz1568/getInfo.php?workbook=10_01.xlsx&amp;sheet=A0&amp;row=140&amp;col=27&amp;number=&amp;sourceID=13","")</f>
        <v/>
      </c>
      <c r="AB140" s="4" t="str">
        <f>HYPERLINK("http://141.218.60.56/~jnz1568/getInfo.php?workbook=10_01.xlsx&amp;sheet=A0&amp;row=140&amp;col=28&amp;number=&amp;sourceID=13","")</f>
        <v/>
      </c>
      <c r="AC140" s="4" t="str">
        <f>HYPERLINK("http://141.218.60.56/~jnz1568/getInfo.php?workbook=10_01.xlsx&amp;sheet=A0&amp;row=140&amp;col=29&amp;number=&amp;sourceID=13","")</f>
        <v/>
      </c>
      <c r="AD140" s="4" t="str">
        <f>HYPERLINK("http://141.218.60.56/~jnz1568/getInfo.php?workbook=10_01.xlsx&amp;sheet=A0&amp;row=140&amp;col=30&amp;number=&amp;sourceID=13","")</f>
        <v/>
      </c>
      <c r="AE140" s="4" t="str">
        <f>HYPERLINK("http://141.218.60.56/~jnz1568/getInfo.php?workbook=10_01.xlsx&amp;sheet=A0&amp;row=140&amp;col=31&amp;number=&amp;sourceID=13","")</f>
        <v/>
      </c>
      <c r="AF140" s="4" t="str">
        <f>HYPERLINK("http://141.218.60.56/~jnz1568/getInfo.php?workbook=10_01.xlsx&amp;sheet=A0&amp;row=140&amp;col=32&amp;number=&amp;sourceID=20","")</f>
        <v/>
      </c>
    </row>
    <row r="141" spans="1:32">
      <c r="A141" s="3">
        <v>10</v>
      </c>
      <c r="B141" s="3">
        <v>1</v>
      </c>
      <c r="C141" s="3">
        <v>18</v>
      </c>
      <c r="D141" s="3">
        <v>8</v>
      </c>
      <c r="E141" s="3">
        <f>((1/(INDEX(E0!J$4:J$28,C141,1)-INDEX(E0!J$4:J$28,D141,1))))*100000000</f>
        <v>0</v>
      </c>
      <c r="F141" s="4" t="str">
        <f>HYPERLINK("http://141.218.60.56/~jnz1568/getInfo.php?workbook=10_01.xlsx&amp;sheet=A0&amp;row=141&amp;col=6&amp;number=&amp;sourceID=18","")</f>
        <v/>
      </c>
      <c r="G141" s="4" t="str">
        <f>HYPERLINK("http://141.218.60.56/~jnz1568/getInfo.php?workbook=10_01.xlsx&amp;sheet=A0&amp;row=141&amp;col=7&amp;number==&amp;sourceID=11","=")</f>
        <v>=</v>
      </c>
      <c r="H141" s="4" t="str">
        <f>HYPERLINK("http://141.218.60.56/~jnz1568/getInfo.php?workbook=10_01.xlsx&amp;sheet=A0&amp;row=141&amp;col=8&amp;number=6106200000&amp;sourceID=11","6106200000")</f>
        <v>6106200000</v>
      </c>
      <c r="I141" s="4" t="str">
        <f>HYPERLINK("http://141.218.60.56/~jnz1568/getInfo.php?workbook=10_01.xlsx&amp;sheet=A0&amp;row=141&amp;col=9&amp;number=&amp;sourceID=11","")</f>
        <v/>
      </c>
      <c r="J141" s="4" t="str">
        <f>HYPERLINK("http://141.218.60.56/~jnz1568/getInfo.php?workbook=10_01.xlsx&amp;sheet=A0&amp;row=141&amp;col=10&amp;number=&amp;sourceID=11","")</f>
        <v/>
      </c>
      <c r="K141" s="4" t="str">
        <f>HYPERLINK("http://141.218.60.56/~jnz1568/getInfo.php?workbook=10_01.xlsx&amp;sheet=A0&amp;row=141&amp;col=11&amp;number=&amp;sourceID=11","")</f>
        <v/>
      </c>
      <c r="L141" s="4" t="str">
        <f>HYPERLINK("http://141.218.60.56/~jnz1568/getInfo.php?workbook=10_01.xlsx&amp;sheet=A0&amp;row=141&amp;col=12&amp;number=41.079&amp;sourceID=11","41.079")</f>
        <v>41.079</v>
      </c>
      <c r="M141" s="4" t="str">
        <f>HYPERLINK("http://141.218.60.56/~jnz1568/getInfo.php?workbook=10_01.xlsx&amp;sheet=A0&amp;row=141&amp;col=13&amp;number=&amp;sourceID=11","")</f>
        <v/>
      </c>
      <c r="N141" s="4" t="str">
        <f>HYPERLINK("http://141.218.60.56/~jnz1568/getInfo.php?workbook=10_01.xlsx&amp;sheet=A0&amp;row=141&amp;col=14&amp;number=6106400000&amp;sourceID=12","6106400000")</f>
        <v>6106400000</v>
      </c>
      <c r="O141" s="4" t="str">
        <f>HYPERLINK("http://141.218.60.56/~jnz1568/getInfo.php?workbook=10_01.xlsx&amp;sheet=A0&amp;row=141&amp;col=15&amp;number=6106400000&amp;sourceID=12","6106400000")</f>
        <v>6106400000</v>
      </c>
      <c r="P141" s="4" t="str">
        <f>HYPERLINK("http://141.218.60.56/~jnz1568/getInfo.php?workbook=10_01.xlsx&amp;sheet=A0&amp;row=141&amp;col=16&amp;number=&amp;sourceID=12","")</f>
        <v/>
      </c>
      <c r="Q141" s="4" t="str">
        <f>HYPERLINK("http://141.218.60.56/~jnz1568/getInfo.php?workbook=10_01.xlsx&amp;sheet=A0&amp;row=141&amp;col=17&amp;number=&amp;sourceID=12","")</f>
        <v/>
      </c>
      <c r="R141" s="4" t="str">
        <f>HYPERLINK("http://141.218.60.56/~jnz1568/getInfo.php?workbook=10_01.xlsx&amp;sheet=A0&amp;row=141&amp;col=18&amp;number=&amp;sourceID=12","")</f>
        <v/>
      </c>
      <c r="S141" s="4" t="str">
        <f>HYPERLINK("http://141.218.60.56/~jnz1568/getInfo.php?workbook=10_01.xlsx&amp;sheet=A0&amp;row=141&amp;col=19&amp;number=41.08&amp;sourceID=12","41.08")</f>
        <v>41.08</v>
      </c>
      <c r="T141" s="4" t="str">
        <f>HYPERLINK("http://141.218.60.56/~jnz1568/getInfo.php?workbook=10_01.xlsx&amp;sheet=A0&amp;row=141&amp;col=20&amp;number=&amp;sourceID=12","")</f>
        <v/>
      </c>
      <c r="U141" s="4" t="str">
        <f>HYPERLINK("http://141.218.60.56/~jnz1568/getInfo.php?workbook=10_01.xlsx&amp;sheet=A0&amp;row=141&amp;col=21&amp;number=6106000041.08&amp;sourceID=30","6106000041.08")</f>
        <v>6106000041.08</v>
      </c>
      <c r="V141" s="4" t="str">
        <f>HYPERLINK("http://141.218.60.56/~jnz1568/getInfo.php?workbook=10_01.xlsx&amp;sheet=A0&amp;row=141&amp;col=22&amp;number=6106000000&amp;sourceID=30","6106000000")</f>
        <v>6106000000</v>
      </c>
      <c r="W141" s="4" t="str">
        <f>HYPERLINK("http://141.218.60.56/~jnz1568/getInfo.php?workbook=10_01.xlsx&amp;sheet=A0&amp;row=141&amp;col=23&amp;number=&amp;sourceID=30","")</f>
        <v/>
      </c>
      <c r="X141" s="4" t="str">
        <f>HYPERLINK("http://141.218.60.56/~jnz1568/getInfo.php?workbook=10_01.xlsx&amp;sheet=A0&amp;row=141&amp;col=24&amp;number=&amp;sourceID=30","")</f>
        <v/>
      </c>
      <c r="Y141" s="4" t="str">
        <f>HYPERLINK("http://141.218.60.56/~jnz1568/getInfo.php?workbook=10_01.xlsx&amp;sheet=A0&amp;row=141&amp;col=25&amp;number=41.08&amp;sourceID=30","41.08")</f>
        <v>41.08</v>
      </c>
      <c r="Z141" s="4" t="str">
        <f>HYPERLINK("http://141.218.60.56/~jnz1568/getInfo.php?workbook=10_01.xlsx&amp;sheet=A0&amp;row=141&amp;col=26&amp;number=&amp;sourceID=13","")</f>
        <v/>
      </c>
      <c r="AA141" s="4" t="str">
        <f>HYPERLINK("http://141.218.60.56/~jnz1568/getInfo.php?workbook=10_01.xlsx&amp;sheet=A0&amp;row=141&amp;col=27&amp;number=&amp;sourceID=13","")</f>
        <v/>
      </c>
      <c r="AB141" s="4" t="str">
        <f>HYPERLINK("http://141.218.60.56/~jnz1568/getInfo.php?workbook=10_01.xlsx&amp;sheet=A0&amp;row=141&amp;col=28&amp;number=&amp;sourceID=13","")</f>
        <v/>
      </c>
      <c r="AC141" s="4" t="str">
        <f>HYPERLINK("http://141.218.60.56/~jnz1568/getInfo.php?workbook=10_01.xlsx&amp;sheet=A0&amp;row=141&amp;col=29&amp;number=&amp;sourceID=13","")</f>
        <v/>
      </c>
      <c r="AD141" s="4" t="str">
        <f>HYPERLINK("http://141.218.60.56/~jnz1568/getInfo.php?workbook=10_01.xlsx&amp;sheet=A0&amp;row=141&amp;col=30&amp;number=&amp;sourceID=13","")</f>
        <v/>
      </c>
      <c r="AE141" s="4" t="str">
        <f>HYPERLINK("http://141.218.60.56/~jnz1568/getInfo.php?workbook=10_01.xlsx&amp;sheet=A0&amp;row=141&amp;col=31&amp;number=&amp;sourceID=13","")</f>
        <v/>
      </c>
      <c r="AF141" s="4" t="str">
        <f>HYPERLINK("http://141.218.60.56/~jnz1568/getInfo.php?workbook=10_01.xlsx&amp;sheet=A0&amp;row=141&amp;col=32&amp;number=&amp;sourceID=20","")</f>
        <v/>
      </c>
    </row>
    <row r="142" spans="1:32">
      <c r="A142" s="3">
        <v>10</v>
      </c>
      <c r="B142" s="3">
        <v>1</v>
      </c>
      <c r="C142" s="3">
        <v>18</v>
      </c>
      <c r="D142" s="3">
        <v>9</v>
      </c>
      <c r="E142" s="3">
        <f>((1/(INDEX(E0!J$4:J$28,C142,1)-INDEX(E0!J$4:J$28,D142,1))))*100000000</f>
        <v>0</v>
      </c>
      <c r="F142" s="4" t="str">
        <f>HYPERLINK("http://141.218.60.56/~jnz1568/getInfo.php?workbook=10_01.xlsx&amp;sheet=A0&amp;row=142&amp;col=6&amp;number=&amp;sourceID=18","")</f>
        <v/>
      </c>
      <c r="G142" s="4" t="str">
        <f>HYPERLINK("http://141.218.60.56/~jnz1568/getInfo.php?workbook=10_01.xlsx&amp;sheet=A0&amp;row=142&amp;col=7&amp;number==&amp;sourceID=11","=")</f>
        <v>=</v>
      </c>
      <c r="H142" s="4" t="str">
        <f>HYPERLINK("http://141.218.60.56/~jnz1568/getInfo.php?workbook=10_01.xlsx&amp;sheet=A0&amp;row=142&amp;col=8&amp;number=&amp;sourceID=11","")</f>
        <v/>
      </c>
      <c r="I142" s="4" t="str">
        <f>HYPERLINK("http://141.218.60.56/~jnz1568/getInfo.php?workbook=10_01.xlsx&amp;sheet=A0&amp;row=142&amp;col=9&amp;number=385060&amp;sourceID=11","385060")</f>
        <v>385060</v>
      </c>
      <c r="J142" s="4" t="str">
        <f>HYPERLINK("http://141.218.60.56/~jnz1568/getInfo.php?workbook=10_01.xlsx&amp;sheet=A0&amp;row=142&amp;col=10&amp;number=&amp;sourceID=11","")</f>
        <v/>
      </c>
      <c r="K142" s="4" t="str">
        <f>HYPERLINK("http://141.218.60.56/~jnz1568/getInfo.php?workbook=10_01.xlsx&amp;sheet=A0&amp;row=142&amp;col=11&amp;number=&amp;sourceID=11","")</f>
        <v/>
      </c>
      <c r="L142" s="4" t="str">
        <f>HYPERLINK("http://141.218.60.56/~jnz1568/getInfo.php?workbook=10_01.xlsx&amp;sheet=A0&amp;row=142&amp;col=12&amp;number=&amp;sourceID=11","")</f>
        <v/>
      </c>
      <c r="M142" s="4" t="str">
        <f>HYPERLINK("http://141.218.60.56/~jnz1568/getInfo.php?workbook=10_01.xlsx&amp;sheet=A0&amp;row=142&amp;col=13&amp;number=0.0030662&amp;sourceID=11","0.0030662")</f>
        <v>0.0030662</v>
      </c>
      <c r="N142" s="4" t="str">
        <f>HYPERLINK("http://141.218.60.56/~jnz1568/getInfo.php?workbook=10_01.xlsx&amp;sheet=A0&amp;row=142&amp;col=14&amp;number=385070&amp;sourceID=12","385070")</f>
        <v>385070</v>
      </c>
      <c r="O142" s="4" t="str">
        <f>HYPERLINK("http://141.218.60.56/~jnz1568/getInfo.php?workbook=10_01.xlsx&amp;sheet=A0&amp;row=142&amp;col=15&amp;number=&amp;sourceID=12","")</f>
        <v/>
      </c>
      <c r="P142" s="4" t="str">
        <f>HYPERLINK("http://141.218.60.56/~jnz1568/getInfo.php?workbook=10_01.xlsx&amp;sheet=A0&amp;row=142&amp;col=16&amp;number=385070&amp;sourceID=12","385070")</f>
        <v>385070</v>
      </c>
      <c r="Q142" s="4" t="str">
        <f>HYPERLINK("http://141.218.60.56/~jnz1568/getInfo.php?workbook=10_01.xlsx&amp;sheet=A0&amp;row=142&amp;col=17&amp;number=&amp;sourceID=12","")</f>
        <v/>
      </c>
      <c r="R142" s="4" t="str">
        <f>HYPERLINK("http://141.218.60.56/~jnz1568/getInfo.php?workbook=10_01.xlsx&amp;sheet=A0&amp;row=142&amp;col=18&amp;number=&amp;sourceID=12","")</f>
        <v/>
      </c>
      <c r="S142" s="4" t="str">
        <f>HYPERLINK("http://141.218.60.56/~jnz1568/getInfo.php?workbook=10_01.xlsx&amp;sheet=A0&amp;row=142&amp;col=19&amp;number=&amp;sourceID=12","")</f>
        <v/>
      </c>
      <c r="T142" s="4" t="str">
        <f>HYPERLINK("http://141.218.60.56/~jnz1568/getInfo.php?workbook=10_01.xlsx&amp;sheet=A0&amp;row=142&amp;col=20&amp;number=0.0030663&amp;sourceID=12","0.0030663")</f>
        <v>0.0030663</v>
      </c>
      <c r="U142" s="4" t="str">
        <f>HYPERLINK("http://141.218.60.56/~jnz1568/getInfo.php?workbook=10_01.xlsx&amp;sheet=A0&amp;row=142&amp;col=21&amp;number=385100&amp;sourceID=30","385100")</f>
        <v>385100</v>
      </c>
      <c r="V142" s="4" t="str">
        <f>HYPERLINK("http://141.218.60.56/~jnz1568/getInfo.php?workbook=10_01.xlsx&amp;sheet=A0&amp;row=142&amp;col=22&amp;number=&amp;sourceID=30","")</f>
        <v/>
      </c>
      <c r="W142" s="4" t="str">
        <f>HYPERLINK("http://141.218.60.56/~jnz1568/getInfo.php?workbook=10_01.xlsx&amp;sheet=A0&amp;row=142&amp;col=23&amp;number=385100&amp;sourceID=30","385100")</f>
        <v>385100</v>
      </c>
      <c r="X142" s="4" t="str">
        <f>HYPERLINK("http://141.218.60.56/~jnz1568/getInfo.php?workbook=10_01.xlsx&amp;sheet=A0&amp;row=142&amp;col=24&amp;number=&amp;sourceID=30","")</f>
        <v/>
      </c>
      <c r="Y142" s="4" t="str">
        <f>HYPERLINK("http://141.218.60.56/~jnz1568/getInfo.php?workbook=10_01.xlsx&amp;sheet=A0&amp;row=142&amp;col=25&amp;number=&amp;sourceID=30","")</f>
        <v/>
      </c>
      <c r="Z142" s="4" t="str">
        <f>HYPERLINK("http://141.218.60.56/~jnz1568/getInfo.php?workbook=10_01.xlsx&amp;sheet=A0&amp;row=142&amp;col=26&amp;number=&amp;sourceID=13","")</f>
        <v/>
      </c>
      <c r="AA142" s="4" t="str">
        <f>HYPERLINK("http://141.218.60.56/~jnz1568/getInfo.php?workbook=10_01.xlsx&amp;sheet=A0&amp;row=142&amp;col=27&amp;number=&amp;sourceID=13","")</f>
        <v/>
      </c>
      <c r="AB142" s="4" t="str">
        <f>HYPERLINK("http://141.218.60.56/~jnz1568/getInfo.php?workbook=10_01.xlsx&amp;sheet=A0&amp;row=142&amp;col=28&amp;number=&amp;sourceID=13","")</f>
        <v/>
      </c>
      <c r="AC142" s="4" t="str">
        <f>HYPERLINK("http://141.218.60.56/~jnz1568/getInfo.php?workbook=10_01.xlsx&amp;sheet=A0&amp;row=142&amp;col=29&amp;number=&amp;sourceID=13","")</f>
        <v/>
      </c>
      <c r="AD142" s="4" t="str">
        <f>HYPERLINK("http://141.218.60.56/~jnz1568/getInfo.php?workbook=10_01.xlsx&amp;sheet=A0&amp;row=142&amp;col=30&amp;number=&amp;sourceID=13","")</f>
        <v/>
      </c>
      <c r="AE142" s="4" t="str">
        <f>HYPERLINK("http://141.218.60.56/~jnz1568/getInfo.php?workbook=10_01.xlsx&amp;sheet=A0&amp;row=142&amp;col=31&amp;number=&amp;sourceID=13","")</f>
        <v/>
      </c>
      <c r="AF142" s="4" t="str">
        <f>HYPERLINK("http://141.218.60.56/~jnz1568/getInfo.php?workbook=10_01.xlsx&amp;sheet=A0&amp;row=142&amp;col=32&amp;number=&amp;sourceID=20","")</f>
        <v/>
      </c>
    </row>
    <row r="143" spans="1:32">
      <c r="A143" s="3">
        <v>10</v>
      </c>
      <c r="B143" s="3">
        <v>1</v>
      </c>
      <c r="C143" s="3">
        <v>18</v>
      </c>
      <c r="D143" s="3">
        <v>10</v>
      </c>
      <c r="E143" s="3">
        <f>((1/(INDEX(E0!J$4:J$28,C143,1)-INDEX(E0!J$4:J$28,D143,1))))*100000000</f>
        <v>0</v>
      </c>
      <c r="F143" s="4" t="str">
        <f>HYPERLINK("http://141.218.60.56/~jnz1568/getInfo.php?workbook=10_01.xlsx&amp;sheet=A0&amp;row=143&amp;col=6&amp;number=&amp;sourceID=18","")</f>
        <v/>
      </c>
      <c r="G143" s="4" t="str">
        <f>HYPERLINK("http://141.218.60.56/~jnz1568/getInfo.php?workbook=10_01.xlsx&amp;sheet=A0&amp;row=143&amp;col=7&amp;number==&amp;sourceID=11","=")</f>
        <v>=</v>
      </c>
      <c r="H143" s="4" t="str">
        <f>HYPERLINK("http://141.218.60.56/~jnz1568/getInfo.php?workbook=10_01.xlsx&amp;sheet=A0&amp;row=143&amp;col=8&amp;number=2156200000&amp;sourceID=11","2156200000")</f>
        <v>2156200000</v>
      </c>
      <c r="I143" s="4" t="str">
        <f>HYPERLINK("http://141.218.60.56/~jnz1568/getInfo.php?workbook=10_01.xlsx&amp;sheet=A0&amp;row=143&amp;col=9&amp;number=&amp;sourceID=11","")</f>
        <v/>
      </c>
      <c r="J143" s="4" t="str">
        <f>HYPERLINK("http://141.218.60.56/~jnz1568/getInfo.php?workbook=10_01.xlsx&amp;sheet=A0&amp;row=143&amp;col=10&amp;number=&amp;sourceID=11","")</f>
        <v/>
      </c>
      <c r="K143" s="4" t="str">
        <f>HYPERLINK("http://141.218.60.56/~jnz1568/getInfo.php?workbook=10_01.xlsx&amp;sheet=A0&amp;row=143&amp;col=11&amp;number=&amp;sourceID=11","")</f>
        <v/>
      </c>
      <c r="L143" s="4" t="str">
        <f>HYPERLINK("http://141.218.60.56/~jnz1568/getInfo.php?workbook=10_01.xlsx&amp;sheet=A0&amp;row=143&amp;col=12&amp;number=&amp;sourceID=11","")</f>
        <v/>
      </c>
      <c r="M143" s="4" t="str">
        <f>HYPERLINK("http://141.218.60.56/~jnz1568/getInfo.php?workbook=10_01.xlsx&amp;sheet=A0&amp;row=143&amp;col=13&amp;number=&amp;sourceID=11","")</f>
        <v/>
      </c>
      <c r="N143" s="4" t="str">
        <f>HYPERLINK("http://141.218.60.56/~jnz1568/getInfo.php?workbook=10_01.xlsx&amp;sheet=A0&amp;row=143&amp;col=14&amp;number=2156300000&amp;sourceID=12","2156300000")</f>
        <v>2156300000</v>
      </c>
      <c r="O143" s="4" t="str">
        <f>HYPERLINK("http://141.218.60.56/~jnz1568/getInfo.php?workbook=10_01.xlsx&amp;sheet=A0&amp;row=143&amp;col=15&amp;number=2156300000&amp;sourceID=12","2156300000")</f>
        <v>2156300000</v>
      </c>
      <c r="P143" s="4" t="str">
        <f>HYPERLINK("http://141.218.60.56/~jnz1568/getInfo.php?workbook=10_01.xlsx&amp;sheet=A0&amp;row=143&amp;col=16&amp;number=&amp;sourceID=12","")</f>
        <v/>
      </c>
      <c r="Q143" s="4" t="str">
        <f>HYPERLINK("http://141.218.60.56/~jnz1568/getInfo.php?workbook=10_01.xlsx&amp;sheet=A0&amp;row=143&amp;col=17&amp;number=&amp;sourceID=12","")</f>
        <v/>
      </c>
      <c r="R143" s="4" t="str">
        <f>HYPERLINK("http://141.218.60.56/~jnz1568/getInfo.php?workbook=10_01.xlsx&amp;sheet=A0&amp;row=143&amp;col=18&amp;number=&amp;sourceID=12","")</f>
        <v/>
      </c>
      <c r="S143" s="4" t="str">
        <f>HYPERLINK("http://141.218.60.56/~jnz1568/getInfo.php?workbook=10_01.xlsx&amp;sheet=A0&amp;row=143&amp;col=19&amp;number=&amp;sourceID=12","")</f>
        <v/>
      </c>
      <c r="T143" s="4" t="str">
        <f>HYPERLINK("http://141.218.60.56/~jnz1568/getInfo.php?workbook=10_01.xlsx&amp;sheet=A0&amp;row=143&amp;col=20&amp;number=&amp;sourceID=12","")</f>
        <v/>
      </c>
      <c r="U143" s="4" t="str">
        <f>HYPERLINK("http://141.218.60.56/~jnz1568/getInfo.php?workbook=10_01.xlsx&amp;sheet=A0&amp;row=143&amp;col=21&amp;number=2156000000&amp;sourceID=30","2156000000")</f>
        <v>2156000000</v>
      </c>
      <c r="V143" s="4" t="str">
        <f>HYPERLINK("http://141.218.60.56/~jnz1568/getInfo.php?workbook=10_01.xlsx&amp;sheet=A0&amp;row=143&amp;col=22&amp;number=2156000000&amp;sourceID=30","2156000000")</f>
        <v>2156000000</v>
      </c>
      <c r="W143" s="4" t="str">
        <f>HYPERLINK("http://141.218.60.56/~jnz1568/getInfo.php?workbook=10_01.xlsx&amp;sheet=A0&amp;row=143&amp;col=23&amp;number=&amp;sourceID=30","")</f>
        <v/>
      </c>
      <c r="X143" s="4" t="str">
        <f>HYPERLINK("http://141.218.60.56/~jnz1568/getInfo.php?workbook=10_01.xlsx&amp;sheet=A0&amp;row=143&amp;col=24&amp;number=&amp;sourceID=30","")</f>
        <v/>
      </c>
      <c r="Y143" s="4" t="str">
        <f>HYPERLINK("http://141.218.60.56/~jnz1568/getInfo.php?workbook=10_01.xlsx&amp;sheet=A0&amp;row=143&amp;col=25&amp;number=&amp;sourceID=30","")</f>
        <v/>
      </c>
      <c r="Z143" s="4" t="str">
        <f>HYPERLINK("http://141.218.60.56/~jnz1568/getInfo.php?workbook=10_01.xlsx&amp;sheet=A0&amp;row=143&amp;col=26&amp;number=&amp;sourceID=13","")</f>
        <v/>
      </c>
      <c r="AA143" s="4" t="str">
        <f>HYPERLINK("http://141.218.60.56/~jnz1568/getInfo.php?workbook=10_01.xlsx&amp;sheet=A0&amp;row=143&amp;col=27&amp;number=&amp;sourceID=13","")</f>
        <v/>
      </c>
      <c r="AB143" s="4" t="str">
        <f>HYPERLINK("http://141.218.60.56/~jnz1568/getInfo.php?workbook=10_01.xlsx&amp;sheet=A0&amp;row=143&amp;col=28&amp;number=&amp;sourceID=13","")</f>
        <v/>
      </c>
      <c r="AC143" s="4" t="str">
        <f>HYPERLINK("http://141.218.60.56/~jnz1568/getInfo.php?workbook=10_01.xlsx&amp;sheet=A0&amp;row=143&amp;col=29&amp;number=&amp;sourceID=13","")</f>
        <v/>
      </c>
      <c r="AD143" s="4" t="str">
        <f>HYPERLINK("http://141.218.60.56/~jnz1568/getInfo.php?workbook=10_01.xlsx&amp;sheet=A0&amp;row=143&amp;col=30&amp;number=&amp;sourceID=13","")</f>
        <v/>
      </c>
      <c r="AE143" s="4" t="str">
        <f>HYPERLINK("http://141.218.60.56/~jnz1568/getInfo.php?workbook=10_01.xlsx&amp;sheet=A0&amp;row=143&amp;col=31&amp;number=&amp;sourceID=13","")</f>
        <v/>
      </c>
      <c r="AF143" s="4" t="str">
        <f>HYPERLINK("http://141.218.60.56/~jnz1568/getInfo.php?workbook=10_01.xlsx&amp;sheet=A0&amp;row=143&amp;col=32&amp;number=&amp;sourceID=20","")</f>
        <v/>
      </c>
    </row>
    <row r="144" spans="1:32">
      <c r="A144" s="3">
        <v>10</v>
      </c>
      <c r="B144" s="3">
        <v>1</v>
      </c>
      <c r="C144" s="3">
        <v>18</v>
      </c>
      <c r="D144" s="3">
        <v>11</v>
      </c>
      <c r="E144" s="3">
        <f>((1/(INDEX(E0!J$4:J$28,C144,1)-INDEX(E0!J$4:J$28,D144,1))))*100000000</f>
        <v>0</v>
      </c>
      <c r="F144" s="4" t="str">
        <f>HYPERLINK("http://141.218.60.56/~jnz1568/getInfo.php?workbook=10_01.xlsx&amp;sheet=A0&amp;row=144&amp;col=6&amp;number=&amp;sourceID=18","")</f>
        <v/>
      </c>
      <c r="G144" s="4" t="str">
        <f>HYPERLINK("http://141.218.60.56/~jnz1568/getInfo.php?workbook=10_01.xlsx&amp;sheet=A0&amp;row=144&amp;col=7&amp;number==&amp;sourceID=11","=")</f>
        <v>=</v>
      </c>
      <c r="H144" s="4" t="str">
        <f>HYPERLINK("http://141.218.60.56/~jnz1568/getInfo.php?workbook=10_01.xlsx&amp;sheet=A0&amp;row=144&amp;col=8&amp;number=&amp;sourceID=11","")</f>
        <v/>
      </c>
      <c r="I144" s="4" t="str">
        <f>HYPERLINK("http://141.218.60.56/~jnz1568/getInfo.php?workbook=10_01.xlsx&amp;sheet=A0&amp;row=144&amp;col=9&amp;number=&amp;sourceID=11","")</f>
        <v/>
      </c>
      <c r="J144" s="4" t="str">
        <f>HYPERLINK("http://141.218.60.56/~jnz1568/getInfo.php?workbook=10_01.xlsx&amp;sheet=A0&amp;row=144&amp;col=10&amp;number=&amp;sourceID=11","")</f>
        <v/>
      </c>
      <c r="K144" s="4" t="str">
        <f>HYPERLINK("http://141.218.60.56/~jnz1568/getInfo.php?workbook=10_01.xlsx&amp;sheet=A0&amp;row=144&amp;col=11&amp;number=0.0074006&amp;sourceID=11","0.0074006")</f>
        <v>0.0074006</v>
      </c>
      <c r="L144" s="4" t="str">
        <f>HYPERLINK("http://141.218.60.56/~jnz1568/getInfo.php?workbook=10_01.xlsx&amp;sheet=A0&amp;row=144&amp;col=12&amp;number=&amp;sourceID=11","")</f>
        <v/>
      </c>
      <c r="M144" s="4" t="str">
        <f>HYPERLINK("http://141.218.60.56/~jnz1568/getInfo.php?workbook=10_01.xlsx&amp;sheet=A0&amp;row=144&amp;col=13&amp;number=&amp;sourceID=11","")</f>
        <v/>
      </c>
      <c r="N144" s="4" t="str">
        <f>HYPERLINK("http://141.218.60.56/~jnz1568/getInfo.php?workbook=10_01.xlsx&amp;sheet=A0&amp;row=144&amp;col=14&amp;number=0.0074009&amp;sourceID=12","0.0074009")</f>
        <v>0.0074009</v>
      </c>
      <c r="O144" s="4" t="str">
        <f>HYPERLINK("http://141.218.60.56/~jnz1568/getInfo.php?workbook=10_01.xlsx&amp;sheet=A0&amp;row=144&amp;col=15&amp;number=&amp;sourceID=12","")</f>
        <v/>
      </c>
      <c r="P144" s="4" t="str">
        <f>HYPERLINK("http://141.218.60.56/~jnz1568/getInfo.php?workbook=10_01.xlsx&amp;sheet=A0&amp;row=144&amp;col=16&amp;number=&amp;sourceID=12","")</f>
        <v/>
      </c>
      <c r="Q144" s="4" t="str">
        <f>HYPERLINK("http://141.218.60.56/~jnz1568/getInfo.php?workbook=10_01.xlsx&amp;sheet=A0&amp;row=144&amp;col=17&amp;number=&amp;sourceID=12","")</f>
        <v/>
      </c>
      <c r="R144" s="4" t="str">
        <f>HYPERLINK("http://141.218.60.56/~jnz1568/getInfo.php?workbook=10_01.xlsx&amp;sheet=A0&amp;row=144&amp;col=18&amp;number=0.0074009&amp;sourceID=12","0.0074009")</f>
        <v>0.0074009</v>
      </c>
      <c r="S144" s="4" t="str">
        <f>HYPERLINK("http://141.218.60.56/~jnz1568/getInfo.php?workbook=10_01.xlsx&amp;sheet=A0&amp;row=144&amp;col=19&amp;number=&amp;sourceID=12","")</f>
        <v/>
      </c>
      <c r="T144" s="4" t="str">
        <f>HYPERLINK("http://141.218.60.56/~jnz1568/getInfo.php?workbook=10_01.xlsx&amp;sheet=A0&amp;row=144&amp;col=20&amp;number=&amp;sourceID=12","")</f>
        <v/>
      </c>
      <c r="U144" s="4" t="str">
        <f>HYPERLINK("http://141.218.60.56/~jnz1568/getInfo.php?workbook=10_01.xlsx&amp;sheet=A0&amp;row=144&amp;col=21&amp;number=0.007376&amp;sourceID=30","0.007376")</f>
        <v>0.007376</v>
      </c>
      <c r="V144" s="4" t="str">
        <f>HYPERLINK("http://141.218.60.56/~jnz1568/getInfo.php?workbook=10_01.xlsx&amp;sheet=A0&amp;row=144&amp;col=22&amp;number=&amp;sourceID=30","")</f>
        <v/>
      </c>
      <c r="W144" s="4" t="str">
        <f>HYPERLINK("http://141.218.60.56/~jnz1568/getInfo.php?workbook=10_01.xlsx&amp;sheet=A0&amp;row=144&amp;col=23&amp;number=&amp;sourceID=30","")</f>
        <v/>
      </c>
      <c r="X144" s="4" t="str">
        <f>HYPERLINK("http://141.218.60.56/~jnz1568/getInfo.php?workbook=10_01.xlsx&amp;sheet=A0&amp;row=144&amp;col=24&amp;number=0.007376&amp;sourceID=30","0.007376")</f>
        <v>0.007376</v>
      </c>
      <c r="Y144" s="4" t="str">
        <f>HYPERLINK("http://141.218.60.56/~jnz1568/getInfo.php?workbook=10_01.xlsx&amp;sheet=A0&amp;row=144&amp;col=25&amp;number=&amp;sourceID=30","")</f>
        <v/>
      </c>
      <c r="Z144" s="4" t="str">
        <f>HYPERLINK("http://141.218.60.56/~jnz1568/getInfo.php?workbook=10_01.xlsx&amp;sheet=A0&amp;row=144&amp;col=26&amp;number=&amp;sourceID=13","")</f>
        <v/>
      </c>
      <c r="AA144" s="4" t="str">
        <f>HYPERLINK("http://141.218.60.56/~jnz1568/getInfo.php?workbook=10_01.xlsx&amp;sheet=A0&amp;row=144&amp;col=27&amp;number=&amp;sourceID=13","")</f>
        <v/>
      </c>
      <c r="AB144" s="4" t="str">
        <f>HYPERLINK("http://141.218.60.56/~jnz1568/getInfo.php?workbook=10_01.xlsx&amp;sheet=A0&amp;row=144&amp;col=28&amp;number=&amp;sourceID=13","")</f>
        <v/>
      </c>
      <c r="AC144" s="4" t="str">
        <f>HYPERLINK("http://141.218.60.56/~jnz1568/getInfo.php?workbook=10_01.xlsx&amp;sheet=A0&amp;row=144&amp;col=29&amp;number=&amp;sourceID=13","")</f>
        <v/>
      </c>
      <c r="AD144" s="4" t="str">
        <f>HYPERLINK("http://141.218.60.56/~jnz1568/getInfo.php?workbook=10_01.xlsx&amp;sheet=A0&amp;row=144&amp;col=30&amp;number=&amp;sourceID=13","")</f>
        <v/>
      </c>
      <c r="AE144" s="4" t="str">
        <f>HYPERLINK("http://141.218.60.56/~jnz1568/getInfo.php?workbook=10_01.xlsx&amp;sheet=A0&amp;row=144&amp;col=31&amp;number=&amp;sourceID=13","")</f>
        <v/>
      </c>
      <c r="AF144" s="4" t="str">
        <f>HYPERLINK("http://141.218.60.56/~jnz1568/getInfo.php?workbook=10_01.xlsx&amp;sheet=A0&amp;row=144&amp;col=32&amp;number=&amp;sourceID=20","")</f>
        <v/>
      </c>
    </row>
    <row r="145" spans="1:32">
      <c r="A145" s="3">
        <v>10</v>
      </c>
      <c r="B145" s="3">
        <v>1</v>
      </c>
      <c r="C145" s="3">
        <v>18</v>
      </c>
      <c r="D145" s="3">
        <v>12</v>
      </c>
      <c r="E145" s="3">
        <f>((1/(INDEX(E0!J$4:J$28,C145,1)-INDEX(E0!J$4:J$28,D145,1))))*100000000</f>
        <v>0</v>
      </c>
      <c r="F145" s="4" t="str">
        <f>HYPERLINK("http://141.218.60.56/~jnz1568/getInfo.php?workbook=10_01.xlsx&amp;sheet=A0&amp;row=145&amp;col=6&amp;number=&amp;sourceID=18","")</f>
        <v/>
      </c>
      <c r="G145" s="4" t="str">
        <f>HYPERLINK("http://141.218.60.56/~jnz1568/getInfo.php?workbook=10_01.xlsx&amp;sheet=A0&amp;row=145&amp;col=7&amp;number==&amp;sourceID=11","=")</f>
        <v>=</v>
      </c>
      <c r="H145" s="4" t="str">
        <f>HYPERLINK("http://141.218.60.56/~jnz1568/getInfo.php?workbook=10_01.xlsx&amp;sheet=A0&amp;row=145&amp;col=8&amp;number=&amp;sourceID=11","")</f>
        <v/>
      </c>
      <c r="I145" s="4" t="str">
        <f>HYPERLINK("http://141.218.60.56/~jnz1568/getInfo.php?workbook=10_01.xlsx&amp;sheet=A0&amp;row=145&amp;col=9&amp;number=130480&amp;sourceID=11","130480")</f>
        <v>130480</v>
      </c>
      <c r="J145" s="4" t="str">
        <f>HYPERLINK("http://141.218.60.56/~jnz1568/getInfo.php?workbook=10_01.xlsx&amp;sheet=A0&amp;row=145&amp;col=10&amp;number=&amp;sourceID=11","")</f>
        <v/>
      </c>
      <c r="K145" s="4" t="str">
        <f>HYPERLINK("http://141.218.60.56/~jnz1568/getInfo.php?workbook=10_01.xlsx&amp;sheet=A0&amp;row=145&amp;col=11&amp;number=7.9696e-06&amp;sourceID=11","7.9696e-06")</f>
        <v>7.9696e-06</v>
      </c>
      <c r="L145" s="4" t="str">
        <f>HYPERLINK("http://141.218.60.56/~jnz1568/getInfo.php?workbook=10_01.xlsx&amp;sheet=A0&amp;row=145&amp;col=12&amp;number=&amp;sourceID=11","")</f>
        <v/>
      </c>
      <c r="M145" s="4" t="str">
        <f>HYPERLINK("http://141.218.60.56/~jnz1568/getInfo.php?workbook=10_01.xlsx&amp;sheet=A0&amp;row=145&amp;col=13&amp;number=&amp;sourceID=11","")</f>
        <v/>
      </c>
      <c r="N145" s="4" t="str">
        <f>HYPERLINK("http://141.218.60.56/~jnz1568/getInfo.php?workbook=10_01.xlsx&amp;sheet=A0&amp;row=145&amp;col=14&amp;number=130480&amp;sourceID=12","130480")</f>
        <v>130480</v>
      </c>
      <c r="O145" s="4" t="str">
        <f>HYPERLINK("http://141.218.60.56/~jnz1568/getInfo.php?workbook=10_01.xlsx&amp;sheet=A0&amp;row=145&amp;col=15&amp;number=&amp;sourceID=12","")</f>
        <v/>
      </c>
      <c r="P145" s="4" t="str">
        <f>HYPERLINK("http://141.218.60.56/~jnz1568/getInfo.php?workbook=10_01.xlsx&amp;sheet=A0&amp;row=145&amp;col=16&amp;number=130480&amp;sourceID=12","130480")</f>
        <v>130480</v>
      </c>
      <c r="Q145" s="4" t="str">
        <f>HYPERLINK("http://141.218.60.56/~jnz1568/getInfo.php?workbook=10_01.xlsx&amp;sheet=A0&amp;row=145&amp;col=17&amp;number=&amp;sourceID=12","")</f>
        <v/>
      </c>
      <c r="R145" s="4" t="str">
        <f>HYPERLINK("http://141.218.60.56/~jnz1568/getInfo.php?workbook=10_01.xlsx&amp;sheet=A0&amp;row=145&amp;col=18&amp;number=7.9698e-06&amp;sourceID=12","7.9698e-06")</f>
        <v>7.9698e-06</v>
      </c>
      <c r="S145" s="4" t="str">
        <f>HYPERLINK("http://141.218.60.56/~jnz1568/getInfo.php?workbook=10_01.xlsx&amp;sheet=A0&amp;row=145&amp;col=19&amp;number=&amp;sourceID=12","")</f>
        <v/>
      </c>
      <c r="T145" s="4" t="str">
        <f>HYPERLINK("http://141.218.60.56/~jnz1568/getInfo.php?workbook=10_01.xlsx&amp;sheet=A0&amp;row=145&amp;col=20&amp;number=&amp;sourceID=12","")</f>
        <v/>
      </c>
      <c r="U145" s="4" t="str">
        <f>HYPERLINK("http://141.218.60.56/~jnz1568/getInfo.php?workbook=10_01.xlsx&amp;sheet=A0&amp;row=145&amp;col=21&amp;number=130500.000008&amp;sourceID=30","130500.000008")</f>
        <v>130500.000008</v>
      </c>
      <c r="V145" s="4" t="str">
        <f>HYPERLINK("http://141.218.60.56/~jnz1568/getInfo.php?workbook=10_01.xlsx&amp;sheet=A0&amp;row=145&amp;col=22&amp;number=&amp;sourceID=30","")</f>
        <v/>
      </c>
      <c r="W145" s="4" t="str">
        <f>HYPERLINK("http://141.218.60.56/~jnz1568/getInfo.php?workbook=10_01.xlsx&amp;sheet=A0&amp;row=145&amp;col=23&amp;number=130500&amp;sourceID=30","130500")</f>
        <v>130500</v>
      </c>
      <c r="X145" s="4" t="str">
        <f>HYPERLINK("http://141.218.60.56/~jnz1568/getInfo.php?workbook=10_01.xlsx&amp;sheet=A0&amp;row=145&amp;col=24&amp;number=8.363e-06&amp;sourceID=30","8.363e-06")</f>
        <v>8.363e-06</v>
      </c>
      <c r="Y145" s="4" t="str">
        <f>HYPERLINK("http://141.218.60.56/~jnz1568/getInfo.php?workbook=10_01.xlsx&amp;sheet=A0&amp;row=145&amp;col=25&amp;number=&amp;sourceID=30","")</f>
        <v/>
      </c>
      <c r="Z145" s="4" t="str">
        <f>HYPERLINK("http://141.218.60.56/~jnz1568/getInfo.php?workbook=10_01.xlsx&amp;sheet=A0&amp;row=145&amp;col=26&amp;number=&amp;sourceID=13","")</f>
        <v/>
      </c>
      <c r="AA145" s="4" t="str">
        <f>HYPERLINK("http://141.218.60.56/~jnz1568/getInfo.php?workbook=10_01.xlsx&amp;sheet=A0&amp;row=145&amp;col=27&amp;number=&amp;sourceID=13","")</f>
        <v/>
      </c>
      <c r="AB145" s="4" t="str">
        <f>HYPERLINK("http://141.218.60.56/~jnz1568/getInfo.php?workbook=10_01.xlsx&amp;sheet=A0&amp;row=145&amp;col=28&amp;number=&amp;sourceID=13","")</f>
        <v/>
      </c>
      <c r="AC145" s="4" t="str">
        <f>HYPERLINK("http://141.218.60.56/~jnz1568/getInfo.php?workbook=10_01.xlsx&amp;sheet=A0&amp;row=145&amp;col=29&amp;number=&amp;sourceID=13","")</f>
        <v/>
      </c>
      <c r="AD145" s="4" t="str">
        <f>HYPERLINK("http://141.218.60.56/~jnz1568/getInfo.php?workbook=10_01.xlsx&amp;sheet=A0&amp;row=145&amp;col=30&amp;number=&amp;sourceID=13","")</f>
        <v/>
      </c>
      <c r="AE145" s="4" t="str">
        <f>HYPERLINK("http://141.218.60.56/~jnz1568/getInfo.php?workbook=10_01.xlsx&amp;sheet=A0&amp;row=145&amp;col=31&amp;number=&amp;sourceID=13","")</f>
        <v/>
      </c>
      <c r="AF145" s="4" t="str">
        <f>HYPERLINK("http://141.218.60.56/~jnz1568/getInfo.php?workbook=10_01.xlsx&amp;sheet=A0&amp;row=145&amp;col=32&amp;number=&amp;sourceID=20","")</f>
        <v/>
      </c>
    </row>
    <row r="146" spans="1:32">
      <c r="A146" s="3">
        <v>10</v>
      </c>
      <c r="B146" s="3">
        <v>1</v>
      </c>
      <c r="C146" s="3">
        <v>18</v>
      </c>
      <c r="D146" s="3">
        <v>13</v>
      </c>
      <c r="E146" s="3">
        <f>((1/(INDEX(E0!J$4:J$28,C146,1)-INDEX(E0!J$4:J$28,D146,1))))*100000000</f>
        <v>0</v>
      </c>
      <c r="F146" s="4" t="str">
        <f>HYPERLINK("http://141.218.60.56/~jnz1568/getInfo.php?workbook=10_01.xlsx&amp;sheet=A0&amp;row=146&amp;col=6&amp;number=&amp;sourceID=18","")</f>
        <v/>
      </c>
      <c r="G146" s="4" t="str">
        <f>HYPERLINK("http://141.218.60.56/~jnz1568/getInfo.php?workbook=10_01.xlsx&amp;sheet=A0&amp;row=146&amp;col=7&amp;number==&amp;sourceID=11","=")</f>
        <v>=</v>
      </c>
      <c r="H146" s="4" t="str">
        <f>HYPERLINK("http://141.218.60.56/~jnz1568/getInfo.php?workbook=10_01.xlsx&amp;sheet=A0&amp;row=146&amp;col=8&amp;number=4353600000&amp;sourceID=11","4353600000")</f>
        <v>4353600000</v>
      </c>
      <c r="I146" s="4" t="str">
        <f>HYPERLINK("http://141.218.60.56/~jnz1568/getInfo.php?workbook=10_01.xlsx&amp;sheet=A0&amp;row=146&amp;col=9&amp;number=&amp;sourceID=11","")</f>
        <v/>
      </c>
      <c r="J146" s="4" t="str">
        <f>HYPERLINK("http://141.218.60.56/~jnz1568/getInfo.php?workbook=10_01.xlsx&amp;sheet=A0&amp;row=146&amp;col=10&amp;number=&amp;sourceID=11","")</f>
        <v/>
      </c>
      <c r="K146" s="4" t="str">
        <f>HYPERLINK("http://141.218.60.56/~jnz1568/getInfo.php?workbook=10_01.xlsx&amp;sheet=A0&amp;row=146&amp;col=11&amp;number=&amp;sourceID=11","")</f>
        <v/>
      </c>
      <c r="L146" s="4" t="str">
        <f>HYPERLINK("http://141.218.60.56/~jnz1568/getInfo.php?workbook=10_01.xlsx&amp;sheet=A0&amp;row=146&amp;col=12&amp;number=2.9277&amp;sourceID=11","2.9277")</f>
        <v>2.9277</v>
      </c>
      <c r="M146" s="4" t="str">
        <f>HYPERLINK("http://141.218.60.56/~jnz1568/getInfo.php?workbook=10_01.xlsx&amp;sheet=A0&amp;row=146&amp;col=13&amp;number=&amp;sourceID=11","")</f>
        <v/>
      </c>
      <c r="N146" s="4" t="str">
        <f>HYPERLINK("http://141.218.60.56/~jnz1568/getInfo.php?workbook=10_01.xlsx&amp;sheet=A0&amp;row=146&amp;col=14&amp;number=4353700000&amp;sourceID=12","4353700000")</f>
        <v>4353700000</v>
      </c>
      <c r="O146" s="4" t="str">
        <f>HYPERLINK("http://141.218.60.56/~jnz1568/getInfo.php?workbook=10_01.xlsx&amp;sheet=A0&amp;row=146&amp;col=15&amp;number=4353700000&amp;sourceID=12","4353700000")</f>
        <v>4353700000</v>
      </c>
      <c r="P146" s="4" t="str">
        <f>HYPERLINK("http://141.218.60.56/~jnz1568/getInfo.php?workbook=10_01.xlsx&amp;sheet=A0&amp;row=146&amp;col=16&amp;number=&amp;sourceID=12","")</f>
        <v/>
      </c>
      <c r="Q146" s="4" t="str">
        <f>HYPERLINK("http://141.218.60.56/~jnz1568/getInfo.php?workbook=10_01.xlsx&amp;sheet=A0&amp;row=146&amp;col=17&amp;number=&amp;sourceID=12","")</f>
        <v/>
      </c>
      <c r="R146" s="4" t="str">
        <f>HYPERLINK("http://141.218.60.56/~jnz1568/getInfo.php?workbook=10_01.xlsx&amp;sheet=A0&amp;row=146&amp;col=18&amp;number=&amp;sourceID=12","")</f>
        <v/>
      </c>
      <c r="S146" s="4" t="str">
        <f>HYPERLINK("http://141.218.60.56/~jnz1568/getInfo.php?workbook=10_01.xlsx&amp;sheet=A0&amp;row=146&amp;col=19&amp;number=2.9277&amp;sourceID=12","2.9277")</f>
        <v>2.9277</v>
      </c>
      <c r="T146" s="4" t="str">
        <f>HYPERLINK("http://141.218.60.56/~jnz1568/getInfo.php?workbook=10_01.xlsx&amp;sheet=A0&amp;row=146&amp;col=20&amp;number=&amp;sourceID=12","")</f>
        <v/>
      </c>
      <c r="U146" s="4" t="str">
        <f>HYPERLINK("http://141.218.60.56/~jnz1568/getInfo.php?workbook=10_01.xlsx&amp;sheet=A0&amp;row=146&amp;col=21&amp;number=4354000002.93&amp;sourceID=30","4354000002.93")</f>
        <v>4354000002.93</v>
      </c>
      <c r="V146" s="4" t="str">
        <f>HYPERLINK("http://141.218.60.56/~jnz1568/getInfo.php?workbook=10_01.xlsx&amp;sheet=A0&amp;row=146&amp;col=22&amp;number=4354000000&amp;sourceID=30","4354000000")</f>
        <v>4354000000</v>
      </c>
      <c r="W146" s="4" t="str">
        <f>HYPERLINK("http://141.218.60.56/~jnz1568/getInfo.php?workbook=10_01.xlsx&amp;sheet=A0&amp;row=146&amp;col=23&amp;number=&amp;sourceID=30","")</f>
        <v/>
      </c>
      <c r="X146" s="4" t="str">
        <f>HYPERLINK("http://141.218.60.56/~jnz1568/getInfo.php?workbook=10_01.xlsx&amp;sheet=A0&amp;row=146&amp;col=24&amp;number=&amp;sourceID=30","")</f>
        <v/>
      </c>
      <c r="Y146" s="4" t="str">
        <f>HYPERLINK("http://141.218.60.56/~jnz1568/getInfo.php?workbook=10_01.xlsx&amp;sheet=A0&amp;row=146&amp;col=25&amp;number=2.928&amp;sourceID=30","2.928")</f>
        <v>2.928</v>
      </c>
      <c r="Z146" s="4" t="str">
        <f>HYPERLINK("http://141.218.60.56/~jnz1568/getInfo.php?workbook=10_01.xlsx&amp;sheet=A0&amp;row=146&amp;col=26&amp;number=&amp;sourceID=13","")</f>
        <v/>
      </c>
      <c r="AA146" s="4" t="str">
        <f>HYPERLINK("http://141.218.60.56/~jnz1568/getInfo.php?workbook=10_01.xlsx&amp;sheet=A0&amp;row=146&amp;col=27&amp;number=&amp;sourceID=13","")</f>
        <v/>
      </c>
      <c r="AB146" s="4" t="str">
        <f>HYPERLINK("http://141.218.60.56/~jnz1568/getInfo.php?workbook=10_01.xlsx&amp;sheet=A0&amp;row=146&amp;col=28&amp;number=&amp;sourceID=13","")</f>
        <v/>
      </c>
      <c r="AC146" s="4" t="str">
        <f>HYPERLINK("http://141.218.60.56/~jnz1568/getInfo.php?workbook=10_01.xlsx&amp;sheet=A0&amp;row=146&amp;col=29&amp;number=&amp;sourceID=13","")</f>
        <v/>
      </c>
      <c r="AD146" s="4" t="str">
        <f>HYPERLINK("http://141.218.60.56/~jnz1568/getInfo.php?workbook=10_01.xlsx&amp;sheet=A0&amp;row=146&amp;col=30&amp;number=&amp;sourceID=13","")</f>
        <v/>
      </c>
      <c r="AE146" s="4" t="str">
        <f>HYPERLINK("http://141.218.60.56/~jnz1568/getInfo.php?workbook=10_01.xlsx&amp;sheet=A0&amp;row=146&amp;col=31&amp;number=&amp;sourceID=13","")</f>
        <v/>
      </c>
      <c r="AF146" s="4" t="str">
        <f>HYPERLINK("http://141.218.60.56/~jnz1568/getInfo.php?workbook=10_01.xlsx&amp;sheet=A0&amp;row=146&amp;col=32&amp;number=&amp;sourceID=20","")</f>
        <v/>
      </c>
    </row>
    <row r="147" spans="1:32">
      <c r="A147" s="3">
        <v>10</v>
      </c>
      <c r="B147" s="3">
        <v>1</v>
      </c>
      <c r="C147" s="3">
        <v>18</v>
      </c>
      <c r="D147" s="3">
        <v>14</v>
      </c>
      <c r="E147" s="3">
        <f>((1/(INDEX(E0!J$4:J$28,C147,1)-INDEX(E0!J$4:J$28,D147,1))))*100000000</f>
        <v>0</v>
      </c>
      <c r="F147" s="4" t="str">
        <f>HYPERLINK("http://141.218.60.56/~jnz1568/getInfo.php?workbook=10_01.xlsx&amp;sheet=A0&amp;row=147&amp;col=6&amp;number=&amp;sourceID=18","")</f>
        <v/>
      </c>
      <c r="G147" s="4" t="str">
        <f>HYPERLINK("http://141.218.60.56/~jnz1568/getInfo.php?workbook=10_01.xlsx&amp;sheet=A0&amp;row=147&amp;col=7&amp;number==&amp;sourceID=11","=")</f>
        <v>=</v>
      </c>
      <c r="H147" s="4" t="str">
        <f>HYPERLINK("http://141.218.60.56/~jnz1568/getInfo.php?workbook=10_01.xlsx&amp;sheet=A0&amp;row=147&amp;col=8&amp;number=&amp;sourceID=11","")</f>
        <v/>
      </c>
      <c r="I147" s="4" t="str">
        <f>HYPERLINK("http://141.218.60.56/~jnz1568/getInfo.php?workbook=10_01.xlsx&amp;sheet=A0&amp;row=147&amp;col=9&amp;number=&amp;sourceID=11","")</f>
        <v/>
      </c>
      <c r="J147" s="4" t="str">
        <f>HYPERLINK("http://141.218.60.56/~jnz1568/getInfo.php?workbook=10_01.xlsx&amp;sheet=A0&amp;row=147&amp;col=10&amp;number=1.3677&amp;sourceID=11","1.3677")</f>
        <v>1.3677</v>
      </c>
      <c r="K147" s="4" t="str">
        <f>HYPERLINK("http://141.218.60.56/~jnz1568/getInfo.php?workbook=10_01.xlsx&amp;sheet=A0&amp;row=147&amp;col=11&amp;number=&amp;sourceID=11","")</f>
        <v/>
      </c>
      <c r="L147" s="4" t="str">
        <f>HYPERLINK("http://141.218.60.56/~jnz1568/getInfo.php?workbook=10_01.xlsx&amp;sheet=A0&amp;row=147&amp;col=12&amp;number=9.886e-12&amp;sourceID=11","9.886e-12")</f>
        <v>9.886e-12</v>
      </c>
      <c r="M147" s="4" t="str">
        <f>HYPERLINK("http://141.218.60.56/~jnz1568/getInfo.php?workbook=10_01.xlsx&amp;sheet=A0&amp;row=147&amp;col=13&amp;number=&amp;sourceID=11","")</f>
        <v/>
      </c>
      <c r="N147" s="4" t="str">
        <f>HYPERLINK("http://141.218.60.56/~jnz1568/getInfo.php?workbook=10_01.xlsx&amp;sheet=A0&amp;row=147&amp;col=14&amp;number=1.3678&amp;sourceID=12","1.3678")</f>
        <v>1.3678</v>
      </c>
      <c r="O147" s="4" t="str">
        <f>HYPERLINK("http://141.218.60.56/~jnz1568/getInfo.php?workbook=10_01.xlsx&amp;sheet=A0&amp;row=147&amp;col=15&amp;number=&amp;sourceID=12","")</f>
        <v/>
      </c>
      <c r="P147" s="4" t="str">
        <f>HYPERLINK("http://141.218.60.56/~jnz1568/getInfo.php?workbook=10_01.xlsx&amp;sheet=A0&amp;row=147&amp;col=16&amp;number=&amp;sourceID=12","")</f>
        <v/>
      </c>
      <c r="Q147" s="4" t="str">
        <f>HYPERLINK("http://141.218.60.56/~jnz1568/getInfo.php?workbook=10_01.xlsx&amp;sheet=A0&amp;row=147&amp;col=17&amp;number=1.3678&amp;sourceID=12","1.3678")</f>
        <v>1.3678</v>
      </c>
      <c r="R147" s="4" t="str">
        <f>HYPERLINK("http://141.218.60.56/~jnz1568/getInfo.php?workbook=10_01.xlsx&amp;sheet=A0&amp;row=147&amp;col=18&amp;number=&amp;sourceID=12","")</f>
        <v/>
      </c>
      <c r="S147" s="4" t="str">
        <f>HYPERLINK("http://141.218.60.56/~jnz1568/getInfo.php?workbook=10_01.xlsx&amp;sheet=A0&amp;row=147&amp;col=19&amp;number=9.886e-12&amp;sourceID=12","9.886e-12")</f>
        <v>9.886e-12</v>
      </c>
      <c r="T147" s="4" t="str">
        <f>HYPERLINK("http://141.218.60.56/~jnz1568/getInfo.php?workbook=10_01.xlsx&amp;sheet=A0&amp;row=147&amp;col=20&amp;number=&amp;sourceID=12","")</f>
        <v/>
      </c>
      <c r="U147" s="4" t="str">
        <f>HYPERLINK("http://141.218.60.56/~jnz1568/getInfo.php?workbook=10_01.xlsx&amp;sheet=A0&amp;row=147&amp;col=21&amp;number=1.216e-11&amp;sourceID=30","1.216e-11")</f>
        <v>1.216e-11</v>
      </c>
      <c r="V147" s="4" t="str">
        <f>HYPERLINK("http://141.218.60.56/~jnz1568/getInfo.php?workbook=10_01.xlsx&amp;sheet=A0&amp;row=147&amp;col=22&amp;number=&amp;sourceID=30","")</f>
        <v/>
      </c>
      <c r="W147" s="4" t="str">
        <f>HYPERLINK("http://141.218.60.56/~jnz1568/getInfo.php?workbook=10_01.xlsx&amp;sheet=A0&amp;row=147&amp;col=23&amp;number=&amp;sourceID=30","")</f>
        <v/>
      </c>
      <c r="X147" s="4" t="str">
        <f>HYPERLINK("http://141.218.60.56/~jnz1568/getInfo.php?workbook=10_01.xlsx&amp;sheet=A0&amp;row=147&amp;col=24&amp;number=&amp;sourceID=30","")</f>
        <v/>
      </c>
      <c r="Y147" s="4" t="str">
        <f>HYPERLINK("http://141.218.60.56/~jnz1568/getInfo.php?workbook=10_01.xlsx&amp;sheet=A0&amp;row=147&amp;col=25&amp;number=1.216e-11&amp;sourceID=30","1.216e-11")</f>
        <v>1.216e-11</v>
      </c>
      <c r="Z147" s="4" t="str">
        <f>HYPERLINK("http://141.218.60.56/~jnz1568/getInfo.php?workbook=10_01.xlsx&amp;sheet=A0&amp;row=147&amp;col=26&amp;number=&amp;sourceID=13","")</f>
        <v/>
      </c>
      <c r="AA147" s="4" t="str">
        <f>HYPERLINK("http://141.218.60.56/~jnz1568/getInfo.php?workbook=10_01.xlsx&amp;sheet=A0&amp;row=147&amp;col=27&amp;number=&amp;sourceID=13","")</f>
        <v/>
      </c>
      <c r="AB147" s="4" t="str">
        <f>HYPERLINK("http://141.218.60.56/~jnz1568/getInfo.php?workbook=10_01.xlsx&amp;sheet=A0&amp;row=147&amp;col=28&amp;number=&amp;sourceID=13","")</f>
        <v/>
      </c>
      <c r="AC147" s="4" t="str">
        <f>HYPERLINK("http://141.218.60.56/~jnz1568/getInfo.php?workbook=10_01.xlsx&amp;sheet=A0&amp;row=147&amp;col=29&amp;number=&amp;sourceID=13","")</f>
        <v/>
      </c>
      <c r="AD147" s="4" t="str">
        <f>HYPERLINK("http://141.218.60.56/~jnz1568/getInfo.php?workbook=10_01.xlsx&amp;sheet=A0&amp;row=147&amp;col=30&amp;number=&amp;sourceID=13","")</f>
        <v/>
      </c>
      <c r="AE147" s="4" t="str">
        <f>HYPERLINK("http://141.218.60.56/~jnz1568/getInfo.php?workbook=10_01.xlsx&amp;sheet=A0&amp;row=147&amp;col=31&amp;number=&amp;sourceID=13","")</f>
        <v/>
      </c>
      <c r="AF147" s="4" t="str">
        <f>HYPERLINK("http://141.218.60.56/~jnz1568/getInfo.php?workbook=10_01.xlsx&amp;sheet=A0&amp;row=147&amp;col=32&amp;number=&amp;sourceID=20","")</f>
        <v/>
      </c>
    </row>
    <row r="148" spans="1:32">
      <c r="A148" s="3">
        <v>10</v>
      </c>
      <c r="B148" s="3">
        <v>1</v>
      </c>
      <c r="C148" s="3">
        <v>18</v>
      </c>
      <c r="D148" s="3">
        <v>15</v>
      </c>
      <c r="E148" s="3">
        <f>((1/(INDEX(E0!J$4:J$28,C148,1)-INDEX(E0!J$4:J$28,D148,1))))*100000000</f>
        <v>0</v>
      </c>
      <c r="F148" s="4" t="str">
        <f>HYPERLINK("http://141.218.60.56/~jnz1568/getInfo.php?workbook=10_01.xlsx&amp;sheet=A0&amp;row=148&amp;col=6&amp;number=&amp;sourceID=18","")</f>
        <v/>
      </c>
      <c r="G148" s="4" t="str">
        <f>HYPERLINK("http://141.218.60.56/~jnz1568/getInfo.php?workbook=10_01.xlsx&amp;sheet=A0&amp;row=148&amp;col=7&amp;number==&amp;sourceID=11","=")</f>
        <v>=</v>
      </c>
      <c r="H148" s="4" t="str">
        <f>HYPERLINK("http://141.218.60.56/~jnz1568/getInfo.php?workbook=10_01.xlsx&amp;sheet=A0&amp;row=148&amp;col=8&amp;number=&amp;sourceID=11","")</f>
        <v/>
      </c>
      <c r="I148" s="4" t="str">
        <f>HYPERLINK("http://141.218.60.56/~jnz1568/getInfo.php?workbook=10_01.xlsx&amp;sheet=A0&amp;row=148&amp;col=9&amp;number=195800&amp;sourceID=11","195800")</f>
        <v>195800</v>
      </c>
      <c r="J148" s="4" t="str">
        <f>HYPERLINK("http://141.218.60.56/~jnz1568/getInfo.php?workbook=10_01.xlsx&amp;sheet=A0&amp;row=148&amp;col=10&amp;number=&amp;sourceID=11","")</f>
        <v/>
      </c>
      <c r="K148" s="4" t="str">
        <f>HYPERLINK("http://141.218.60.56/~jnz1568/getInfo.php?workbook=10_01.xlsx&amp;sheet=A0&amp;row=148&amp;col=11&amp;number=&amp;sourceID=11","")</f>
        <v/>
      </c>
      <c r="L148" s="4" t="str">
        <f>HYPERLINK("http://141.218.60.56/~jnz1568/getInfo.php?workbook=10_01.xlsx&amp;sheet=A0&amp;row=148&amp;col=12&amp;number=&amp;sourceID=11","")</f>
        <v/>
      </c>
      <c r="M148" s="4" t="str">
        <f>HYPERLINK("http://141.218.60.56/~jnz1568/getInfo.php?workbook=10_01.xlsx&amp;sheet=A0&amp;row=148&amp;col=13&amp;number=0.00015584&amp;sourceID=11","0.00015584")</f>
        <v>0.00015584</v>
      </c>
      <c r="N148" s="4" t="str">
        <f>HYPERLINK("http://141.218.60.56/~jnz1568/getInfo.php?workbook=10_01.xlsx&amp;sheet=A0&amp;row=148&amp;col=14&amp;number=195800&amp;sourceID=12","195800")</f>
        <v>195800</v>
      </c>
      <c r="O148" s="4" t="str">
        <f>HYPERLINK("http://141.218.60.56/~jnz1568/getInfo.php?workbook=10_01.xlsx&amp;sheet=A0&amp;row=148&amp;col=15&amp;number=&amp;sourceID=12","")</f>
        <v/>
      </c>
      <c r="P148" s="4" t="str">
        <f>HYPERLINK("http://141.218.60.56/~jnz1568/getInfo.php?workbook=10_01.xlsx&amp;sheet=A0&amp;row=148&amp;col=16&amp;number=195800&amp;sourceID=12","195800")</f>
        <v>195800</v>
      </c>
      <c r="Q148" s="4" t="str">
        <f>HYPERLINK("http://141.218.60.56/~jnz1568/getInfo.php?workbook=10_01.xlsx&amp;sheet=A0&amp;row=148&amp;col=17&amp;number=&amp;sourceID=12","")</f>
        <v/>
      </c>
      <c r="R148" s="4" t="str">
        <f>HYPERLINK("http://141.218.60.56/~jnz1568/getInfo.php?workbook=10_01.xlsx&amp;sheet=A0&amp;row=148&amp;col=18&amp;number=&amp;sourceID=12","")</f>
        <v/>
      </c>
      <c r="S148" s="4" t="str">
        <f>HYPERLINK("http://141.218.60.56/~jnz1568/getInfo.php?workbook=10_01.xlsx&amp;sheet=A0&amp;row=148&amp;col=19&amp;number=&amp;sourceID=12","")</f>
        <v/>
      </c>
      <c r="T148" s="4" t="str">
        <f>HYPERLINK("http://141.218.60.56/~jnz1568/getInfo.php?workbook=10_01.xlsx&amp;sheet=A0&amp;row=148&amp;col=20&amp;number=0.00015584&amp;sourceID=12","0.00015584")</f>
        <v>0.00015584</v>
      </c>
      <c r="U148" s="4" t="str">
        <f>HYPERLINK("http://141.218.60.56/~jnz1568/getInfo.php?workbook=10_01.xlsx&amp;sheet=A0&amp;row=148&amp;col=21&amp;number=195800&amp;sourceID=30","195800")</f>
        <v>195800</v>
      </c>
      <c r="V148" s="4" t="str">
        <f>HYPERLINK("http://141.218.60.56/~jnz1568/getInfo.php?workbook=10_01.xlsx&amp;sheet=A0&amp;row=148&amp;col=22&amp;number=&amp;sourceID=30","")</f>
        <v/>
      </c>
      <c r="W148" s="4" t="str">
        <f>HYPERLINK("http://141.218.60.56/~jnz1568/getInfo.php?workbook=10_01.xlsx&amp;sheet=A0&amp;row=148&amp;col=23&amp;number=195800&amp;sourceID=30","195800")</f>
        <v>195800</v>
      </c>
      <c r="X148" s="4" t="str">
        <f>HYPERLINK("http://141.218.60.56/~jnz1568/getInfo.php?workbook=10_01.xlsx&amp;sheet=A0&amp;row=148&amp;col=24&amp;number=&amp;sourceID=30","")</f>
        <v/>
      </c>
      <c r="Y148" s="4" t="str">
        <f>HYPERLINK("http://141.218.60.56/~jnz1568/getInfo.php?workbook=10_01.xlsx&amp;sheet=A0&amp;row=148&amp;col=25&amp;number=&amp;sourceID=30","")</f>
        <v/>
      </c>
      <c r="Z148" s="4" t="str">
        <f>HYPERLINK("http://141.218.60.56/~jnz1568/getInfo.php?workbook=10_01.xlsx&amp;sheet=A0&amp;row=148&amp;col=26&amp;number=&amp;sourceID=13","")</f>
        <v/>
      </c>
      <c r="AA148" s="4" t="str">
        <f>HYPERLINK("http://141.218.60.56/~jnz1568/getInfo.php?workbook=10_01.xlsx&amp;sheet=A0&amp;row=148&amp;col=27&amp;number=&amp;sourceID=13","")</f>
        <v/>
      </c>
      <c r="AB148" s="4" t="str">
        <f>HYPERLINK("http://141.218.60.56/~jnz1568/getInfo.php?workbook=10_01.xlsx&amp;sheet=A0&amp;row=148&amp;col=28&amp;number=&amp;sourceID=13","")</f>
        <v/>
      </c>
      <c r="AC148" s="4" t="str">
        <f>HYPERLINK("http://141.218.60.56/~jnz1568/getInfo.php?workbook=10_01.xlsx&amp;sheet=A0&amp;row=148&amp;col=29&amp;number=&amp;sourceID=13","")</f>
        <v/>
      </c>
      <c r="AD148" s="4" t="str">
        <f>HYPERLINK("http://141.218.60.56/~jnz1568/getInfo.php?workbook=10_01.xlsx&amp;sheet=A0&amp;row=148&amp;col=30&amp;number=&amp;sourceID=13","")</f>
        <v/>
      </c>
      <c r="AE148" s="4" t="str">
        <f>HYPERLINK("http://141.218.60.56/~jnz1568/getInfo.php?workbook=10_01.xlsx&amp;sheet=A0&amp;row=148&amp;col=31&amp;number=&amp;sourceID=13","")</f>
        <v/>
      </c>
      <c r="AF148" s="4" t="str">
        <f>HYPERLINK("http://141.218.60.56/~jnz1568/getInfo.php?workbook=10_01.xlsx&amp;sheet=A0&amp;row=148&amp;col=32&amp;number=&amp;sourceID=20","")</f>
        <v/>
      </c>
    </row>
    <row r="149" spans="1:32">
      <c r="A149" s="3">
        <v>10</v>
      </c>
      <c r="B149" s="3">
        <v>1</v>
      </c>
      <c r="C149" s="3">
        <v>18</v>
      </c>
      <c r="D149" s="3">
        <v>16</v>
      </c>
      <c r="E149" s="3">
        <f>((1/(INDEX(E0!J$4:J$28,C149,1)-INDEX(E0!J$4:J$28,D149,1))))*100000000</f>
        <v>0</v>
      </c>
      <c r="F149" s="4" t="str">
        <f>HYPERLINK("http://141.218.60.56/~jnz1568/getInfo.php?workbook=10_01.xlsx&amp;sheet=A0&amp;row=149&amp;col=6&amp;number=&amp;sourceID=18","")</f>
        <v/>
      </c>
      <c r="G149" s="4" t="str">
        <f>HYPERLINK("http://141.218.60.56/~jnz1568/getInfo.php?workbook=10_01.xlsx&amp;sheet=A0&amp;row=149&amp;col=7&amp;number==&amp;sourceID=11","=")</f>
        <v>=</v>
      </c>
      <c r="H149" s="4" t="str">
        <f>HYPERLINK("http://141.218.60.56/~jnz1568/getInfo.php?workbook=10_01.xlsx&amp;sheet=A0&amp;row=149&amp;col=8&amp;number=&amp;sourceID=11","")</f>
        <v/>
      </c>
      <c r="I149" s="4" t="str">
        <f>HYPERLINK("http://141.218.60.56/~jnz1568/getInfo.php?workbook=10_01.xlsx&amp;sheet=A0&amp;row=149&amp;col=9&amp;number=&amp;sourceID=11","")</f>
        <v/>
      </c>
      <c r="J149" s="4" t="str">
        <f>HYPERLINK("http://141.218.60.56/~jnz1568/getInfo.php?workbook=10_01.xlsx&amp;sheet=A0&amp;row=149&amp;col=10&amp;number=1.8227&amp;sourceID=11","1.8227")</f>
        <v>1.8227</v>
      </c>
      <c r="K149" s="4" t="str">
        <f>HYPERLINK("http://141.218.60.56/~jnz1568/getInfo.php?workbook=10_01.xlsx&amp;sheet=A0&amp;row=149&amp;col=11&amp;number=&amp;sourceID=11","")</f>
        <v/>
      </c>
      <c r="L149" s="4" t="str">
        <f>HYPERLINK("http://141.218.60.56/~jnz1568/getInfo.php?workbook=10_01.xlsx&amp;sheet=A0&amp;row=149&amp;col=12&amp;number=&amp;sourceID=11","")</f>
        <v/>
      </c>
      <c r="M149" s="4" t="str">
        <f>HYPERLINK("http://141.218.60.56/~jnz1568/getInfo.php?workbook=10_01.xlsx&amp;sheet=A0&amp;row=149&amp;col=13&amp;number=&amp;sourceID=11","")</f>
        <v/>
      </c>
      <c r="N149" s="4" t="str">
        <f>HYPERLINK("http://141.218.60.56/~jnz1568/getInfo.php?workbook=10_01.xlsx&amp;sheet=A0&amp;row=149&amp;col=14&amp;number=1.8228&amp;sourceID=12","1.8228")</f>
        <v>1.8228</v>
      </c>
      <c r="O149" s="4" t="str">
        <f>HYPERLINK("http://141.218.60.56/~jnz1568/getInfo.php?workbook=10_01.xlsx&amp;sheet=A0&amp;row=149&amp;col=15&amp;number=&amp;sourceID=12","")</f>
        <v/>
      </c>
      <c r="P149" s="4" t="str">
        <f>HYPERLINK("http://141.218.60.56/~jnz1568/getInfo.php?workbook=10_01.xlsx&amp;sheet=A0&amp;row=149&amp;col=16&amp;number=&amp;sourceID=12","")</f>
        <v/>
      </c>
      <c r="Q149" s="4" t="str">
        <f>HYPERLINK("http://141.218.60.56/~jnz1568/getInfo.php?workbook=10_01.xlsx&amp;sheet=A0&amp;row=149&amp;col=17&amp;number=1.8228&amp;sourceID=12","1.8228")</f>
        <v>1.8228</v>
      </c>
      <c r="R149" s="4" t="str">
        <f>HYPERLINK("http://141.218.60.56/~jnz1568/getInfo.php?workbook=10_01.xlsx&amp;sheet=A0&amp;row=149&amp;col=18&amp;number=&amp;sourceID=12","")</f>
        <v/>
      </c>
      <c r="S149" s="4" t="str">
        <f>HYPERLINK("http://141.218.60.56/~jnz1568/getInfo.php?workbook=10_01.xlsx&amp;sheet=A0&amp;row=149&amp;col=19&amp;number=&amp;sourceID=12","")</f>
        <v/>
      </c>
      <c r="T149" s="4" t="str">
        <f>HYPERLINK("http://141.218.60.56/~jnz1568/getInfo.php?workbook=10_01.xlsx&amp;sheet=A0&amp;row=149&amp;col=20&amp;number=&amp;sourceID=12","")</f>
        <v/>
      </c>
      <c r="U149" s="4" t="str">
        <f>HYPERLINK("http://141.218.60.56/~jnz1568/getInfo.php?workbook=10_01.xlsx&amp;sheet=A0&amp;row=149&amp;col=21&amp;number=&amp;sourceID=30","")</f>
        <v/>
      </c>
      <c r="V149" s="4" t="str">
        <f>HYPERLINK("http://141.218.60.56/~jnz1568/getInfo.php?workbook=10_01.xlsx&amp;sheet=A0&amp;row=149&amp;col=22&amp;number=&amp;sourceID=30","")</f>
        <v/>
      </c>
      <c r="W149" s="4" t="str">
        <f>HYPERLINK("http://141.218.60.56/~jnz1568/getInfo.php?workbook=10_01.xlsx&amp;sheet=A0&amp;row=149&amp;col=23&amp;number=&amp;sourceID=30","")</f>
        <v/>
      </c>
      <c r="X149" s="4" t="str">
        <f>HYPERLINK("http://141.218.60.56/~jnz1568/getInfo.php?workbook=10_01.xlsx&amp;sheet=A0&amp;row=149&amp;col=24&amp;number=&amp;sourceID=30","")</f>
        <v/>
      </c>
      <c r="Y149" s="4" t="str">
        <f>HYPERLINK("http://141.218.60.56/~jnz1568/getInfo.php?workbook=10_01.xlsx&amp;sheet=A0&amp;row=149&amp;col=25&amp;number=&amp;sourceID=30","")</f>
        <v/>
      </c>
      <c r="Z149" s="4" t="str">
        <f>HYPERLINK("http://141.218.60.56/~jnz1568/getInfo.php?workbook=10_01.xlsx&amp;sheet=A0&amp;row=149&amp;col=26&amp;number=&amp;sourceID=13","")</f>
        <v/>
      </c>
      <c r="AA149" s="4" t="str">
        <f>HYPERLINK("http://141.218.60.56/~jnz1568/getInfo.php?workbook=10_01.xlsx&amp;sheet=A0&amp;row=149&amp;col=27&amp;number=&amp;sourceID=13","")</f>
        <v/>
      </c>
      <c r="AB149" s="4" t="str">
        <f>HYPERLINK("http://141.218.60.56/~jnz1568/getInfo.php?workbook=10_01.xlsx&amp;sheet=A0&amp;row=149&amp;col=28&amp;number=&amp;sourceID=13","")</f>
        <v/>
      </c>
      <c r="AC149" s="4" t="str">
        <f>HYPERLINK("http://141.218.60.56/~jnz1568/getInfo.php?workbook=10_01.xlsx&amp;sheet=A0&amp;row=149&amp;col=29&amp;number=&amp;sourceID=13","")</f>
        <v/>
      </c>
      <c r="AD149" s="4" t="str">
        <f>HYPERLINK("http://141.218.60.56/~jnz1568/getInfo.php?workbook=10_01.xlsx&amp;sheet=A0&amp;row=149&amp;col=30&amp;number=&amp;sourceID=13","")</f>
        <v/>
      </c>
      <c r="AE149" s="4" t="str">
        <f>HYPERLINK("http://141.218.60.56/~jnz1568/getInfo.php?workbook=10_01.xlsx&amp;sheet=A0&amp;row=149&amp;col=31&amp;number=&amp;sourceID=13","")</f>
        <v/>
      </c>
      <c r="AF149" s="4" t="str">
        <f>HYPERLINK("http://141.218.60.56/~jnz1568/getInfo.php?workbook=10_01.xlsx&amp;sheet=A0&amp;row=149&amp;col=32&amp;number=&amp;sourceID=20","")</f>
        <v/>
      </c>
    </row>
    <row r="150" spans="1:32">
      <c r="A150" s="3">
        <v>10</v>
      </c>
      <c r="B150" s="3">
        <v>1</v>
      </c>
      <c r="C150" s="3">
        <v>19</v>
      </c>
      <c r="D150" s="3">
        <v>1</v>
      </c>
      <c r="E150" s="3">
        <f>((1/(INDEX(E0!J$4:J$28,C150,1)-INDEX(E0!J$4:J$28,D150,1))))*100000000</f>
        <v>0</v>
      </c>
      <c r="F150" s="4" t="str">
        <f>HYPERLINK("http://141.218.60.56/~jnz1568/getInfo.php?workbook=10_01.xlsx&amp;sheet=A0&amp;row=150&amp;col=6&amp;number=&amp;sourceID=18","")</f>
        <v/>
      </c>
      <c r="G150" s="4" t="str">
        <f>HYPERLINK("http://141.218.60.56/~jnz1568/getInfo.php?workbook=10_01.xlsx&amp;sheet=A0&amp;row=150&amp;col=7&amp;number==&amp;sourceID=11","=")</f>
        <v>=</v>
      </c>
      <c r="H150" s="4" t="str">
        <f>HYPERLINK("http://141.218.60.56/~jnz1568/getInfo.php?workbook=10_01.xlsx&amp;sheet=A0&amp;row=150&amp;col=8&amp;number=&amp;sourceID=11","")</f>
        <v/>
      </c>
      <c r="I150" s="4" t="str">
        <f>HYPERLINK("http://141.218.60.56/~jnz1568/getInfo.php?workbook=10_01.xlsx&amp;sheet=A0&amp;row=150&amp;col=9&amp;number=184300000&amp;sourceID=11","184300000")</f>
        <v>184300000</v>
      </c>
      <c r="J150" s="4" t="str">
        <f>HYPERLINK("http://141.218.60.56/~jnz1568/getInfo.php?workbook=10_01.xlsx&amp;sheet=A0&amp;row=150&amp;col=10&amp;number=&amp;sourceID=11","")</f>
        <v/>
      </c>
      <c r="K150" s="4" t="str">
        <f>HYPERLINK("http://141.218.60.56/~jnz1568/getInfo.php?workbook=10_01.xlsx&amp;sheet=A0&amp;row=150&amp;col=11&amp;number=25.838&amp;sourceID=11","25.838")</f>
        <v>25.838</v>
      </c>
      <c r="L150" s="4" t="str">
        <f>HYPERLINK("http://141.218.60.56/~jnz1568/getInfo.php?workbook=10_01.xlsx&amp;sheet=A0&amp;row=150&amp;col=12&amp;number=&amp;sourceID=11","")</f>
        <v/>
      </c>
      <c r="M150" s="4" t="str">
        <f>HYPERLINK("http://141.218.60.56/~jnz1568/getInfo.php?workbook=10_01.xlsx&amp;sheet=A0&amp;row=150&amp;col=13&amp;number=&amp;sourceID=11","")</f>
        <v/>
      </c>
      <c r="N150" s="4" t="str">
        <f>HYPERLINK("http://141.218.60.56/~jnz1568/getInfo.php?workbook=10_01.xlsx&amp;sheet=A0&amp;row=150&amp;col=14&amp;number=184310000&amp;sourceID=12","184310000")</f>
        <v>184310000</v>
      </c>
      <c r="O150" s="4" t="str">
        <f>HYPERLINK("http://141.218.60.56/~jnz1568/getInfo.php?workbook=10_01.xlsx&amp;sheet=A0&amp;row=150&amp;col=15&amp;number=&amp;sourceID=12","")</f>
        <v/>
      </c>
      <c r="P150" s="4" t="str">
        <f>HYPERLINK("http://141.218.60.56/~jnz1568/getInfo.php?workbook=10_01.xlsx&amp;sheet=A0&amp;row=150&amp;col=16&amp;number=184310000&amp;sourceID=12","184310000")</f>
        <v>184310000</v>
      </c>
      <c r="Q150" s="4" t="str">
        <f>HYPERLINK("http://141.218.60.56/~jnz1568/getInfo.php?workbook=10_01.xlsx&amp;sheet=A0&amp;row=150&amp;col=17&amp;number=&amp;sourceID=12","")</f>
        <v/>
      </c>
      <c r="R150" s="4" t="str">
        <f>HYPERLINK("http://141.218.60.56/~jnz1568/getInfo.php?workbook=10_01.xlsx&amp;sheet=A0&amp;row=150&amp;col=18&amp;number=25.839&amp;sourceID=12","25.839")</f>
        <v>25.839</v>
      </c>
      <c r="S150" s="4" t="str">
        <f>HYPERLINK("http://141.218.60.56/~jnz1568/getInfo.php?workbook=10_01.xlsx&amp;sheet=A0&amp;row=150&amp;col=19&amp;number=&amp;sourceID=12","")</f>
        <v/>
      </c>
      <c r="T150" s="4" t="str">
        <f>HYPERLINK("http://141.218.60.56/~jnz1568/getInfo.php?workbook=10_01.xlsx&amp;sheet=A0&amp;row=150&amp;col=20&amp;number=&amp;sourceID=12","")</f>
        <v/>
      </c>
      <c r="U150" s="4" t="str">
        <f>HYPERLINK("http://141.218.60.56/~jnz1568/getInfo.php?workbook=10_01.xlsx&amp;sheet=A0&amp;row=150&amp;col=21&amp;number=184300025.84&amp;sourceID=30","184300025.84")</f>
        <v>184300025.84</v>
      </c>
      <c r="V150" s="4" t="str">
        <f>HYPERLINK("http://141.218.60.56/~jnz1568/getInfo.php?workbook=10_01.xlsx&amp;sheet=A0&amp;row=150&amp;col=22&amp;number=&amp;sourceID=30","")</f>
        <v/>
      </c>
      <c r="W150" s="4" t="str">
        <f>HYPERLINK("http://141.218.60.56/~jnz1568/getInfo.php?workbook=10_01.xlsx&amp;sheet=A0&amp;row=150&amp;col=23&amp;number=184300000&amp;sourceID=30","184300000")</f>
        <v>184300000</v>
      </c>
      <c r="X150" s="4" t="str">
        <f>HYPERLINK("http://141.218.60.56/~jnz1568/getInfo.php?workbook=10_01.xlsx&amp;sheet=A0&amp;row=150&amp;col=24&amp;number=25.84&amp;sourceID=30","25.84")</f>
        <v>25.84</v>
      </c>
      <c r="Y150" s="4" t="str">
        <f>HYPERLINK("http://141.218.60.56/~jnz1568/getInfo.php?workbook=10_01.xlsx&amp;sheet=A0&amp;row=150&amp;col=25&amp;number=&amp;sourceID=30","")</f>
        <v/>
      </c>
      <c r="Z150" s="4" t="str">
        <f>HYPERLINK("http://141.218.60.56/~jnz1568/getInfo.php?workbook=10_01.xlsx&amp;sheet=A0&amp;row=150&amp;col=26&amp;number=&amp;sourceID=13","")</f>
        <v/>
      </c>
      <c r="AA150" s="4" t="str">
        <f>HYPERLINK("http://141.218.60.56/~jnz1568/getInfo.php?workbook=10_01.xlsx&amp;sheet=A0&amp;row=150&amp;col=27&amp;number=&amp;sourceID=13","")</f>
        <v/>
      </c>
      <c r="AB150" s="4" t="str">
        <f>HYPERLINK("http://141.218.60.56/~jnz1568/getInfo.php?workbook=10_01.xlsx&amp;sheet=A0&amp;row=150&amp;col=28&amp;number=&amp;sourceID=13","")</f>
        <v/>
      </c>
      <c r="AC150" s="4" t="str">
        <f>HYPERLINK("http://141.218.60.56/~jnz1568/getInfo.php?workbook=10_01.xlsx&amp;sheet=A0&amp;row=150&amp;col=29&amp;number=&amp;sourceID=13","")</f>
        <v/>
      </c>
      <c r="AD150" s="4" t="str">
        <f>HYPERLINK("http://141.218.60.56/~jnz1568/getInfo.php?workbook=10_01.xlsx&amp;sheet=A0&amp;row=150&amp;col=30&amp;number=&amp;sourceID=13","")</f>
        <v/>
      </c>
      <c r="AE150" s="4" t="str">
        <f>HYPERLINK("http://141.218.60.56/~jnz1568/getInfo.php?workbook=10_01.xlsx&amp;sheet=A0&amp;row=150&amp;col=31&amp;number=&amp;sourceID=13","")</f>
        <v/>
      </c>
      <c r="AF150" s="4" t="str">
        <f>HYPERLINK("http://141.218.60.56/~jnz1568/getInfo.php?workbook=10_01.xlsx&amp;sheet=A0&amp;row=150&amp;col=32&amp;number=&amp;sourceID=20","")</f>
        <v/>
      </c>
    </row>
    <row r="151" spans="1:32">
      <c r="A151" s="3">
        <v>10</v>
      </c>
      <c r="B151" s="3">
        <v>1</v>
      </c>
      <c r="C151" s="3">
        <v>19</v>
      </c>
      <c r="D151" s="3">
        <v>2</v>
      </c>
      <c r="E151" s="3">
        <f>((1/(INDEX(E0!J$4:J$28,C151,1)-INDEX(E0!J$4:J$28,D151,1))))*100000000</f>
        <v>0</v>
      </c>
      <c r="F151" s="4" t="str">
        <f>HYPERLINK("http://141.218.60.56/~jnz1568/getInfo.php?workbook=10_01.xlsx&amp;sheet=A0&amp;row=151&amp;col=6&amp;number=&amp;sourceID=18","")</f>
        <v/>
      </c>
      <c r="G151" s="4" t="str">
        <f>HYPERLINK("http://141.218.60.56/~jnz1568/getInfo.php?workbook=10_01.xlsx&amp;sheet=A0&amp;row=151&amp;col=7&amp;number==&amp;sourceID=11","=")</f>
        <v>=</v>
      </c>
      <c r="H151" s="4" t="str">
        <f>HYPERLINK("http://141.218.60.56/~jnz1568/getInfo.php?workbook=10_01.xlsx&amp;sheet=A0&amp;row=151&amp;col=8&amp;number=78901000000&amp;sourceID=11","78901000000")</f>
        <v>78901000000</v>
      </c>
      <c r="I151" s="4" t="str">
        <f>HYPERLINK("http://141.218.60.56/~jnz1568/getInfo.php?workbook=10_01.xlsx&amp;sheet=A0&amp;row=151&amp;col=9&amp;number=&amp;sourceID=11","")</f>
        <v/>
      </c>
      <c r="J151" s="4" t="str">
        <f>HYPERLINK("http://141.218.60.56/~jnz1568/getInfo.php?workbook=10_01.xlsx&amp;sheet=A0&amp;row=151&amp;col=10&amp;number=&amp;sourceID=11","")</f>
        <v/>
      </c>
      <c r="K151" s="4" t="str">
        <f>HYPERLINK("http://141.218.60.56/~jnz1568/getInfo.php?workbook=10_01.xlsx&amp;sheet=A0&amp;row=151&amp;col=11&amp;number=&amp;sourceID=11","")</f>
        <v/>
      </c>
      <c r="L151" s="4" t="str">
        <f>HYPERLINK("http://141.218.60.56/~jnz1568/getInfo.php?workbook=10_01.xlsx&amp;sheet=A0&amp;row=151&amp;col=12&amp;number=185.34&amp;sourceID=11","185.34")</f>
        <v>185.34</v>
      </c>
      <c r="M151" s="4" t="str">
        <f>HYPERLINK("http://141.218.60.56/~jnz1568/getInfo.php?workbook=10_01.xlsx&amp;sheet=A0&amp;row=151&amp;col=13&amp;number=&amp;sourceID=11","")</f>
        <v/>
      </c>
      <c r="N151" s="4" t="str">
        <f>HYPERLINK("http://141.218.60.56/~jnz1568/getInfo.php?workbook=10_01.xlsx&amp;sheet=A0&amp;row=151&amp;col=14&amp;number=78903000000&amp;sourceID=12","78903000000")</f>
        <v>78903000000</v>
      </c>
      <c r="O151" s="4" t="str">
        <f>HYPERLINK("http://141.218.60.56/~jnz1568/getInfo.php?workbook=10_01.xlsx&amp;sheet=A0&amp;row=151&amp;col=15&amp;number=78903000000&amp;sourceID=12","78903000000")</f>
        <v>78903000000</v>
      </c>
      <c r="P151" s="4" t="str">
        <f>HYPERLINK("http://141.218.60.56/~jnz1568/getInfo.php?workbook=10_01.xlsx&amp;sheet=A0&amp;row=151&amp;col=16&amp;number=&amp;sourceID=12","")</f>
        <v/>
      </c>
      <c r="Q151" s="4" t="str">
        <f>HYPERLINK("http://141.218.60.56/~jnz1568/getInfo.php?workbook=10_01.xlsx&amp;sheet=A0&amp;row=151&amp;col=17&amp;number=&amp;sourceID=12","")</f>
        <v/>
      </c>
      <c r="R151" s="4" t="str">
        <f>HYPERLINK("http://141.218.60.56/~jnz1568/getInfo.php?workbook=10_01.xlsx&amp;sheet=A0&amp;row=151&amp;col=18&amp;number=&amp;sourceID=12","")</f>
        <v/>
      </c>
      <c r="S151" s="4" t="str">
        <f>HYPERLINK("http://141.218.60.56/~jnz1568/getInfo.php?workbook=10_01.xlsx&amp;sheet=A0&amp;row=151&amp;col=19&amp;number=185.35&amp;sourceID=12","185.35")</f>
        <v>185.35</v>
      </c>
      <c r="T151" s="4" t="str">
        <f>HYPERLINK("http://141.218.60.56/~jnz1568/getInfo.php?workbook=10_01.xlsx&amp;sheet=A0&amp;row=151&amp;col=20&amp;number=&amp;sourceID=12","")</f>
        <v/>
      </c>
      <c r="U151" s="4" t="str">
        <f>HYPERLINK("http://141.218.60.56/~jnz1568/getInfo.php?workbook=10_01.xlsx&amp;sheet=A0&amp;row=151&amp;col=21&amp;number=78900000185.4&amp;sourceID=30","78900000185.4")</f>
        <v>78900000185.4</v>
      </c>
      <c r="V151" s="4" t="str">
        <f>HYPERLINK("http://141.218.60.56/~jnz1568/getInfo.php?workbook=10_01.xlsx&amp;sheet=A0&amp;row=151&amp;col=22&amp;number=78900000000&amp;sourceID=30","78900000000")</f>
        <v>78900000000</v>
      </c>
      <c r="W151" s="4" t="str">
        <f>HYPERLINK("http://141.218.60.56/~jnz1568/getInfo.php?workbook=10_01.xlsx&amp;sheet=A0&amp;row=151&amp;col=23&amp;number=&amp;sourceID=30","")</f>
        <v/>
      </c>
      <c r="X151" s="4" t="str">
        <f>HYPERLINK("http://141.218.60.56/~jnz1568/getInfo.php?workbook=10_01.xlsx&amp;sheet=A0&amp;row=151&amp;col=24&amp;number=&amp;sourceID=30","")</f>
        <v/>
      </c>
      <c r="Y151" s="4" t="str">
        <f>HYPERLINK("http://141.218.60.56/~jnz1568/getInfo.php?workbook=10_01.xlsx&amp;sheet=A0&amp;row=151&amp;col=25&amp;number=185.4&amp;sourceID=30","185.4")</f>
        <v>185.4</v>
      </c>
      <c r="Z151" s="4" t="str">
        <f>HYPERLINK("http://141.218.60.56/~jnz1568/getInfo.php?workbook=10_01.xlsx&amp;sheet=A0&amp;row=151&amp;col=26&amp;number=&amp;sourceID=13","")</f>
        <v/>
      </c>
      <c r="AA151" s="4" t="str">
        <f>HYPERLINK("http://141.218.60.56/~jnz1568/getInfo.php?workbook=10_01.xlsx&amp;sheet=A0&amp;row=151&amp;col=27&amp;number=&amp;sourceID=13","")</f>
        <v/>
      </c>
      <c r="AB151" s="4" t="str">
        <f>HYPERLINK("http://141.218.60.56/~jnz1568/getInfo.php?workbook=10_01.xlsx&amp;sheet=A0&amp;row=151&amp;col=28&amp;number=&amp;sourceID=13","")</f>
        <v/>
      </c>
      <c r="AC151" s="4" t="str">
        <f>HYPERLINK("http://141.218.60.56/~jnz1568/getInfo.php?workbook=10_01.xlsx&amp;sheet=A0&amp;row=151&amp;col=29&amp;number=&amp;sourceID=13","")</f>
        <v/>
      </c>
      <c r="AD151" s="4" t="str">
        <f>HYPERLINK("http://141.218.60.56/~jnz1568/getInfo.php?workbook=10_01.xlsx&amp;sheet=A0&amp;row=151&amp;col=30&amp;number=&amp;sourceID=13","")</f>
        <v/>
      </c>
      <c r="AE151" s="4" t="str">
        <f>HYPERLINK("http://141.218.60.56/~jnz1568/getInfo.php?workbook=10_01.xlsx&amp;sheet=A0&amp;row=151&amp;col=31&amp;number=&amp;sourceID=13","")</f>
        <v/>
      </c>
      <c r="AF151" s="4" t="str">
        <f>HYPERLINK("http://141.218.60.56/~jnz1568/getInfo.php?workbook=10_01.xlsx&amp;sheet=A0&amp;row=151&amp;col=32&amp;number=&amp;sourceID=20","")</f>
        <v/>
      </c>
    </row>
    <row r="152" spans="1:32">
      <c r="A152" s="3">
        <v>10</v>
      </c>
      <c r="B152" s="3">
        <v>1</v>
      </c>
      <c r="C152" s="3">
        <v>19</v>
      </c>
      <c r="D152" s="3">
        <v>3</v>
      </c>
      <c r="E152" s="3">
        <f>((1/(INDEX(E0!J$4:J$28,C152,1)-INDEX(E0!J$4:J$28,D152,1))))*100000000</f>
        <v>0</v>
      </c>
      <c r="F152" s="4" t="str">
        <f>HYPERLINK("http://141.218.60.56/~jnz1568/getInfo.php?workbook=10_01.xlsx&amp;sheet=A0&amp;row=152&amp;col=6&amp;number=&amp;sourceID=18","")</f>
        <v/>
      </c>
      <c r="G152" s="4" t="str">
        <f>HYPERLINK("http://141.218.60.56/~jnz1568/getInfo.php?workbook=10_01.xlsx&amp;sheet=A0&amp;row=152&amp;col=7&amp;number==&amp;sourceID=11","=")</f>
        <v>=</v>
      </c>
      <c r="H152" s="4" t="str">
        <f>HYPERLINK("http://141.218.60.56/~jnz1568/getInfo.php?workbook=10_01.xlsx&amp;sheet=A0&amp;row=152&amp;col=8&amp;number=&amp;sourceID=11","")</f>
        <v/>
      </c>
      <c r="I152" s="4" t="str">
        <f>HYPERLINK("http://141.218.60.56/~jnz1568/getInfo.php?workbook=10_01.xlsx&amp;sheet=A0&amp;row=152&amp;col=9&amp;number=985130&amp;sourceID=11","985130")</f>
        <v>985130</v>
      </c>
      <c r="J152" s="4" t="str">
        <f>HYPERLINK("http://141.218.60.56/~jnz1568/getInfo.php?workbook=10_01.xlsx&amp;sheet=A0&amp;row=152&amp;col=10&amp;number=&amp;sourceID=11","")</f>
        <v/>
      </c>
      <c r="K152" s="4" t="str">
        <f>HYPERLINK("http://141.218.60.56/~jnz1568/getInfo.php?workbook=10_01.xlsx&amp;sheet=A0&amp;row=152&amp;col=11&amp;number=0.33924&amp;sourceID=11","0.33924")</f>
        <v>0.33924</v>
      </c>
      <c r="L152" s="4" t="str">
        <f>HYPERLINK("http://141.218.60.56/~jnz1568/getInfo.php?workbook=10_01.xlsx&amp;sheet=A0&amp;row=152&amp;col=12&amp;number=&amp;sourceID=11","")</f>
        <v/>
      </c>
      <c r="M152" s="4" t="str">
        <f>HYPERLINK("http://141.218.60.56/~jnz1568/getInfo.php?workbook=10_01.xlsx&amp;sheet=A0&amp;row=152&amp;col=13&amp;number=&amp;sourceID=11","")</f>
        <v/>
      </c>
      <c r="N152" s="4" t="str">
        <f>HYPERLINK("http://141.218.60.56/~jnz1568/getInfo.php?workbook=10_01.xlsx&amp;sheet=A0&amp;row=152&amp;col=14&amp;number=985160&amp;sourceID=12","985160")</f>
        <v>985160</v>
      </c>
      <c r="O152" s="4" t="str">
        <f>HYPERLINK("http://141.218.60.56/~jnz1568/getInfo.php?workbook=10_01.xlsx&amp;sheet=A0&amp;row=152&amp;col=15&amp;number=&amp;sourceID=12","")</f>
        <v/>
      </c>
      <c r="P152" s="4" t="str">
        <f>HYPERLINK("http://141.218.60.56/~jnz1568/getInfo.php?workbook=10_01.xlsx&amp;sheet=A0&amp;row=152&amp;col=16&amp;number=985160&amp;sourceID=12","985160")</f>
        <v>985160</v>
      </c>
      <c r="Q152" s="4" t="str">
        <f>HYPERLINK("http://141.218.60.56/~jnz1568/getInfo.php?workbook=10_01.xlsx&amp;sheet=A0&amp;row=152&amp;col=17&amp;number=&amp;sourceID=12","")</f>
        <v/>
      </c>
      <c r="R152" s="4" t="str">
        <f>HYPERLINK("http://141.218.60.56/~jnz1568/getInfo.php?workbook=10_01.xlsx&amp;sheet=A0&amp;row=152&amp;col=18&amp;number=0.33917&amp;sourceID=12","0.33917")</f>
        <v>0.33917</v>
      </c>
      <c r="S152" s="4" t="str">
        <f>HYPERLINK("http://141.218.60.56/~jnz1568/getInfo.php?workbook=10_01.xlsx&amp;sheet=A0&amp;row=152&amp;col=19&amp;number=&amp;sourceID=12","")</f>
        <v/>
      </c>
      <c r="T152" s="4" t="str">
        <f>HYPERLINK("http://141.218.60.56/~jnz1568/getInfo.php?workbook=10_01.xlsx&amp;sheet=A0&amp;row=152&amp;col=20&amp;number=&amp;sourceID=12","")</f>
        <v/>
      </c>
      <c r="U152" s="4" t="str">
        <f>HYPERLINK("http://141.218.60.56/~jnz1568/getInfo.php?workbook=10_01.xlsx&amp;sheet=A0&amp;row=152&amp;col=21&amp;number=985200.3393&amp;sourceID=30","985200.3393")</f>
        <v>985200.3393</v>
      </c>
      <c r="V152" s="4" t="str">
        <f>HYPERLINK("http://141.218.60.56/~jnz1568/getInfo.php?workbook=10_01.xlsx&amp;sheet=A0&amp;row=152&amp;col=22&amp;number=&amp;sourceID=30","")</f>
        <v/>
      </c>
      <c r="W152" s="4" t="str">
        <f>HYPERLINK("http://141.218.60.56/~jnz1568/getInfo.php?workbook=10_01.xlsx&amp;sheet=A0&amp;row=152&amp;col=23&amp;number=985200&amp;sourceID=30","985200")</f>
        <v>985200</v>
      </c>
      <c r="X152" s="4" t="str">
        <f>HYPERLINK("http://141.218.60.56/~jnz1568/getInfo.php?workbook=10_01.xlsx&amp;sheet=A0&amp;row=152&amp;col=24&amp;number=0.3393&amp;sourceID=30","0.3393")</f>
        <v>0.3393</v>
      </c>
      <c r="Y152" s="4" t="str">
        <f>HYPERLINK("http://141.218.60.56/~jnz1568/getInfo.php?workbook=10_01.xlsx&amp;sheet=A0&amp;row=152&amp;col=25&amp;number=&amp;sourceID=30","")</f>
        <v/>
      </c>
      <c r="Z152" s="4" t="str">
        <f>HYPERLINK("http://141.218.60.56/~jnz1568/getInfo.php?workbook=10_01.xlsx&amp;sheet=A0&amp;row=152&amp;col=26&amp;number=&amp;sourceID=13","")</f>
        <v/>
      </c>
      <c r="AA152" s="4" t="str">
        <f>HYPERLINK("http://141.218.60.56/~jnz1568/getInfo.php?workbook=10_01.xlsx&amp;sheet=A0&amp;row=152&amp;col=27&amp;number=&amp;sourceID=13","")</f>
        <v/>
      </c>
      <c r="AB152" s="4" t="str">
        <f>HYPERLINK("http://141.218.60.56/~jnz1568/getInfo.php?workbook=10_01.xlsx&amp;sheet=A0&amp;row=152&amp;col=28&amp;number=&amp;sourceID=13","")</f>
        <v/>
      </c>
      <c r="AC152" s="4" t="str">
        <f>HYPERLINK("http://141.218.60.56/~jnz1568/getInfo.php?workbook=10_01.xlsx&amp;sheet=A0&amp;row=152&amp;col=29&amp;number=&amp;sourceID=13","")</f>
        <v/>
      </c>
      <c r="AD152" s="4" t="str">
        <f>HYPERLINK("http://141.218.60.56/~jnz1568/getInfo.php?workbook=10_01.xlsx&amp;sheet=A0&amp;row=152&amp;col=30&amp;number=&amp;sourceID=13","")</f>
        <v/>
      </c>
      <c r="AE152" s="4" t="str">
        <f>HYPERLINK("http://141.218.60.56/~jnz1568/getInfo.php?workbook=10_01.xlsx&amp;sheet=A0&amp;row=152&amp;col=31&amp;number=&amp;sourceID=13","")</f>
        <v/>
      </c>
      <c r="AF152" s="4" t="str">
        <f>HYPERLINK("http://141.218.60.56/~jnz1568/getInfo.php?workbook=10_01.xlsx&amp;sheet=A0&amp;row=152&amp;col=32&amp;number=&amp;sourceID=20","")</f>
        <v/>
      </c>
    </row>
    <row r="153" spans="1:32">
      <c r="A153" s="3">
        <v>10</v>
      </c>
      <c r="B153" s="3">
        <v>1</v>
      </c>
      <c r="C153" s="3">
        <v>19</v>
      </c>
      <c r="D153" s="3">
        <v>4</v>
      </c>
      <c r="E153" s="3">
        <f>((1/(INDEX(E0!J$4:J$28,C153,1)-INDEX(E0!J$4:J$28,D153,1))))*100000000</f>
        <v>0</v>
      </c>
      <c r="F153" s="4" t="str">
        <f>HYPERLINK("http://141.218.60.56/~jnz1568/getInfo.php?workbook=10_01.xlsx&amp;sheet=A0&amp;row=153&amp;col=6&amp;number=&amp;sourceID=18","")</f>
        <v/>
      </c>
      <c r="G153" s="4" t="str">
        <f>HYPERLINK("http://141.218.60.56/~jnz1568/getInfo.php?workbook=10_01.xlsx&amp;sheet=A0&amp;row=153&amp;col=7&amp;number==&amp;sourceID=11","=")</f>
        <v>=</v>
      </c>
      <c r="H153" s="4" t="str">
        <f>HYPERLINK("http://141.218.60.56/~jnz1568/getInfo.php?workbook=10_01.xlsx&amp;sheet=A0&amp;row=153&amp;col=8&amp;number=15695000000&amp;sourceID=11","15695000000")</f>
        <v>15695000000</v>
      </c>
      <c r="I153" s="4" t="str">
        <f>HYPERLINK("http://141.218.60.56/~jnz1568/getInfo.php?workbook=10_01.xlsx&amp;sheet=A0&amp;row=153&amp;col=9&amp;number=&amp;sourceID=11","")</f>
        <v/>
      </c>
      <c r="J153" s="4" t="str">
        <f>HYPERLINK("http://141.218.60.56/~jnz1568/getInfo.php?workbook=10_01.xlsx&amp;sheet=A0&amp;row=153&amp;col=10&amp;number=71.496&amp;sourceID=11","71.496")</f>
        <v>71.496</v>
      </c>
      <c r="K153" s="4" t="str">
        <f>HYPERLINK("http://141.218.60.56/~jnz1568/getInfo.php?workbook=10_01.xlsx&amp;sheet=A0&amp;row=153&amp;col=11&amp;number=&amp;sourceID=11","")</f>
        <v/>
      </c>
      <c r="L153" s="4" t="str">
        <f>HYPERLINK("http://141.218.60.56/~jnz1568/getInfo.php?workbook=10_01.xlsx&amp;sheet=A0&amp;row=153&amp;col=12&amp;number=&amp;sourceID=11","")</f>
        <v/>
      </c>
      <c r="M153" s="4" t="str">
        <f>HYPERLINK("http://141.218.60.56/~jnz1568/getInfo.php?workbook=10_01.xlsx&amp;sheet=A0&amp;row=153&amp;col=13&amp;number=&amp;sourceID=11","")</f>
        <v/>
      </c>
      <c r="N153" s="4" t="str">
        <f>HYPERLINK("http://141.218.60.56/~jnz1568/getInfo.php?workbook=10_01.xlsx&amp;sheet=A0&amp;row=153&amp;col=14&amp;number=15695000000&amp;sourceID=12","15695000000")</f>
        <v>15695000000</v>
      </c>
      <c r="O153" s="4" t="str">
        <f>HYPERLINK("http://141.218.60.56/~jnz1568/getInfo.php?workbook=10_01.xlsx&amp;sheet=A0&amp;row=153&amp;col=15&amp;number=15695000000&amp;sourceID=12","15695000000")</f>
        <v>15695000000</v>
      </c>
      <c r="P153" s="4" t="str">
        <f>HYPERLINK("http://141.218.60.56/~jnz1568/getInfo.php?workbook=10_01.xlsx&amp;sheet=A0&amp;row=153&amp;col=16&amp;number=&amp;sourceID=12","")</f>
        <v/>
      </c>
      <c r="Q153" s="4" t="str">
        <f>HYPERLINK("http://141.218.60.56/~jnz1568/getInfo.php?workbook=10_01.xlsx&amp;sheet=A0&amp;row=153&amp;col=17&amp;number=71.499&amp;sourceID=12","71.499")</f>
        <v>71.499</v>
      </c>
      <c r="R153" s="4" t="str">
        <f>HYPERLINK("http://141.218.60.56/~jnz1568/getInfo.php?workbook=10_01.xlsx&amp;sheet=A0&amp;row=153&amp;col=18&amp;number=&amp;sourceID=12","")</f>
        <v/>
      </c>
      <c r="S153" s="4" t="str">
        <f>HYPERLINK("http://141.218.60.56/~jnz1568/getInfo.php?workbook=10_01.xlsx&amp;sheet=A0&amp;row=153&amp;col=19&amp;number=&amp;sourceID=12","")</f>
        <v/>
      </c>
      <c r="T153" s="4" t="str">
        <f>HYPERLINK("http://141.218.60.56/~jnz1568/getInfo.php?workbook=10_01.xlsx&amp;sheet=A0&amp;row=153&amp;col=20&amp;number=&amp;sourceID=12","")</f>
        <v/>
      </c>
      <c r="U153" s="4" t="str">
        <f>HYPERLINK("http://141.218.60.56/~jnz1568/getInfo.php?workbook=10_01.xlsx&amp;sheet=A0&amp;row=153&amp;col=21&amp;number=15690000000&amp;sourceID=30","15690000000")</f>
        <v>15690000000</v>
      </c>
      <c r="V153" s="4" t="str">
        <f>HYPERLINK("http://141.218.60.56/~jnz1568/getInfo.php?workbook=10_01.xlsx&amp;sheet=A0&amp;row=153&amp;col=22&amp;number=15690000000&amp;sourceID=30","15690000000")</f>
        <v>15690000000</v>
      </c>
      <c r="W153" s="4" t="str">
        <f>HYPERLINK("http://141.218.60.56/~jnz1568/getInfo.php?workbook=10_01.xlsx&amp;sheet=A0&amp;row=153&amp;col=23&amp;number=&amp;sourceID=30","")</f>
        <v/>
      </c>
      <c r="X153" s="4" t="str">
        <f>HYPERLINK("http://141.218.60.56/~jnz1568/getInfo.php?workbook=10_01.xlsx&amp;sheet=A0&amp;row=153&amp;col=24&amp;number=&amp;sourceID=30","")</f>
        <v/>
      </c>
      <c r="Y153" s="4" t="str">
        <f>HYPERLINK("http://141.218.60.56/~jnz1568/getInfo.php?workbook=10_01.xlsx&amp;sheet=A0&amp;row=153&amp;col=25&amp;number=&amp;sourceID=30","")</f>
        <v/>
      </c>
      <c r="Z153" s="4" t="str">
        <f>HYPERLINK("http://141.218.60.56/~jnz1568/getInfo.php?workbook=10_01.xlsx&amp;sheet=A0&amp;row=153&amp;col=26&amp;number=&amp;sourceID=13","")</f>
        <v/>
      </c>
      <c r="AA153" s="4" t="str">
        <f>HYPERLINK("http://141.218.60.56/~jnz1568/getInfo.php?workbook=10_01.xlsx&amp;sheet=A0&amp;row=153&amp;col=27&amp;number=&amp;sourceID=13","")</f>
        <v/>
      </c>
      <c r="AB153" s="4" t="str">
        <f>HYPERLINK("http://141.218.60.56/~jnz1568/getInfo.php?workbook=10_01.xlsx&amp;sheet=A0&amp;row=153&amp;col=28&amp;number=&amp;sourceID=13","")</f>
        <v/>
      </c>
      <c r="AC153" s="4" t="str">
        <f>HYPERLINK("http://141.218.60.56/~jnz1568/getInfo.php?workbook=10_01.xlsx&amp;sheet=A0&amp;row=153&amp;col=29&amp;number=&amp;sourceID=13","")</f>
        <v/>
      </c>
      <c r="AD153" s="4" t="str">
        <f>HYPERLINK("http://141.218.60.56/~jnz1568/getInfo.php?workbook=10_01.xlsx&amp;sheet=A0&amp;row=153&amp;col=30&amp;number=&amp;sourceID=13","")</f>
        <v/>
      </c>
      <c r="AE153" s="4" t="str">
        <f>HYPERLINK("http://141.218.60.56/~jnz1568/getInfo.php?workbook=10_01.xlsx&amp;sheet=A0&amp;row=153&amp;col=31&amp;number=&amp;sourceID=13","")</f>
        <v/>
      </c>
      <c r="AF153" s="4" t="str">
        <f>HYPERLINK("http://141.218.60.56/~jnz1568/getInfo.php?workbook=10_01.xlsx&amp;sheet=A0&amp;row=153&amp;col=32&amp;number=&amp;sourceID=20","")</f>
        <v/>
      </c>
    </row>
    <row r="154" spans="1:32">
      <c r="A154" s="3">
        <v>10</v>
      </c>
      <c r="B154" s="3">
        <v>1</v>
      </c>
      <c r="C154" s="3">
        <v>19</v>
      </c>
      <c r="D154" s="3">
        <v>5</v>
      </c>
      <c r="E154" s="3">
        <f>((1/(INDEX(E0!J$4:J$28,C154,1)-INDEX(E0!J$4:J$28,D154,1))))*100000000</f>
        <v>0</v>
      </c>
      <c r="F154" s="4" t="str">
        <f>HYPERLINK("http://141.218.60.56/~jnz1568/getInfo.php?workbook=10_01.xlsx&amp;sheet=A0&amp;row=154&amp;col=6&amp;number=&amp;sourceID=18","")</f>
        <v/>
      </c>
      <c r="G154" s="4" t="str">
        <f>HYPERLINK("http://141.218.60.56/~jnz1568/getInfo.php?workbook=10_01.xlsx&amp;sheet=A0&amp;row=154&amp;col=7&amp;number==&amp;sourceID=11","=")</f>
        <v>=</v>
      </c>
      <c r="H154" s="4" t="str">
        <f>HYPERLINK("http://141.218.60.56/~jnz1568/getInfo.php?workbook=10_01.xlsx&amp;sheet=A0&amp;row=154&amp;col=8&amp;number=28323000000&amp;sourceID=11","28323000000")</f>
        <v>28323000000</v>
      </c>
      <c r="I154" s="4" t="str">
        <f>HYPERLINK("http://141.218.60.56/~jnz1568/getInfo.php?workbook=10_01.xlsx&amp;sheet=A0&amp;row=154&amp;col=9&amp;number=&amp;sourceID=11","")</f>
        <v/>
      </c>
      <c r="J154" s="4" t="str">
        <f>HYPERLINK("http://141.218.60.56/~jnz1568/getInfo.php?workbook=10_01.xlsx&amp;sheet=A0&amp;row=154&amp;col=10&amp;number=&amp;sourceID=11","")</f>
        <v/>
      </c>
      <c r="K154" s="4" t="str">
        <f>HYPERLINK("http://141.218.60.56/~jnz1568/getInfo.php?workbook=10_01.xlsx&amp;sheet=A0&amp;row=154&amp;col=11&amp;number=&amp;sourceID=11","")</f>
        <v/>
      </c>
      <c r="L154" s="4" t="str">
        <f>HYPERLINK("http://141.218.60.56/~jnz1568/getInfo.php?workbook=10_01.xlsx&amp;sheet=A0&amp;row=154&amp;col=12&amp;number=7.6387&amp;sourceID=11","7.6387")</f>
        <v>7.6387</v>
      </c>
      <c r="M154" s="4" t="str">
        <f>HYPERLINK("http://141.218.60.56/~jnz1568/getInfo.php?workbook=10_01.xlsx&amp;sheet=A0&amp;row=154&amp;col=13&amp;number=&amp;sourceID=11","")</f>
        <v/>
      </c>
      <c r="N154" s="4" t="str">
        <f>HYPERLINK("http://141.218.60.56/~jnz1568/getInfo.php?workbook=10_01.xlsx&amp;sheet=A0&amp;row=154&amp;col=14&amp;number=28323000000&amp;sourceID=12","28323000000")</f>
        <v>28323000000</v>
      </c>
      <c r="O154" s="4" t="str">
        <f>HYPERLINK("http://141.218.60.56/~jnz1568/getInfo.php?workbook=10_01.xlsx&amp;sheet=A0&amp;row=154&amp;col=15&amp;number=28323000000&amp;sourceID=12","28323000000")</f>
        <v>28323000000</v>
      </c>
      <c r="P154" s="4" t="str">
        <f>HYPERLINK("http://141.218.60.56/~jnz1568/getInfo.php?workbook=10_01.xlsx&amp;sheet=A0&amp;row=154&amp;col=16&amp;number=&amp;sourceID=12","")</f>
        <v/>
      </c>
      <c r="Q154" s="4" t="str">
        <f>HYPERLINK("http://141.218.60.56/~jnz1568/getInfo.php?workbook=10_01.xlsx&amp;sheet=A0&amp;row=154&amp;col=17&amp;number=&amp;sourceID=12","")</f>
        <v/>
      </c>
      <c r="R154" s="4" t="str">
        <f>HYPERLINK("http://141.218.60.56/~jnz1568/getInfo.php?workbook=10_01.xlsx&amp;sheet=A0&amp;row=154&amp;col=18&amp;number=&amp;sourceID=12","")</f>
        <v/>
      </c>
      <c r="S154" s="4" t="str">
        <f>HYPERLINK("http://141.218.60.56/~jnz1568/getInfo.php?workbook=10_01.xlsx&amp;sheet=A0&amp;row=154&amp;col=19&amp;number=7.6389&amp;sourceID=12","7.6389")</f>
        <v>7.6389</v>
      </c>
      <c r="T154" s="4" t="str">
        <f>HYPERLINK("http://141.218.60.56/~jnz1568/getInfo.php?workbook=10_01.xlsx&amp;sheet=A0&amp;row=154&amp;col=20&amp;number=&amp;sourceID=12","")</f>
        <v/>
      </c>
      <c r="U154" s="4" t="str">
        <f>HYPERLINK("http://141.218.60.56/~jnz1568/getInfo.php?workbook=10_01.xlsx&amp;sheet=A0&amp;row=154&amp;col=21&amp;number=28320000007.6&amp;sourceID=30","28320000007.6")</f>
        <v>28320000007.6</v>
      </c>
      <c r="V154" s="4" t="str">
        <f>HYPERLINK("http://141.218.60.56/~jnz1568/getInfo.php?workbook=10_01.xlsx&amp;sheet=A0&amp;row=154&amp;col=22&amp;number=28320000000&amp;sourceID=30","28320000000")</f>
        <v>28320000000</v>
      </c>
      <c r="W154" s="4" t="str">
        <f>HYPERLINK("http://141.218.60.56/~jnz1568/getInfo.php?workbook=10_01.xlsx&amp;sheet=A0&amp;row=154&amp;col=23&amp;number=&amp;sourceID=30","")</f>
        <v/>
      </c>
      <c r="X154" s="4" t="str">
        <f>HYPERLINK("http://141.218.60.56/~jnz1568/getInfo.php?workbook=10_01.xlsx&amp;sheet=A0&amp;row=154&amp;col=24&amp;number=&amp;sourceID=30","")</f>
        <v/>
      </c>
      <c r="Y154" s="4" t="str">
        <f>HYPERLINK("http://141.218.60.56/~jnz1568/getInfo.php?workbook=10_01.xlsx&amp;sheet=A0&amp;row=154&amp;col=25&amp;number=7.639&amp;sourceID=30","7.639")</f>
        <v>7.639</v>
      </c>
      <c r="Z154" s="4" t="str">
        <f>HYPERLINK("http://141.218.60.56/~jnz1568/getInfo.php?workbook=10_01.xlsx&amp;sheet=A0&amp;row=154&amp;col=26&amp;number=&amp;sourceID=13","")</f>
        <v/>
      </c>
      <c r="AA154" s="4" t="str">
        <f>HYPERLINK("http://141.218.60.56/~jnz1568/getInfo.php?workbook=10_01.xlsx&amp;sheet=A0&amp;row=154&amp;col=27&amp;number=&amp;sourceID=13","")</f>
        <v/>
      </c>
      <c r="AB154" s="4" t="str">
        <f>HYPERLINK("http://141.218.60.56/~jnz1568/getInfo.php?workbook=10_01.xlsx&amp;sheet=A0&amp;row=154&amp;col=28&amp;number=&amp;sourceID=13","")</f>
        <v/>
      </c>
      <c r="AC154" s="4" t="str">
        <f>HYPERLINK("http://141.218.60.56/~jnz1568/getInfo.php?workbook=10_01.xlsx&amp;sheet=A0&amp;row=154&amp;col=29&amp;number=&amp;sourceID=13","")</f>
        <v/>
      </c>
      <c r="AD154" s="4" t="str">
        <f>HYPERLINK("http://141.218.60.56/~jnz1568/getInfo.php?workbook=10_01.xlsx&amp;sheet=A0&amp;row=154&amp;col=30&amp;number=&amp;sourceID=13","")</f>
        <v/>
      </c>
      <c r="AE154" s="4" t="str">
        <f>HYPERLINK("http://141.218.60.56/~jnz1568/getInfo.php?workbook=10_01.xlsx&amp;sheet=A0&amp;row=154&amp;col=31&amp;number=&amp;sourceID=13","")</f>
        <v/>
      </c>
      <c r="AF154" s="4" t="str">
        <f>HYPERLINK("http://141.218.60.56/~jnz1568/getInfo.php?workbook=10_01.xlsx&amp;sheet=A0&amp;row=154&amp;col=32&amp;number=&amp;sourceID=20","")</f>
        <v/>
      </c>
    </row>
    <row r="155" spans="1:32">
      <c r="A155" s="3">
        <v>10</v>
      </c>
      <c r="B155" s="3">
        <v>1</v>
      </c>
      <c r="C155" s="3">
        <v>19</v>
      </c>
      <c r="D155" s="3">
        <v>6</v>
      </c>
      <c r="E155" s="3">
        <f>((1/(INDEX(E0!J$4:J$28,C155,1)-INDEX(E0!J$4:J$28,D155,1))))*100000000</f>
        <v>0</v>
      </c>
      <c r="F155" s="4" t="str">
        <f>HYPERLINK("http://141.218.60.56/~jnz1568/getInfo.php?workbook=10_01.xlsx&amp;sheet=A0&amp;row=155&amp;col=6&amp;number=&amp;sourceID=18","")</f>
        <v/>
      </c>
      <c r="G155" s="4" t="str">
        <f>HYPERLINK("http://141.218.60.56/~jnz1568/getInfo.php?workbook=10_01.xlsx&amp;sheet=A0&amp;row=155&amp;col=7&amp;number==&amp;sourceID=11","=")</f>
        <v>=</v>
      </c>
      <c r="H155" s="4" t="str">
        <f>HYPERLINK("http://141.218.60.56/~jnz1568/getInfo.php?workbook=10_01.xlsx&amp;sheet=A0&amp;row=155&amp;col=8&amp;number=&amp;sourceID=11","")</f>
        <v/>
      </c>
      <c r="I155" s="4" t="str">
        <f>HYPERLINK("http://141.218.60.56/~jnz1568/getInfo.php?workbook=10_01.xlsx&amp;sheet=A0&amp;row=155&amp;col=9&amp;number=1096300&amp;sourceID=11","1096300")</f>
        <v>1096300</v>
      </c>
      <c r="J155" s="4" t="str">
        <f>HYPERLINK("http://141.218.60.56/~jnz1568/getInfo.php?workbook=10_01.xlsx&amp;sheet=A0&amp;row=155&amp;col=10&amp;number=&amp;sourceID=11","")</f>
        <v/>
      </c>
      <c r="K155" s="4" t="str">
        <f>HYPERLINK("http://141.218.60.56/~jnz1568/getInfo.php?workbook=10_01.xlsx&amp;sheet=A0&amp;row=155&amp;col=11&amp;number=0.0070657&amp;sourceID=11","0.0070657")</f>
        <v>0.0070657</v>
      </c>
      <c r="L155" s="4" t="str">
        <f>HYPERLINK("http://141.218.60.56/~jnz1568/getInfo.php?workbook=10_01.xlsx&amp;sheet=A0&amp;row=155&amp;col=12&amp;number=&amp;sourceID=11","")</f>
        <v/>
      </c>
      <c r="M155" s="4" t="str">
        <f>HYPERLINK("http://141.218.60.56/~jnz1568/getInfo.php?workbook=10_01.xlsx&amp;sheet=A0&amp;row=155&amp;col=13&amp;number=&amp;sourceID=11","")</f>
        <v/>
      </c>
      <c r="N155" s="4" t="str">
        <f>HYPERLINK("http://141.218.60.56/~jnz1568/getInfo.php?workbook=10_01.xlsx&amp;sheet=A0&amp;row=155&amp;col=14&amp;number=1096300&amp;sourceID=12","1096300")</f>
        <v>1096300</v>
      </c>
      <c r="O155" s="4" t="str">
        <f>HYPERLINK("http://141.218.60.56/~jnz1568/getInfo.php?workbook=10_01.xlsx&amp;sheet=A0&amp;row=155&amp;col=15&amp;number=&amp;sourceID=12","")</f>
        <v/>
      </c>
      <c r="P155" s="4" t="str">
        <f>HYPERLINK("http://141.218.60.56/~jnz1568/getInfo.php?workbook=10_01.xlsx&amp;sheet=A0&amp;row=155&amp;col=16&amp;number=1096300&amp;sourceID=12","1096300")</f>
        <v>1096300</v>
      </c>
      <c r="Q155" s="4" t="str">
        <f>HYPERLINK("http://141.218.60.56/~jnz1568/getInfo.php?workbook=10_01.xlsx&amp;sheet=A0&amp;row=155&amp;col=17&amp;number=&amp;sourceID=12","")</f>
        <v/>
      </c>
      <c r="R155" s="4" t="str">
        <f>HYPERLINK("http://141.218.60.56/~jnz1568/getInfo.php?workbook=10_01.xlsx&amp;sheet=A0&amp;row=155&amp;col=18&amp;number=0.007066&amp;sourceID=12","0.007066")</f>
        <v>0.007066</v>
      </c>
      <c r="S155" s="4" t="str">
        <f>HYPERLINK("http://141.218.60.56/~jnz1568/getInfo.php?workbook=10_01.xlsx&amp;sheet=A0&amp;row=155&amp;col=19&amp;number=&amp;sourceID=12","")</f>
        <v/>
      </c>
      <c r="T155" s="4" t="str">
        <f>HYPERLINK("http://141.218.60.56/~jnz1568/getInfo.php?workbook=10_01.xlsx&amp;sheet=A0&amp;row=155&amp;col=20&amp;number=&amp;sourceID=12","")</f>
        <v/>
      </c>
      <c r="U155" s="4" t="str">
        <f>HYPERLINK("http://141.218.60.56/~jnz1568/getInfo.php?workbook=10_01.xlsx&amp;sheet=A0&amp;row=155&amp;col=21&amp;number=1096000.00707&amp;sourceID=30","1096000.00707")</f>
        <v>1096000.00707</v>
      </c>
      <c r="V155" s="4" t="str">
        <f>HYPERLINK("http://141.218.60.56/~jnz1568/getInfo.php?workbook=10_01.xlsx&amp;sheet=A0&amp;row=155&amp;col=22&amp;number=&amp;sourceID=30","")</f>
        <v/>
      </c>
      <c r="W155" s="4" t="str">
        <f>HYPERLINK("http://141.218.60.56/~jnz1568/getInfo.php?workbook=10_01.xlsx&amp;sheet=A0&amp;row=155&amp;col=23&amp;number=1096000&amp;sourceID=30","1096000")</f>
        <v>1096000</v>
      </c>
      <c r="X155" s="4" t="str">
        <f>HYPERLINK("http://141.218.60.56/~jnz1568/getInfo.php?workbook=10_01.xlsx&amp;sheet=A0&amp;row=155&amp;col=24&amp;number=0.007066&amp;sourceID=30","0.007066")</f>
        <v>0.007066</v>
      </c>
      <c r="Y155" s="4" t="str">
        <f>HYPERLINK("http://141.218.60.56/~jnz1568/getInfo.php?workbook=10_01.xlsx&amp;sheet=A0&amp;row=155&amp;col=25&amp;number=&amp;sourceID=30","")</f>
        <v/>
      </c>
      <c r="Z155" s="4" t="str">
        <f>HYPERLINK("http://141.218.60.56/~jnz1568/getInfo.php?workbook=10_01.xlsx&amp;sheet=A0&amp;row=155&amp;col=26&amp;number=&amp;sourceID=13","")</f>
        <v/>
      </c>
      <c r="AA155" s="4" t="str">
        <f>HYPERLINK("http://141.218.60.56/~jnz1568/getInfo.php?workbook=10_01.xlsx&amp;sheet=A0&amp;row=155&amp;col=27&amp;number=&amp;sourceID=13","")</f>
        <v/>
      </c>
      <c r="AB155" s="4" t="str">
        <f>HYPERLINK("http://141.218.60.56/~jnz1568/getInfo.php?workbook=10_01.xlsx&amp;sheet=A0&amp;row=155&amp;col=28&amp;number=&amp;sourceID=13","")</f>
        <v/>
      </c>
      <c r="AC155" s="4" t="str">
        <f>HYPERLINK("http://141.218.60.56/~jnz1568/getInfo.php?workbook=10_01.xlsx&amp;sheet=A0&amp;row=155&amp;col=29&amp;number=&amp;sourceID=13","")</f>
        <v/>
      </c>
      <c r="AD155" s="4" t="str">
        <f>HYPERLINK("http://141.218.60.56/~jnz1568/getInfo.php?workbook=10_01.xlsx&amp;sheet=A0&amp;row=155&amp;col=30&amp;number=&amp;sourceID=13","")</f>
        <v/>
      </c>
      <c r="AE155" s="4" t="str">
        <f>HYPERLINK("http://141.218.60.56/~jnz1568/getInfo.php?workbook=10_01.xlsx&amp;sheet=A0&amp;row=155&amp;col=31&amp;number=&amp;sourceID=13","")</f>
        <v/>
      </c>
      <c r="AF155" s="4" t="str">
        <f>HYPERLINK("http://141.218.60.56/~jnz1568/getInfo.php?workbook=10_01.xlsx&amp;sheet=A0&amp;row=155&amp;col=32&amp;number=&amp;sourceID=20","")</f>
        <v/>
      </c>
    </row>
    <row r="156" spans="1:32">
      <c r="A156" s="3">
        <v>10</v>
      </c>
      <c r="B156" s="3">
        <v>1</v>
      </c>
      <c r="C156" s="3">
        <v>19</v>
      </c>
      <c r="D156" s="3">
        <v>7</v>
      </c>
      <c r="E156" s="3">
        <f>((1/(INDEX(E0!J$4:J$28,C156,1)-INDEX(E0!J$4:J$28,D156,1))))*100000000</f>
        <v>0</v>
      </c>
      <c r="F156" s="4" t="str">
        <f>HYPERLINK("http://141.218.60.56/~jnz1568/getInfo.php?workbook=10_01.xlsx&amp;sheet=A0&amp;row=156&amp;col=6&amp;number=&amp;sourceID=18","")</f>
        <v/>
      </c>
      <c r="G156" s="4" t="str">
        <f>HYPERLINK("http://141.218.60.56/~jnz1568/getInfo.php?workbook=10_01.xlsx&amp;sheet=A0&amp;row=156&amp;col=7&amp;number==&amp;sourceID=11","=")</f>
        <v>=</v>
      </c>
      <c r="H156" s="4" t="str">
        <f>HYPERLINK("http://141.218.60.56/~jnz1568/getInfo.php?workbook=10_01.xlsx&amp;sheet=A0&amp;row=156&amp;col=8&amp;number=&amp;sourceID=11","")</f>
        <v/>
      </c>
      <c r="I156" s="4" t="str">
        <f>HYPERLINK("http://141.218.60.56/~jnz1568/getInfo.php?workbook=10_01.xlsx&amp;sheet=A0&amp;row=156&amp;col=9&amp;number=401530&amp;sourceID=11","401530")</f>
        <v>401530</v>
      </c>
      <c r="J156" s="4" t="str">
        <f>HYPERLINK("http://141.218.60.56/~jnz1568/getInfo.php?workbook=10_01.xlsx&amp;sheet=A0&amp;row=156&amp;col=10&amp;number=&amp;sourceID=11","")</f>
        <v/>
      </c>
      <c r="K156" s="4" t="str">
        <f>HYPERLINK("http://141.218.60.56/~jnz1568/getInfo.php?workbook=10_01.xlsx&amp;sheet=A0&amp;row=156&amp;col=11&amp;number=0.18846&amp;sourceID=11","0.18846")</f>
        <v>0.18846</v>
      </c>
      <c r="L156" s="4" t="str">
        <f>HYPERLINK("http://141.218.60.56/~jnz1568/getInfo.php?workbook=10_01.xlsx&amp;sheet=A0&amp;row=156&amp;col=12&amp;number=&amp;sourceID=11","")</f>
        <v/>
      </c>
      <c r="M156" s="4" t="str">
        <f>HYPERLINK("http://141.218.60.56/~jnz1568/getInfo.php?workbook=10_01.xlsx&amp;sheet=A0&amp;row=156&amp;col=13&amp;number=0.00011757&amp;sourceID=11","0.00011757")</f>
        <v>0.00011757</v>
      </c>
      <c r="N156" s="4" t="str">
        <f>HYPERLINK("http://141.218.60.56/~jnz1568/getInfo.php?workbook=10_01.xlsx&amp;sheet=A0&amp;row=156&amp;col=14&amp;number=401540&amp;sourceID=12","401540")</f>
        <v>401540</v>
      </c>
      <c r="O156" s="4" t="str">
        <f>HYPERLINK("http://141.218.60.56/~jnz1568/getInfo.php?workbook=10_01.xlsx&amp;sheet=A0&amp;row=156&amp;col=15&amp;number=&amp;sourceID=12","")</f>
        <v/>
      </c>
      <c r="P156" s="4" t="str">
        <f>HYPERLINK("http://141.218.60.56/~jnz1568/getInfo.php?workbook=10_01.xlsx&amp;sheet=A0&amp;row=156&amp;col=16&amp;number=401540&amp;sourceID=12","401540")</f>
        <v>401540</v>
      </c>
      <c r="Q156" s="4" t="str">
        <f>HYPERLINK("http://141.218.60.56/~jnz1568/getInfo.php?workbook=10_01.xlsx&amp;sheet=A0&amp;row=156&amp;col=17&amp;number=&amp;sourceID=12","")</f>
        <v/>
      </c>
      <c r="R156" s="4" t="str">
        <f>HYPERLINK("http://141.218.60.56/~jnz1568/getInfo.php?workbook=10_01.xlsx&amp;sheet=A0&amp;row=156&amp;col=18&amp;number=0.18846&amp;sourceID=12","0.18846")</f>
        <v>0.18846</v>
      </c>
      <c r="S156" s="4" t="str">
        <f>HYPERLINK("http://141.218.60.56/~jnz1568/getInfo.php?workbook=10_01.xlsx&amp;sheet=A0&amp;row=156&amp;col=19&amp;number=&amp;sourceID=12","")</f>
        <v/>
      </c>
      <c r="T156" s="4" t="str">
        <f>HYPERLINK("http://141.218.60.56/~jnz1568/getInfo.php?workbook=10_01.xlsx&amp;sheet=A0&amp;row=156&amp;col=20&amp;number=0.00011758&amp;sourceID=12","0.00011758")</f>
        <v>0.00011758</v>
      </c>
      <c r="U156" s="4" t="str">
        <f>HYPERLINK("http://141.218.60.56/~jnz1568/getInfo.php?workbook=10_01.xlsx&amp;sheet=A0&amp;row=156&amp;col=21&amp;number=401500.1885&amp;sourceID=30","401500.1885")</f>
        <v>401500.1885</v>
      </c>
      <c r="V156" s="4" t="str">
        <f>HYPERLINK("http://141.218.60.56/~jnz1568/getInfo.php?workbook=10_01.xlsx&amp;sheet=A0&amp;row=156&amp;col=22&amp;number=&amp;sourceID=30","")</f>
        <v/>
      </c>
      <c r="W156" s="4" t="str">
        <f>HYPERLINK("http://141.218.60.56/~jnz1568/getInfo.php?workbook=10_01.xlsx&amp;sheet=A0&amp;row=156&amp;col=23&amp;number=401500&amp;sourceID=30","401500")</f>
        <v>401500</v>
      </c>
      <c r="X156" s="4" t="str">
        <f>HYPERLINK("http://141.218.60.56/~jnz1568/getInfo.php?workbook=10_01.xlsx&amp;sheet=A0&amp;row=156&amp;col=24&amp;number=0.1885&amp;sourceID=30","0.1885")</f>
        <v>0.1885</v>
      </c>
      <c r="Y156" s="4" t="str">
        <f>HYPERLINK("http://141.218.60.56/~jnz1568/getInfo.php?workbook=10_01.xlsx&amp;sheet=A0&amp;row=156&amp;col=25&amp;number=&amp;sourceID=30","")</f>
        <v/>
      </c>
      <c r="Z156" s="4" t="str">
        <f>HYPERLINK("http://141.218.60.56/~jnz1568/getInfo.php?workbook=10_01.xlsx&amp;sheet=A0&amp;row=156&amp;col=26&amp;number=&amp;sourceID=13","")</f>
        <v/>
      </c>
      <c r="AA156" s="4" t="str">
        <f>HYPERLINK("http://141.218.60.56/~jnz1568/getInfo.php?workbook=10_01.xlsx&amp;sheet=A0&amp;row=156&amp;col=27&amp;number=&amp;sourceID=13","")</f>
        <v/>
      </c>
      <c r="AB156" s="4" t="str">
        <f>HYPERLINK("http://141.218.60.56/~jnz1568/getInfo.php?workbook=10_01.xlsx&amp;sheet=A0&amp;row=156&amp;col=28&amp;number=&amp;sourceID=13","")</f>
        <v/>
      </c>
      <c r="AC156" s="4" t="str">
        <f>HYPERLINK("http://141.218.60.56/~jnz1568/getInfo.php?workbook=10_01.xlsx&amp;sheet=A0&amp;row=156&amp;col=29&amp;number=&amp;sourceID=13","")</f>
        <v/>
      </c>
      <c r="AD156" s="4" t="str">
        <f>HYPERLINK("http://141.218.60.56/~jnz1568/getInfo.php?workbook=10_01.xlsx&amp;sheet=A0&amp;row=156&amp;col=30&amp;number=&amp;sourceID=13","")</f>
        <v/>
      </c>
      <c r="AE156" s="4" t="str">
        <f>HYPERLINK("http://141.218.60.56/~jnz1568/getInfo.php?workbook=10_01.xlsx&amp;sheet=A0&amp;row=156&amp;col=31&amp;number=&amp;sourceID=13","")</f>
        <v/>
      </c>
      <c r="AF156" s="4" t="str">
        <f>HYPERLINK("http://141.218.60.56/~jnz1568/getInfo.php?workbook=10_01.xlsx&amp;sheet=A0&amp;row=156&amp;col=32&amp;number=&amp;sourceID=20","")</f>
        <v/>
      </c>
    </row>
    <row r="157" spans="1:32">
      <c r="A157" s="3">
        <v>10</v>
      </c>
      <c r="B157" s="3">
        <v>1</v>
      </c>
      <c r="C157" s="3">
        <v>19</v>
      </c>
      <c r="D157" s="3">
        <v>8</v>
      </c>
      <c r="E157" s="3">
        <f>((1/(INDEX(E0!J$4:J$28,C157,1)-INDEX(E0!J$4:J$28,D157,1))))*100000000</f>
        <v>0</v>
      </c>
      <c r="F157" s="4" t="str">
        <f>HYPERLINK("http://141.218.60.56/~jnz1568/getInfo.php?workbook=10_01.xlsx&amp;sheet=A0&amp;row=157&amp;col=6&amp;number=&amp;sourceID=18","")</f>
        <v/>
      </c>
      <c r="G157" s="4" t="str">
        <f>HYPERLINK("http://141.218.60.56/~jnz1568/getInfo.php?workbook=10_01.xlsx&amp;sheet=A0&amp;row=157&amp;col=7&amp;number==&amp;sourceID=11","=")</f>
        <v>=</v>
      </c>
      <c r="H157" s="4" t="str">
        <f>HYPERLINK("http://141.218.60.56/~jnz1568/getInfo.php?workbook=10_01.xlsx&amp;sheet=A0&amp;row=157&amp;col=8&amp;number=5657600000&amp;sourceID=11","5657600000")</f>
        <v>5657600000</v>
      </c>
      <c r="I157" s="4" t="str">
        <f>HYPERLINK("http://141.218.60.56/~jnz1568/getInfo.php?workbook=10_01.xlsx&amp;sheet=A0&amp;row=157&amp;col=9&amp;number=&amp;sourceID=11","")</f>
        <v/>
      </c>
      <c r="J157" s="4" t="str">
        <f>HYPERLINK("http://141.218.60.56/~jnz1568/getInfo.php?workbook=10_01.xlsx&amp;sheet=A0&amp;row=157&amp;col=10&amp;number=7.4761&amp;sourceID=11","7.4761")</f>
        <v>7.4761</v>
      </c>
      <c r="K157" s="4" t="str">
        <f>HYPERLINK("http://141.218.60.56/~jnz1568/getInfo.php?workbook=10_01.xlsx&amp;sheet=A0&amp;row=157&amp;col=11&amp;number=&amp;sourceID=11","")</f>
        <v/>
      </c>
      <c r="L157" s="4" t="str">
        <f>HYPERLINK("http://141.218.60.56/~jnz1568/getInfo.php?workbook=10_01.xlsx&amp;sheet=A0&amp;row=157&amp;col=12&amp;number=&amp;sourceID=11","")</f>
        <v/>
      </c>
      <c r="M157" s="4" t="str">
        <f>HYPERLINK("http://141.218.60.56/~jnz1568/getInfo.php?workbook=10_01.xlsx&amp;sheet=A0&amp;row=157&amp;col=13&amp;number=&amp;sourceID=11","")</f>
        <v/>
      </c>
      <c r="N157" s="4" t="str">
        <f>HYPERLINK("http://141.218.60.56/~jnz1568/getInfo.php?workbook=10_01.xlsx&amp;sheet=A0&amp;row=157&amp;col=14&amp;number=5657700000&amp;sourceID=12","5657700000")</f>
        <v>5657700000</v>
      </c>
      <c r="O157" s="4" t="str">
        <f>HYPERLINK("http://141.218.60.56/~jnz1568/getInfo.php?workbook=10_01.xlsx&amp;sheet=A0&amp;row=157&amp;col=15&amp;number=5657700000&amp;sourceID=12","5657700000")</f>
        <v>5657700000</v>
      </c>
      <c r="P157" s="4" t="str">
        <f>HYPERLINK("http://141.218.60.56/~jnz1568/getInfo.php?workbook=10_01.xlsx&amp;sheet=A0&amp;row=157&amp;col=16&amp;number=&amp;sourceID=12","")</f>
        <v/>
      </c>
      <c r="Q157" s="4" t="str">
        <f>HYPERLINK("http://141.218.60.56/~jnz1568/getInfo.php?workbook=10_01.xlsx&amp;sheet=A0&amp;row=157&amp;col=17&amp;number=7.4763&amp;sourceID=12","7.4763")</f>
        <v>7.4763</v>
      </c>
      <c r="R157" s="4" t="str">
        <f>HYPERLINK("http://141.218.60.56/~jnz1568/getInfo.php?workbook=10_01.xlsx&amp;sheet=A0&amp;row=157&amp;col=18&amp;number=&amp;sourceID=12","")</f>
        <v/>
      </c>
      <c r="S157" s="4" t="str">
        <f>HYPERLINK("http://141.218.60.56/~jnz1568/getInfo.php?workbook=10_01.xlsx&amp;sheet=A0&amp;row=157&amp;col=19&amp;number=&amp;sourceID=12","")</f>
        <v/>
      </c>
      <c r="T157" s="4" t="str">
        <f>HYPERLINK("http://141.218.60.56/~jnz1568/getInfo.php?workbook=10_01.xlsx&amp;sheet=A0&amp;row=157&amp;col=20&amp;number=&amp;sourceID=12","")</f>
        <v/>
      </c>
      <c r="U157" s="4" t="str">
        <f>HYPERLINK("http://141.218.60.56/~jnz1568/getInfo.php?workbook=10_01.xlsx&amp;sheet=A0&amp;row=157&amp;col=21&amp;number=5658000000&amp;sourceID=30","5658000000")</f>
        <v>5658000000</v>
      </c>
      <c r="V157" s="4" t="str">
        <f>HYPERLINK("http://141.218.60.56/~jnz1568/getInfo.php?workbook=10_01.xlsx&amp;sheet=A0&amp;row=157&amp;col=22&amp;number=5658000000&amp;sourceID=30","5658000000")</f>
        <v>5658000000</v>
      </c>
      <c r="W157" s="4" t="str">
        <f>HYPERLINK("http://141.218.60.56/~jnz1568/getInfo.php?workbook=10_01.xlsx&amp;sheet=A0&amp;row=157&amp;col=23&amp;number=&amp;sourceID=30","")</f>
        <v/>
      </c>
      <c r="X157" s="4" t="str">
        <f>HYPERLINK("http://141.218.60.56/~jnz1568/getInfo.php?workbook=10_01.xlsx&amp;sheet=A0&amp;row=157&amp;col=24&amp;number=&amp;sourceID=30","")</f>
        <v/>
      </c>
      <c r="Y157" s="4" t="str">
        <f>HYPERLINK("http://141.218.60.56/~jnz1568/getInfo.php?workbook=10_01.xlsx&amp;sheet=A0&amp;row=157&amp;col=25&amp;number=&amp;sourceID=30","")</f>
        <v/>
      </c>
      <c r="Z157" s="4" t="str">
        <f>HYPERLINK("http://141.218.60.56/~jnz1568/getInfo.php?workbook=10_01.xlsx&amp;sheet=A0&amp;row=157&amp;col=26&amp;number=&amp;sourceID=13","")</f>
        <v/>
      </c>
      <c r="AA157" s="4" t="str">
        <f>HYPERLINK("http://141.218.60.56/~jnz1568/getInfo.php?workbook=10_01.xlsx&amp;sheet=A0&amp;row=157&amp;col=27&amp;number=&amp;sourceID=13","")</f>
        <v/>
      </c>
      <c r="AB157" s="4" t="str">
        <f>HYPERLINK("http://141.218.60.56/~jnz1568/getInfo.php?workbook=10_01.xlsx&amp;sheet=A0&amp;row=157&amp;col=28&amp;number=&amp;sourceID=13","")</f>
        <v/>
      </c>
      <c r="AC157" s="4" t="str">
        <f>HYPERLINK("http://141.218.60.56/~jnz1568/getInfo.php?workbook=10_01.xlsx&amp;sheet=A0&amp;row=157&amp;col=29&amp;number=&amp;sourceID=13","")</f>
        <v/>
      </c>
      <c r="AD157" s="4" t="str">
        <f>HYPERLINK("http://141.218.60.56/~jnz1568/getInfo.php?workbook=10_01.xlsx&amp;sheet=A0&amp;row=157&amp;col=30&amp;number=&amp;sourceID=13","")</f>
        <v/>
      </c>
      <c r="AE157" s="4" t="str">
        <f>HYPERLINK("http://141.218.60.56/~jnz1568/getInfo.php?workbook=10_01.xlsx&amp;sheet=A0&amp;row=157&amp;col=31&amp;number=&amp;sourceID=13","")</f>
        <v/>
      </c>
      <c r="AF157" s="4" t="str">
        <f>HYPERLINK("http://141.218.60.56/~jnz1568/getInfo.php?workbook=10_01.xlsx&amp;sheet=A0&amp;row=157&amp;col=32&amp;number=&amp;sourceID=20","")</f>
        <v/>
      </c>
    </row>
    <row r="158" spans="1:32">
      <c r="A158" s="3">
        <v>10</v>
      </c>
      <c r="B158" s="3">
        <v>1</v>
      </c>
      <c r="C158" s="3">
        <v>19</v>
      </c>
      <c r="D158" s="3">
        <v>9</v>
      </c>
      <c r="E158" s="3">
        <f>((1/(INDEX(E0!J$4:J$28,C158,1)-INDEX(E0!J$4:J$28,D158,1))))*100000000</f>
        <v>0</v>
      </c>
      <c r="F158" s="4" t="str">
        <f>HYPERLINK("http://141.218.60.56/~jnz1568/getInfo.php?workbook=10_01.xlsx&amp;sheet=A0&amp;row=158&amp;col=6&amp;number=&amp;sourceID=18","")</f>
        <v/>
      </c>
      <c r="G158" s="4" t="str">
        <f>HYPERLINK("http://141.218.60.56/~jnz1568/getInfo.php?workbook=10_01.xlsx&amp;sheet=A0&amp;row=158&amp;col=7&amp;number==&amp;sourceID=11","=")</f>
        <v>=</v>
      </c>
      <c r="H158" s="4" t="str">
        <f>HYPERLINK("http://141.218.60.56/~jnz1568/getInfo.php?workbook=10_01.xlsx&amp;sheet=A0&amp;row=158&amp;col=8&amp;number=&amp;sourceID=11","")</f>
        <v/>
      </c>
      <c r="I158" s="4" t="str">
        <f>HYPERLINK("http://141.218.60.56/~jnz1568/getInfo.php?workbook=10_01.xlsx&amp;sheet=A0&amp;row=158&amp;col=9&amp;number=171820&amp;sourceID=11","171820")</f>
        <v>171820</v>
      </c>
      <c r="J158" s="4" t="str">
        <f>HYPERLINK("http://141.218.60.56/~jnz1568/getInfo.php?workbook=10_01.xlsx&amp;sheet=A0&amp;row=158&amp;col=10&amp;number=&amp;sourceID=11","")</f>
        <v/>
      </c>
      <c r="K158" s="4" t="str">
        <f>HYPERLINK("http://141.218.60.56/~jnz1568/getInfo.php?workbook=10_01.xlsx&amp;sheet=A0&amp;row=158&amp;col=11&amp;number=0.40657&amp;sourceID=11","0.40657")</f>
        <v>0.40657</v>
      </c>
      <c r="L158" s="4" t="str">
        <f>HYPERLINK("http://141.218.60.56/~jnz1568/getInfo.php?workbook=10_01.xlsx&amp;sheet=A0&amp;row=158&amp;col=12&amp;number=&amp;sourceID=11","")</f>
        <v/>
      </c>
      <c r="M158" s="4" t="str">
        <f>HYPERLINK("http://141.218.60.56/~jnz1568/getInfo.php?workbook=10_01.xlsx&amp;sheet=A0&amp;row=158&amp;col=13&amp;number=7.8217e-05&amp;sourceID=11","7.8217e-05")</f>
        <v>7.8217e-05</v>
      </c>
      <c r="N158" s="4" t="str">
        <f>HYPERLINK("http://141.218.60.56/~jnz1568/getInfo.php?workbook=10_01.xlsx&amp;sheet=A0&amp;row=158&amp;col=14&amp;number=171820&amp;sourceID=12","171820")</f>
        <v>171820</v>
      </c>
      <c r="O158" s="4" t="str">
        <f>HYPERLINK("http://141.218.60.56/~jnz1568/getInfo.php?workbook=10_01.xlsx&amp;sheet=A0&amp;row=158&amp;col=15&amp;number=&amp;sourceID=12","")</f>
        <v/>
      </c>
      <c r="P158" s="4" t="str">
        <f>HYPERLINK("http://141.218.60.56/~jnz1568/getInfo.php?workbook=10_01.xlsx&amp;sheet=A0&amp;row=158&amp;col=16&amp;number=171820&amp;sourceID=12","171820")</f>
        <v>171820</v>
      </c>
      <c r="Q158" s="4" t="str">
        <f>HYPERLINK("http://141.218.60.56/~jnz1568/getInfo.php?workbook=10_01.xlsx&amp;sheet=A0&amp;row=158&amp;col=17&amp;number=&amp;sourceID=12","")</f>
        <v/>
      </c>
      <c r="R158" s="4" t="str">
        <f>HYPERLINK("http://141.218.60.56/~jnz1568/getInfo.php?workbook=10_01.xlsx&amp;sheet=A0&amp;row=158&amp;col=18&amp;number=0.40659&amp;sourceID=12","0.40659")</f>
        <v>0.40659</v>
      </c>
      <c r="S158" s="4" t="str">
        <f>HYPERLINK("http://141.218.60.56/~jnz1568/getInfo.php?workbook=10_01.xlsx&amp;sheet=A0&amp;row=158&amp;col=19&amp;number=&amp;sourceID=12","")</f>
        <v/>
      </c>
      <c r="T158" s="4" t="str">
        <f>HYPERLINK("http://141.218.60.56/~jnz1568/getInfo.php?workbook=10_01.xlsx&amp;sheet=A0&amp;row=158&amp;col=20&amp;number=7.8219e-05&amp;sourceID=12","7.8219e-05")</f>
        <v>7.8219e-05</v>
      </c>
      <c r="U158" s="4" t="str">
        <f>HYPERLINK("http://141.218.60.56/~jnz1568/getInfo.php?workbook=10_01.xlsx&amp;sheet=A0&amp;row=158&amp;col=21&amp;number=171800.4065&amp;sourceID=30","171800.4065")</f>
        <v>171800.4065</v>
      </c>
      <c r="V158" s="4" t="str">
        <f>HYPERLINK("http://141.218.60.56/~jnz1568/getInfo.php?workbook=10_01.xlsx&amp;sheet=A0&amp;row=158&amp;col=22&amp;number=&amp;sourceID=30","")</f>
        <v/>
      </c>
      <c r="W158" s="4" t="str">
        <f>HYPERLINK("http://141.218.60.56/~jnz1568/getInfo.php?workbook=10_01.xlsx&amp;sheet=A0&amp;row=158&amp;col=23&amp;number=171800&amp;sourceID=30","171800")</f>
        <v>171800</v>
      </c>
      <c r="X158" s="4" t="str">
        <f>HYPERLINK("http://141.218.60.56/~jnz1568/getInfo.php?workbook=10_01.xlsx&amp;sheet=A0&amp;row=158&amp;col=24&amp;number=0.4065&amp;sourceID=30","0.4065")</f>
        <v>0.4065</v>
      </c>
      <c r="Y158" s="4" t="str">
        <f>HYPERLINK("http://141.218.60.56/~jnz1568/getInfo.php?workbook=10_01.xlsx&amp;sheet=A0&amp;row=158&amp;col=25&amp;number=&amp;sourceID=30","")</f>
        <v/>
      </c>
      <c r="Z158" s="4" t="str">
        <f>HYPERLINK("http://141.218.60.56/~jnz1568/getInfo.php?workbook=10_01.xlsx&amp;sheet=A0&amp;row=158&amp;col=26&amp;number=&amp;sourceID=13","")</f>
        <v/>
      </c>
      <c r="AA158" s="4" t="str">
        <f>HYPERLINK("http://141.218.60.56/~jnz1568/getInfo.php?workbook=10_01.xlsx&amp;sheet=A0&amp;row=158&amp;col=27&amp;number=&amp;sourceID=13","")</f>
        <v/>
      </c>
      <c r="AB158" s="4" t="str">
        <f>HYPERLINK("http://141.218.60.56/~jnz1568/getInfo.php?workbook=10_01.xlsx&amp;sheet=A0&amp;row=158&amp;col=28&amp;number=&amp;sourceID=13","")</f>
        <v/>
      </c>
      <c r="AC158" s="4" t="str">
        <f>HYPERLINK("http://141.218.60.56/~jnz1568/getInfo.php?workbook=10_01.xlsx&amp;sheet=A0&amp;row=158&amp;col=29&amp;number=&amp;sourceID=13","")</f>
        <v/>
      </c>
      <c r="AD158" s="4" t="str">
        <f>HYPERLINK("http://141.218.60.56/~jnz1568/getInfo.php?workbook=10_01.xlsx&amp;sheet=A0&amp;row=158&amp;col=30&amp;number=&amp;sourceID=13","")</f>
        <v/>
      </c>
      <c r="AE158" s="4" t="str">
        <f>HYPERLINK("http://141.218.60.56/~jnz1568/getInfo.php?workbook=10_01.xlsx&amp;sheet=A0&amp;row=158&amp;col=31&amp;number=&amp;sourceID=13","")</f>
        <v/>
      </c>
      <c r="AF158" s="4" t="str">
        <f>HYPERLINK("http://141.218.60.56/~jnz1568/getInfo.php?workbook=10_01.xlsx&amp;sheet=A0&amp;row=158&amp;col=32&amp;number=&amp;sourceID=20","")</f>
        <v/>
      </c>
    </row>
    <row r="159" spans="1:32">
      <c r="A159" s="3">
        <v>10</v>
      </c>
      <c r="B159" s="3">
        <v>1</v>
      </c>
      <c r="C159" s="3">
        <v>19</v>
      </c>
      <c r="D159" s="3">
        <v>10</v>
      </c>
      <c r="E159" s="3">
        <f>((1/(INDEX(E0!J$4:J$28,C159,1)-INDEX(E0!J$4:J$28,D159,1))))*100000000</f>
        <v>0</v>
      </c>
      <c r="F159" s="4" t="str">
        <f>HYPERLINK("http://141.218.60.56/~jnz1568/getInfo.php?workbook=10_01.xlsx&amp;sheet=A0&amp;row=159&amp;col=6&amp;number=&amp;sourceID=18","")</f>
        <v/>
      </c>
      <c r="G159" s="4" t="str">
        <f>HYPERLINK("http://141.218.60.56/~jnz1568/getInfo.php?workbook=10_01.xlsx&amp;sheet=A0&amp;row=159&amp;col=7&amp;number==&amp;sourceID=11","=")</f>
        <v>=</v>
      </c>
      <c r="H159" s="4" t="str">
        <f>HYPERLINK("http://141.218.60.56/~jnz1568/getInfo.php?workbook=10_01.xlsx&amp;sheet=A0&amp;row=159&amp;col=8&amp;number=12370000000&amp;sourceID=11","12370000000")</f>
        <v>12370000000</v>
      </c>
      <c r="I159" s="4" t="str">
        <f>HYPERLINK("http://141.218.60.56/~jnz1568/getInfo.php?workbook=10_01.xlsx&amp;sheet=A0&amp;row=159&amp;col=9&amp;number=&amp;sourceID=11","")</f>
        <v/>
      </c>
      <c r="J159" s="4" t="str">
        <f>HYPERLINK("http://141.218.60.56/~jnz1568/getInfo.php?workbook=10_01.xlsx&amp;sheet=A0&amp;row=159&amp;col=10&amp;number=&amp;sourceID=11","")</f>
        <v/>
      </c>
      <c r="K159" s="4" t="str">
        <f>HYPERLINK("http://141.218.60.56/~jnz1568/getInfo.php?workbook=10_01.xlsx&amp;sheet=A0&amp;row=159&amp;col=11&amp;number=&amp;sourceID=11","")</f>
        <v/>
      </c>
      <c r="L159" s="4" t="str">
        <f>HYPERLINK("http://141.218.60.56/~jnz1568/getInfo.php?workbook=10_01.xlsx&amp;sheet=A0&amp;row=159&amp;col=12&amp;number=0.33447&amp;sourceID=11","0.33447")</f>
        <v>0.33447</v>
      </c>
      <c r="M159" s="4" t="str">
        <f>HYPERLINK("http://141.218.60.56/~jnz1568/getInfo.php?workbook=10_01.xlsx&amp;sheet=A0&amp;row=159&amp;col=13&amp;number=&amp;sourceID=11","")</f>
        <v/>
      </c>
      <c r="N159" s="4" t="str">
        <f>HYPERLINK("http://141.218.60.56/~jnz1568/getInfo.php?workbook=10_01.xlsx&amp;sheet=A0&amp;row=159&amp;col=14&amp;number=12370000000&amp;sourceID=12","12370000000")</f>
        <v>12370000000</v>
      </c>
      <c r="O159" s="4" t="str">
        <f>HYPERLINK("http://141.218.60.56/~jnz1568/getInfo.php?workbook=10_01.xlsx&amp;sheet=A0&amp;row=159&amp;col=15&amp;number=12370000000&amp;sourceID=12","12370000000")</f>
        <v>12370000000</v>
      </c>
      <c r="P159" s="4" t="str">
        <f>HYPERLINK("http://141.218.60.56/~jnz1568/getInfo.php?workbook=10_01.xlsx&amp;sheet=A0&amp;row=159&amp;col=16&amp;number=&amp;sourceID=12","")</f>
        <v/>
      </c>
      <c r="Q159" s="4" t="str">
        <f>HYPERLINK("http://141.218.60.56/~jnz1568/getInfo.php?workbook=10_01.xlsx&amp;sheet=A0&amp;row=159&amp;col=17&amp;number=&amp;sourceID=12","")</f>
        <v/>
      </c>
      <c r="R159" s="4" t="str">
        <f>HYPERLINK("http://141.218.60.56/~jnz1568/getInfo.php?workbook=10_01.xlsx&amp;sheet=A0&amp;row=159&amp;col=18&amp;number=&amp;sourceID=12","")</f>
        <v/>
      </c>
      <c r="S159" s="4" t="str">
        <f>HYPERLINK("http://141.218.60.56/~jnz1568/getInfo.php?workbook=10_01.xlsx&amp;sheet=A0&amp;row=159&amp;col=19&amp;number=0.33448&amp;sourceID=12","0.33448")</f>
        <v>0.33448</v>
      </c>
      <c r="T159" s="4" t="str">
        <f>HYPERLINK("http://141.218.60.56/~jnz1568/getInfo.php?workbook=10_01.xlsx&amp;sheet=A0&amp;row=159&amp;col=20&amp;number=&amp;sourceID=12","")</f>
        <v/>
      </c>
      <c r="U159" s="4" t="str">
        <f>HYPERLINK("http://141.218.60.56/~jnz1568/getInfo.php?workbook=10_01.xlsx&amp;sheet=A0&amp;row=159&amp;col=21&amp;number=12370000000.3&amp;sourceID=30","12370000000.3")</f>
        <v>12370000000.3</v>
      </c>
      <c r="V159" s="4" t="str">
        <f>HYPERLINK("http://141.218.60.56/~jnz1568/getInfo.php?workbook=10_01.xlsx&amp;sheet=A0&amp;row=159&amp;col=22&amp;number=12370000000&amp;sourceID=30","12370000000")</f>
        <v>12370000000</v>
      </c>
      <c r="W159" s="4" t="str">
        <f>HYPERLINK("http://141.218.60.56/~jnz1568/getInfo.php?workbook=10_01.xlsx&amp;sheet=A0&amp;row=159&amp;col=23&amp;number=&amp;sourceID=30","")</f>
        <v/>
      </c>
      <c r="X159" s="4" t="str">
        <f>HYPERLINK("http://141.218.60.56/~jnz1568/getInfo.php?workbook=10_01.xlsx&amp;sheet=A0&amp;row=159&amp;col=24&amp;number=&amp;sourceID=30","")</f>
        <v/>
      </c>
      <c r="Y159" s="4" t="str">
        <f>HYPERLINK("http://141.218.60.56/~jnz1568/getInfo.php?workbook=10_01.xlsx&amp;sheet=A0&amp;row=159&amp;col=25&amp;number=0.3345&amp;sourceID=30","0.3345")</f>
        <v>0.3345</v>
      </c>
      <c r="Z159" s="4" t="str">
        <f>HYPERLINK("http://141.218.60.56/~jnz1568/getInfo.php?workbook=10_01.xlsx&amp;sheet=A0&amp;row=159&amp;col=26&amp;number=&amp;sourceID=13","")</f>
        <v/>
      </c>
      <c r="AA159" s="4" t="str">
        <f>HYPERLINK("http://141.218.60.56/~jnz1568/getInfo.php?workbook=10_01.xlsx&amp;sheet=A0&amp;row=159&amp;col=27&amp;number=&amp;sourceID=13","")</f>
        <v/>
      </c>
      <c r="AB159" s="4" t="str">
        <f>HYPERLINK("http://141.218.60.56/~jnz1568/getInfo.php?workbook=10_01.xlsx&amp;sheet=A0&amp;row=159&amp;col=28&amp;number=&amp;sourceID=13","")</f>
        <v/>
      </c>
      <c r="AC159" s="4" t="str">
        <f>HYPERLINK("http://141.218.60.56/~jnz1568/getInfo.php?workbook=10_01.xlsx&amp;sheet=A0&amp;row=159&amp;col=29&amp;number=&amp;sourceID=13","")</f>
        <v/>
      </c>
      <c r="AD159" s="4" t="str">
        <f>HYPERLINK("http://141.218.60.56/~jnz1568/getInfo.php?workbook=10_01.xlsx&amp;sheet=A0&amp;row=159&amp;col=30&amp;number=&amp;sourceID=13","")</f>
        <v/>
      </c>
      <c r="AE159" s="4" t="str">
        <f>HYPERLINK("http://141.218.60.56/~jnz1568/getInfo.php?workbook=10_01.xlsx&amp;sheet=A0&amp;row=159&amp;col=31&amp;number=&amp;sourceID=13","")</f>
        <v/>
      </c>
      <c r="AF159" s="4" t="str">
        <f>HYPERLINK("http://141.218.60.56/~jnz1568/getInfo.php?workbook=10_01.xlsx&amp;sheet=A0&amp;row=159&amp;col=32&amp;number=&amp;sourceID=20","")</f>
        <v/>
      </c>
    </row>
    <row r="160" spans="1:32">
      <c r="A160" s="3">
        <v>10</v>
      </c>
      <c r="B160" s="3">
        <v>1</v>
      </c>
      <c r="C160" s="3">
        <v>19</v>
      </c>
      <c r="D160" s="3">
        <v>11</v>
      </c>
      <c r="E160" s="3">
        <f>((1/(INDEX(E0!J$4:J$28,C160,1)-INDEX(E0!J$4:J$28,D160,1))))*100000000</f>
        <v>0</v>
      </c>
      <c r="F160" s="4" t="str">
        <f>HYPERLINK("http://141.218.60.56/~jnz1568/getInfo.php?workbook=10_01.xlsx&amp;sheet=A0&amp;row=160&amp;col=6&amp;number=&amp;sourceID=18","")</f>
        <v/>
      </c>
      <c r="G160" s="4" t="str">
        <f>HYPERLINK("http://141.218.60.56/~jnz1568/getInfo.php?workbook=10_01.xlsx&amp;sheet=A0&amp;row=160&amp;col=7&amp;number==&amp;sourceID=11","=")</f>
        <v>=</v>
      </c>
      <c r="H160" s="4" t="str">
        <f>HYPERLINK("http://141.218.60.56/~jnz1568/getInfo.php?workbook=10_01.xlsx&amp;sheet=A0&amp;row=160&amp;col=8&amp;number=&amp;sourceID=11","")</f>
        <v/>
      </c>
      <c r="I160" s="4" t="str">
        <f>HYPERLINK("http://141.218.60.56/~jnz1568/getInfo.php?workbook=10_01.xlsx&amp;sheet=A0&amp;row=160&amp;col=9&amp;number=541860&amp;sourceID=11","541860")</f>
        <v>541860</v>
      </c>
      <c r="J160" s="4" t="str">
        <f>HYPERLINK("http://141.218.60.56/~jnz1568/getInfo.php?workbook=10_01.xlsx&amp;sheet=A0&amp;row=160&amp;col=10&amp;number=&amp;sourceID=11","")</f>
        <v/>
      </c>
      <c r="K160" s="4" t="str">
        <f>HYPERLINK("http://141.218.60.56/~jnz1568/getInfo.php?workbook=10_01.xlsx&amp;sheet=A0&amp;row=160&amp;col=11&amp;number=9.4035e-05&amp;sourceID=11","9.4035e-05")</f>
        <v>9.4035e-05</v>
      </c>
      <c r="L160" s="4" t="str">
        <f>HYPERLINK("http://141.218.60.56/~jnz1568/getInfo.php?workbook=10_01.xlsx&amp;sheet=A0&amp;row=160&amp;col=12&amp;number=&amp;sourceID=11","")</f>
        <v/>
      </c>
      <c r="M160" s="4" t="str">
        <f>HYPERLINK("http://141.218.60.56/~jnz1568/getInfo.php?workbook=10_01.xlsx&amp;sheet=A0&amp;row=160&amp;col=13&amp;number=&amp;sourceID=11","")</f>
        <v/>
      </c>
      <c r="N160" s="4" t="str">
        <f>HYPERLINK("http://141.218.60.56/~jnz1568/getInfo.php?workbook=10_01.xlsx&amp;sheet=A0&amp;row=160&amp;col=14&amp;number=541880&amp;sourceID=12","541880")</f>
        <v>541880</v>
      </c>
      <c r="O160" s="4" t="str">
        <f>HYPERLINK("http://141.218.60.56/~jnz1568/getInfo.php?workbook=10_01.xlsx&amp;sheet=A0&amp;row=160&amp;col=15&amp;number=&amp;sourceID=12","")</f>
        <v/>
      </c>
      <c r="P160" s="4" t="str">
        <f>HYPERLINK("http://141.218.60.56/~jnz1568/getInfo.php?workbook=10_01.xlsx&amp;sheet=A0&amp;row=160&amp;col=16&amp;number=541880&amp;sourceID=12","541880")</f>
        <v>541880</v>
      </c>
      <c r="Q160" s="4" t="str">
        <f>HYPERLINK("http://141.218.60.56/~jnz1568/getInfo.php?workbook=10_01.xlsx&amp;sheet=A0&amp;row=160&amp;col=17&amp;number=&amp;sourceID=12","")</f>
        <v/>
      </c>
      <c r="R160" s="4" t="str">
        <f>HYPERLINK("http://141.218.60.56/~jnz1568/getInfo.php?workbook=10_01.xlsx&amp;sheet=A0&amp;row=160&amp;col=18&amp;number=9.4037e-05&amp;sourceID=12","9.4037e-05")</f>
        <v>9.4037e-05</v>
      </c>
      <c r="S160" s="4" t="str">
        <f>HYPERLINK("http://141.218.60.56/~jnz1568/getInfo.php?workbook=10_01.xlsx&amp;sheet=A0&amp;row=160&amp;col=19&amp;number=&amp;sourceID=12","")</f>
        <v/>
      </c>
      <c r="T160" s="4" t="str">
        <f>HYPERLINK("http://141.218.60.56/~jnz1568/getInfo.php?workbook=10_01.xlsx&amp;sheet=A0&amp;row=160&amp;col=20&amp;number=&amp;sourceID=12","")</f>
        <v/>
      </c>
      <c r="U160" s="4" t="str">
        <f>HYPERLINK("http://141.218.60.56/~jnz1568/getInfo.php?workbook=10_01.xlsx&amp;sheet=A0&amp;row=160&amp;col=21&amp;number=541900.000094&amp;sourceID=30","541900.000094")</f>
        <v>541900.000094</v>
      </c>
      <c r="V160" s="4" t="str">
        <f>HYPERLINK("http://141.218.60.56/~jnz1568/getInfo.php?workbook=10_01.xlsx&amp;sheet=A0&amp;row=160&amp;col=22&amp;number=&amp;sourceID=30","")</f>
        <v/>
      </c>
      <c r="W160" s="4" t="str">
        <f>HYPERLINK("http://141.218.60.56/~jnz1568/getInfo.php?workbook=10_01.xlsx&amp;sheet=A0&amp;row=160&amp;col=23&amp;number=541900&amp;sourceID=30","541900")</f>
        <v>541900</v>
      </c>
      <c r="X160" s="4" t="str">
        <f>HYPERLINK("http://141.218.60.56/~jnz1568/getInfo.php?workbook=10_01.xlsx&amp;sheet=A0&amp;row=160&amp;col=24&amp;number=9.35e-05&amp;sourceID=30","9.35e-05")</f>
        <v>9.35e-05</v>
      </c>
      <c r="Y160" s="4" t="str">
        <f>HYPERLINK("http://141.218.60.56/~jnz1568/getInfo.php?workbook=10_01.xlsx&amp;sheet=A0&amp;row=160&amp;col=25&amp;number=&amp;sourceID=30","")</f>
        <v/>
      </c>
      <c r="Z160" s="4" t="str">
        <f>HYPERLINK("http://141.218.60.56/~jnz1568/getInfo.php?workbook=10_01.xlsx&amp;sheet=A0&amp;row=160&amp;col=26&amp;number=&amp;sourceID=13","")</f>
        <v/>
      </c>
      <c r="AA160" s="4" t="str">
        <f>HYPERLINK("http://141.218.60.56/~jnz1568/getInfo.php?workbook=10_01.xlsx&amp;sheet=A0&amp;row=160&amp;col=27&amp;number=&amp;sourceID=13","")</f>
        <v/>
      </c>
      <c r="AB160" s="4" t="str">
        <f>HYPERLINK("http://141.218.60.56/~jnz1568/getInfo.php?workbook=10_01.xlsx&amp;sheet=A0&amp;row=160&amp;col=28&amp;number=&amp;sourceID=13","")</f>
        <v/>
      </c>
      <c r="AC160" s="4" t="str">
        <f>HYPERLINK("http://141.218.60.56/~jnz1568/getInfo.php?workbook=10_01.xlsx&amp;sheet=A0&amp;row=160&amp;col=29&amp;number=&amp;sourceID=13","")</f>
        <v/>
      </c>
      <c r="AD160" s="4" t="str">
        <f>HYPERLINK("http://141.218.60.56/~jnz1568/getInfo.php?workbook=10_01.xlsx&amp;sheet=A0&amp;row=160&amp;col=30&amp;number=&amp;sourceID=13","")</f>
        <v/>
      </c>
      <c r="AE160" s="4" t="str">
        <f>HYPERLINK("http://141.218.60.56/~jnz1568/getInfo.php?workbook=10_01.xlsx&amp;sheet=A0&amp;row=160&amp;col=31&amp;number=&amp;sourceID=13","")</f>
        <v/>
      </c>
      <c r="AF160" s="4" t="str">
        <f>HYPERLINK("http://141.218.60.56/~jnz1568/getInfo.php?workbook=10_01.xlsx&amp;sheet=A0&amp;row=160&amp;col=32&amp;number=&amp;sourceID=20","")</f>
        <v/>
      </c>
    </row>
    <row r="161" spans="1:32">
      <c r="A161" s="3">
        <v>10</v>
      </c>
      <c r="B161" s="3">
        <v>1</v>
      </c>
      <c r="C161" s="3">
        <v>19</v>
      </c>
      <c r="D161" s="3">
        <v>12</v>
      </c>
      <c r="E161" s="3">
        <f>((1/(INDEX(E0!J$4:J$28,C161,1)-INDEX(E0!J$4:J$28,D161,1))))*100000000</f>
        <v>0</v>
      </c>
      <c r="F161" s="4" t="str">
        <f>HYPERLINK("http://141.218.60.56/~jnz1568/getInfo.php?workbook=10_01.xlsx&amp;sheet=A0&amp;row=161&amp;col=6&amp;number=&amp;sourceID=18","")</f>
        <v/>
      </c>
      <c r="G161" s="4" t="str">
        <f>HYPERLINK("http://141.218.60.56/~jnz1568/getInfo.php?workbook=10_01.xlsx&amp;sheet=A0&amp;row=161&amp;col=7&amp;number==&amp;sourceID=11","=")</f>
        <v>=</v>
      </c>
      <c r="H161" s="4" t="str">
        <f>HYPERLINK("http://141.218.60.56/~jnz1568/getInfo.php?workbook=10_01.xlsx&amp;sheet=A0&amp;row=161&amp;col=8&amp;number=&amp;sourceID=11","")</f>
        <v/>
      </c>
      <c r="I161" s="4" t="str">
        <f>HYPERLINK("http://141.218.60.56/~jnz1568/getInfo.php?workbook=10_01.xlsx&amp;sheet=A0&amp;row=161&amp;col=9&amp;number=186190&amp;sourceID=11","186190")</f>
        <v>186190</v>
      </c>
      <c r="J161" s="4" t="str">
        <f>HYPERLINK("http://141.218.60.56/~jnz1568/getInfo.php?workbook=10_01.xlsx&amp;sheet=A0&amp;row=161&amp;col=10&amp;number=&amp;sourceID=11","")</f>
        <v/>
      </c>
      <c r="K161" s="4" t="str">
        <f>HYPERLINK("http://141.218.60.56/~jnz1568/getInfo.php?workbook=10_01.xlsx&amp;sheet=A0&amp;row=161&amp;col=11&amp;number=0.0087428&amp;sourceID=11","0.0087428")</f>
        <v>0.0087428</v>
      </c>
      <c r="L161" s="4" t="str">
        <f>HYPERLINK("http://141.218.60.56/~jnz1568/getInfo.php?workbook=10_01.xlsx&amp;sheet=A0&amp;row=161&amp;col=12&amp;number=&amp;sourceID=11","")</f>
        <v/>
      </c>
      <c r="M161" s="4" t="str">
        <f>HYPERLINK("http://141.218.60.56/~jnz1568/getInfo.php?workbook=10_01.xlsx&amp;sheet=A0&amp;row=161&amp;col=13&amp;number=5.4595e-06&amp;sourceID=11","5.4595e-06")</f>
        <v>5.4595e-06</v>
      </c>
      <c r="N161" s="4" t="str">
        <f>HYPERLINK("http://141.218.60.56/~jnz1568/getInfo.php?workbook=10_01.xlsx&amp;sheet=A0&amp;row=161&amp;col=14&amp;number=186190&amp;sourceID=12","186190")</f>
        <v>186190</v>
      </c>
      <c r="O161" s="4" t="str">
        <f>HYPERLINK("http://141.218.60.56/~jnz1568/getInfo.php?workbook=10_01.xlsx&amp;sheet=A0&amp;row=161&amp;col=15&amp;number=&amp;sourceID=12","")</f>
        <v/>
      </c>
      <c r="P161" s="4" t="str">
        <f>HYPERLINK("http://141.218.60.56/~jnz1568/getInfo.php?workbook=10_01.xlsx&amp;sheet=A0&amp;row=161&amp;col=16&amp;number=186190&amp;sourceID=12","186190")</f>
        <v>186190</v>
      </c>
      <c r="Q161" s="4" t="str">
        <f>HYPERLINK("http://141.218.60.56/~jnz1568/getInfo.php?workbook=10_01.xlsx&amp;sheet=A0&amp;row=161&amp;col=17&amp;number=&amp;sourceID=12","")</f>
        <v/>
      </c>
      <c r="R161" s="4" t="str">
        <f>HYPERLINK("http://141.218.60.56/~jnz1568/getInfo.php?workbook=10_01.xlsx&amp;sheet=A0&amp;row=161&amp;col=18&amp;number=0.008743&amp;sourceID=12","0.008743")</f>
        <v>0.008743</v>
      </c>
      <c r="S161" s="4" t="str">
        <f>HYPERLINK("http://141.218.60.56/~jnz1568/getInfo.php?workbook=10_01.xlsx&amp;sheet=A0&amp;row=161&amp;col=19&amp;number=&amp;sourceID=12","")</f>
        <v/>
      </c>
      <c r="T161" s="4" t="str">
        <f>HYPERLINK("http://141.218.60.56/~jnz1568/getInfo.php?workbook=10_01.xlsx&amp;sheet=A0&amp;row=161&amp;col=20&amp;number=5.4596e-06&amp;sourceID=12","5.4596e-06")</f>
        <v>5.4596e-06</v>
      </c>
      <c r="U161" s="4" t="str">
        <f>HYPERLINK("http://141.218.60.56/~jnz1568/getInfo.php?workbook=10_01.xlsx&amp;sheet=A0&amp;row=161&amp;col=21&amp;number=186200.008753&amp;sourceID=30","186200.008753")</f>
        <v>186200.008753</v>
      </c>
      <c r="V161" s="4" t="str">
        <f>HYPERLINK("http://141.218.60.56/~jnz1568/getInfo.php?workbook=10_01.xlsx&amp;sheet=A0&amp;row=161&amp;col=22&amp;number=&amp;sourceID=30","")</f>
        <v/>
      </c>
      <c r="W161" s="4" t="str">
        <f>HYPERLINK("http://141.218.60.56/~jnz1568/getInfo.php?workbook=10_01.xlsx&amp;sheet=A0&amp;row=161&amp;col=23&amp;number=186200&amp;sourceID=30","186200")</f>
        <v>186200</v>
      </c>
      <c r="X161" s="4" t="str">
        <f>HYPERLINK("http://141.218.60.56/~jnz1568/getInfo.php?workbook=10_01.xlsx&amp;sheet=A0&amp;row=161&amp;col=24&amp;number=0.008753&amp;sourceID=30","0.008753")</f>
        <v>0.008753</v>
      </c>
      <c r="Y161" s="4" t="str">
        <f>HYPERLINK("http://141.218.60.56/~jnz1568/getInfo.php?workbook=10_01.xlsx&amp;sheet=A0&amp;row=161&amp;col=25&amp;number=&amp;sourceID=30","")</f>
        <v/>
      </c>
      <c r="Z161" s="4" t="str">
        <f>HYPERLINK("http://141.218.60.56/~jnz1568/getInfo.php?workbook=10_01.xlsx&amp;sheet=A0&amp;row=161&amp;col=26&amp;number=&amp;sourceID=13","")</f>
        <v/>
      </c>
      <c r="AA161" s="4" t="str">
        <f>HYPERLINK("http://141.218.60.56/~jnz1568/getInfo.php?workbook=10_01.xlsx&amp;sheet=A0&amp;row=161&amp;col=27&amp;number=&amp;sourceID=13","")</f>
        <v/>
      </c>
      <c r="AB161" s="4" t="str">
        <f>HYPERLINK("http://141.218.60.56/~jnz1568/getInfo.php?workbook=10_01.xlsx&amp;sheet=A0&amp;row=161&amp;col=28&amp;number=&amp;sourceID=13","")</f>
        <v/>
      </c>
      <c r="AC161" s="4" t="str">
        <f>HYPERLINK("http://141.218.60.56/~jnz1568/getInfo.php?workbook=10_01.xlsx&amp;sheet=A0&amp;row=161&amp;col=29&amp;number=&amp;sourceID=13","")</f>
        <v/>
      </c>
      <c r="AD161" s="4" t="str">
        <f>HYPERLINK("http://141.218.60.56/~jnz1568/getInfo.php?workbook=10_01.xlsx&amp;sheet=A0&amp;row=161&amp;col=30&amp;number=&amp;sourceID=13","")</f>
        <v/>
      </c>
      <c r="AE161" s="4" t="str">
        <f>HYPERLINK("http://141.218.60.56/~jnz1568/getInfo.php?workbook=10_01.xlsx&amp;sheet=A0&amp;row=161&amp;col=31&amp;number=&amp;sourceID=13","")</f>
        <v/>
      </c>
      <c r="AF161" s="4" t="str">
        <f>HYPERLINK("http://141.218.60.56/~jnz1568/getInfo.php?workbook=10_01.xlsx&amp;sheet=A0&amp;row=161&amp;col=32&amp;number=&amp;sourceID=20","")</f>
        <v/>
      </c>
    </row>
    <row r="162" spans="1:32">
      <c r="A162" s="3">
        <v>10</v>
      </c>
      <c r="B162" s="3">
        <v>1</v>
      </c>
      <c r="C162" s="3">
        <v>19</v>
      </c>
      <c r="D162" s="3">
        <v>13</v>
      </c>
      <c r="E162" s="3">
        <f>((1/(INDEX(E0!J$4:J$28,C162,1)-INDEX(E0!J$4:J$28,D162,1))))*100000000</f>
        <v>0</v>
      </c>
      <c r="F162" s="4" t="str">
        <f>HYPERLINK("http://141.218.60.56/~jnz1568/getInfo.php?workbook=10_01.xlsx&amp;sheet=A0&amp;row=162&amp;col=6&amp;number=&amp;sourceID=18","")</f>
        <v/>
      </c>
      <c r="G162" s="4" t="str">
        <f>HYPERLINK("http://141.218.60.56/~jnz1568/getInfo.php?workbook=10_01.xlsx&amp;sheet=A0&amp;row=162&amp;col=7&amp;number==&amp;sourceID=11","=")</f>
        <v>=</v>
      </c>
      <c r="H162" s="4" t="str">
        <f>HYPERLINK("http://141.218.60.56/~jnz1568/getInfo.php?workbook=10_01.xlsx&amp;sheet=A0&amp;row=162&amp;col=8&amp;number=2479800000&amp;sourceID=11","2479800000")</f>
        <v>2479800000</v>
      </c>
      <c r="I162" s="4" t="str">
        <f>HYPERLINK("http://141.218.60.56/~jnz1568/getInfo.php?workbook=10_01.xlsx&amp;sheet=A0&amp;row=162&amp;col=9&amp;number=&amp;sourceID=11","")</f>
        <v/>
      </c>
      <c r="J162" s="4" t="str">
        <f>HYPERLINK("http://141.218.60.56/~jnz1568/getInfo.php?workbook=10_01.xlsx&amp;sheet=A0&amp;row=162&amp;col=10&amp;number=13.099&amp;sourceID=11","13.099")</f>
        <v>13.099</v>
      </c>
      <c r="K162" s="4" t="str">
        <f>HYPERLINK("http://141.218.60.56/~jnz1568/getInfo.php?workbook=10_01.xlsx&amp;sheet=A0&amp;row=162&amp;col=11&amp;number=&amp;sourceID=11","")</f>
        <v/>
      </c>
      <c r="L162" s="4" t="str">
        <f>HYPERLINK("http://141.218.60.56/~jnz1568/getInfo.php?workbook=10_01.xlsx&amp;sheet=A0&amp;row=162&amp;col=12&amp;number=&amp;sourceID=11","")</f>
        <v/>
      </c>
      <c r="M162" s="4" t="str">
        <f>HYPERLINK("http://141.218.60.56/~jnz1568/getInfo.php?workbook=10_01.xlsx&amp;sheet=A0&amp;row=162&amp;col=13&amp;number=&amp;sourceID=11","")</f>
        <v/>
      </c>
      <c r="N162" s="4" t="str">
        <f>HYPERLINK("http://141.218.60.56/~jnz1568/getInfo.php?workbook=10_01.xlsx&amp;sheet=A0&amp;row=162&amp;col=14&amp;number=2479900000&amp;sourceID=12","2479900000")</f>
        <v>2479900000</v>
      </c>
      <c r="O162" s="4" t="str">
        <f>HYPERLINK("http://141.218.60.56/~jnz1568/getInfo.php?workbook=10_01.xlsx&amp;sheet=A0&amp;row=162&amp;col=15&amp;number=2479900000&amp;sourceID=12","2479900000")</f>
        <v>2479900000</v>
      </c>
      <c r="P162" s="4" t="str">
        <f>HYPERLINK("http://141.218.60.56/~jnz1568/getInfo.php?workbook=10_01.xlsx&amp;sheet=A0&amp;row=162&amp;col=16&amp;number=&amp;sourceID=12","")</f>
        <v/>
      </c>
      <c r="Q162" s="4" t="str">
        <f>HYPERLINK("http://141.218.60.56/~jnz1568/getInfo.php?workbook=10_01.xlsx&amp;sheet=A0&amp;row=162&amp;col=17&amp;number=13.099&amp;sourceID=12","13.099")</f>
        <v>13.099</v>
      </c>
      <c r="R162" s="4" t="str">
        <f>HYPERLINK("http://141.218.60.56/~jnz1568/getInfo.php?workbook=10_01.xlsx&amp;sheet=A0&amp;row=162&amp;col=18&amp;number=&amp;sourceID=12","")</f>
        <v/>
      </c>
      <c r="S162" s="4" t="str">
        <f>HYPERLINK("http://141.218.60.56/~jnz1568/getInfo.php?workbook=10_01.xlsx&amp;sheet=A0&amp;row=162&amp;col=19&amp;number=&amp;sourceID=12","")</f>
        <v/>
      </c>
      <c r="T162" s="4" t="str">
        <f>HYPERLINK("http://141.218.60.56/~jnz1568/getInfo.php?workbook=10_01.xlsx&amp;sheet=A0&amp;row=162&amp;col=20&amp;number=&amp;sourceID=12","")</f>
        <v/>
      </c>
      <c r="U162" s="4" t="str">
        <f>HYPERLINK("http://141.218.60.56/~jnz1568/getInfo.php?workbook=10_01.xlsx&amp;sheet=A0&amp;row=162&amp;col=21&amp;number=2480000000&amp;sourceID=30","2480000000")</f>
        <v>2480000000</v>
      </c>
      <c r="V162" s="4" t="str">
        <f>HYPERLINK("http://141.218.60.56/~jnz1568/getInfo.php?workbook=10_01.xlsx&amp;sheet=A0&amp;row=162&amp;col=22&amp;number=2480000000&amp;sourceID=30","2480000000")</f>
        <v>2480000000</v>
      </c>
      <c r="W162" s="4" t="str">
        <f>HYPERLINK("http://141.218.60.56/~jnz1568/getInfo.php?workbook=10_01.xlsx&amp;sheet=A0&amp;row=162&amp;col=23&amp;number=&amp;sourceID=30","")</f>
        <v/>
      </c>
      <c r="X162" s="4" t="str">
        <f>HYPERLINK("http://141.218.60.56/~jnz1568/getInfo.php?workbook=10_01.xlsx&amp;sheet=A0&amp;row=162&amp;col=24&amp;number=&amp;sourceID=30","")</f>
        <v/>
      </c>
      <c r="Y162" s="4" t="str">
        <f>HYPERLINK("http://141.218.60.56/~jnz1568/getInfo.php?workbook=10_01.xlsx&amp;sheet=A0&amp;row=162&amp;col=25&amp;number=&amp;sourceID=30","")</f>
        <v/>
      </c>
      <c r="Z162" s="4" t="str">
        <f>HYPERLINK("http://141.218.60.56/~jnz1568/getInfo.php?workbook=10_01.xlsx&amp;sheet=A0&amp;row=162&amp;col=26&amp;number=&amp;sourceID=13","")</f>
        <v/>
      </c>
      <c r="AA162" s="4" t="str">
        <f>HYPERLINK("http://141.218.60.56/~jnz1568/getInfo.php?workbook=10_01.xlsx&amp;sheet=A0&amp;row=162&amp;col=27&amp;number=&amp;sourceID=13","")</f>
        <v/>
      </c>
      <c r="AB162" s="4" t="str">
        <f>HYPERLINK("http://141.218.60.56/~jnz1568/getInfo.php?workbook=10_01.xlsx&amp;sheet=A0&amp;row=162&amp;col=28&amp;number=&amp;sourceID=13","")</f>
        <v/>
      </c>
      <c r="AC162" s="4" t="str">
        <f>HYPERLINK("http://141.218.60.56/~jnz1568/getInfo.php?workbook=10_01.xlsx&amp;sheet=A0&amp;row=162&amp;col=29&amp;number=&amp;sourceID=13","")</f>
        <v/>
      </c>
      <c r="AD162" s="4" t="str">
        <f>HYPERLINK("http://141.218.60.56/~jnz1568/getInfo.php?workbook=10_01.xlsx&amp;sheet=A0&amp;row=162&amp;col=30&amp;number=&amp;sourceID=13","")</f>
        <v/>
      </c>
      <c r="AE162" s="4" t="str">
        <f>HYPERLINK("http://141.218.60.56/~jnz1568/getInfo.php?workbook=10_01.xlsx&amp;sheet=A0&amp;row=162&amp;col=31&amp;number=&amp;sourceID=13","")</f>
        <v/>
      </c>
      <c r="AF162" s="4" t="str">
        <f>HYPERLINK("http://141.218.60.56/~jnz1568/getInfo.php?workbook=10_01.xlsx&amp;sheet=A0&amp;row=162&amp;col=32&amp;number=&amp;sourceID=20","")</f>
        <v/>
      </c>
    </row>
    <row r="163" spans="1:32">
      <c r="A163" s="3">
        <v>10</v>
      </c>
      <c r="B163" s="3">
        <v>1</v>
      </c>
      <c r="C163" s="3">
        <v>19</v>
      </c>
      <c r="D163" s="3">
        <v>14</v>
      </c>
      <c r="E163" s="3">
        <f>((1/(INDEX(E0!J$4:J$28,C163,1)-INDEX(E0!J$4:J$28,D163,1))))*100000000</f>
        <v>0</v>
      </c>
      <c r="F163" s="4" t="str">
        <f>HYPERLINK("http://141.218.60.56/~jnz1568/getInfo.php?workbook=10_01.xlsx&amp;sheet=A0&amp;row=163&amp;col=6&amp;number=&amp;sourceID=18","")</f>
        <v/>
      </c>
      <c r="G163" s="4" t="str">
        <f>HYPERLINK("http://141.218.60.56/~jnz1568/getInfo.php?workbook=10_01.xlsx&amp;sheet=A0&amp;row=163&amp;col=7&amp;number==&amp;sourceID=11","=")</f>
        <v>=</v>
      </c>
      <c r="H163" s="4" t="str">
        <f>HYPERLINK("http://141.218.60.56/~jnz1568/getInfo.php?workbook=10_01.xlsx&amp;sheet=A0&amp;row=163&amp;col=8&amp;number=508040000&amp;sourceID=11","508040000")</f>
        <v>508040000</v>
      </c>
      <c r="I163" s="4" t="str">
        <f>HYPERLINK("http://141.218.60.56/~jnz1568/getInfo.php?workbook=10_01.xlsx&amp;sheet=A0&amp;row=163&amp;col=9&amp;number=&amp;sourceID=11","")</f>
        <v/>
      </c>
      <c r="J163" s="4" t="str">
        <f>HYPERLINK("http://141.218.60.56/~jnz1568/getInfo.php?workbook=10_01.xlsx&amp;sheet=A0&amp;row=163&amp;col=10&amp;number=1.1775&amp;sourceID=11","1.1775")</f>
        <v>1.1775</v>
      </c>
      <c r="K163" s="4" t="str">
        <f>HYPERLINK("http://141.218.60.56/~jnz1568/getInfo.php?workbook=10_01.xlsx&amp;sheet=A0&amp;row=163&amp;col=11&amp;number=&amp;sourceID=11","")</f>
        <v/>
      </c>
      <c r="L163" s="4" t="str">
        <f>HYPERLINK("http://141.218.60.56/~jnz1568/getInfo.php?workbook=10_01.xlsx&amp;sheet=A0&amp;row=163&amp;col=12&amp;number=0.08141&amp;sourceID=11","0.08141")</f>
        <v>0.08141</v>
      </c>
      <c r="M163" s="4" t="str">
        <f>HYPERLINK("http://141.218.60.56/~jnz1568/getInfo.php?workbook=10_01.xlsx&amp;sheet=A0&amp;row=163&amp;col=13&amp;number=&amp;sourceID=11","")</f>
        <v/>
      </c>
      <c r="N163" s="4" t="str">
        <f>HYPERLINK("http://141.218.60.56/~jnz1568/getInfo.php?workbook=10_01.xlsx&amp;sheet=A0&amp;row=163&amp;col=14&amp;number=508050000&amp;sourceID=12","508050000")</f>
        <v>508050000</v>
      </c>
      <c r="O163" s="4" t="str">
        <f>HYPERLINK("http://141.218.60.56/~jnz1568/getInfo.php?workbook=10_01.xlsx&amp;sheet=A0&amp;row=163&amp;col=15&amp;number=508050000&amp;sourceID=12","508050000")</f>
        <v>508050000</v>
      </c>
      <c r="P163" s="4" t="str">
        <f>HYPERLINK("http://141.218.60.56/~jnz1568/getInfo.php?workbook=10_01.xlsx&amp;sheet=A0&amp;row=163&amp;col=16&amp;number=&amp;sourceID=12","")</f>
        <v/>
      </c>
      <c r="Q163" s="4" t="str">
        <f>HYPERLINK("http://141.218.60.56/~jnz1568/getInfo.php?workbook=10_01.xlsx&amp;sheet=A0&amp;row=163&amp;col=17&amp;number=1.1775&amp;sourceID=12","1.1775")</f>
        <v>1.1775</v>
      </c>
      <c r="R163" s="4" t="str">
        <f>HYPERLINK("http://141.218.60.56/~jnz1568/getInfo.php?workbook=10_01.xlsx&amp;sheet=A0&amp;row=163&amp;col=18&amp;number=&amp;sourceID=12","")</f>
        <v/>
      </c>
      <c r="S163" s="4" t="str">
        <f>HYPERLINK("http://141.218.60.56/~jnz1568/getInfo.php?workbook=10_01.xlsx&amp;sheet=A0&amp;row=163&amp;col=19&amp;number=0.081412&amp;sourceID=12","0.081412")</f>
        <v>0.081412</v>
      </c>
      <c r="T163" s="4" t="str">
        <f>HYPERLINK("http://141.218.60.56/~jnz1568/getInfo.php?workbook=10_01.xlsx&amp;sheet=A0&amp;row=163&amp;col=20&amp;number=&amp;sourceID=12","")</f>
        <v/>
      </c>
      <c r="U163" s="4" t="str">
        <f>HYPERLINK("http://141.218.60.56/~jnz1568/getInfo.php?workbook=10_01.xlsx&amp;sheet=A0&amp;row=163&amp;col=21&amp;number=508000000.081&amp;sourceID=30","508000000.081")</f>
        <v>508000000.081</v>
      </c>
      <c r="V163" s="4" t="str">
        <f>HYPERLINK("http://141.218.60.56/~jnz1568/getInfo.php?workbook=10_01.xlsx&amp;sheet=A0&amp;row=163&amp;col=22&amp;number=508000000&amp;sourceID=30","508000000")</f>
        <v>508000000</v>
      </c>
      <c r="W163" s="4" t="str">
        <f>HYPERLINK("http://141.218.60.56/~jnz1568/getInfo.php?workbook=10_01.xlsx&amp;sheet=A0&amp;row=163&amp;col=23&amp;number=&amp;sourceID=30","")</f>
        <v/>
      </c>
      <c r="X163" s="4" t="str">
        <f>HYPERLINK("http://141.218.60.56/~jnz1568/getInfo.php?workbook=10_01.xlsx&amp;sheet=A0&amp;row=163&amp;col=24&amp;number=&amp;sourceID=30","")</f>
        <v/>
      </c>
      <c r="Y163" s="4" t="str">
        <f>HYPERLINK("http://141.218.60.56/~jnz1568/getInfo.php?workbook=10_01.xlsx&amp;sheet=A0&amp;row=163&amp;col=25&amp;number=0.08141&amp;sourceID=30","0.08141")</f>
        <v>0.08141</v>
      </c>
      <c r="Z163" s="4" t="str">
        <f>HYPERLINK("http://141.218.60.56/~jnz1568/getInfo.php?workbook=10_01.xlsx&amp;sheet=A0&amp;row=163&amp;col=26&amp;number=&amp;sourceID=13","")</f>
        <v/>
      </c>
      <c r="AA163" s="4" t="str">
        <f>HYPERLINK("http://141.218.60.56/~jnz1568/getInfo.php?workbook=10_01.xlsx&amp;sheet=A0&amp;row=163&amp;col=27&amp;number=&amp;sourceID=13","")</f>
        <v/>
      </c>
      <c r="AB163" s="4" t="str">
        <f>HYPERLINK("http://141.218.60.56/~jnz1568/getInfo.php?workbook=10_01.xlsx&amp;sheet=A0&amp;row=163&amp;col=28&amp;number=&amp;sourceID=13","")</f>
        <v/>
      </c>
      <c r="AC163" s="4" t="str">
        <f>HYPERLINK("http://141.218.60.56/~jnz1568/getInfo.php?workbook=10_01.xlsx&amp;sheet=A0&amp;row=163&amp;col=29&amp;number=&amp;sourceID=13","")</f>
        <v/>
      </c>
      <c r="AD163" s="4" t="str">
        <f>HYPERLINK("http://141.218.60.56/~jnz1568/getInfo.php?workbook=10_01.xlsx&amp;sheet=A0&amp;row=163&amp;col=30&amp;number=&amp;sourceID=13","")</f>
        <v/>
      </c>
      <c r="AE163" s="4" t="str">
        <f>HYPERLINK("http://141.218.60.56/~jnz1568/getInfo.php?workbook=10_01.xlsx&amp;sheet=A0&amp;row=163&amp;col=31&amp;number=&amp;sourceID=13","")</f>
        <v/>
      </c>
      <c r="AF163" s="4" t="str">
        <f>HYPERLINK("http://141.218.60.56/~jnz1568/getInfo.php?workbook=10_01.xlsx&amp;sheet=A0&amp;row=163&amp;col=32&amp;number=&amp;sourceID=20","")</f>
        <v/>
      </c>
    </row>
    <row r="164" spans="1:32">
      <c r="A164" s="3">
        <v>10</v>
      </c>
      <c r="B164" s="3">
        <v>1</v>
      </c>
      <c r="C164" s="3">
        <v>19</v>
      </c>
      <c r="D164" s="3">
        <v>15</v>
      </c>
      <c r="E164" s="3">
        <f>((1/(INDEX(E0!J$4:J$28,C164,1)-INDEX(E0!J$4:J$28,D164,1))))*100000000</f>
        <v>0</v>
      </c>
      <c r="F164" s="4" t="str">
        <f>HYPERLINK("http://141.218.60.56/~jnz1568/getInfo.php?workbook=10_01.xlsx&amp;sheet=A0&amp;row=164&amp;col=6&amp;number=&amp;sourceID=18","")</f>
        <v/>
      </c>
      <c r="G164" s="4" t="str">
        <f>HYPERLINK("http://141.218.60.56/~jnz1568/getInfo.php?workbook=10_01.xlsx&amp;sheet=A0&amp;row=164&amp;col=7&amp;number==&amp;sourceID=11","=")</f>
        <v>=</v>
      </c>
      <c r="H164" s="4" t="str">
        <f>HYPERLINK("http://141.218.60.56/~jnz1568/getInfo.php?workbook=10_01.xlsx&amp;sheet=A0&amp;row=164&amp;col=8&amp;number=&amp;sourceID=11","")</f>
        <v/>
      </c>
      <c r="I164" s="4" t="str">
        <f>HYPERLINK("http://141.218.60.56/~jnz1568/getInfo.php?workbook=10_01.xlsx&amp;sheet=A0&amp;row=164&amp;col=9&amp;number=79750&amp;sourceID=11","79750")</f>
        <v>79750</v>
      </c>
      <c r="J164" s="4" t="str">
        <f>HYPERLINK("http://141.218.60.56/~jnz1568/getInfo.php?workbook=10_01.xlsx&amp;sheet=A0&amp;row=164&amp;col=10&amp;number=&amp;sourceID=11","")</f>
        <v/>
      </c>
      <c r="K164" s="4" t="str">
        <f>HYPERLINK("http://141.218.60.56/~jnz1568/getInfo.php?workbook=10_01.xlsx&amp;sheet=A0&amp;row=164&amp;col=11&amp;number=0.056412&amp;sourceID=11","0.056412")</f>
        <v>0.056412</v>
      </c>
      <c r="L164" s="4" t="str">
        <f>HYPERLINK("http://141.218.60.56/~jnz1568/getInfo.php?workbook=10_01.xlsx&amp;sheet=A0&amp;row=164&amp;col=12&amp;number=&amp;sourceID=11","")</f>
        <v/>
      </c>
      <c r="M164" s="4" t="str">
        <f>HYPERLINK("http://141.218.60.56/~jnz1568/getInfo.php?workbook=10_01.xlsx&amp;sheet=A0&amp;row=164&amp;col=13&amp;number=3.6338e-06&amp;sourceID=11","3.6338e-06")</f>
        <v>3.6338e-06</v>
      </c>
      <c r="N164" s="4" t="str">
        <f>HYPERLINK("http://141.218.60.56/~jnz1568/getInfo.php?workbook=10_01.xlsx&amp;sheet=A0&amp;row=164&amp;col=14&amp;number=79752&amp;sourceID=12","79752")</f>
        <v>79752</v>
      </c>
      <c r="O164" s="4" t="str">
        <f>HYPERLINK("http://141.218.60.56/~jnz1568/getInfo.php?workbook=10_01.xlsx&amp;sheet=A0&amp;row=164&amp;col=15&amp;number=&amp;sourceID=12","")</f>
        <v/>
      </c>
      <c r="P164" s="4" t="str">
        <f>HYPERLINK("http://141.218.60.56/~jnz1568/getInfo.php?workbook=10_01.xlsx&amp;sheet=A0&amp;row=164&amp;col=16&amp;number=79752&amp;sourceID=12","79752")</f>
        <v>79752</v>
      </c>
      <c r="Q164" s="4" t="str">
        <f>HYPERLINK("http://141.218.60.56/~jnz1568/getInfo.php?workbook=10_01.xlsx&amp;sheet=A0&amp;row=164&amp;col=17&amp;number=&amp;sourceID=12","")</f>
        <v/>
      </c>
      <c r="R164" s="4" t="str">
        <f>HYPERLINK("http://141.218.60.56/~jnz1568/getInfo.php?workbook=10_01.xlsx&amp;sheet=A0&amp;row=164&amp;col=18&amp;number=0.056415&amp;sourceID=12","0.056415")</f>
        <v>0.056415</v>
      </c>
      <c r="S164" s="4" t="str">
        <f>HYPERLINK("http://141.218.60.56/~jnz1568/getInfo.php?workbook=10_01.xlsx&amp;sheet=A0&amp;row=164&amp;col=19&amp;number=&amp;sourceID=12","")</f>
        <v/>
      </c>
      <c r="T164" s="4" t="str">
        <f>HYPERLINK("http://141.218.60.56/~jnz1568/getInfo.php?workbook=10_01.xlsx&amp;sheet=A0&amp;row=164&amp;col=20&amp;number=3.6339e-06&amp;sourceID=12","3.6339e-06")</f>
        <v>3.6339e-06</v>
      </c>
      <c r="U164" s="4" t="str">
        <f>HYPERLINK("http://141.218.60.56/~jnz1568/getInfo.php?workbook=10_01.xlsx&amp;sheet=A0&amp;row=164&amp;col=21&amp;number=79750.0564&amp;sourceID=30","79750.0564")</f>
        <v>79750.0564</v>
      </c>
      <c r="V164" s="4" t="str">
        <f>HYPERLINK("http://141.218.60.56/~jnz1568/getInfo.php?workbook=10_01.xlsx&amp;sheet=A0&amp;row=164&amp;col=22&amp;number=&amp;sourceID=30","")</f>
        <v/>
      </c>
      <c r="W164" s="4" t="str">
        <f>HYPERLINK("http://141.218.60.56/~jnz1568/getInfo.php?workbook=10_01.xlsx&amp;sheet=A0&amp;row=164&amp;col=23&amp;number=79750&amp;sourceID=30","79750")</f>
        <v>79750</v>
      </c>
      <c r="X164" s="4" t="str">
        <f>HYPERLINK("http://141.218.60.56/~jnz1568/getInfo.php?workbook=10_01.xlsx&amp;sheet=A0&amp;row=164&amp;col=24&amp;number=0.0564&amp;sourceID=30","0.0564")</f>
        <v>0.0564</v>
      </c>
      <c r="Y164" s="4" t="str">
        <f>HYPERLINK("http://141.218.60.56/~jnz1568/getInfo.php?workbook=10_01.xlsx&amp;sheet=A0&amp;row=164&amp;col=25&amp;number=&amp;sourceID=30","")</f>
        <v/>
      </c>
      <c r="Z164" s="4" t="str">
        <f>HYPERLINK("http://141.218.60.56/~jnz1568/getInfo.php?workbook=10_01.xlsx&amp;sheet=A0&amp;row=164&amp;col=26&amp;number=&amp;sourceID=13","")</f>
        <v/>
      </c>
      <c r="AA164" s="4" t="str">
        <f>HYPERLINK("http://141.218.60.56/~jnz1568/getInfo.php?workbook=10_01.xlsx&amp;sheet=A0&amp;row=164&amp;col=27&amp;number=&amp;sourceID=13","")</f>
        <v/>
      </c>
      <c r="AB164" s="4" t="str">
        <f>HYPERLINK("http://141.218.60.56/~jnz1568/getInfo.php?workbook=10_01.xlsx&amp;sheet=A0&amp;row=164&amp;col=28&amp;number=&amp;sourceID=13","")</f>
        <v/>
      </c>
      <c r="AC164" s="4" t="str">
        <f>HYPERLINK("http://141.218.60.56/~jnz1568/getInfo.php?workbook=10_01.xlsx&amp;sheet=A0&amp;row=164&amp;col=29&amp;number=&amp;sourceID=13","")</f>
        <v/>
      </c>
      <c r="AD164" s="4" t="str">
        <f>HYPERLINK("http://141.218.60.56/~jnz1568/getInfo.php?workbook=10_01.xlsx&amp;sheet=A0&amp;row=164&amp;col=30&amp;number=&amp;sourceID=13","")</f>
        <v/>
      </c>
      <c r="AE164" s="4" t="str">
        <f>HYPERLINK("http://141.218.60.56/~jnz1568/getInfo.php?workbook=10_01.xlsx&amp;sheet=A0&amp;row=164&amp;col=31&amp;number=&amp;sourceID=13","")</f>
        <v/>
      </c>
      <c r="AF164" s="4" t="str">
        <f>HYPERLINK("http://141.218.60.56/~jnz1568/getInfo.php?workbook=10_01.xlsx&amp;sheet=A0&amp;row=164&amp;col=32&amp;number=&amp;sourceID=20","")</f>
        <v/>
      </c>
    </row>
    <row r="165" spans="1:32">
      <c r="A165" s="3">
        <v>10</v>
      </c>
      <c r="B165" s="3">
        <v>1</v>
      </c>
      <c r="C165" s="3">
        <v>19</v>
      </c>
      <c r="D165" s="3">
        <v>16</v>
      </c>
      <c r="E165" s="3">
        <f>((1/(INDEX(E0!J$4:J$28,C165,1)-INDEX(E0!J$4:J$28,D165,1))))*100000000</f>
        <v>0</v>
      </c>
      <c r="F165" s="4" t="str">
        <f>HYPERLINK("http://141.218.60.56/~jnz1568/getInfo.php?workbook=10_01.xlsx&amp;sheet=A0&amp;row=165&amp;col=6&amp;number=&amp;sourceID=18","")</f>
        <v/>
      </c>
      <c r="G165" s="4" t="str">
        <f>HYPERLINK("http://141.218.60.56/~jnz1568/getInfo.php?workbook=10_01.xlsx&amp;sheet=A0&amp;row=165&amp;col=7&amp;number==&amp;sourceID=11","=")</f>
        <v>=</v>
      </c>
      <c r="H165" s="4" t="str">
        <f>HYPERLINK("http://141.218.60.56/~jnz1568/getInfo.php?workbook=10_01.xlsx&amp;sheet=A0&amp;row=165&amp;col=8&amp;number=&amp;sourceID=11","")</f>
        <v/>
      </c>
      <c r="I165" s="4" t="str">
        <f>HYPERLINK("http://141.218.60.56/~jnz1568/getInfo.php?workbook=10_01.xlsx&amp;sheet=A0&amp;row=165&amp;col=9&amp;number=&amp;sourceID=11","")</f>
        <v/>
      </c>
      <c r="J165" s="4" t="str">
        <f>HYPERLINK("http://141.218.60.56/~jnz1568/getInfo.php?workbook=10_01.xlsx&amp;sheet=A0&amp;row=165&amp;col=10&amp;number=0.65362&amp;sourceID=11","0.65362")</f>
        <v>0.65362</v>
      </c>
      <c r="K165" s="4" t="str">
        <f>HYPERLINK("http://141.218.60.56/~jnz1568/getInfo.php?workbook=10_01.xlsx&amp;sheet=A0&amp;row=165&amp;col=11&amp;number=&amp;sourceID=11","")</f>
        <v/>
      </c>
      <c r="L165" s="4" t="str">
        <f>HYPERLINK("http://141.218.60.56/~jnz1568/getInfo.php?workbook=10_01.xlsx&amp;sheet=A0&amp;row=165&amp;col=12&amp;number=0.1392&amp;sourceID=11","0.1392")</f>
        <v>0.1392</v>
      </c>
      <c r="M165" s="4" t="str">
        <f>HYPERLINK("http://141.218.60.56/~jnz1568/getInfo.php?workbook=10_01.xlsx&amp;sheet=A0&amp;row=165&amp;col=13&amp;number=&amp;sourceID=11","")</f>
        <v/>
      </c>
      <c r="N165" s="4" t="str">
        <f>HYPERLINK("http://141.218.60.56/~jnz1568/getInfo.php?workbook=10_01.xlsx&amp;sheet=A0&amp;row=165&amp;col=14&amp;number=0.79284&amp;sourceID=12","0.79284")</f>
        <v>0.79284</v>
      </c>
      <c r="O165" s="4" t="str">
        <f>HYPERLINK("http://141.218.60.56/~jnz1568/getInfo.php?workbook=10_01.xlsx&amp;sheet=A0&amp;row=165&amp;col=15&amp;number=&amp;sourceID=12","")</f>
        <v/>
      </c>
      <c r="P165" s="4" t="str">
        <f>HYPERLINK("http://141.218.60.56/~jnz1568/getInfo.php?workbook=10_01.xlsx&amp;sheet=A0&amp;row=165&amp;col=16&amp;number=&amp;sourceID=12","")</f>
        <v/>
      </c>
      <c r="Q165" s="4" t="str">
        <f>HYPERLINK("http://141.218.60.56/~jnz1568/getInfo.php?workbook=10_01.xlsx&amp;sheet=A0&amp;row=165&amp;col=17&amp;number=0.65363&amp;sourceID=12","0.65363")</f>
        <v>0.65363</v>
      </c>
      <c r="R165" s="4" t="str">
        <f>HYPERLINK("http://141.218.60.56/~jnz1568/getInfo.php?workbook=10_01.xlsx&amp;sheet=A0&amp;row=165&amp;col=18&amp;number=&amp;sourceID=12","")</f>
        <v/>
      </c>
      <c r="S165" s="4" t="str">
        <f>HYPERLINK("http://141.218.60.56/~jnz1568/getInfo.php?workbook=10_01.xlsx&amp;sheet=A0&amp;row=165&amp;col=19&amp;number=0.13921&amp;sourceID=12","0.13921")</f>
        <v>0.13921</v>
      </c>
      <c r="T165" s="4" t="str">
        <f>HYPERLINK("http://141.218.60.56/~jnz1568/getInfo.php?workbook=10_01.xlsx&amp;sheet=A0&amp;row=165&amp;col=20&amp;number=&amp;sourceID=12","")</f>
        <v/>
      </c>
      <c r="U165" s="4" t="str">
        <f>HYPERLINK("http://141.218.60.56/~jnz1568/getInfo.php?workbook=10_01.xlsx&amp;sheet=A0&amp;row=165&amp;col=21&amp;number=0.1392&amp;sourceID=30","0.1392")</f>
        <v>0.1392</v>
      </c>
      <c r="V165" s="4" t="str">
        <f>HYPERLINK("http://141.218.60.56/~jnz1568/getInfo.php?workbook=10_01.xlsx&amp;sheet=A0&amp;row=165&amp;col=22&amp;number=&amp;sourceID=30","")</f>
        <v/>
      </c>
      <c r="W165" s="4" t="str">
        <f>HYPERLINK("http://141.218.60.56/~jnz1568/getInfo.php?workbook=10_01.xlsx&amp;sheet=A0&amp;row=165&amp;col=23&amp;number=&amp;sourceID=30","")</f>
        <v/>
      </c>
      <c r="X165" s="4" t="str">
        <f>HYPERLINK("http://141.218.60.56/~jnz1568/getInfo.php?workbook=10_01.xlsx&amp;sheet=A0&amp;row=165&amp;col=24&amp;number=&amp;sourceID=30","")</f>
        <v/>
      </c>
      <c r="Y165" s="4" t="str">
        <f>HYPERLINK("http://141.218.60.56/~jnz1568/getInfo.php?workbook=10_01.xlsx&amp;sheet=A0&amp;row=165&amp;col=25&amp;number=0.1392&amp;sourceID=30","0.1392")</f>
        <v>0.1392</v>
      </c>
      <c r="Z165" s="4" t="str">
        <f>HYPERLINK("http://141.218.60.56/~jnz1568/getInfo.php?workbook=10_01.xlsx&amp;sheet=A0&amp;row=165&amp;col=26&amp;number=&amp;sourceID=13","")</f>
        <v/>
      </c>
      <c r="AA165" s="4" t="str">
        <f>HYPERLINK("http://141.218.60.56/~jnz1568/getInfo.php?workbook=10_01.xlsx&amp;sheet=A0&amp;row=165&amp;col=27&amp;number=&amp;sourceID=13","")</f>
        <v/>
      </c>
      <c r="AB165" s="4" t="str">
        <f>HYPERLINK("http://141.218.60.56/~jnz1568/getInfo.php?workbook=10_01.xlsx&amp;sheet=A0&amp;row=165&amp;col=28&amp;number=&amp;sourceID=13","")</f>
        <v/>
      </c>
      <c r="AC165" s="4" t="str">
        <f>HYPERLINK("http://141.218.60.56/~jnz1568/getInfo.php?workbook=10_01.xlsx&amp;sheet=A0&amp;row=165&amp;col=29&amp;number=&amp;sourceID=13","")</f>
        <v/>
      </c>
      <c r="AD165" s="4" t="str">
        <f>HYPERLINK("http://141.218.60.56/~jnz1568/getInfo.php?workbook=10_01.xlsx&amp;sheet=A0&amp;row=165&amp;col=30&amp;number=&amp;sourceID=13","")</f>
        <v/>
      </c>
      <c r="AE165" s="4" t="str">
        <f>HYPERLINK("http://141.218.60.56/~jnz1568/getInfo.php?workbook=10_01.xlsx&amp;sheet=A0&amp;row=165&amp;col=31&amp;number=&amp;sourceID=13","")</f>
        <v/>
      </c>
      <c r="AF165" s="4" t="str">
        <f>HYPERLINK("http://141.218.60.56/~jnz1568/getInfo.php?workbook=10_01.xlsx&amp;sheet=A0&amp;row=165&amp;col=32&amp;number=&amp;sourceID=20","")</f>
        <v/>
      </c>
    </row>
    <row r="166" spans="1:32">
      <c r="A166" s="3">
        <v>10</v>
      </c>
      <c r="B166" s="3">
        <v>1</v>
      </c>
      <c r="C166" s="3">
        <v>19</v>
      </c>
      <c r="D166" s="3">
        <v>17</v>
      </c>
      <c r="E166" s="3">
        <f>((1/(INDEX(E0!J$4:J$28,C166,1)-INDEX(E0!J$4:J$28,D166,1))))*100000000</f>
        <v>0</v>
      </c>
      <c r="F166" s="4" t="str">
        <f>HYPERLINK("http://141.218.60.56/~jnz1568/getInfo.php?workbook=10_01.xlsx&amp;sheet=A0&amp;row=166&amp;col=6&amp;number=&amp;sourceID=18","")</f>
        <v/>
      </c>
      <c r="G166" s="4" t="str">
        <f>HYPERLINK("http://141.218.60.56/~jnz1568/getInfo.php?workbook=10_01.xlsx&amp;sheet=A0&amp;row=166&amp;col=7&amp;number==&amp;sourceID=11","=")</f>
        <v>=</v>
      </c>
      <c r="H166" s="4" t="str">
        <f>HYPERLINK("http://141.218.60.56/~jnz1568/getInfo.php?workbook=10_01.xlsx&amp;sheet=A0&amp;row=166&amp;col=8&amp;number=102.82&amp;sourceID=11","102.82")</f>
        <v>102.82</v>
      </c>
      <c r="I166" s="4" t="str">
        <f>HYPERLINK("http://141.218.60.56/~jnz1568/getInfo.php?workbook=10_01.xlsx&amp;sheet=A0&amp;row=166&amp;col=9&amp;number=&amp;sourceID=11","")</f>
        <v/>
      </c>
      <c r="J166" s="4" t="str">
        <f>HYPERLINK("http://141.218.60.56/~jnz1568/getInfo.php?workbook=10_01.xlsx&amp;sheet=A0&amp;row=166&amp;col=10&amp;number=&amp;sourceID=11","")</f>
        <v/>
      </c>
      <c r="K166" s="4" t="str">
        <f>HYPERLINK("http://141.218.60.56/~jnz1568/getInfo.php?workbook=10_01.xlsx&amp;sheet=A0&amp;row=166&amp;col=11&amp;number=&amp;sourceID=11","")</f>
        <v/>
      </c>
      <c r="L166" s="4" t="str">
        <f>HYPERLINK("http://141.218.60.56/~jnz1568/getInfo.php?workbook=10_01.xlsx&amp;sheet=A0&amp;row=166&amp;col=12&amp;number=2e-15&amp;sourceID=11","2e-15")</f>
        <v>2e-15</v>
      </c>
      <c r="M166" s="4" t="str">
        <f>HYPERLINK("http://141.218.60.56/~jnz1568/getInfo.php?workbook=10_01.xlsx&amp;sheet=A0&amp;row=166&amp;col=13&amp;number=&amp;sourceID=11","")</f>
        <v/>
      </c>
      <c r="N166" s="4" t="str">
        <f>HYPERLINK("http://141.218.60.56/~jnz1568/getInfo.php?workbook=10_01.xlsx&amp;sheet=A0&amp;row=166&amp;col=14&amp;number=102.82&amp;sourceID=12","102.82")</f>
        <v>102.82</v>
      </c>
      <c r="O166" s="4" t="str">
        <f>HYPERLINK("http://141.218.60.56/~jnz1568/getInfo.php?workbook=10_01.xlsx&amp;sheet=A0&amp;row=166&amp;col=15&amp;number=102.82&amp;sourceID=12","102.82")</f>
        <v>102.82</v>
      </c>
      <c r="P166" s="4" t="str">
        <f>HYPERLINK("http://141.218.60.56/~jnz1568/getInfo.php?workbook=10_01.xlsx&amp;sheet=A0&amp;row=166&amp;col=16&amp;number=&amp;sourceID=12","")</f>
        <v/>
      </c>
      <c r="Q166" s="4" t="str">
        <f>HYPERLINK("http://141.218.60.56/~jnz1568/getInfo.php?workbook=10_01.xlsx&amp;sheet=A0&amp;row=166&amp;col=17&amp;number=&amp;sourceID=12","")</f>
        <v/>
      </c>
      <c r="R166" s="4" t="str">
        <f>HYPERLINK("http://141.218.60.56/~jnz1568/getInfo.php?workbook=10_01.xlsx&amp;sheet=A0&amp;row=166&amp;col=18&amp;number=&amp;sourceID=12","")</f>
        <v/>
      </c>
      <c r="S166" s="4" t="str">
        <f>HYPERLINK("http://141.218.60.56/~jnz1568/getInfo.php?workbook=10_01.xlsx&amp;sheet=A0&amp;row=166&amp;col=19&amp;number=2e-15&amp;sourceID=12","2e-15")</f>
        <v>2e-15</v>
      </c>
      <c r="T166" s="4" t="str">
        <f>HYPERLINK("http://141.218.60.56/~jnz1568/getInfo.php?workbook=10_01.xlsx&amp;sheet=A0&amp;row=166&amp;col=20&amp;number=&amp;sourceID=12","")</f>
        <v/>
      </c>
      <c r="U166" s="4" t="str">
        <f>HYPERLINK("http://141.218.60.56/~jnz1568/getInfo.php?workbook=10_01.xlsx&amp;sheet=A0&amp;row=166&amp;col=21&amp;number=102.8&amp;sourceID=30","102.8")</f>
        <v>102.8</v>
      </c>
      <c r="V166" s="4" t="str">
        <f>HYPERLINK("http://141.218.60.56/~jnz1568/getInfo.php?workbook=10_01.xlsx&amp;sheet=A0&amp;row=166&amp;col=22&amp;number=102.8&amp;sourceID=30","102.8")</f>
        <v>102.8</v>
      </c>
      <c r="W166" s="4" t="str">
        <f>HYPERLINK("http://141.218.60.56/~jnz1568/getInfo.php?workbook=10_01.xlsx&amp;sheet=A0&amp;row=166&amp;col=23&amp;number=&amp;sourceID=30","")</f>
        <v/>
      </c>
      <c r="X166" s="4" t="str">
        <f>HYPERLINK("http://141.218.60.56/~jnz1568/getInfo.php?workbook=10_01.xlsx&amp;sheet=A0&amp;row=166&amp;col=24&amp;number=&amp;sourceID=30","")</f>
        <v/>
      </c>
      <c r="Y166" s="4" t="str">
        <f>HYPERLINK("http://141.218.60.56/~jnz1568/getInfo.php?workbook=10_01.xlsx&amp;sheet=A0&amp;row=166&amp;col=25&amp;number=2e-15&amp;sourceID=30","2e-15")</f>
        <v>2e-15</v>
      </c>
      <c r="Z166" s="4" t="str">
        <f>HYPERLINK("http://141.218.60.56/~jnz1568/getInfo.php?workbook=10_01.xlsx&amp;sheet=A0&amp;row=166&amp;col=26&amp;number=&amp;sourceID=13","")</f>
        <v/>
      </c>
      <c r="AA166" s="4" t="str">
        <f>HYPERLINK("http://141.218.60.56/~jnz1568/getInfo.php?workbook=10_01.xlsx&amp;sheet=A0&amp;row=166&amp;col=27&amp;number=&amp;sourceID=13","")</f>
        <v/>
      </c>
      <c r="AB166" s="4" t="str">
        <f>HYPERLINK("http://141.218.60.56/~jnz1568/getInfo.php?workbook=10_01.xlsx&amp;sheet=A0&amp;row=166&amp;col=28&amp;number=&amp;sourceID=13","")</f>
        <v/>
      </c>
      <c r="AC166" s="4" t="str">
        <f>HYPERLINK("http://141.218.60.56/~jnz1568/getInfo.php?workbook=10_01.xlsx&amp;sheet=A0&amp;row=166&amp;col=29&amp;number=&amp;sourceID=13","")</f>
        <v/>
      </c>
      <c r="AD166" s="4" t="str">
        <f>HYPERLINK("http://141.218.60.56/~jnz1568/getInfo.php?workbook=10_01.xlsx&amp;sheet=A0&amp;row=166&amp;col=30&amp;number=&amp;sourceID=13","")</f>
        <v/>
      </c>
      <c r="AE166" s="4" t="str">
        <f>HYPERLINK("http://141.218.60.56/~jnz1568/getInfo.php?workbook=10_01.xlsx&amp;sheet=A0&amp;row=166&amp;col=31&amp;number=&amp;sourceID=13","")</f>
        <v/>
      </c>
      <c r="AF166" s="4" t="str">
        <f>HYPERLINK("http://141.218.60.56/~jnz1568/getInfo.php?workbook=10_01.xlsx&amp;sheet=A0&amp;row=166&amp;col=32&amp;number=&amp;sourceID=20","")</f>
        <v/>
      </c>
    </row>
    <row r="167" spans="1:32">
      <c r="A167" s="3">
        <v>10</v>
      </c>
      <c r="B167" s="3">
        <v>1</v>
      </c>
      <c r="C167" s="3">
        <v>19</v>
      </c>
      <c r="D167" s="3">
        <v>18</v>
      </c>
      <c r="E167" s="3">
        <f>((1/(INDEX(E0!J$4:J$28,C167,1)-INDEX(E0!J$4:J$28,D167,1))))*100000000</f>
        <v>0</v>
      </c>
      <c r="F167" s="4" t="str">
        <f>HYPERLINK("http://141.218.60.56/~jnz1568/getInfo.php?workbook=10_01.xlsx&amp;sheet=A0&amp;row=167&amp;col=6&amp;number=&amp;sourceID=18","")</f>
        <v/>
      </c>
      <c r="G167" s="4" t="str">
        <f>HYPERLINK("http://141.218.60.56/~jnz1568/getInfo.php?workbook=10_01.xlsx&amp;sheet=A0&amp;row=167&amp;col=7&amp;number==&amp;sourceID=11","=")</f>
        <v>=</v>
      </c>
      <c r="H167" s="4" t="str">
        <f>HYPERLINK("http://141.218.60.56/~jnz1568/getInfo.php?workbook=10_01.xlsx&amp;sheet=A0&amp;row=167&amp;col=8&amp;number=&amp;sourceID=11","")</f>
        <v/>
      </c>
      <c r="I167" s="4" t="str">
        <f>HYPERLINK("http://141.218.60.56/~jnz1568/getInfo.php?workbook=10_01.xlsx&amp;sheet=A0&amp;row=167&amp;col=9&amp;number=3.1211e-09&amp;sourceID=11","3.1211e-09")</f>
        <v>3.1211e-09</v>
      </c>
      <c r="J167" s="4" t="str">
        <f>HYPERLINK("http://141.218.60.56/~jnz1568/getInfo.php?workbook=10_01.xlsx&amp;sheet=A0&amp;row=167&amp;col=10&amp;number=&amp;sourceID=11","")</f>
        <v/>
      </c>
      <c r="K167" s="4" t="str">
        <f>HYPERLINK("http://141.218.60.56/~jnz1568/getInfo.php?workbook=10_01.xlsx&amp;sheet=A0&amp;row=167&amp;col=11&amp;number=9.5e-14&amp;sourceID=11","9.5e-14")</f>
        <v>9.5e-14</v>
      </c>
      <c r="L167" s="4" t="str">
        <f>HYPERLINK("http://141.218.60.56/~jnz1568/getInfo.php?workbook=10_01.xlsx&amp;sheet=A0&amp;row=167&amp;col=12&amp;number=&amp;sourceID=11","")</f>
        <v/>
      </c>
      <c r="M167" s="4" t="str">
        <f>HYPERLINK("http://141.218.60.56/~jnz1568/getInfo.php?workbook=10_01.xlsx&amp;sheet=A0&amp;row=167&amp;col=13&amp;number=&amp;sourceID=11","")</f>
        <v/>
      </c>
      <c r="N167" s="4" t="str">
        <f>HYPERLINK("http://141.218.60.56/~jnz1568/getInfo.php?workbook=10_01.xlsx&amp;sheet=A0&amp;row=167&amp;col=14&amp;number=3.1216e-09&amp;sourceID=12","3.1216e-09")</f>
        <v>3.1216e-09</v>
      </c>
      <c r="O167" s="4" t="str">
        <f>HYPERLINK("http://141.218.60.56/~jnz1568/getInfo.php?workbook=10_01.xlsx&amp;sheet=A0&amp;row=167&amp;col=15&amp;number=&amp;sourceID=12","")</f>
        <v/>
      </c>
      <c r="P167" s="4" t="str">
        <f>HYPERLINK("http://141.218.60.56/~jnz1568/getInfo.php?workbook=10_01.xlsx&amp;sheet=A0&amp;row=167&amp;col=16&amp;number=3.1215e-09&amp;sourceID=12","3.1215e-09")</f>
        <v>3.1215e-09</v>
      </c>
      <c r="Q167" s="4" t="str">
        <f>HYPERLINK("http://141.218.60.56/~jnz1568/getInfo.php?workbook=10_01.xlsx&amp;sheet=A0&amp;row=167&amp;col=17&amp;number=&amp;sourceID=12","")</f>
        <v/>
      </c>
      <c r="R167" s="4" t="str">
        <f>HYPERLINK("http://141.218.60.56/~jnz1568/getInfo.php?workbook=10_01.xlsx&amp;sheet=A0&amp;row=167&amp;col=18&amp;number=9.5e-14&amp;sourceID=12","9.5e-14")</f>
        <v>9.5e-14</v>
      </c>
      <c r="S167" s="4" t="str">
        <f>HYPERLINK("http://141.218.60.56/~jnz1568/getInfo.php?workbook=10_01.xlsx&amp;sheet=A0&amp;row=167&amp;col=19&amp;number=&amp;sourceID=12","")</f>
        <v/>
      </c>
      <c r="T167" s="4" t="str">
        <f>HYPERLINK("http://141.218.60.56/~jnz1568/getInfo.php?workbook=10_01.xlsx&amp;sheet=A0&amp;row=167&amp;col=20&amp;number=&amp;sourceID=12","")</f>
        <v/>
      </c>
      <c r="U167" s="4" t="str">
        <f>HYPERLINK("http://141.218.60.56/~jnz1568/getInfo.php?workbook=10_01.xlsx&amp;sheet=A0&amp;row=167&amp;col=21&amp;number=3.121096e-09&amp;sourceID=30","3.121096e-09")</f>
        <v>3.121096e-09</v>
      </c>
      <c r="V167" s="4" t="str">
        <f>HYPERLINK("http://141.218.60.56/~jnz1568/getInfo.php?workbook=10_01.xlsx&amp;sheet=A0&amp;row=167&amp;col=22&amp;number=&amp;sourceID=30","")</f>
        <v/>
      </c>
      <c r="W167" s="4" t="str">
        <f>HYPERLINK("http://141.218.60.56/~jnz1568/getInfo.php?workbook=10_01.xlsx&amp;sheet=A0&amp;row=167&amp;col=23&amp;number=3.121e-09&amp;sourceID=30","3.121e-09")</f>
        <v>3.121e-09</v>
      </c>
      <c r="X167" s="4" t="str">
        <f>HYPERLINK("http://141.218.60.56/~jnz1568/getInfo.php?workbook=10_01.xlsx&amp;sheet=A0&amp;row=167&amp;col=24&amp;number=9.6e-14&amp;sourceID=30","9.6e-14")</f>
        <v>9.6e-14</v>
      </c>
      <c r="Y167" s="4" t="str">
        <f>HYPERLINK("http://141.218.60.56/~jnz1568/getInfo.php?workbook=10_01.xlsx&amp;sheet=A0&amp;row=167&amp;col=25&amp;number=&amp;sourceID=30","")</f>
        <v/>
      </c>
      <c r="Z167" s="4" t="str">
        <f>HYPERLINK("http://141.218.60.56/~jnz1568/getInfo.php?workbook=10_01.xlsx&amp;sheet=A0&amp;row=167&amp;col=26&amp;number=&amp;sourceID=13","")</f>
        <v/>
      </c>
      <c r="AA167" s="4" t="str">
        <f>HYPERLINK("http://141.218.60.56/~jnz1568/getInfo.php?workbook=10_01.xlsx&amp;sheet=A0&amp;row=167&amp;col=27&amp;number=&amp;sourceID=13","")</f>
        <v/>
      </c>
      <c r="AB167" s="4" t="str">
        <f>HYPERLINK("http://141.218.60.56/~jnz1568/getInfo.php?workbook=10_01.xlsx&amp;sheet=A0&amp;row=167&amp;col=28&amp;number=&amp;sourceID=13","")</f>
        <v/>
      </c>
      <c r="AC167" s="4" t="str">
        <f>HYPERLINK("http://141.218.60.56/~jnz1568/getInfo.php?workbook=10_01.xlsx&amp;sheet=A0&amp;row=167&amp;col=29&amp;number=&amp;sourceID=13","")</f>
        <v/>
      </c>
      <c r="AD167" s="4" t="str">
        <f>HYPERLINK("http://141.218.60.56/~jnz1568/getInfo.php?workbook=10_01.xlsx&amp;sheet=A0&amp;row=167&amp;col=30&amp;number=&amp;sourceID=13","")</f>
        <v/>
      </c>
      <c r="AE167" s="4" t="str">
        <f>HYPERLINK("http://141.218.60.56/~jnz1568/getInfo.php?workbook=10_01.xlsx&amp;sheet=A0&amp;row=167&amp;col=31&amp;number=&amp;sourceID=13","")</f>
        <v/>
      </c>
      <c r="AF167" s="4" t="str">
        <f>HYPERLINK("http://141.218.60.56/~jnz1568/getInfo.php?workbook=10_01.xlsx&amp;sheet=A0&amp;row=167&amp;col=32&amp;number=&amp;sourceID=20","")</f>
        <v/>
      </c>
    </row>
    <row r="168" spans="1:32">
      <c r="A168" s="3">
        <v>10</v>
      </c>
      <c r="B168" s="3">
        <v>1</v>
      </c>
      <c r="C168" s="3">
        <v>20</v>
      </c>
      <c r="D168" s="3">
        <v>1</v>
      </c>
      <c r="E168" s="3">
        <f>((1/(INDEX(E0!J$4:J$28,C168,1)-INDEX(E0!J$4:J$28,D168,1))))*100000000</f>
        <v>0</v>
      </c>
      <c r="F168" s="4" t="str">
        <f>HYPERLINK("http://141.218.60.56/~jnz1568/getInfo.php?workbook=10_01.xlsx&amp;sheet=A0&amp;row=168&amp;col=6&amp;number=&amp;sourceID=18","")</f>
        <v/>
      </c>
      <c r="G168" s="4" t="str">
        <f>HYPERLINK("http://141.218.60.56/~jnz1568/getInfo.php?workbook=10_01.xlsx&amp;sheet=A0&amp;row=168&amp;col=7&amp;number==&amp;sourceID=11","=")</f>
        <v>=</v>
      </c>
      <c r="H168" s="4" t="str">
        <f>HYPERLINK("http://141.218.60.56/~jnz1568/getInfo.php?workbook=10_01.xlsx&amp;sheet=A0&amp;row=168&amp;col=8&amp;number=343760000000&amp;sourceID=11","343760000000")</f>
        <v>343760000000</v>
      </c>
      <c r="I168" s="4" t="str">
        <f>HYPERLINK("http://141.218.60.56/~jnz1568/getInfo.php?workbook=10_01.xlsx&amp;sheet=A0&amp;row=168&amp;col=9&amp;number=&amp;sourceID=11","")</f>
        <v/>
      </c>
      <c r="J168" s="4" t="str">
        <f>HYPERLINK("http://141.218.60.56/~jnz1568/getInfo.php?workbook=10_01.xlsx&amp;sheet=A0&amp;row=168&amp;col=10&amp;number=&amp;sourceID=11","")</f>
        <v/>
      </c>
      <c r="K168" s="4" t="str">
        <f>HYPERLINK("http://141.218.60.56/~jnz1568/getInfo.php?workbook=10_01.xlsx&amp;sheet=A0&amp;row=168&amp;col=11&amp;number=&amp;sourceID=11","")</f>
        <v/>
      </c>
      <c r="L168" s="4" t="str">
        <f>HYPERLINK("http://141.218.60.56/~jnz1568/getInfo.php?workbook=10_01.xlsx&amp;sheet=A0&amp;row=168&amp;col=12&amp;number=421570&amp;sourceID=11","421570")</f>
        <v>421570</v>
      </c>
      <c r="M168" s="4" t="str">
        <f>HYPERLINK("http://141.218.60.56/~jnz1568/getInfo.php?workbook=10_01.xlsx&amp;sheet=A0&amp;row=168&amp;col=13&amp;number=&amp;sourceID=11","")</f>
        <v/>
      </c>
      <c r="N168" s="4" t="str">
        <f>HYPERLINK("http://141.218.60.56/~jnz1568/getInfo.php?workbook=10_01.xlsx&amp;sheet=A0&amp;row=168&amp;col=14&amp;number=343770000000&amp;sourceID=12","343770000000")</f>
        <v>343770000000</v>
      </c>
      <c r="O168" s="4" t="str">
        <f>HYPERLINK("http://141.218.60.56/~jnz1568/getInfo.php?workbook=10_01.xlsx&amp;sheet=A0&amp;row=168&amp;col=15&amp;number=343770000000&amp;sourceID=12","343770000000")</f>
        <v>343770000000</v>
      </c>
      <c r="P168" s="4" t="str">
        <f>HYPERLINK("http://141.218.60.56/~jnz1568/getInfo.php?workbook=10_01.xlsx&amp;sheet=A0&amp;row=168&amp;col=16&amp;number=&amp;sourceID=12","")</f>
        <v/>
      </c>
      <c r="Q168" s="4" t="str">
        <f>HYPERLINK("http://141.218.60.56/~jnz1568/getInfo.php?workbook=10_01.xlsx&amp;sheet=A0&amp;row=168&amp;col=17&amp;number=&amp;sourceID=12","")</f>
        <v/>
      </c>
      <c r="R168" s="4" t="str">
        <f>HYPERLINK("http://141.218.60.56/~jnz1568/getInfo.php?workbook=10_01.xlsx&amp;sheet=A0&amp;row=168&amp;col=18&amp;number=&amp;sourceID=12","")</f>
        <v/>
      </c>
      <c r="S168" s="4" t="str">
        <f>HYPERLINK("http://141.218.60.56/~jnz1568/getInfo.php?workbook=10_01.xlsx&amp;sheet=A0&amp;row=168&amp;col=19&amp;number=421580&amp;sourceID=12","421580")</f>
        <v>421580</v>
      </c>
      <c r="T168" s="4" t="str">
        <f>HYPERLINK("http://141.218.60.56/~jnz1568/getInfo.php?workbook=10_01.xlsx&amp;sheet=A0&amp;row=168&amp;col=20&amp;number=&amp;sourceID=12","")</f>
        <v/>
      </c>
      <c r="U168" s="4" t="str">
        <f>HYPERLINK("http://141.218.60.56/~jnz1568/getInfo.php?workbook=10_01.xlsx&amp;sheet=A0&amp;row=168&amp;col=21&amp;number=343800421600&amp;sourceID=30","343800421600")</f>
        <v>343800421600</v>
      </c>
      <c r="V168" s="4" t="str">
        <f>HYPERLINK("http://141.218.60.56/~jnz1568/getInfo.php?workbook=10_01.xlsx&amp;sheet=A0&amp;row=168&amp;col=22&amp;number=343800000000&amp;sourceID=30","343800000000")</f>
        <v>343800000000</v>
      </c>
      <c r="W168" s="4" t="str">
        <f>HYPERLINK("http://141.218.60.56/~jnz1568/getInfo.php?workbook=10_01.xlsx&amp;sheet=A0&amp;row=168&amp;col=23&amp;number=&amp;sourceID=30","")</f>
        <v/>
      </c>
      <c r="X168" s="4" t="str">
        <f>HYPERLINK("http://141.218.60.56/~jnz1568/getInfo.php?workbook=10_01.xlsx&amp;sheet=A0&amp;row=168&amp;col=24&amp;number=&amp;sourceID=30","")</f>
        <v/>
      </c>
      <c r="Y168" s="4" t="str">
        <f>HYPERLINK("http://141.218.60.56/~jnz1568/getInfo.php?workbook=10_01.xlsx&amp;sheet=A0&amp;row=168&amp;col=25&amp;number=421600&amp;sourceID=30","421600")</f>
        <v>421600</v>
      </c>
      <c r="Z168" s="4" t="str">
        <f>HYPERLINK("http://141.218.60.56/~jnz1568/getInfo.php?workbook=10_01.xlsx&amp;sheet=A0&amp;row=168&amp;col=26&amp;number=&amp;sourceID=13","")</f>
        <v/>
      </c>
      <c r="AA168" s="4" t="str">
        <f>HYPERLINK("http://141.218.60.56/~jnz1568/getInfo.php?workbook=10_01.xlsx&amp;sheet=A0&amp;row=168&amp;col=27&amp;number=&amp;sourceID=13","")</f>
        <v/>
      </c>
      <c r="AB168" s="4" t="str">
        <f>HYPERLINK("http://141.218.60.56/~jnz1568/getInfo.php?workbook=10_01.xlsx&amp;sheet=A0&amp;row=168&amp;col=28&amp;number=&amp;sourceID=13","")</f>
        <v/>
      </c>
      <c r="AC168" s="4" t="str">
        <f>HYPERLINK("http://141.218.60.56/~jnz1568/getInfo.php?workbook=10_01.xlsx&amp;sheet=A0&amp;row=168&amp;col=29&amp;number=&amp;sourceID=13","")</f>
        <v/>
      </c>
      <c r="AD168" s="4" t="str">
        <f>HYPERLINK("http://141.218.60.56/~jnz1568/getInfo.php?workbook=10_01.xlsx&amp;sheet=A0&amp;row=168&amp;col=30&amp;number=&amp;sourceID=13","")</f>
        <v/>
      </c>
      <c r="AE168" s="4" t="str">
        <f>HYPERLINK("http://141.218.60.56/~jnz1568/getInfo.php?workbook=10_01.xlsx&amp;sheet=A0&amp;row=168&amp;col=31&amp;number=&amp;sourceID=13","")</f>
        <v/>
      </c>
      <c r="AF168" s="4" t="str">
        <f>HYPERLINK("http://141.218.60.56/~jnz1568/getInfo.php?workbook=10_01.xlsx&amp;sheet=A0&amp;row=168&amp;col=32&amp;number=&amp;sourceID=20","")</f>
        <v/>
      </c>
    </row>
    <row r="169" spans="1:32">
      <c r="A169" s="3">
        <v>10</v>
      </c>
      <c r="B169" s="3">
        <v>1</v>
      </c>
      <c r="C169" s="3">
        <v>20</v>
      </c>
      <c r="D169" s="3">
        <v>2</v>
      </c>
      <c r="E169" s="3">
        <f>((1/(INDEX(E0!J$4:J$28,C169,1)-INDEX(E0!J$4:J$28,D169,1))))*100000000</f>
        <v>0</v>
      </c>
      <c r="F169" s="4" t="str">
        <f>HYPERLINK("http://141.218.60.56/~jnz1568/getInfo.php?workbook=10_01.xlsx&amp;sheet=A0&amp;row=169&amp;col=6&amp;number=&amp;sourceID=18","")</f>
        <v/>
      </c>
      <c r="G169" s="4" t="str">
        <f>HYPERLINK("http://141.218.60.56/~jnz1568/getInfo.php?workbook=10_01.xlsx&amp;sheet=A0&amp;row=169&amp;col=7&amp;number==&amp;sourceID=11","=")</f>
        <v>=</v>
      </c>
      <c r="H169" s="4" t="str">
        <f>HYPERLINK("http://141.218.60.56/~jnz1568/getInfo.php?workbook=10_01.xlsx&amp;sheet=A0&amp;row=169&amp;col=8&amp;number=&amp;sourceID=11","")</f>
        <v/>
      </c>
      <c r="I169" s="4" t="str">
        <f>HYPERLINK("http://141.218.60.56/~jnz1568/getInfo.php?workbook=10_01.xlsx&amp;sheet=A0&amp;row=169&amp;col=9&amp;number=2646300&amp;sourceID=11","2646300")</f>
        <v>2646300</v>
      </c>
      <c r="J169" s="4" t="str">
        <f>HYPERLINK("http://141.218.60.56/~jnz1568/getInfo.php?workbook=10_01.xlsx&amp;sheet=A0&amp;row=169&amp;col=10&amp;number=&amp;sourceID=11","")</f>
        <v/>
      </c>
      <c r="K169" s="4" t="str">
        <f>HYPERLINK("http://141.218.60.56/~jnz1568/getInfo.php?workbook=10_01.xlsx&amp;sheet=A0&amp;row=169&amp;col=11&amp;number=9.6503&amp;sourceID=11","9.6503")</f>
        <v>9.6503</v>
      </c>
      <c r="L169" s="4" t="str">
        <f>HYPERLINK("http://141.218.60.56/~jnz1568/getInfo.php?workbook=10_01.xlsx&amp;sheet=A0&amp;row=169&amp;col=12&amp;number=&amp;sourceID=11","")</f>
        <v/>
      </c>
      <c r="M169" s="4" t="str">
        <f>HYPERLINK("http://141.218.60.56/~jnz1568/getInfo.php?workbook=10_01.xlsx&amp;sheet=A0&amp;row=169&amp;col=13&amp;number=&amp;sourceID=11","")</f>
        <v/>
      </c>
      <c r="N169" s="4" t="str">
        <f>HYPERLINK("http://141.218.60.56/~jnz1568/getInfo.php?workbook=10_01.xlsx&amp;sheet=A0&amp;row=169&amp;col=14&amp;number=2646300&amp;sourceID=12","2646300")</f>
        <v>2646300</v>
      </c>
      <c r="O169" s="4" t="str">
        <f>HYPERLINK("http://141.218.60.56/~jnz1568/getInfo.php?workbook=10_01.xlsx&amp;sheet=A0&amp;row=169&amp;col=15&amp;number=&amp;sourceID=12","")</f>
        <v/>
      </c>
      <c r="P169" s="4" t="str">
        <f>HYPERLINK("http://141.218.60.56/~jnz1568/getInfo.php?workbook=10_01.xlsx&amp;sheet=A0&amp;row=169&amp;col=16&amp;number=2646300&amp;sourceID=12","2646300")</f>
        <v>2646300</v>
      </c>
      <c r="Q169" s="4" t="str">
        <f>HYPERLINK("http://141.218.60.56/~jnz1568/getInfo.php?workbook=10_01.xlsx&amp;sheet=A0&amp;row=169&amp;col=17&amp;number=&amp;sourceID=12","")</f>
        <v/>
      </c>
      <c r="R169" s="4" t="str">
        <f>HYPERLINK("http://141.218.60.56/~jnz1568/getInfo.php?workbook=10_01.xlsx&amp;sheet=A0&amp;row=169&amp;col=18&amp;number=9.6508&amp;sourceID=12","9.6508")</f>
        <v>9.6508</v>
      </c>
      <c r="S169" s="4" t="str">
        <f>HYPERLINK("http://141.218.60.56/~jnz1568/getInfo.php?workbook=10_01.xlsx&amp;sheet=A0&amp;row=169&amp;col=19&amp;number=&amp;sourceID=12","")</f>
        <v/>
      </c>
      <c r="T169" s="4" t="str">
        <f>HYPERLINK("http://141.218.60.56/~jnz1568/getInfo.php?workbook=10_01.xlsx&amp;sheet=A0&amp;row=169&amp;col=20&amp;number=&amp;sourceID=12","")</f>
        <v/>
      </c>
      <c r="U169" s="4" t="str">
        <f>HYPERLINK("http://141.218.60.56/~jnz1568/getInfo.php?workbook=10_01.xlsx&amp;sheet=A0&amp;row=169&amp;col=21&amp;number=2646009.651&amp;sourceID=30","2646009.651")</f>
        <v>2646009.651</v>
      </c>
      <c r="V169" s="4" t="str">
        <f>HYPERLINK("http://141.218.60.56/~jnz1568/getInfo.php?workbook=10_01.xlsx&amp;sheet=A0&amp;row=169&amp;col=22&amp;number=&amp;sourceID=30","")</f>
        <v/>
      </c>
      <c r="W169" s="4" t="str">
        <f>HYPERLINK("http://141.218.60.56/~jnz1568/getInfo.php?workbook=10_01.xlsx&amp;sheet=A0&amp;row=169&amp;col=23&amp;number=2646000&amp;sourceID=30","2646000")</f>
        <v>2646000</v>
      </c>
      <c r="X169" s="4" t="str">
        <f>HYPERLINK("http://141.218.60.56/~jnz1568/getInfo.php?workbook=10_01.xlsx&amp;sheet=A0&amp;row=169&amp;col=24&amp;number=9.651&amp;sourceID=30","9.651")</f>
        <v>9.651</v>
      </c>
      <c r="Y169" s="4" t="str">
        <f>HYPERLINK("http://141.218.60.56/~jnz1568/getInfo.php?workbook=10_01.xlsx&amp;sheet=A0&amp;row=169&amp;col=25&amp;number=&amp;sourceID=30","")</f>
        <v/>
      </c>
      <c r="Z169" s="4" t="str">
        <f>HYPERLINK("http://141.218.60.56/~jnz1568/getInfo.php?workbook=10_01.xlsx&amp;sheet=A0&amp;row=169&amp;col=26&amp;number=&amp;sourceID=13","")</f>
        <v/>
      </c>
      <c r="AA169" s="4" t="str">
        <f>HYPERLINK("http://141.218.60.56/~jnz1568/getInfo.php?workbook=10_01.xlsx&amp;sheet=A0&amp;row=169&amp;col=27&amp;number=&amp;sourceID=13","")</f>
        <v/>
      </c>
      <c r="AB169" s="4" t="str">
        <f>HYPERLINK("http://141.218.60.56/~jnz1568/getInfo.php?workbook=10_01.xlsx&amp;sheet=A0&amp;row=169&amp;col=28&amp;number=&amp;sourceID=13","")</f>
        <v/>
      </c>
      <c r="AC169" s="4" t="str">
        <f>HYPERLINK("http://141.218.60.56/~jnz1568/getInfo.php?workbook=10_01.xlsx&amp;sheet=A0&amp;row=169&amp;col=29&amp;number=&amp;sourceID=13","")</f>
        <v/>
      </c>
      <c r="AD169" s="4" t="str">
        <f>HYPERLINK("http://141.218.60.56/~jnz1568/getInfo.php?workbook=10_01.xlsx&amp;sheet=A0&amp;row=169&amp;col=30&amp;number=&amp;sourceID=13","")</f>
        <v/>
      </c>
      <c r="AE169" s="4" t="str">
        <f>HYPERLINK("http://141.218.60.56/~jnz1568/getInfo.php?workbook=10_01.xlsx&amp;sheet=A0&amp;row=169&amp;col=31&amp;number=&amp;sourceID=13","")</f>
        <v/>
      </c>
      <c r="AF169" s="4" t="str">
        <f>HYPERLINK("http://141.218.60.56/~jnz1568/getInfo.php?workbook=10_01.xlsx&amp;sheet=A0&amp;row=169&amp;col=32&amp;number=&amp;sourceID=20","")</f>
        <v/>
      </c>
    </row>
    <row r="170" spans="1:32">
      <c r="A170" s="3">
        <v>10</v>
      </c>
      <c r="B170" s="3">
        <v>1</v>
      </c>
      <c r="C170" s="3">
        <v>20</v>
      </c>
      <c r="D170" s="3">
        <v>3</v>
      </c>
      <c r="E170" s="3">
        <f>((1/(INDEX(E0!J$4:J$28,C170,1)-INDEX(E0!J$4:J$28,D170,1))))*100000000</f>
        <v>0</v>
      </c>
      <c r="F170" s="4" t="str">
        <f>HYPERLINK("http://141.218.60.56/~jnz1568/getInfo.php?workbook=10_01.xlsx&amp;sheet=A0&amp;row=170&amp;col=6&amp;number=&amp;sourceID=18","")</f>
        <v/>
      </c>
      <c r="G170" s="4" t="str">
        <f>HYPERLINK("http://141.218.60.56/~jnz1568/getInfo.php?workbook=10_01.xlsx&amp;sheet=A0&amp;row=170&amp;col=7&amp;number==&amp;sourceID=11","=")</f>
        <v>=</v>
      </c>
      <c r="H170" s="4" t="str">
        <f>HYPERLINK("http://141.218.60.56/~jnz1568/getInfo.php?workbook=10_01.xlsx&amp;sheet=A0&amp;row=170&amp;col=8&amp;number=49517000000&amp;sourceID=11","49517000000")</f>
        <v>49517000000</v>
      </c>
      <c r="I170" s="4" t="str">
        <f>HYPERLINK("http://141.218.60.56/~jnz1568/getInfo.php?workbook=10_01.xlsx&amp;sheet=A0&amp;row=170&amp;col=9&amp;number=&amp;sourceID=11","")</f>
        <v/>
      </c>
      <c r="J170" s="4" t="str">
        <f>HYPERLINK("http://141.218.60.56/~jnz1568/getInfo.php?workbook=10_01.xlsx&amp;sheet=A0&amp;row=170&amp;col=10&amp;number=&amp;sourceID=11","")</f>
        <v/>
      </c>
      <c r="K170" s="4" t="str">
        <f>HYPERLINK("http://141.218.60.56/~jnz1568/getInfo.php?workbook=10_01.xlsx&amp;sheet=A0&amp;row=170&amp;col=11&amp;number=&amp;sourceID=11","")</f>
        <v/>
      </c>
      <c r="L170" s="4" t="str">
        <f>HYPERLINK("http://141.218.60.56/~jnz1568/getInfo.php?workbook=10_01.xlsx&amp;sheet=A0&amp;row=170&amp;col=12&amp;number=2913&amp;sourceID=11","2913")</f>
        <v>2913</v>
      </c>
      <c r="M170" s="4" t="str">
        <f>HYPERLINK("http://141.218.60.56/~jnz1568/getInfo.php?workbook=10_01.xlsx&amp;sheet=A0&amp;row=170&amp;col=13&amp;number=&amp;sourceID=11","")</f>
        <v/>
      </c>
      <c r="N170" s="4" t="str">
        <f>HYPERLINK("http://141.218.60.56/~jnz1568/getInfo.php?workbook=10_01.xlsx&amp;sheet=A0&amp;row=170&amp;col=14&amp;number=49519000000&amp;sourceID=12","49519000000")</f>
        <v>49519000000</v>
      </c>
      <c r="O170" s="4" t="str">
        <f>HYPERLINK("http://141.218.60.56/~jnz1568/getInfo.php?workbook=10_01.xlsx&amp;sheet=A0&amp;row=170&amp;col=15&amp;number=49519000000&amp;sourceID=12","49519000000")</f>
        <v>49519000000</v>
      </c>
      <c r="P170" s="4" t="str">
        <f>HYPERLINK("http://141.218.60.56/~jnz1568/getInfo.php?workbook=10_01.xlsx&amp;sheet=A0&amp;row=170&amp;col=16&amp;number=&amp;sourceID=12","")</f>
        <v/>
      </c>
      <c r="Q170" s="4" t="str">
        <f>HYPERLINK("http://141.218.60.56/~jnz1568/getInfo.php?workbook=10_01.xlsx&amp;sheet=A0&amp;row=170&amp;col=17&amp;number=&amp;sourceID=12","")</f>
        <v/>
      </c>
      <c r="R170" s="4" t="str">
        <f>HYPERLINK("http://141.218.60.56/~jnz1568/getInfo.php?workbook=10_01.xlsx&amp;sheet=A0&amp;row=170&amp;col=18&amp;number=&amp;sourceID=12","")</f>
        <v/>
      </c>
      <c r="S170" s="4" t="str">
        <f>HYPERLINK("http://141.218.60.56/~jnz1568/getInfo.php?workbook=10_01.xlsx&amp;sheet=A0&amp;row=170&amp;col=19&amp;number=2913.1&amp;sourceID=12","2913.1")</f>
        <v>2913.1</v>
      </c>
      <c r="T170" s="4" t="str">
        <f>HYPERLINK("http://141.218.60.56/~jnz1568/getInfo.php?workbook=10_01.xlsx&amp;sheet=A0&amp;row=170&amp;col=20&amp;number=&amp;sourceID=12","")</f>
        <v/>
      </c>
      <c r="U170" s="4" t="str">
        <f>HYPERLINK("http://141.218.60.56/~jnz1568/getInfo.php?workbook=10_01.xlsx&amp;sheet=A0&amp;row=170&amp;col=21&amp;number=49520002913&amp;sourceID=30","49520002913")</f>
        <v>49520002913</v>
      </c>
      <c r="V170" s="4" t="str">
        <f>HYPERLINK("http://141.218.60.56/~jnz1568/getInfo.php?workbook=10_01.xlsx&amp;sheet=A0&amp;row=170&amp;col=22&amp;number=49520000000&amp;sourceID=30","49520000000")</f>
        <v>49520000000</v>
      </c>
      <c r="W170" s="4" t="str">
        <f>HYPERLINK("http://141.218.60.56/~jnz1568/getInfo.php?workbook=10_01.xlsx&amp;sheet=A0&amp;row=170&amp;col=23&amp;number=&amp;sourceID=30","")</f>
        <v/>
      </c>
      <c r="X170" s="4" t="str">
        <f>HYPERLINK("http://141.218.60.56/~jnz1568/getInfo.php?workbook=10_01.xlsx&amp;sheet=A0&amp;row=170&amp;col=24&amp;number=&amp;sourceID=30","")</f>
        <v/>
      </c>
      <c r="Y170" s="4" t="str">
        <f>HYPERLINK("http://141.218.60.56/~jnz1568/getInfo.php?workbook=10_01.xlsx&amp;sheet=A0&amp;row=170&amp;col=25&amp;number=2913&amp;sourceID=30","2913")</f>
        <v>2913</v>
      </c>
      <c r="Z170" s="4" t="str">
        <f>HYPERLINK("http://141.218.60.56/~jnz1568/getInfo.php?workbook=10_01.xlsx&amp;sheet=A0&amp;row=170&amp;col=26&amp;number=&amp;sourceID=13","")</f>
        <v/>
      </c>
      <c r="AA170" s="4" t="str">
        <f>HYPERLINK("http://141.218.60.56/~jnz1568/getInfo.php?workbook=10_01.xlsx&amp;sheet=A0&amp;row=170&amp;col=27&amp;number=&amp;sourceID=13","")</f>
        <v/>
      </c>
      <c r="AB170" s="4" t="str">
        <f>HYPERLINK("http://141.218.60.56/~jnz1568/getInfo.php?workbook=10_01.xlsx&amp;sheet=A0&amp;row=170&amp;col=28&amp;number=&amp;sourceID=13","")</f>
        <v/>
      </c>
      <c r="AC170" s="4" t="str">
        <f>HYPERLINK("http://141.218.60.56/~jnz1568/getInfo.php?workbook=10_01.xlsx&amp;sheet=A0&amp;row=170&amp;col=29&amp;number=&amp;sourceID=13","")</f>
        <v/>
      </c>
      <c r="AD170" s="4" t="str">
        <f>HYPERLINK("http://141.218.60.56/~jnz1568/getInfo.php?workbook=10_01.xlsx&amp;sheet=A0&amp;row=170&amp;col=30&amp;number=&amp;sourceID=13","")</f>
        <v/>
      </c>
      <c r="AE170" s="4" t="str">
        <f>HYPERLINK("http://141.218.60.56/~jnz1568/getInfo.php?workbook=10_01.xlsx&amp;sheet=A0&amp;row=170&amp;col=31&amp;number=&amp;sourceID=13","")</f>
        <v/>
      </c>
      <c r="AF170" s="4" t="str">
        <f>HYPERLINK("http://141.218.60.56/~jnz1568/getInfo.php?workbook=10_01.xlsx&amp;sheet=A0&amp;row=170&amp;col=32&amp;number=&amp;sourceID=20","")</f>
        <v/>
      </c>
    </row>
    <row r="171" spans="1:32">
      <c r="A171" s="3">
        <v>10</v>
      </c>
      <c r="B171" s="3">
        <v>1</v>
      </c>
      <c r="C171" s="3">
        <v>20</v>
      </c>
      <c r="D171" s="3">
        <v>4</v>
      </c>
      <c r="E171" s="3">
        <f>((1/(INDEX(E0!J$4:J$28,C171,1)-INDEX(E0!J$4:J$28,D171,1))))*100000000</f>
        <v>0</v>
      </c>
      <c r="F171" s="4" t="str">
        <f>HYPERLINK("http://141.218.60.56/~jnz1568/getInfo.php?workbook=10_01.xlsx&amp;sheet=A0&amp;row=171&amp;col=6&amp;number=&amp;sourceID=18","")</f>
        <v/>
      </c>
      <c r="G171" s="4" t="str">
        <f>HYPERLINK("http://141.218.60.56/~jnz1568/getInfo.php?workbook=10_01.xlsx&amp;sheet=A0&amp;row=171&amp;col=7&amp;number==&amp;sourceID=11","=")</f>
        <v>=</v>
      </c>
      <c r="H171" s="4" t="str">
        <f>HYPERLINK("http://141.218.60.56/~jnz1568/getInfo.php?workbook=10_01.xlsx&amp;sheet=A0&amp;row=171&amp;col=8&amp;number=&amp;sourceID=11","")</f>
        <v/>
      </c>
      <c r="I171" s="4" t="str">
        <f>HYPERLINK("http://141.218.60.56/~jnz1568/getInfo.php?workbook=10_01.xlsx&amp;sheet=A0&amp;row=171&amp;col=9&amp;number=2632800&amp;sourceID=11","2632800")</f>
        <v>2632800</v>
      </c>
      <c r="J171" s="4" t="str">
        <f>HYPERLINK("http://141.218.60.56/~jnz1568/getInfo.php?workbook=10_01.xlsx&amp;sheet=A0&amp;row=171&amp;col=10&amp;number=&amp;sourceID=11","")</f>
        <v/>
      </c>
      <c r="K171" s="4" t="str">
        <f>HYPERLINK("http://141.218.60.56/~jnz1568/getInfo.php?workbook=10_01.xlsx&amp;sheet=A0&amp;row=171&amp;col=11&amp;number=17.818&amp;sourceID=11","17.818")</f>
        <v>17.818</v>
      </c>
      <c r="L171" s="4" t="str">
        <f>HYPERLINK("http://141.218.60.56/~jnz1568/getInfo.php?workbook=10_01.xlsx&amp;sheet=A0&amp;row=171&amp;col=12&amp;number=&amp;sourceID=11","")</f>
        <v/>
      </c>
      <c r="M171" s="4" t="str">
        <f>HYPERLINK("http://141.218.60.56/~jnz1568/getInfo.php?workbook=10_01.xlsx&amp;sheet=A0&amp;row=171&amp;col=13&amp;number=0.32939&amp;sourceID=11","0.32939")</f>
        <v>0.32939</v>
      </c>
      <c r="N171" s="4" t="str">
        <f>HYPERLINK("http://141.218.60.56/~jnz1568/getInfo.php?workbook=10_01.xlsx&amp;sheet=A0&amp;row=171&amp;col=14&amp;number=2632900&amp;sourceID=12","2632900")</f>
        <v>2632900</v>
      </c>
      <c r="O171" s="4" t="str">
        <f>HYPERLINK("http://141.218.60.56/~jnz1568/getInfo.php?workbook=10_01.xlsx&amp;sheet=A0&amp;row=171&amp;col=15&amp;number=&amp;sourceID=12","")</f>
        <v/>
      </c>
      <c r="P171" s="4" t="str">
        <f>HYPERLINK("http://141.218.60.56/~jnz1568/getInfo.php?workbook=10_01.xlsx&amp;sheet=A0&amp;row=171&amp;col=16&amp;number=2632900&amp;sourceID=12","2632900")</f>
        <v>2632900</v>
      </c>
      <c r="Q171" s="4" t="str">
        <f>HYPERLINK("http://141.218.60.56/~jnz1568/getInfo.php?workbook=10_01.xlsx&amp;sheet=A0&amp;row=171&amp;col=17&amp;number=&amp;sourceID=12","")</f>
        <v/>
      </c>
      <c r="R171" s="4" t="str">
        <f>HYPERLINK("http://141.218.60.56/~jnz1568/getInfo.php?workbook=10_01.xlsx&amp;sheet=A0&amp;row=171&amp;col=18&amp;number=17.818&amp;sourceID=12","17.818")</f>
        <v>17.818</v>
      </c>
      <c r="S171" s="4" t="str">
        <f>HYPERLINK("http://141.218.60.56/~jnz1568/getInfo.php?workbook=10_01.xlsx&amp;sheet=A0&amp;row=171&amp;col=19&amp;number=&amp;sourceID=12","")</f>
        <v/>
      </c>
      <c r="T171" s="4" t="str">
        <f>HYPERLINK("http://141.218.60.56/~jnz1568/getInfo.php?workbook=10_01.xlsx&amp;sheet=A0&amp;row=171&amp;col=20&amp;number=0.3294&amp;sourceID=12","0.3294")</f>
        <v>0.3294</v>
      </c>
      <c r="U171" s="4" t="str">
        <f>HYPERLINK("http://141.218.60.56/~jnz1568/getInfo.php?workbook=10_01.xlsx&amp;sheet=A0&amp;row=171&amp;col=21&amp;number=2633017.82&amp;sourceID=30","2633017.82")</f>
        <v>2633017.82</v>
      </c>
      <c r="V171" s="4" t="str">
        <f>HYPERLINK("http://141.218.60.56/~jnz1568/getInfo.php?workbook=10_01.xlsx&amp;sheet=A0&amp;row=171&amp;col=22&amp;number=&amp;sourceID=30","")</f>
        <v/>
      </c>
      <c r="W171" s="4" t="str">
        <f>HYPERLINK("http://141.218.60.56/~jnz1568/getInfo.php?workbook=10_01.xlsx&amp;sheet=A0&amp;row=171&amp;col=23&amp;number=2633000&amp;sourceID=30","2633000")</f>
        <v>2633000</v>
      </c>
      <c r="X171" s="4" t="str">
        <f>HYPERLINK("http://141.218.60.56/~jnz1568/getInfo.php?workbook=10_01.xlsx&amp;sheet=A0&amp;row=171&amp;col=24&amp;number=17.82&amp;sourceID=30","17.82")</f>
        <v>17.82</v>
      </c>
      <c r="Y171" s="4" t="str">
        <f>HYPERLINK("http://141.218.60.56/~jnz1568/getInfo.php?workbook=10_01.xlsx&amp;sheet=A0&amp;row=171&amp;col=25&amp;number=&amp;sourceID=30","")</f>
        <v/>
      </c>
      <c r="Z171" s="4" t="str">
        <f>HYPERLINK("http://141.218.60.56/~jnz1568/getInfo.php?workbook=10_01.xlsx&amp;sheet=A0&amp;row=171&amp;col=26&amp;number=&amp;sourceID=13","")</f>
        <v/>
      </c>
      <c r="AA171" s="4" t="str">
        <f>HYPERLINK("http://141.218.60.56/~jnz1568/getInfo.php?workbook=10_01.xlsx&amp;sheet=A0&amp;row=171&amp;col=27&amp;number=&amp;sourceID=13","")</f>
        <v/>
      </c>
      <c r="AB171" s="4" t="str">
        <f>HYPERLINK("http://141.218.60.56/~jnz1568/getInfo.php?workbook=10_01.xlsx&amp;sheet=A0&amp;row=171&amp;col=28&amp;number=&amp;sourceID=13","")</f>
        <v/>
      </c>
      <c r="AC171" s="4" t="str">
        <f>HYPERLINK("http://141.218.60.56/~jnz1568/getInfo.php?workbook=10_01.xlsx&amp;sheet=A0&amp;row=171&amp;col=29&amp;number=&amp;sourceID=13","")</f>
        <v/>
      </c>
      <c r="AD171" s="4" t="str">
        <f>HYPERLINK("http://141.218.60.56/~jnz1568/getInfo.php?workbook=10_01.xlsx&amp;sheet=A0&amp;row=171&amp;col=30&amp;number=&amp;sourceID=13","")</f>
        <v/>
      </c>
      <c r="AE171" s="4" t="str">
        <f>HYPERLINK("http://141.218.60.56/~jnz1568/getInfo.php?workbook=10_01.xlsx&amp;sheet=A0&amp;row=171&amp;col=31&amp;number=&amp;sourceID=13","")</f>
        <v/>
      </c>
      <c r="AF171" s="4" t="str">
        <f>HYPERLINK("http://141.218.60.56/~jnz1568/getInfo.php?workbook=10_01.xlsx&amp;sheet=A0&amp;row=171&amp;col=32&amp;number=&amp;sourceID=20","")</f>
        <v/>
      </c>
    </row>
    <row r="172" spans="1:32">
      <c r="A172" s="3">
        <v>10</v>
      </c>
      <c r="B172" s="3">
        <v>1</v>
      </c>
      <c r="C172" s="3">
        <v>20</v>
      </c>
      <c r="D172" s="3">
        <v>5</v>
      </c>
      <c r="E172" s="3">
        <f>((1/(INDEX(E0!J$4:J$28,C172,1)-INDEX(E0!J$4:J$28,D172,1))))*100000000</f>
        <v>0</v>
      </c>
      <c r="F172" s="4" t="str">
        <f>HYPERLINK("http://141.218.60.56/~jnz1568/getInfo.php?workbook=10_01.xlsx&amp;sheet=A0&amp;row=172&amp;col=6&amp;number=&amp;sourceID=18","")</f>
        <v/>
      </c>
      <c r="G172" s="4" t="str">
        <f>HYPERLINK("http://141.218.60.56/~jnz1568/getInfo.php?workbook=10_01.xlsx&amp;sheet=A0&amp;row=172&amp;col=7&amp;number==&amp;sourceID=11","=")</f>
        <v>=</v>
      </c>
      <c r="H172" s="4" t="str">
        <f>HYPERLINK("http://141.218.60.56/~jnz1568/getInfo.php?workbook=10_01.xlsx&amp;sheet=A0&amp;row=172&amp;col=8&amp;number=&amp;sourceID=11","")</f>
        <v/>
      </c>
      <c r="I172" s="4" t="str">
        <f>HYPERLINK("http://141.218.60.56/~jnz1568/getInfo.php?workbook=10_01.xlsx&amp;sheet=A0&amp;row=172&amp;col=9&amp;number=717000&amp;sourceID=11","717000")</f>
        <v>717000</v>
      </c>
      <c r="J172" s="4" t="str">
        <f>HYPERLINK("http://141.218.60.56/~jnz1568/getInfo.php?workbook=10_01.xlsx&amp;sheet=A0&amp;row=172&amp;col=10&amp;number=&amp;sourceID=11","")</f>
        <v/>
      </c>
      <c r="K172" s="4" t="str">
        <f>HYPERLINK("http://141.218.60.56/~jnz1568/getInfo.php?workbook=10_01.xlsx&amp;sheet=A0&amp;row=172&amp;col=11&amp;number=1.364&amp;sourceID=11","1.364")</f>
        <v>1.364</v>
      </c>
      <c r="L172" s="4" t="str">
        <f>HYPERLINK("http://141.218.60.56/~jnz1568/getInfo.php?workbook=10_01.xlsx&amp;sheet=A0&amp;row=172&amp;col=12&amp;number=&amp;sourceID=11","")</f>
        <v/>
      </c>
      <c r="M172" s="4" t="str">
        <f>HYPERLINK("http://141.218.60.56/~jnz1568/getInfo.php?workbook=10_01.xlsx&amp;sheet=A0&amp;row=172&amp;col=13&amp;number=&amp;sourceID=11","")</f>
        <v/>
      </c>
      <c r="N172" s="4" t="str">
        <f>HYPERLINK("http://141.218.60.56/~jnz1568/getInfo.php?workbook=10_01.xlsx&amp;sheet=A0&amp;row=172&amp;col=14&amp;number=717020&amp;sourceID=12","717020")</f>
        <v>717020</v>
      </c>
      <c r="O172" s="4" t="str">
        <f>HYPERLINK("http://141.218.60.56/~jnz1568/getInfo.php?workbook=10_01.xlsx&amp;sheet=A0&amp;row=172&amp;col=15&amp;number=&amp;sourceID=12","")</f>
        <v/>
      </c>
      <c r="P172" s="4" t="str">
        <f>HYPERLINK("http://141.218.60.56/~jnz1568/getInfo.php?workbook=10_01.xlsx&amp;sheet=A0&amp;row=172&amp;col=16&amp;number=717020&amp;sourceID=12","717020")</f>
        <v>717020</v>
      </c>
      <c r="Q172" s="4" t="str">
        <f>HYPERLINK("http://141.218.60.56/~jnz1568/getInfo.php?workbook=10_01.xlsx&amp;sheet=A0&amp;row=172&amp;col=17&amp;number=&amp;sourceID=12","")</f>
        <v/>
      </c>
      <c r="R172" s="4" t="str">
        <f>HYPERLINK("http://141.218.60.56/~jnz1568/getInfo.php?workbook=10_01.xlsx&amp;sheet=A0&amp;row=172&amp;col=18&amp;number=1.364&amp;sourceID=12","1.364")</f>
        <v>1.364</v>
      </c>
      <c r="S172" s="4" t="str">
        <f>HYPERLINK("http://141.218.60.56/~jnz1568/getInfo.php?workbook=10_01.xlsx&amp;sheet=A0&amp;row=172&amp;col=19&amp;number=&amp;sourceID=12","")</f>
        <v/>
      </c>
      <c r="T172" s="4" t="str">
        <f>HYPERLINK("http://141.218.60.56/~jnz1568/getInfo.php?workbook=10_01.xlsx&amp;sheet=A0&amp;row=172&amp;col=20&amp;number=&amp;sourceID=12","")</f>
        <v/>
      </c>
      <c r="U172" s="4" t="str">
        <f>HYPERLINK("http://141.218.60.56/~jnz1568/getInfo.php?workbook=10_01.xlsx&amp;sheet=A0&amp;row=172&amp;col=21&amp;number=717001.364&amp;sourceID=30","717001.364")</f>
        <v>717001.364</v>
      </c>
      <c r="V172" s="4" t="str">
        <f>HYPERLINK("http://141.218.60.56/~jnz1568/getInfo.php?workbook=10_01.xlsx&amp;sheet=A0&amp;row=172&amp;col=22&amp;number=&amp;sourceID=30","")</f>
        <v/>
      </c>
      <c r="W172" s="4" t="str">
        <f>HYPERLINK("http://141.218.60.56/~jnz1568/getInfo.php?workbook=10_01.xlsx&amp;sheet=A0&amp;row=172&amp;col=23&amp;number=717000&amp;sourceID=30","717000")</f>
        <v>717000</v>
      </c>
      <c r="X172" s="4" t="str">
        <f>HYPERLINK("http://141.218.60.56/~jnz1568/getInfo.php?workbook=10_01.xlsx&amp;sheet=A0&amp;row=172&amp;col=24&amp;number=1.364&amp;sourceID=30","1.364")</f>
        <v>1.364</v>
      </c>
      <c r="Y172" s="4" t="str">
        <f>HYPERLINK("http://141.218.60.56/~jnz1568/getInfo.php?workbook=10_01.xlsx&amp;sheet=A0&amp;row=172&amp;col=25&amp;number=&amp;sourceID=30","")</f>
        <v/>
      </c>
      <c r="Z172" s="4" t="str">
        <f>HYPERLINK("http://141.218.60.56/~jnz1568/getInfo.php?workbook=10_01.xlsx&amp;sheet=A0&amp;row=172&amp;col=26&amp;number=&amp;sourceID=13","")</f>
        <v/>
      </c>
      <c r="AA172" s="4" t="str">
        <f>HYPERLINK("http://141.218.60.56/~jnz1568/getInfo.php?workbook=10_01.xlsx&amp;sheet=A0&amp;row=172&amp;col=27&amp;number=&amp;sourceID=13","")</f>
        <v/>
      </c>
      <c r="AB172" s="4" t="str">
        <f>HYPERLINK("http://141.218.60.56/~jnz1568/getInfo.php?workbook=10_01.xlsx&amp;sheet=A0&amp;row=172&amp;col=28&amp;number=&amp;sourceID=13","")</f>
        <v/>
      </c>
      <c r="AC172" s="4" t="str">
        <f>HYPERLINK("http://141.218.60.56/~jnz1568/getInfo.php?workbook=10_01.xlsx&amp;sheet=A0&amp;row=172&amp;col=29&amp;number=&amp;sourceID=13","")</f>
        <v/>
      </c>
      <c r="AD172" s="4" t="str">
        <f>HYPERLINK("http://141.218.60.56/~jnz1568/getInfo.php?workbook=10_01.xlsx&amp;sheet=A0&amp;row=172&amp;col=30&amp;number=&amp;sourceID=13","")</f>
        <v/>
      </c>
      <c r="AE172" s="4" t="str">
        <f>HYPERLINK("http://141.218.60.56/~jnz1568/getInfo.php?workbook=10_01.xlsx&amp;sheet=A0&amp;row=172&amp;col=31&amp;number=&amp;sourceID=13","")</f>
        <v/>
      </c>
      <c r="AF172" s="4" t="str">
        <f>HYPERLINK("http://141.218.60.56/~jnz1568/getInfo.php?workbook=10_01.xlsx&amp;sheet=A0&amp;row=172&amp;col=32&amp;number=&amp;sourceID=20","")</f>
        <v/>
      </c>
    </row>
    <row r="173" spans="1:32">
      <c r="A173" s="3">
        <v>10</v>
      </c>
      <c r="B173" s="3">
        <v>1</v>
      </c>
      <c r="C173" s="3">
        <v>20</v>
      </c>
      <c r="D173" s="3">
        <v>6</v>
      </c>
      <c r="E173" s="3">
        <f>((1/(INDEX(E0!J$4:J$28,C173,1)-INDEX(E0!J$4:J$28,D173,1))))*100000000</f>
        <v>0</v>
      </c>
      <c r="F173" s="4" t="str">
        <f>HYPERLINK("http://141.218.60.56/~jnz1568/getInfo.php?workbook=10_01.xlsx&amp;sheet=A0&amp;row=173&amp;col=6&amp;number=&amp;sourceID=18","")</f>
        <v/>
      </c>
      <c r="G173" s="4" t="str">
        <f>HYPERLINK("http://141.218.60.56/~jnz1568/getInfo.php?workbook=10_01.xlsx&amp;sheet=A0&amp;row=173&amp;col=7&amp;number==&amp;sourceID=11","=")</f>
        <v>=</v>
      </c>
      <c r="H173" s="4" t="str">
        <f>HYPERLINK("http://141.218.60.56/~jnz1568/getInfo.php?workbook=10_01.xlsx&amp;sheet=A0&amp;row=173&amp;col=8&amp;number=16363000000&amp;sourceID=11","16363000000")</f>
        <v>16363000000</v>
      </c>
      <c r="I173" s="4" t="str">
        <f>HYPERLINK("http://141.218.60.56/~jnz1568/getInfo.php?workbook=10_01.xlsx&amp;sheet=A0&amp;row=173&amp;col=9&amp;number=&amp;sourceID=11","")</f>
        <v/>
      </c>
      <c r="J173" s="4" t="str">
        <f>HYPERLINK("http://141.218.60.56/~jnz1568/getInfo.php?workbook=10_01.xlsx&amp;sheet=A0&amp;row=173&amp;col=10&amp;number=&amp;sourceID=11","")</f>
        <v/>
      </c>
      <c r="K173" s="4" t="str">
        <f>HYPERLINK("http://141.218.60.56/~jnz1568/getInfo.php?workbook=10_01.xlsx&amp;sheet=A0&amp;row=173&amp;col=11&amp;number=&amp;sourceID=11","")</f>
        <v/>
      </c>
      <c r="L173" s="4" t="str">
        <f>HYPERLINK("http://141.218.60.56/~jnz1568/getInfo.php?workbook=10_01.xlsx&amp;sheet=A0&amp;row=173&amp;col=12&amp;number=110.4&amp;sourceID=11","110.4")</f>
        <v>110.4</v>
      </c>
      <c r="M173" s="4" t="str">
        <f>HYPERLINK("http://141.218.60.56/~jnz1568/getInfo.php?workbook=10_01.xlsx&amp;sheet=A0&amp;row=173&amp;col=13&amp;number=&amp;sourceID=11","")</f>
        <v/>
      </c>
      <c r="N173" s="4" t="str">
        <f>HYPERLINK("http://141.218.60.56/~jnz1568/getInfo.php?workbook=10_01.xlsx&amp;sheet=A0&amp;row=173&amp;col=14&amp;number=16363000000&amp;sourceID=12","16363000000")</f>
        <v>16363000000</v>
      </c>
      <c r="O173" s="4" t="str">
        <f>HYPERLINK("http://141.218.60.56/~jnz1568/getInfo.php?workbook=10_01.xlsx&amp;sheet=A0&amp;row=173&amp;col=15&amp;number=16363000000&amp;sourceID=12","16363000000")</f>
        <v>16363000000</v>
      </c>
      <c r="P173" s="4" t="str">
        <f>HYPERLINK("http://141.218.60.56/~jnz1568/getInfo.php?workbook=10_01.xlsx&amp;sheet=A0&amp;row=173&amp;col=16&amp;number=&amp;sourceID=12","")</f>
        <v/>
      </c>
      <c r="Q173" s="4" t="str">
        <f>HYPERLINK("http://141.218.60.56/~jnz1568/getInfo.php?workbook=10_01.xlsx&amp;sheet=A0&amp;row=173&amp;col=17&amp;number=&amp;sourceID=12","")</f>
        <v/>
      </c>
      <c r="R173" s="4" t="str">
        <f>HYPERLINK("http://141.218.60.56/~jnz1568/getInfo.php?workbook=10_01.xlsx&amp;sheet=A0&amp;row=173&amp;col=18&amp;number=&amp;sourceID=12","")</f>
        <v/>
      </c>
      <c r="S173" s="4" t="str">
        <f>HYPERLINK("http://141.218.60.56/~jnz1568/getInfo.php?workbook=10_01.xlsx&amp;sheet=A0&amp;row=173&amp;col=19&amp;number=110.4&amp;sourceID=12","110.4")</f>
        <v>110.4</v>
      </c>
      <c r="T173" s="4" t="str">
        <f>HYPERLINK("http://141.218.60.56/~jnz1568/getInfo.php?workbook=10_01.xlsx&amp;sheet=A0&amp;row=173&amp;col=20&amp;number=&amp;sourceID=12","")</f>
        <v/>
      </c>
      <c r="U173" s="4" t="str">
        <f>HYPERLINK("http://141.218.60.56/~jnz1568/getInfo.php?workbook=10_01.xlsx&amp;sheet=A0&amp;row=173&amp;col=21&amp;number=16360000110.4&amp;sourceID=30","16360000110.4")</f>
        <v>16360000110.4</v>
      </c>
      <c r="V173" s="4" t="str">
        <f>HYPERLINK("http://141.218.60.56/~jnz1568/getInfo.php?workbook=10_01.xlsx&amp;sheet=A0&amp;row=173&amp;col=22&amp;number=16360000000&amp;sourceID=30","16360000000")</f>
        <v>16360000000</v>
      </c>
      <c r="W173" s="4" t="str">
        <f>HYPERLINK("http://141.218.60.56/~jnz1568/getInfo.php?workbook=10_01.xlsx&amp;sheet=A0&amp;row=173&amp;col=23&amp;number=&amp;sourceID=30","")</f>
        <v/>
      </c>
      <c r="X173" s="4" t="str">
        <f>HYPERLINK("http://141.218.60.56/~jnz1568/getInfo.php?workbook=10_01.xlsx&amp;sheet=A0&amp;row=173&amp;col=24&amp;number=&amp;sourceID=30","")</f>
        <v/>
      </c>
      <c r="Y173" s="4" t="str">
        <f>HYPERLINK("http://141.218.60.56/~jnz1568/getInfo.php?workbook=10_01.xlsx&amp;sheet=A0&amp;row=173&amp;col=25&amp;number=110.4&amp;sourceID=30","110.4")</f>
        <v>110.4</v>
      </c>
      <c r="Z173" s="4" t="str">
        <f>HYPERLINK("http://141.218.60.56/~jnz1568/getInfo.php?workbook=10_01.xlsx&amp;sheet=A0&amp;row=173&amp;col=26&amp;number=&amp;sourceID=13","")</f>
        <v/>
      </c>
      <c r="AA173" s="4" t="str">
        <f>HYPERLINK("http://141.218.60.56/~jnz1568/getInfo.php?workbook=10_01.xlsx&amp;sheet=A0&amp;row=173&amp;col=27&amp;number=&amp;sourceID=13","")</f>
        <v/>
      </c>
      <c r="AB173" s="4" t="str">
        <f>HYPERLINK("http://141.218.60.56/~jnz1568/getInfo.php?workbook=10_01.xlsx&amp;sheet=A0&amp;row=173&amp;col=28&amp;number=&amp;sourceID=13","")</f>
        <v/>
      </c>
      <c r="AC173" s="4" t="str">
        <f>HYPERLINK("http://141.218.60.56/~jnz1568/getInfo.php?workbook=10_01.xlsx&amp;sheet=A0&amp;row=173&amp;col=29&amp;number=&amp;sourceID=13","")</f>
        <v/>
      </c>
      <c r="AD173" s="4" t="str">
        <f>HYPERLINK("http://141.218.60.56/~jnz1568/getInfo.php?workbook=10_01.xlsx&amp;sheet=A0&amp;row=173&amp;col=30&amp;number=&amp;sourceID=13","")</f>
        <v/>
      </c>
      <c r="AE173" s="4" t="str">
        <f>HYPERLINK("http://141.218.60.56/~jnz1568/getInfo.php?workbook=10_01.xlsx&amp;sheet=A0&amp;row=173&amp;col=31&amp;number=&amp;sourceID=13","")</f>
        <v/>
      </c>
      <c r="AF173" s="4" t="str">
        <f>HYPERLINK("http://141.218.60.56/~jnz1568/getInfo.php?workbook=10_01.xlsx&amp;sheet=A0&amp;row=173&amp;col=32&amp;number=&amp;sourceID=20","")</f>
        <v/>
      </c>
    </row>
    <row r="174" spans="1:32">
      <c r="A174" s="3">
        <v>10</v>
      </c>
      <c r="B174" s="3">
        <v>1</v>
      </c>
      <c r="C174" s="3">
        <v>20</v>
      </c>
      <c r="D174" s="3">
        <v>7</v>
      </c>
      <c r="E174" s="3">
        <f>((1/(INDEX(E0!J$4:J$28,C174,1)-INDEX(E0!J$4:J$28,D174,1))))*100000000</f>
        <v>0</v>
      </c>
      <c r="F174" s="4" t="str">
        <f>HYPERLINK("http://141.218.60.56/~jnz1568/getInfo.php?workbook=10_01.xlsx&amp;sheet=A0&amp;row=174&amp;col=6&amp;number=&amp;sourceID=18","")</f>
        <v/>
      </c>
      <c r="G174" s="4" t="str">
        <f>HYPERLINK("http://141.218.60.56/~jnz1568/getInfo.php?workbook=10_01.xlsx&amp;sheet=A0&amp;row=174&amp;col=7&amp;number==&amp;sourceID=11","=")</f>
        <v>=</v>
      </c>
      <c r="H174" s="4" t="str">
        <f>HYPERLINK("http://141.218.60.56/~jnz1568/getInfo.php?workbook=10_01.xlsx&amp;sheet=A0&amp;row=174&amp;col=8&amp;number=149790000&amp;sourceID=11","149790000")</f>
        <v>149790000</v>
      </c>
      <c r="I174" s="4" t="str">
        <f>HYPERLINK("http://141.218.60.56/~jnz1568/getInfo.php?workbook=10_01.xlsx&amp;sheet=A0&amp;row=174&amp;col=9&amp;number=&amp;sourceID=11","")</f>
        <v/>
      </c>
      <c r="J174" s="4" t="str">
        <f>HYPERLINK("http://141.218.60.56/~jnz1568/getInfo.php?workbook=10_01.xlsx&amp;sheet=A0&amp;row=174&amp;col=10&amp;number=13.591&amp;sourceID=11","13.591")</f>
        <v>13.591</v>
      </c>
      <c r="K174" s="4" t="str">
        <f>HYPERLINK("http://141.218.60.56/~jnz1568/getInfo.php?workbook=10_01.xlsx&amp;sheet=A0&amp;row=174&amp;col=11&amp;number=&amp;sourceID=11","")</f>
        <v/>
      </c>
      <c r="L174" s="4" t="str">
        <f>HYPERLINK("http://141.218.60.56/~jnz1568/getInfo.php?workbook=10_01.xlsx&amp;sheet=A0&amp;row=174&amp;col=12&amp;number=&amp;sourceID=11","")</f>
        <v/>
      </c>
      <c r="M174" s="4" t="str">
        <f>HYPERLINK("http://141.218.60.56/~jnz1568/getInfo.php?workbook=10_01.xlsx&amp;sheet=A0&amp;row=174&amp;col=13&amp;number=&amp;sourceID=11","")</f>
        <v/>
      </c>
      <c r="N174" s="4" t="str">
        <f>HYPERLINK("http://141.218.60.56/~jnz1568/getInfo.php?workbook=10_01.xlsx&amp;sheet=A0&amp;row=174&amp;col=14&amp;number=149800000&amp;sourceID=12","149800000")</f>
        <v>149800000</v>
      </c>
      <c r="O174" s="4" t="str">
        <f>HYPERLINK("http://141.218.60.56/~jnz1568/getInfo.php?workbook=10_01.xlsx&amp;sheet=A0&amp;row=174&amp;col=15&amp;number=149800000&amp;sourceID=12","149800000")</f>
        <v>149800000</v>
      </c>
      <c r="P174" s="4" t="str">
        <f>HYPERLINK("http://141.218.60.56/~jnz1568/getInfo.php?workbook=10_01.xlsx&amp;sheet=A0&amp;row=174&amp;col=16&amp;number=&amp;sourceID=12","")</f>
        <v/>
      </c>
      <c r="Q174" s="4" t="str">
        <f>HYPERLINK("http://141.218.60.56/~jnz1568/getInfo.php?workbook=10_01.xlsx&amp;sheet=A0&amp;row=174&amp;col=17&amp;number=13.591&amp;sourceID=12","13.591")</f>
        <v>13.591</v>
      </c>
      <c r="R174" s="4" t="str">
        <f>HYPERLINK("http://141.218.60.56/~jnz1568/getInfo.php?workbook=10_01.xlsx&amp;sheet=A0&amp;row=174&amp;col=18&amp;number=&amp;sourceID=12","")</f>
        <v/>
      </c>
      <c r="S174" s="4" t="str">
        <f>HYPERLINK("http://141.218.60.56/~jnz1568/getInfo.php?workbook=10_01.xlsx&amp;sheet=A0&amp;row=174&amp;col=19&amp;number=&amp;sourceID=12","")</f>
        <v/>
      </c>
      <c r="T174" s="4" t="str">
        <f>HYPERLINK("http://141.218.60.56/~jnz1568/getInfo.php?workbook=10_01.xlsx&amp;sheet=A0&amp;row=174&amp;col=20&amp;number=&amp;sourceID=12","")</f>
        <v/>
      </c>
      <c r="U174" s="4" t="str">
        <f>HYPERLINK("http://141.218.60.56/~jnz1568/getInfo.php?workbook=10_01.xlsx&amp;sheet=A0&amp;row=174&amp;col=21&amp;number=149800000&amp;sourceID=30","149800000")</f>
        <v>149800000</v>
      </c>
      <c r="V174" s="4" t="str">
        <f>HYPERLINK("http://141.218.60.56/~jnz1568/getInfo.php?workbook=10_01.xlsx&amp;sheet=A0&amp;row=174&amp;col=22&amp;number=149800000&amp;sourceID=30","149800000")</f>
        <v>149800000</v>
      </c>
      <c r="W174" s="4" t="str">
        <f>HYPERLINK("http://141.218.60.56/~jnz1568/getInfo.php?workbook=10_01.xlsx&amp;sheet=A0&amp;row=174&amp;col=23&amp;number=&amp;sourceID=30","")</f>
        <v/>
      </c>
      <c r="X174" s="4" t="str">
        <f>HYPERLINK("http://141.218.60.56/~jnz1568/getInfo.php?workbook=10_01.xlsx&amp;sheet=A0&amp;row=174&amp;col=24&amp;number=&amp;sourceID=30","")</f>
        <v/>
      </c>
      <c r="Y174" s="4" t="str">
        <f>HYPERLINK("http://141.218.60.56/~jnz1568/getInfo.php?workbook=10_01.xlsx&amp;sheet=A0&amp;row=174&amp;col=25&amp;number=&amp;sourceID=30","")</f>
        <v/>
      </c>
      <c r="Z174" s="4" t="str">
        <f>HYPERLINK("http://141.218.60.56/~jnz1568/getInfo.php?workbook=10_01.xlsx&amp;sheet=A0&amp;row=174&amp;col=26&amp;number=&amp;sourceID=13","")</f>
        <v/>
      </c>
      <c r="AA174" s="4" t="str">
        <f>HYPERLINK("http://141.218.60.56/~jnz1568/getInfo.php?workbook=10_01.xlsx&amp;sheet=A0&amp;row=174&amp;col=27&amp;number=&amp;sourceID=13","")</f>
        <v/>
      </c>
      <c r="AB174" s="4" t="str">
        <f>HYPERLINK("http://141.218.60.56/~jnz1568/getInfo.php?workbook=10_01.xlsx&amp;sheet=A0&amp;row=174&amp;col=28&amp;number=&amp;sourceID=13","")</f>
        <v/>
      </c>
      <c r="AC174" s="4" t="str">
        <f>HYPERLINK("http://141.218.60.56/~jnz1568/getInfo.php?workbook=10_01.xlsx&amp;sheet=A0&amp;row=174&amp;col=29&amp;number=&amp;sourceID=13","")</f>
        <v/>
      </c>
      <c r="AD174" s="4" t="str">
        <f>HYPERLINK("http://141.218.60.56/~jnz1568/getInfo.php?workbook=10_01.xlsx&amp;sheet=A0&amp;row=174&amp;col=30&amp;number=&amp;sourceID=13","")</f>
        <v/>
      </c>
      <c r="AE174" s="4" t="str">
        <f>HYPERLINK("http://141.218.60.56/~jnz1568/getInfo.php?workbook=10_01.xlsx&amp;sheet=A0&amp;row=174&amp;col=31&amp;number=&amp;sourceID=13","")</f>
        <v/>
      </c>
      <c r="AF174" s="4" t="str">
        <f>HYPERLINK("http://141.218.60.56/~jnz1568/getInfo.php?workbook=10_01.xlsx&amp;sheet=A0&amp;row=174&amp;col=32&amp;number=&amp;sourceID=20","")</f>
        <v/>
      </c>
    </row>
    <row r="175" spans="1:32">
      <c r="A175" s="3">
        <v>10</v>
      </c>
      <c r="B175" s="3">
        <v>1</v>
      </c>
      <c r="C175" s="3">
        <v>20</v>
      </c>
      <c r="D175" s="3">
        <v>8</v>
      </c>
      <c r="E175" s="3">
        <f>((1/(INDEX(E0!J$4:J$28,C175,1)-INDEX(E0!J$4:J$28,D175,1))))*100000000</f>
        <v>0</v>
      </c>
      <c r="F175" s="4" t="str">
        <f>HYPERLINK("http://141.218.60.56/~jnz1568/getInfo.php?workbook=10_01.xlsx&amp;sheet=A0&amp;row=175&amp;col=6&amp;number=&amp;sourceID=18","")</f>
        <v/>
      </c>
      <c r="G175" s="4" t="str">
        <f>HYPERLINK("http://141.218.60.56/~jnz1568/getInfo.php?workbook=10_01.xlsx&amp;sheet=A0&amp;row=175&amp;col=7&amp;number==&amp;sourceID=11","=")</f>
        <v>=</v>
      </c>
      <c r="H175" s="4" t="str">
        <f>HYPERLINK("http://141.218.60.56/~jnz1568/getInfo.php?workbook=10_01.xlsx&amp;sheet=A0&amp;row=175&amp;col=8&amp;number=&amp;sourceID=11","")</f>
        <v/>
      </c>
      <c r="I175" s="4" t="str">
        <f>HYPERLINK("http://141.218.60.56/~jnz1568/getInfo.php?workbook=10_01.xlsx&amp;sheet=A0&amp;row=175&amp;col=9&amp;number=714500&amp;sourceID=11","714500")</f>
        <v>714500</v>
      </c>
      <c r="J175" s="4" t="str">
        <f>HYPERLINK("http://141.218.60.56/~jnz1568/getInfo.php?workbook=10_01.xlsx&amp;sheet=A0&amp;row=175&amp;col=10&amp;number=&amp;sourceID=11","")</f>
        <v/>
      </c>
      <c r="K175" s="4" t="str">
        <f>HYPERLINK("http://141.218.60.56/~jnz1568/getInfo.php?workbook=10_01.xlsx&amp;sheet=A0&amp;row=175&amp;col=11&amp;number=0.55417&amp;sourceID=11","0.55417")</f>
        <v>0.55417</v>
      </c>
      <c r="L175" s="4" t="str">
        <f>HYPERLINK("http://141.218.60.56/~jnz1568/getInfo.php?workbook=10_01.xlsx&amp;sheet=A0&amp;row=175&amp;col=12&amp;number=&amp;sourceID=11","")</f>
        <v/>
      </c>
      <c r="M175" s="4" t="str">
        <f>HYPERLINK("http://141.218.60.56/~jnz1568/getInfo.php?workbook=10_01.xlsx&amp;sheet=A0&amp;row=175&amp;col=13&amp;number=0.010255&amp;sourceID=11","0.010255")</f>
        <v>0.010255</v>
      </c>
      <c r="N175" s="4" t="str">
        <f>HYPERLINK("http://141.218.60.56/~jnz1568/getInfo.php?workbook=10_01.xlsx&amp;sheet=A0&amp;row=175&amp;col=14&amp;number=714520&amp;sourceID=12","714520")</f>
        <v>714520</v>
      </c>
      <c r="O175" s="4" t="str">
        <f>HYPERLINK("http://141.218.60.56/~jnz1568/getInfo.php?workbook=10_01.xlsx&amp;sheet=A0&amp;row=175&amp;col=15&amp;number=&amp;sourceID=12","")</f>
        <v/>
      </c>
      <c r="P175" s="4" t="str">
        <f>HYPERLINK("http://141.218.60.56/~jnz1568/getInfo.php?workbook=10_01.xlsx&amp;sheet=A0&amp;row=175&amp;col=16&amp;number=714520&amp;sourceID=12","714520")</f>
        <v>714520</v>
      </c>
      <c r="Q175" s="4" t="str">
        <f>HYPERLINK("http://141.218.60.56/~jnz1568/getInfo.php?workbook=10_01.xlsx&amp;sheet=A0&amp;row=175&amp;col=17&amp;number=&amp;sourceID=12","")</f>
        <v/>
      </c>
      <c r="R175" s="4" t="str">
        <f>HYPERLINK("http://141.218.60.56/~jnz1568/getInfo.php?workbook=10_01.xlsx&amp;sheet=A0&amp;row=175&amp;col=18&amp;number=0.55418&amp;sourceID=12","0.55418")</f>
        <v>0.55418</v>
      </c>
      <c r="S175" s="4" t="str">
        <f>HYPERLINK("http://141.218.60.56/~jnz1568/getInfo.php?workbook=10_01.xlsx&amp;sheet=A0&amp;row=175&amp;col=19&amp;number=&amp;sourceID=12","")</f>
        <v/>
      </c>
      <c r="T175" s="4" t="str">
        <f>HYPERLINK("http://141.218.60.56/~jnz1568/getInfo.php?workbook=10_01.xlsx&amp;sheet=A0&amp;row=175&amp;col=20&amp;number=0.010255&amp;sourceID=12","0.010255")</f>
        <v>0.010255</v>
      </c>
      <c r="U175" s="4" t="str">
        <f>HYPERLINK("http://141.218.60.56/~jnz1568/getInfo.php?workbook=10_01.xlsx&amp;sheet=A0&amp;row=175&amp;col=21&amp;number=714500.554&amp;sourceID=30","714500.554")</f>
        <v>714500.554</v>
      </c>
      <c r="V175" s="4" t="str">
        <f>HYPERLINK("http://141.218.60.56/~jnz1568/getInfo.php?workbook=10_01.xlsx&amp;sheet=A0&amp;row=175&amp;col=22&amp;number=&amp;sourceID=30","")</f>
        <v/>
      </c>
      <c r="W175" s="4" t="str">
        <f>HYPERLINK("http://141.218.60.56/~jnz1568/getInfo.php?workbook=10_01.xlsx&amp;sheet=A0&amp;row=175&amp;col=23&amp;number=714500&amp;sourceID=30","714500")</f>
        <v>714500</v>
      </c>
      <c r="X175" s="4" t="str">
        <f>HYPERLINK("http://141.218.60.56/~jnz1568/getInfo.php?workbook=10_01.xlsx&amp;sheet=A0&amp;row=175&amp;col=24&amp;number=0.554&amp;sourceID=30","0.554")</f>
        <v>0.554</v>
      </c>
      <c r="Y175" s="4" t="str">
        <f>HYPERLINK("http://141.218.60.56/~jnz1568/getInfo.php?workbook=10_01.xlsx&amp;sheet=A0&amp;row=175&amp;col=25&amp;number=&amp;sourceID=30","")</f>
        <v/>
      </c>
      <c r="Z175" s="4" t="str">
        <f>HYPERLINK("http://141.218.60.56/~jnz1568/getInfo.php?workbook=10_01.xlsx&amp;sheet=A0&amp;row=175&amp;col=26&amp;number=&amp;sourceID=13","")</f>
        <v/>
      </c>
      <c r="AA175" s="4" t="str">
        <f>HYPERLINK("http://141.218.60.56/~jnz1568/getInfo.php?workbook=10_01.xlsx&amp;sheet=A0&amp;row=175&amp;col=27&amp;number=&amp;sourceID=13","")</f>
        <v/>
      </c>
      <c r="AB175" s="4" t="str">
        <f>HYPERLINK("http://141.218.60.56/~jnz1568/getInfo.php?workbook=10_01.xlsx&amp;sheet=A0&amp;row=175&amp;col=28&amp;number=&amp;sourceID=13","")</f>
        <v/>
      </c>
      <c r="AC175" s="4" t="str">
        <f>HYPERLINK("http://141.218.60.56/~jnz1568/getInfo.php?workbook=10_01.xlsx&amp;sheet=A0&amp;row=175&amp;col=29&amp;number=&amp;sourceID=13","")</f>
        <v/>
      </c>
      <c r="AD175" s="4" t="str">
        <f>HYPERLINK("http://141.218.60.56/~jnz1568/getInfo.php?workbook=10_01.xlsx&amp;sheet=A0&amp;row=175&amp;col=30&amp;number=&amp;sourceID=13","")</f>
        <v/>
      </c>
      <c r="AE175" s="4" t="str">
        <f>HYPERLINK("http://141.218.60.56/~jnz1568/getInfo.php?workbook=10_01.xlsx&amp;sheet=A0&amp;row=175&amp;col=31&amp;number=&amp;sourceID=13","")</f>
        <v/>
      </c>
      <c r="AF175" s="4" t="str">
        <f>HYPERLINK("http://141.218.60.56/~jnz1568/getInfo.php?workbook=10_01.xlsx&amp;sheet=A0&amp;row=175&amp;col=32&amp;number=&amp;sourceID=20","")</f>
        <v/>
      </c>
    </row>
    <row r="176" spans="1:32">
      <c r="A176" s="3">
        <v>10</v>
      </c>
      <c r="B176" s="3">
        <v>1</v>
      </c>
      <c r="C176" s="3">
        <v>20</v>
      </c>
      <c r="D176" s="3">
        <v>9</v>
      </c>
      <c r="E176" s="3">
        <f>((1/(INDEX(E0!J$4:J$28,C176,1)-INDEX(E0!J$4:J$28,D176,1))))*100000000</f>
        <v>0</v>
      </c>
      <c r="F176" s="4" t="str">
        <f>HYPERLINK("http://141.218.60.56/~jnz1568/getInfo.php?workbook=10_01.xlsx&amp;sheet=A0&amp;row=176&amp;col=6&amp;number=&amp;sourceID=18","")</f>
        <v/>
      </c>
      <c r="G176" s="4" t="str">
        <f>HYPERLINK("http://141.218.60.56/~jnz1568/getInfo.php?workbook=10_01.xlsx&amp;sheet=A0&amp;row=176&amp;col=7&amp;number==&amp;sourceID=11","=")</f>
        <v>=</v>
      </c>
      <c r="H176" s="4" t="str">
        <f>HYPERLINK("http://141.218.60.56/~jnz1568/getInfo.php?workbook=10_01.xlsx&amp;sheet=A0&amp;row=176&amp;col=8&amp;number=1354100000&amp;sourceID=11","1354100000")</f>
        <v>1354100000</v>
      </c>
      <c r="I176" s="4" t="str">
        <f>HYPERLINK("http://141.218.60.56/~jnz1568/getInfo.php?workbook=10_01.xlsx&amp;sheet=A0&amp;row=176&amp;col=9&amp;number=&amp;sourceID=11","")</f>
        <v/>
      </c>
      <c r="J176" s="4" t="str">
        <f>HYPERLINK("http://141.218.60.56/~jnz1568/getInfo.php?workbook=10_01.xlsx&amp;sheet=A0&amp;row=176&amp;col=10&amp;number=9.033&amp;sourceID=11","9.033")</f>
        <v>9.033</v>
      </c>
      <c r="K176" s="4" t="str">
        <f>HYPERLINK("http://141.218.60.56/~jnz1568/getInfo.php?workbook=10_01.xlsx&amp;sheet=A0&amp;row=176&amp;col=11&amp;number=&amp;sourceID=11","")</f>
        <v/>
      </c>
      <c r="L176" s="4" t="str">
        <f>HYPERLINK("http://141.218.60.56/~jnz1568/getInfo.php?workbook=10_01.xlsx&amp;sheet=A0&amp;row=176&amp;col=12&amp;number=11.807&amp;sourceID=11","11.807")</f>
        <v>11.807</v>
      </c>
      <c r="M176" s="4" t="str">
        <f>HYPERLINK("http://141.218.60.56/~jnz1568/getInfo.php?workbook=10_01.xlsx&amp;sheet=A0&amp;row=176&amp;col=13&amp;number=&amp;sourceID=11","")</f>
        <v/>
      </c>
      <c r="N176" s="4" t="str">
        <f>HYPERLINK("http://141.218.60.56/~jnz1568/getInfo.php?workbook=10_01.xlsx&amp;sheet=A0&amp;row=176&amp;col=14&amp;number=1354100000&amp;sourceID=12","1354100000")</f>
        <v>1354100000</v>
      </c>
      <c r="O176" s="4" t="str">
        <f>HYPERLINK("http://141.218.60.56/~jnz1568/getInfo.php?workbook=10_01.xlsx&amp;sheet=A0&amp;row=176&amp;col=15&amp;number=1354100000&amp;sourceID=12","1354100000")</f>
        <v>1354100000</v>
      </c>
      <c r="P176" s="4" t="str">
        <f>HYPERLINK("http://141.218.60.56/~jnz1568/getInfo.php?workbook=10_01.xlsx&amp;sheet=A0&amp;row=176&amp;col=16&amp;number=&amp;sourceID=12","")</f>
        <v/>
      </c>
      <c r="Q176" s="4" t="str">
        <f>HYPERLINK("http://141.218.60.56/~jnz1568/getInfo.php?workbook=10_01.xlsx&amp;sheet=A0&amp;row=176&amp;col=17&amp;number=9.0333&amp;sourceID=12","9.0333")</f>
        <v>9.0333</v>
      </c>
      <c r="R176" s="4" t="str">
        <f>HYPERLINK("http://141.218.60.56/~jnz1568/getInfo.php?workbook=10_01.xlsx&amp;sheet=A0&amp;row=176&amp;col=18&amp;number=&amp;sourceID=12","")</f>
        <v/>
      </c>
      <c r="S176" s="4" t="str">
        <f>HYPERLINK("http://141.218.60.56/~jnz1568/getInfo.php?workbook=10_01.xlsx&amp;sheet=A0&amp;row=176&amp;col=19&amp;number=11.808&amp;sourceID=12","11.808")</f>
        <v>11.808</v>
      </c>
      <c r="T176" s="4" t="str">
        <f>HYPERLINK("http://141.218.60.56/~jnz1568/getInfo.php?workbook=10_01.xlsx&amp;sheet=A0&amp;row=176&amp;col=20&amp;number=&amp;sourceID=12","")</f>
        <v/>
      </c>
      <c r="U176" s="4" t="str">
        <f>HYPERLINK("http://141.218.60.56/~jnz1568/getInfo.php?workbook=10_01.xlsx&amp;sheet=A0&amp;row=176&amp;col=21&amp;number=1354000011.81&amp;sourceID=30","1354000011.81")</f>
        <v>1354000011.81</v>
      </c>
      <c r="V176" s="4" t="str">
        <f>HYPERLINK("http://141.218.60.56/~jnz1568/getInfo.php?workbook=10_01.xlsx&amp;sheet=A0&amp;row=176&amp;col=22&amp;number=1354000000&amp;sourceID=30","1354000000")</f>
        <v>1354000000</v>
      </c>
      <c r="W176" s="4" t="str">
        <f>HYPERLINK("http://141.218.60.56/~jnz1568/getInfo.php?workbook=10_01.xlsx&amp;sheet=A0&amp;row=176&amp;col=23&amp;number=&amp;sourceID=30","")</f>
        <v/>
      </c>
      <c r="X176" s="4" t="str">
        <f>HYPERLINK("http://141.218.60.56/~jnz1568/getInfo.php?workbook=10_01.xlsx&amp;sheet=A0&amp;row=176&amp;col=24&amp;number=&amp;sourceID=30","")</f>
        <v/>
      </c>
      <c r="Y176" s="4" t="str">
        <f>HYPERLINK("http://141.218.60.56/~jnz1568/getInfo.php?workbook=10_01.xlsx&amp;sheet=A0&amp;row=176&amp;col=25&amp;number=11.81&amp;sourceID=30","11.81")</f>
        <v>11.81</v>
      </c>
      <c r="Z176" s="4" t="str">
        <f>HYPERLINK("http://141.218.60.56/~jnz1568/getInfo.php?workbook=10_01.xlsx&amp;sheet=A0&amp;row=176&amp;col=26&amp;number=&amp;sourceID=13","")</f>
        <v/>
      </c>
      <c r="AA176" s="4" t="str">
        <f>HYPERLINK("http://141.218.60.56/~jnz1568/getInfo.php?workbook=10_01.xlsx&amp;sheet=A0&amp;row=176&amp;col=27&amp;number=&amp;sourceID=13","")</f>
        <v/>
      </c>
      <c r="AB176" s="4" t="str">
        <f>HYPERLINK("http://141.218.60.56/~jnz1568/getInfo.php?workbook=10_01.xlsx&amp;sheet=A0&amp;row=176&amp;col=28&amp;number=&amp;sourceID=13","")</f>
        <v/>
      </c>
      <c r="AC176" s="4" t="str">
        <f>HYPERLINK("http://141.218.60.56/~jnz1568/getInfo.php?workbook=10_01.xlsx&amp;sheet=A0&amp;row=176&amp;col=29&amp;number=&amp;sourceID=13","")</f>
        <v/>
      </c>
      <c r="AD176" s="4" t="str">
        <f>HYPERLINK("http://141.218.60.56/~jnz1568/getInfo.php?workbook=10_01.xlsx&amp;sheet=A0&amp;row=176&amp;col=30&amp;number=&amp;sourceID=13","")</f>
        <v/>
      </c>
      <c r="AE176" s="4" t="str">
        <f>HYPERLINK("http://141.218.60.56/~jnz1568/getInfo.php?workbook=10_01.xlsx&amp;sheet=A0&amp;row=176&amp;col=31&amp;number=&amp;sourceID=13","")</f>
        <v/>
      </c>
      <c r="AF176" s="4" t="str">
        <f>HYPERLINK("http://141.218.60.56/~jnz1568/getInfo.php?workbook=10_01.xlsx&amp;sheet=A0&amp;row=176&amp;col=32&amp;number=&amp;sourceID=20","")</f>
        <v/>
      </c>
    </row>
    <row r="177" spans="1:32">
      <c r="A177" s="3">
        <v>10</v>
      </c>
      <c r="B177" s="3">
        <v>1</v>
      </c>
      <c r="C177" s="3">
        <v>20</v>
      </c>
      <c r="D177" s="3">
        <v>10</v>
      </c>
      <c r="E177" s="3">
        <f>((1/(INDEX(E0!J$4:J$28,C177,1)-INDEX(E0!J$4:J$28,D177,1))))*100000000</f>
        <v>0</v>
      </c>
      <c r="F177" s="4" t="str">
        <f>HYPERLINK("http://141.218.60.56/~jnz1568/getInfo.php?workbook=10_01.xlsx&amp;sheet=A0&amp;row=177&amp;col=6&amp;number=&amp;sourceID=18","")</f>
        <v/>
      </c>
      <c r="G177" s="4" t="str">
        <f>HYPERLINK("http://141.218.60.56/~jnz1568/getInfo.php?workbook=10_01.xlsx&amp;sheet=A0&amp;row=177&amp;col=7&amp;number==&amp;sourceID=11","=")</f>
        <v>=</v>
      </c>
      <c r="H177" s="4" t="str">
        <f>HYPERLINK("http://141.218.60.56/~jnz1568/getInfo.php?workbook=10_01.xlsx&amp;sheet=A0&amp;row=177&amp;col=8&amp;number=&amp;sourceID=11","")</f>
        <v/>
      </c>
      <c r="I177" s="4" t="str">
        <f>HYPERLINK("http://141.218.60.56/~jnz1568/getInfo.php?workbook=10_01.xlsx&amp;sheet=A0&amp;row=177&amp;col=9&amp;number=227660&amp;sourceID=11","227660")</f>
        <v>227660</v>
      </c>
      <c r="J177" s="4" t="str">
        <f>HYPERLINK("http://141.218.60.56/~jnz1568/getInfo.php?workbook=10_01.xlsx&amp;sheet=A0&amp;row=177&amp;col=10&amp;number=&amp;sourceID=11","")</f>
        <v/>
      </c>
      <c r="K177" s="4" t="str">
        <f>HYPERLINK("http://141.218.60.56/~jnz1568/getInfo.php?workbook=10_01.xlsx&amp;sheet=A0&amp;row=177&amp;col=11&amp;number=0.21193&amp;sourceID=11","0.21193")</f>
        <v>0.21193</v>
      </c>
      <c r="L177" s="4" t="str">
        <f>HYPERLINK("http://141.218.60.56/~jnz1568/getInfo.php?workbook=10_01.xlsx&amp;sheet=A0&amp;row=177&amp;col=12&amp;number=&amp;sourceID=11","")</f>
        <v/>
      </c>
      <c r="M177" s="4" t="str">
        <f>HYPERLINK("http://141.218.60.56/~jnz1568/getInfo.php?workbook=10_01.xlsx&amp;sheet=A0&amp;row=177&amp;col=13&amp;number=&amp;sourceID=11","")</f>
        <v/>
      </c>
      <c r="N177" s="4" t="str">
        <f>HYPERLINK("http://141.218.60.56/~jnz1568/getInfo.php?workbook=10_01.xlsx&amp;sheet=A0&amp;row=177&amp;col=14&amp;number=227670&amp;sourceID=12","227670")</f>
        <v>227670</v>
      </c>
      <c r="O177" s="4" t="str">
        <f>HYPERLINK("http://141.218.60.56/~jnz1568/getInfo.php?workbook=10_01.xlsx&amp;sheet=A0&amp;row=177&amp;col=15&amp;number=&amp;sourceID=12","")</f>
        <v/>
      </c>
      <c r="P177" s="4" t="str">
        <f>HYPERLINK("http://141.218.60.56/~jnz1568/getInfo.php?workbook=10_01.xlsx&amp;sheet=A0&amp;row=177&amp;col=16&amp;number=227670&amp;sourceID=12","227670")</f>
        <v>227670</v>
      </c>
      <c r="Q177" s="4" t="str">
        <f>HYPERLINK("http://141.218.60.56/~jnz1568/getInfo.php?workbook=10_01.xlsx&amp;sheet=A0&amp;row=177&amp;col=17&amp;number=&amp;sourceID=12","")</f>
        <v/>
      </c>
      <c r="R177" s="4" t="str">
        <f>HYPERLINK("http://141.218.60.56/~jnz1568/getInfo.php?workbook=10_01.xlsx&amp;sheet=A0&amp;row=177&amp;col=18&amp;number=0.21194&amp;sourceID=12","0.21194")</f>
        <v>0.21194</v>
      </c>
      <c r="S177" s="4" t="str">
        <f>HYPERLINK("http://141.218.60.56/~jnz1568/getInfo.php?workbook=10_01.xlsx&amp;sheet=A0&amp;row=177&amp;col=19&amp;number=&amp;sourceID=12","")</f>
        <v/>
      </c>
      <c r="T177" s="4" t="str">
        <f>HYPERLINK("http://141.218.60.56/~jnz1568/getInfo.php?workbook=10_01.xlsx&amp;sheet=A0&amp;row=177&amp;col=20&amp;number=&amp;sourceID=12","")</f>
        <v/>
      </c>
      <c r="U177" s="4" t="str">
        <f>HYPERLINK("http://141.218.60.56/~jnz1568/getInfo.php?workbook=10_01.xlsx&amp;sheet=A0&amp;row=177&amp;col=21&amp;number=227700.212&amp;sourceID=30","227700.212")</f>
        <v>227700.212</v>
      </c>
      <c r="V177" s="4" t="str">
        <f>HYPERLINK("http://141.218.60.56/~jnz1568/getInfo.php?workbook=10_01.xlsx&amp;sheet=A0&amp;row=177&amp;col=22&amp;number=&amp;sourceID=30","")</f>
        <v/>
      </c>
      <c r="W177" s="4" t="str">
        <f>HYPERLINK("http://141.218.60.56/~jnz1568/getInfo.php?workbook=10_01.xlsx&amp;sheet=A0&amp;row=177&amp;col=23&amp;number=227700&amp;sourceID=30","227700")</f>
        <v>227700</v>
      </c>
      <c r="X177" s="4" t="str">
        <f>HYPERLINK("http://141.218.60.56/~jnz1568/getInfo.php?workbook=10_01.xlsx&amp;sheet=A0&amp;row=177&amp;col=24&amp;number=0.212&amp;sourceID=30","0.212")</f>
        <v>0.212</v>
      </c>
      <c r="Y177" s="4" t="str">
        <f>HYPERLINK("http://141.218.60.56/~jnz1568/getInfo.php?workbook=10_01.xlsx&amp;sheet=A0&amp;row=177&amp;col=25&amp;number=&amp;sourceID=30","")</f>
        <v/>
      </c>
      <c r="Z177" s="4" t="str">
        <f>HYPERLINK("http://141.218.60.56/~jnz1568/getInfo.php?workbook=10_01.xlsx&amp;sheet=A0&amp;row=177&amp;col=26&amp;number=&amp;sourceID=13","")</f>
        <v/>
      </c>
      <c r="AA177" s="4" t="str">
        <f>HYPERLINK("http://141.218.60.56/~jnz1568/getInfo.php?workbook=10_01.xlsx&amp;sheet=A0&amp;row=177&amp;col=27&amp;number=&amp;sourceID=13","")</f>
        <v/>
      </c>
      <c r="AB177" s="4" t="str">
        <f>HYPERLINK("http://141.218.60.56/~jnz1568/getInfo.php?workbook=10_01.xlsx&amp;sheet=A0&amp;row=177&amp;col=28&amp;number=&amp;sourceID=13","")</f>
        <v/>
      </c>
      <c r="AC177" s="4" t="str">
        <f>HYPERLINK("http://141.218.60.56/~jnz1568/getInfo.php?workbook=10_01.xlsx&amp;sheet=A0&amp;row=177&amp;col=29&amp;number=&amp;sourceID=13","")</f>
        <v/>
      </c>
      <c r="AD177" s="4" t="str">
        <f>HYPERLINK("http://141.218.60.56/~jnz1568/getInfo.php?workbook=10_01.xlsx&amp;sheet=A0&amp;row=177&amp;col=30&amp;number=&amp;sourceID=13","")</f>
        <v/>
      </c>
      <c r="AE177" s="4" t="str">
        <f>HYPERLINK("http://141.218.60.56/~jnz1568/getInfo.php?workbook=10_01.xlsx&amp;sheet=A0&amp;row=177&amp;col=31&amp;number=&amp;sourceID=13","")</f>
        <v/>
      </c>
      <c r="AF177" s="4" t="str">
        <f>HYPERLINK("http://141.218.60.56/~jnz1568/getInfo.php?workbook=10_01.xlsx&amp;sheet=A0&amp;row=177&amp;col=32&amp;number=&amp;sourceID=20","")</f>
        <v/>
      </c>
    </row>
    <row r="178" spans="1:32">
      <c r="A178" s="3">
        <v>10</v>
      </c>
      <c r="B178" s="3">
        <v>1</v>
      </c>
      <c r="C178" s="3">
        <v>20</v>
      </c>
      <c r="D178" s="3">
        <v>11</v>
      </c>
      <c r="E178" s="3">
        <f>((1/(INDEX(E0!J$4:J$28,C178,1)-INDEX(E0!J$4:J$28,D178,1))))*100000000</f>
        <v>0</v>
      </c>
      <c r="F178" s="4" t="str">
        <f>HYPERLINK("http://141.218.60.56/~jnz1568/getInfo.php?workbook=10_01.xlsx&amp;sheet=A0&amp;row=178&amp;col=6&amp;number=&amp;sourceID=18","")</f>
        <v/>
      </c>
      <c r="G178" s="4" t="str">
        <f>HYPERLINK("http://141.218.60.56/~jnz1568/getInfo.php?workbook=10_01.xlsx&amp;sheet=A0&amp;row=178&amp;col=7&amp;number==&amp;sourceID=11","=")</f>
        <v>=</v>
      </c>
      <c r="H178" s="4" t="str">
        <f>HYPERLINK("http://141.218.60.56/~jnz1568/getInfo.php?workbook=10_01.xlsx&amp;sheet=A0&amp;row=178&amp;col=8&amp;number=7348700000&amp;sourceID=11","7348700000")</f>
        <v>7348700000</v>
      </c>
      <c r="I178" s="4" t="str">
        <f>HYPERLINK("http://141.218.60.56/~jnz1568/getInfo.php?workbook=10_01.xlsx&amp;sheet=A0&amp;row=178&amp;col=9&amp;number=&amp;sourceID=11","")</f>
        <v/>
      </c>
      <c r="J178" s="4" t="str">
        <f>HYPERLINK("http://141.218.60.56/~jnz1568/getInfo.php?workbook=10_01.xlsx&amp;sheet=A0&amp;row=178&amp;col=10&amp;number=&amp;sourceID=11","")</f>
        <v/>
      </c>
      <c r="K178" s="4" t="str">
        <f>HYPERLINK("http://141.218.60.56/~jnz1568/getInfo.php?workbook=10_01.xlsx&amp;sheet=A0&amp;row=178&amp;col=11&amp;number=&amp;sourceID=11","")</f>
        <v/>
      </c>
      <c r="L178" s="4" t="str">
        <f>HYPERLINK("http://141.218.60.56/~jnz1568/getInfo.php?workbook=10_01.xlsx&amp;sheet=A0&amp;row=178&amp;col=12&amp;number=4.9688&amp;sourceID=11","4.9688")</f>
        <v>4.9688</v>
      </c>
      <c r="M178" s="4" t="str">
        <f>HYPERLINK("http://141.218.60.56/~jnz1568/getInfo.php?workbook=10_01.xlsx&amp;sheet=A0&amp;row=178&amp;col=13&amp;number=&amp;sourceID=11","")</f>
        <v/>
      </c>
      <c r="N178" s="4" t="str">
        <f>HYPERLINK("http://141.218.60.56/~jnz1568/getInfo.php?workbook=10_01.xlsx&amp;sheet=A0&amp;row=178&amp;col=14&amp;number=7348900000&amp;sourceID=12","7348900000")</f>
        <v>7348900000</v>
      </c>
      <c r="O178" s="4" t="str">
        <f>HYPERLINK("http://141.218.60.56/~jnz1568/getInfo.php?workbook=10_01.xlsx&amp;sheet=A0&amp;row=178&amp;col=15&amp;number=7348900000&amp;sourceID=12","7348900000")</f>
        <v>7348900000</v>
      </c>
      <c r="P178" s="4" t="str">
        <f>HYPERLINK("http://141.218.60.56/~jnz1568/getInfo.php?workbook=10_01.xlsx&amp;sheet=A0&amp;row=178&amp;col=16&amp;number=&amp;sourceID=12","")</f>
        <v/>
      </c>
      <c r="Q178" s="4" t="str">
        <f>HYPERLINK("http://141.218.60.56/~jnz1568/getInfo.php?workbook=10_01.xlsx&amp;sheet=A0&amp;row=178&amp;col=17&amp;number=&amp;sourceID=12","")</f>
        <v/>
      </c>
      <c r="R178" s="4" t="str">
        <f>HYPERLINK("http://141.218.60.56/~jnz1568/getInfo.php?workbook=10_01.xlsx&amp;sheet=A0&amp;row=178&amp;col=18&amp;number=&amp;sourceID=12","")</f>
        <v/>
      </c>
      <c r="S178" s="4" t="str">
        <f>HYPERLINK("http://141.218.60.56/~jnz1568/getInfo.php?workbook=10_01.xlsx&amp;sheet=A0&amp;row=178&amp;col=19&amp;number=4.9689&amp;sourceID=12","4.9689")</f>
        <v>4.9689</v>
      </c>
      <c r="T178" s="4" t="str">
        <f>HYPERLINK("http://141.218.60.56/~jnz1568/getInfo.php?workbook=10_01.xlsx&amp;sheet=A0&amp;row=178&amp;col=20&amp;number=&amp;sourceID=12","")</f>
        <v/>
      </c>
      <c r="U178" s="4" t="str">
        <f>HYPERLINK("http://141.218.60.56/~jnz1568/getInfo.php?workbook=10_01.xlsx&amp;sheet=A0&amp;row=178&amp;col=21&amp;number=7349000004.97&amp;sourceID=30","7349000004.97")</f>
        <v>7349000004.97</v>
      </c>
      <c r="V178" s="4" t="str">
        <f>HYPERLINK("http://141.218.60.56/~jnz1568/getInfo.php?workbook=10_01.xlsx&amp;sheet=A0&amp;row=178&amp;col=22&amp;number=7349000000&amp;sourceID=30","7349000000")</f>
        <v>7349000000</v>
      </c>
      <c r="W178" s="4" t="str">
        <f>HYPERLINK("http://141.218.60.56/~jnz1568/getInfo.php?workbook=10_01.xlsx&amp;sheet=A0&amp;row=178&amp;col=23&amp;number=&amp;sourceID=30","")</f>
        <v/>
      </c>
      <c r="X178" s="4" t="str">
        <f>HYPERLINK("http://141.218.60.56/~jnz1568/getInfo.php?workbook=10_01.xlsx&amp;sheet=A0&amp;row=178&amp;col=24&amp;number=&amp;sourceID=30","")</f>
        <v/>
      </c>
      <c r="Y178" s="4" t="str">
        <f>HYPERLINK("http://141.218.60.56/~jnz1568/getInfo.php?workbook=10_01.xlsx&amp;sheet=A0&amp;row=178&amp;col=25&amp;number=4.969&amp;sourceID=30","4.969")</f>
        <v>4.969</v>
      </c>
      <c r="Z178" s="4" t="str">
        <f>HYPERLINK("http://141.218.60.56/~jnz1568/getInfo.php?workbook=10_01.xlsx&amp;sheet=A0&amp;row=178&amp;col=26&amp;number=&amp;sourceID=13","")</f>
        <v/>
      </c>
      <c r="AA178" s="4" t="str">
        <f>HYPERLINK("http://141.218.60.56/~jnz1568/getInfo.php?workbook=10_01.xlsx&amp;sheet=A0&amp;row=178&amp;col=27&amp;number=&amp;sourceID=13","")</f>
        <v/>
      </c>
      <c r="AB178" s="4" t="str">
        <f>HYPERLINK("http://141.218.60.56/~jnz1568/getInfo.php?workbook=10_01.xlsx&amp;sheet=A0&amp;row=178&amp;col=28&amp;number=&amp;sourceID=13","")</f>
        <v/>
      </c>
      <c r="AC178" s="4" t="str">
        <f>HYPERLINK("http://141.218.60.56/~jnz1568/getInfo.php?workbook=10_01.xlsx&amp;sheet=A0&amp;row=178&amp;col=29&amp;number=&amp;sourceID=13","")</f>
        <v/>
      </c>
      <c r="AD178" s="4" t="str">
        <f>HYPERLINK("http://141.218.60.56/~jnz1568/getInfo.php?workbook=10_01.xlsx&amp;sheet=A0&amp;row=178&amp;col=30&amp;number=&amp;sourceID=13","")</f>
        <v/>
      </c>
      <c r="AE178" s="4" t="str">
        <f>HYPERLINK("http://141.218.60.56/~jnz1568/getInfo.php?workbook=10_01.xlsx&amp;sheet=A0&amp;row=178&amp;col=31&amp;number=&amp;sourceID=13","")</f>
        <v/>
      </c>
      <c r="AF178" s="4" t="str">
        <f>HYPERLINK("http://141.218.60.56/~jnz1568/getInfo.php?workbook=10_01.xlsx&amp;sheet=A0&amp;row=178&amp;col=32&amp;number=&amp;sourceID=20","")</f>
        <v/>
      </c>
    </row>
    <row r="179" spans="1:32">
      <c r="A179" s="3">
        <v>10</v>
      </c>
      <c r="B179" s="3">
        <v>1</v>
      </c>
      <c r="C179" s="3">
        <v>20</v>
      </c>
      <c r="D179" s="3">
        <v>12</v>
      </c>
      <c r="E179" s="3">
        <f>((1/(INDEX(E0!J$4:J$28,C179,1)-INDEX(E0!J$4:J$28,D179,1))))*100000000</f>
        <v>0</v>
      </c>
      <c r="F179" s="4" t="str">
        <f>HYPERLINK("http://141.218.60.56/~jnz1568/getInfo.php?workbook=10_01.xlsx&amp;sheet=A0&amp;row=179&amp;col=6&amp;number=&amp;sourceID=18","")</f>
        <v/>
      </c>
      <c r="G179" s="4" t="str">
        <f>HYPERLINK("http://141.218.60.56/~jnz1568/getInfo.php?workbook=10_01.xlsx&amp;sheet=A0&amp;row=179&amp;col=7&amp;number==&amp;sourceID=11","=")</f>
        <v>=</v>
      </c>
      <c r="H179" s="4" t="str">
        <f>HYPERLINK("http://141.218.60.56/~jnz1568/getInfo.php?workbook=10_01.xlsx&amp;sheet=A0&amp;row=179&amp;col=8&amp;number=188730000&amp;sourceID=11","188730000")</f>
        <v>188730000</v>
      </c>
      <c r="I179" s="4" t="str">
        <f>HYPERLINK("http://141.218.60.56/~jnz1568/getInfo.php?workbook=10_01.xlsx&amp;sheet=A0&amp;row=179&amp;col=9&amp;number=&amp;sourceID=11","")</f>
        <v/>
      </c>
      <c r="J179" s="4" t="str">
        <f>HYPERLINK("http://141.218.60.56/~jnz1568/getInfo.php?workbook=10_01.xlsx&amp;sheet=A0&amp;row=179&amp;col=10&amp;number=4.624&amp;sourceID=11","4.624")</f>
        <v>4.624</v>
      </c>
      <c r="K179" s="4" t="str">
        <f>HYPERLINK("http://141.218.60.56/~jnz1568/getInfo.php?workbook=10_01.xlsx&amp;sheet=A0&amp;row=179&amp;col=11&amp;number=&amp;sourceID=11","")</f>
        <v/>
      </c>
      <c r="L179" s="4" t="str">
        <f>HYPERLINK("http://141.218.60.56/~jnz1568/getInfo.php?workbook=10_01.xlsx&amp;sheet=A0&amp;row=179&amp;col=12&amp;number=&amp;sourceID=11","")</f>
        <v/>
      </c>
      <c r="M179" s="4" t="str">
        <f>HYPERLINK("http://141.218.60.56/~jnz1568/getInfo.php?workbook=10_01.xlsx&amp;sheet=A0&amp;row=179&amp;col=13&amp;number=&amp;sourceID=11","")</f>
        <v/>
      </c>
      <c r="N179" s="4" t="str">
        <f>HYPERLINK("http://141.218.60.56/~jnz1568/getInfo.php?workbook=10_01.xlsx&amp;sheet=A0&amp;row=179&amp;col=14&amp;number=188730000&amp;sourceID=12","188730000")</f>
        <v>188730000</v>
      </c>
      <c r="O179" s="4" t="str">
        <f>HYPERLINK("http://141.218.60.56/~jnz1568/getInfo.php?workbook=10_01.xlsx&amp;sheet=A0&amp;row=179&amp;col=15&amp;number=188730000&amp;sourceID=12","188730000")</f>
        <v>188730000</v>
      </c>
      <c r="P179" s="4" t="str">
        <f>HYPERLINK("http://141.218.60.56/~jnz1568/getInfo.php?workbook=10_01.xlsx&amp;sheet=A0&amp;row=179&amp;col=16&amp;number=&amp;sourceID=12","")</f>
        <v/>
      </c>
      <c r="Q179" s="4" t="str">
        <f>HYPERLINK("http://141.218.60.56/~jnz1568/getInfo.php?workbook=10_01.xlsx&amp;sheet=A0&amp;row=179&amp;col=17&amp;number=4.6242&amp;sourceID=12","4.6242")</f>
        <v>4.6242</v>
      </c>
      <c r="R179" s="4" t="str">
        <f>HYPERLINK("http://141.218.60.56/~jnz1568/getInfo.php?workbook=10_01.xlsx&amp;sheet=A0&amp;row=179&amp;col=18&amp;number=&amp;sourceID=12","")</f>
        <v/>
      </c>
      <c r="S179" s="4" t="str">
        <f>HYPERLINK("http://141.218.60.56/~jnz1568/getInfo.php?workbook=10_01.xlsx&amp;sheet=A0&amp;row=179&amp;col=19&amp;number=&amp;sourceID=12","")</f>
        <v/>
      </c>
      <c r="T179" s="4" t="str">
        <f>HYPERLINK("http://141.218.60.56/~jnz1568/getInfo.php?workbook=10_01.xlsx&amp;sheet=A0&amp;row=179&amp;col=20&amp;number=&amp;sourceID=12","")</f>
        <v/>
      </c>
      <c r="U179" s="4" t="str">
        <f>HYPERLINK("http://141.218.60.56/~jnz1568/getInfo.php?workbook=10_01.xlsx&amp;sheet=A0&amp;row=179&amp;col=21&amp;number=188700000&amp;sourceID=30","188700000")</f>
        <v>188700000</v>
      </c>
      <c r="V179" s="4" t="str">
        <f>HYPERLINK("http://141.218.60.56/~jnz1568/getInfo.php?workbook=10_01.xlsx&amp;sheet=A0&amp;row=179&amp;col=22&amp;number=188700000&amp;sourceID=30","188700000")</f>
        <v>188700000</v>
      </c>
      <c r="W179" s="4" t="str">
        <f>HYPERLINK("http://141.218.60.56/~jnz1568/getInfo.php?workbook=10_01.xlsx&amp;sheet=A0&amp;row=179&amp;col=23&amp;number=&amp;sourceID=30","")</f>
        <v/>
      </c>
      <c r="X179" s="4" t="str">
        <f>HYPERLINK("http://141.218.60.56/~jnz1568/getInfo.php?workbook=10_01.xlsx&amp;sheet=A0&amp;row=179&amp;col=24&amp;number=&amp;sourceID=30","")</f>
        <v/>
      </c>
      <c r="Y179" s="4" t="str">
        <f>HYPERLINK("http://141.218.60.56/~jnz1568/getInfo.php?workbook=10_01.xlsx&amp;sheet=A0&amp;row=179&amp;col=25&amp;number=&amp;sourceID=30","")</f>
        <v/>
      </c>
      <c r="Z179" s="4" t="str">
        <f>HYPERLINK("http://141.218.60.56/~jnz1568/getInfo.php?workbook=10_01.xlsx&amp;sheet=A0&amp;row=179&amp;col=26&amp;number=&amp;sourceID=13","")</f>
        <v/>
      </c>
      <c r="AA179" s="4" t="str">
        <f>HYPERLINK("http://141.218.60.56/~jnz1568/getInfo.php?workbook=10_01.xlsx&amp;sheet=A0&amp;row=179&amp;col=27&amp;number=&amp;sourceID=13","")</f>
        <v/>
      </c>
      <c r="AB179" s="4" t="str">
        <f>HYPERLINK("http://141.218.60.56/~jnz1568/getInfo.php?workbook=10_01.xlsx&amp;sheet=A0&amp;row=179&amp;col=28&amp;number=&amp;sourceID=13","")</f>
        <v/>
      </c>
      <c r="AC179" s="4" t="str">
        <f>HYPERLINK("http://141.218.60.56/~jnz1568/getInfo.php?workbook=10_01.xlsx&amp;sheet=A0&amp;row=179&amp;col=29&amp;number=&amp;sourceID=13","")</f>
        <v/>
      </c>
      <c r="AD179" s="4" t="str">
        <f>HYPERLINK("http://141.218.60.56/~jnz1568/getInfo.php?workbook=10_01.xlsx&amp;sheet=A0&amp;row=179&amp;col=30&amp;number=&amp;sourceID=13","")</f>
        <v/>
      </c>
      <c r="AE179" s="4" t="str">
        <f>HYPERLINK("http://141.218.60.56/~jnz1568/getInfo.php?workbook=10_01.xlsx&amp;sheet=A0&amp;row=179&amp;col=31&amp;number=&amp;sourceID=13","")</f>
        <v/>
      </c>
      <c r="AF179" s="4" t="str">
        <f>HYPERLINK("http://141.218.60.56/~jnz1568/getInfo.php?workbook=10_01.xlsx&amp;sheet=A0&amp;row=179&amp;col=32&amp;number=&amp;sourceID=20","")</f>
        <v/>
      </c>
    </row>
    <row r="180" spans="1:32">
      <c r="A180" s="3">
        <v>10</v>
      </c>
      <c r="B180" s="3">
        <v>1</v>
      </c>
      <c r="C180" s="3">
        <v>20</v>
      </c>
      <c r="D180" s="3">
        <v>13</v>
      </c>
      <c r="E180" s="3">
        <f>((1/(INDEX(E0!J$4:J$28,C180,1)-INDEX(E0!J$4:J$28,D180,1))))*100000000</f>
        <v>0</v>
      </c>
      <c r="F180" s="4" t="str">
        <f>HYPERLINK("http://141.218.60.56/~jnz1568/getInfo.php?workbook=10_01.xlsx&amp;sheet=A0&amp;row=180&amp;col=6&amp;number=&amp;sourceID=18","")</f>
        <v/>
      </c>
      <c r="G180" s="4" t="str">
        <f>HYPERLINK("http://141.218.60.56/~jnz1568/getInfo.php?workbook=10_01.xlsx&amp;sheet=A0&amp;row=180&amp;col=7&amp;number==&amp;sourceID=11","=")</f>
        <v>=</v>
      </c>
      <c r="H180" s="4" t="str">
        <f>HYPERLINK("http://141.218.60.56/~jnz1568/getInfo.php?workbook=10_01.xlsx&amp;sheet=A0&amp;row=180&amp;col=8&amp;number=&amp;sourceID=11","")</f>
        <v/>
      </c>
      <c r="I180" s="4" t="str">
        <f>HYPERLINK("http://141.218.60.56/~jnz1568/getInfo.php?workbook=10_01.xlsx&amp;sheet=A0&amp;row=180&amp;col=9&amp;number=227380&amp;sourceID=11","227380")</f>
        <v>227380</v>
      </c>
      <c r="J180" s="4" t="str">
        <f>HYPERLINK("http://141.218.60.56/~jnz1568/getInfo.php?workbook=10_01.xlsx&amp;sheet=A0&amp;row=180&amp;col=10&amp;number=&amp;sourceID=11","")</f>
        <v/>
      </c>
      <c r="K180" s="4" t="str">
        <f>HYPERLINK("http://141.218.60.56/~jnz1568/getInfo.php?workbook=10_01.xlsx&amp;sheet=A0&amp;row=180&amp;col=11&amp;number=0.017648&amp;sourceID=11","0.017648")</f>
        <v>0.017648</v>
      </c>
      <c r="L180" s="4" t="str">
        <f>HYPERLINK("http://141.218.60.56/~jnz1568/getInfo.php?workbook=10_01.xlsx&amp;sheet=A0&amp;row=180&amp;col=12&amp;number=&amp;sourceID=11","")</f>
        <v/>
      </c>
      <c r="M180" s="4" t="str">
        <f>HYPERLINK("http://141.218.60.56/~jnz1568/getInfo.php?workbook=10_01.xlsx&amp;sheet=A0&amp;row=180&amp;col=13&amp;number=0.00032676&amp;sourceID=11","0.00032676")</f>
        <v>0.00032676</v>
      </c>
      <c r="N180" s="4" t="str">
        <f>HYPERLINK("http://141.218.60.56/~jnz1568/getInfo.php?workbook=10_01.xlsx&amp;sheet=A0&amp;row=180&amp;col=14&amp;number=227390&amp;sourceID=12","227390")</f>
        <v>227390</v>
      </c>
      <c r="O180" s="4" t="str">
        <f>HYPERLINK("http://141.218.60.56/~jnz1568/getInfo.php?workbook=10_01.xlsx&amp;sheet=A0&amp;row=180&amp;col=15&amp;number=&amp;sourceID=12","")</f>
        <v/>
      </c>
      <c r="P180" s="4" t="str">
        <f>HYPERLINK("http://141.218.60.56/~jnz1568/getInfo.php?workbook=10_01.xlsx&amp;sheet=A0&amp;row=180&amp;col=16&amp;number=227390&amp;sourceID=12","227390")</f>
        <v>227390</v>
      </c>
      <c r="Q180" s="4" t="str">
        <f>HYPERLINK("http://141.218.60.56/~jnz1568/getInfo.php?workbook=10_01.xlsx&amp;sheet=A0&amp;row=180&amp;col=17&amp;number=&amp;sourceID=12","")</f>
        <v/>
      </c>
      <c r="R180" s="4" t="str">
        <f>HYPERLINK("http://141.218.60.56/~jnz1568/getInfo.php?workbook=10_01.xlsx&amp;sheet=A0&amp;row=180&amp;col=18&amp;number=0.017649&amp;sourceID=12","0.017649")</f>
        <v>0.017649</v>
      </c>
      <c r="S180" s="4" t="str">
        <f>HYPERLINK("http://141.218.60.56/~jnz1568/getInfo.php?workbook=10_01.xlsx&amp;sheet=A0&amp;row=180&amp;col=19&amp;number=&amp;sourceID=12","")</f>
        <v/>
      </c>
      <c r="T180" s="4" t="str">
        <f>HYPERLINK("http://141.218.60.56/~jnz1568/getInfo.php?workbook=10_01.xlsx&amp;sheet=A0&amp;row=180&amp;col=20&amp;number=0.00032677&amp;sourceID=12","0.00032677")</f>
        <v>0.00032677</v>
      </c>
      <c r="U180" s="4" t="str">
        <f>HYPERLINK("http://141.218.60.56/~jnz1568/getInfo.php?workbook=10_01.xlsx&amp;sheet=A0&amp;row=180&amp;col=21&amp;number=227400.01762&amp;sourceID=30","227400.01762")</f>
        <v>227400.01762</v>
      </c>
      <c r="V180" s="4" t="str">
        <f>HYPERLINK("http://141.218.60.56/~jnz1568/getInfo.php?workbook=10_01.xlsx&amp;sheet=A0&amp;row=180&amp;col=22&amp;number=&amp;sourceID=30","")</f>
        <v/>
      </c>
      <c r="W180" s="4" t="str">
        <f>HYPERLINK("http://141.218.60.56/~jnz1568/getInfo.php?workbook=10_01.xlsx&amp;sheet=A0&amp;row=180&amp;col=23&amp;number=227400&amp;sourceID=30","227400")</f>
        <v>227400</v>
      </c>
      <c r="X180" s="4" t="str">
        <f>HYPERLINK("http://141.218.60.56/~jnz1568/getInfo.php?workbook=10_01.xlsx&amp;sheet=A0&amp;row=180&amp;col=24&amp;number=0.01762&amp;sourceID=30","0.01762")</f>
        <v>0.01762</v>
      </c>
      <c r="Y180" s="4" t="str">
        <f>HYPERLINK("http://141.218.60.56/~jnz1568/getInfo.php?workbook=10_01.xlsx&amp;sheet=A0&amp;row=180&amp;col=25&amp;number=&amp;sourceID=30","")</f>
        <v/>
      </c>
      <c r="Z180" s="4" t="str">
        <f>HYPERLINK("http://141.218.60.56/~jnz1568/getInfo.php?workbook=10_01.xlsx&amp;sheet=A0&amp;row=180&amp;col=26&amp;number=&amp;sourceID=13","")</f>
        <v/>
      </c>
      <c r="AA180" s="4" t="str">
        <f>HYPERLINK("http://141.218.60.56/~jnz1568/getInfo.php?workbook=10_01.xlsx&amp;sheet=A0&amp;row=180&amp;col=27&amp;number=&amp;sourceID=13","")</f>
        <v/>
      </c>
      <c r="AB180" s="4" t="str">
        <f>HYPERLINK("http://141.218.60.56/~jnz1568/getInfo.php?workbook=10_01.xlsx&amp;sheet=A0&amp;row=180&amp;col=28&amp;number=&amp;sourceID=13","")</f>
        <v/>
      </c>
      <c r="AC180" s="4" t="str">
        <f>HYPERLINK("http://141.218.60.56/~jnz1568/getInfo.php?workbook=10_01.xlsx&amp;sheet=A0&amp;row=180&amp;col=29&amp;number=&amp;sourceID=13","")</f>
        <v/>
      </c>
      <c r="AD180" s="4" t="str">
        <f>HYPERLINK("http://141.218.60.56/~jnz1568/getInfo.php?workbook=10_01.xlsx&amp;sheet=A0&amp;row=180&amp;col=30&amp;number=&amp;sourceID=13","")</f>
        <v/>
      </c>
      <c r="AE180" s="4" t="str">
        <f>HYPERLINK("http://141.218.60.56/~jnz1568/getInfo.php?workbook=10_01.xlsx&amp;sheet=A0&amp;row=180&amp;col=31&amp;number=&amp;sourceID=13","")</f>
        <v/>
      </c>
      <c r="AF180" s="4" t="str">
        <f>HYPERLINK("http://141.218.60.56/~jnz1568/getInfo.php?workbook=10_01.xlsx&amp;sheet=A0&amp;row=180&amp;col=32&amp;number=&amp;sourceID=20","")</f>
        <v/>
      </c>
    </row>
    <row r="181" spans="1:32">
      <c r="A181" s="3">
        <v>10</v>
      </c>
      <c r="B181" s="3">
        <v>1</v>
      </c>
      <c r="C181" s="3">
        <v>20</v>
      </c>
      <c r="D181" s="3">
        <v>14</v>
      </c>
      <c r="E181" s="3">
        <f>((1/(INDEX(E0!J$4:J$28,C181,1)-INDEX(E0!J$4:J$28,D181,1))))*100000000</f>
        <v>0</v>
      </c>
      <c r="F181" s="4" t="str">
        <f>HYPERLINK("http://141.218.60.56/~jnz1568/getInfo.php?workbook=10_01.xlsx&amp;sheet=A0&amp;row=181&amp;col=6&amp;number=&amp;sourceID=18","")</f>
        <v/>
      </c>
      <c r="G181" s="4" t="str">
        <f>HYPERLINK("http://141.218.60.56/~jnz1568/getInfo.php?workbook=10_01.xlsx&amp;sheet=A0&amp;row=181&amp;col=7&amp;number==&amp;sourceID=11","=")</f>
        <v>=</v>
      </c>
      <c r="H181" s="4" t="str">
        <f>HYPERLINK("http://141.218.60.56/~jnz1568/getInfo.php?workbook=10_01.xlsx&amp;sheet=A0&amp;row=181&amp;col=8&amp;number=&amp;sourceID=11","")</f>
        <v/>
      </c>
      <c r="I181" s="4" t="str">
        <f>HYPERLINK("http://141.218.60.56/~jnz1568/getInfo.php?workbook=10_01.xlsx&amp;sheet=A0&amp;row=181&amp;col=9&amp;number=6741.9&amp;sourceID=11","6741.9")</f>
        <v>6741.9</v>
      </c>
      <c r="J181" s="4" t="str">
        <f>HYPERLINK("http://141.218.60.56/~jnz1568/getInfo.php?workbook=10_01.xlsx&amp;sheet=A0&amp;row=181&amp;col=10&amp;number=&amp;sourceID=11","")</f>
        <v/>
      </c>
      <c r="K181" s="4" t="str">
        <f>HYPERLINK("http://141.218.60.56/~jnz1568/getInfo.php?workbook=10_01.xlsx&amp;sheet=A0&amp;row=181&amp;col=11&amp;number=4.1983e-07&amp;sourceID=11","4.1983e-07")</f>
        <v>4.1983e-07</v>
      </c>
      <c r="L181" s="4" t="str">
        <f>HYPERLINK("http://141.218.60.56/~jnz1568/getInfo.php?workbook=10_01.xlsx&amp;sheet=A0&amp;row=181&amp;col=12&amp;number=&amp;sourceID=11","")</f>
        <v/>
      </c>
      <c r="M181" s="4" t="str">
        <f>HYPERLINK("http://141.218.60.56/~jnz1568/getInfo.php?workbook=10_01.xlsx&amp;sheet=A0&amp;row=181&amp;col=13&amp;number=7.6803e-08&amp;sourceID=11","7.6803e-08")</f>
        <v>7.6803e-08</v>
      </c>
      <c r="N181" s="4" t="str">
        <f>HYPERLINK("http://141.218.60.56/~jnz1568/getInfo.php?workbook=10_01.xlsx&amp;sheet=A0&amp;row=181&amp;col=14&amp;number=6742.1&amp;sourceID=12","6742.1")</f>
        <v>6742.1</v>
      </c>
      <c r="O181" s="4" t="str">
        <f>HYPERLINK("http://141.218.60.56/~jnz1568/getInfo.php?workbook=10_01.xlsx&amp;sheet=A0&amp;row=181&amp;col=15&amp;number=&amp;sourceID=12","")</f>
        <v/>
      </c>
      <c r="P181" s="4" t="str">
        <f>HYPERLINK("http://141.218.60.56/~jnz1568/getInfo.php?workbook=10_01.xlsx&amp;sheet=A0&amp;row=181&amp;col=16&amp;number=6742.1&amp;sourceID=12","6742.1")</f>
        <v>6742.1</v>
      </c>
      <c r="Q181" s="4" t="str">
        <f>HYPERLINK("http://141.218.60.56/~jnz1568/getInfo.php?workbook=10_01.xlsx&amp;sheet=A0&amp;row=181&amp;col=17&amp;number=&amp;sourceID=12","")</f>
        <v/>
      </c>
      <c r="R181" s="4" t="str">
        <f>HYPERLINK("http://141.218.60.56/~jnz1568/getInfo.php?workbook=10_01.xlsx&amp;sheet=A0&amp;row=181&amp;col=18&amp;number=4.1985e-07&amp;sourceID=12","4.1985e-07")</f>
        <v>4.1985e-07</v>
      </c>
      <c r="S181" s="4" t="str">
        <f>HYPERLINK("http://141.218.60.56/~jnz1568/getInfo.php?workbook=10_01.xlsx&amp;sheet=A0&amp;row=181&amp;col=19&amp;number=&amp;sourceID=12","")</f>
        <v/>
      </c>
      <c r="T181" s="4" t="str">
        <f>HYPERLINK("http://141.218.60.56/~jnz1568/getInfo.php?workbook=10_01.xlsx&amp;sheet=A0&amp;row=181&amp;col=20&amp;number=7.6806e-08&amp;sourceID=12","7.6806e-08")</f>
        <v>7.6806e-08</v>
      </c>
      <c r="U181" s="4" t="str">
        <f>HYPERLINK("http://141.218.60.56/~jnz1568/getInfo.php?workbook=10_01.xlsx&amp;sheet=A0&amp;row=181&amp;col=21&amp;number=6742.00000046&amp;sourceID=30","6742.00000046")</f>
        <v>6742.00000046</v>
      </c>
      <c r="V181" s="4" t="str">
        <f>HYPERLINK("http://141.218.60.56/~jnz1568/getInfo.php?workbook=10_01.xlsx&amp;sheet=A0&amp;row=181&amp;col=22&amp;number=&amp;sourceID=30","")</f>
        <v/>
      </c>
      <c r="W181" s="4" t="str">
        <f>HYPERLINK("http://141.218.60.56/~jnz1568/getInfo.php?workbook=10_01.xlsx&amp;sheet=A0&amp;row=181&amp;col=23&amp;number=6742&amp;sourceID=30","6742")</f>
        <v>6742</v>
      </c>
      <c r="X181" s="4" t="str">
        <f>HYPERLINK("http://141.218.60.56/~jnz1568/getInfo.php?workbook=10_01.xlsx&amp;sheet=A0&amp;row=181&amp;col=24&amp;number=4.562e-07&amp;sourceID=30","4.562e-07")</f>
        <v>4.562e-07</v>
      </c>
      <c r="Y181" s="4" t="str">
        <f>HYPERLINK("http://141.218.60.56/~jnz1568/getInfo.php?workbook=10_01.xlsx&amp;sheet=A0&amp;row=181&amp;col=25&amp;number=&amp;sourceID=30","")</f>
        <v/>
      </c>
      <c r="Z181" s="4" t="str">
        <f>HYPERLINK("http://141.218.60.56/~jnz1568/getInfo.php?workbook=10_01.xlsx&amp;sheet=A0&amp;row=181&amp;col=26&amp;number=&amp;sourceID=13","")</f>
        <v/>
      </c>
      <c r="AA181" s="4" t="str">
        <f>HYPERLINK("http://141.218.60.56/~jnz1568/getInfo.php?workbook=10_01.xlsx&amp;sheet=A0&amp;row=181&amp;col=27&amp;number=&amp;sourceID=13","")</f>
        <v/>
      </c>
      <c r="AB181" s="4" t="str">
        <f>HYPERLINK("http://141.218.60.56/~jnz1568/getInfo.php?workbook=10_01.xlsx&amp;sheet=A0&amp;row=181&amp;col=28&amp;number=&amp;sourceID=13","")</f>
        <v/>
      </c>
      <c r="AC181" s="4" t="str">
        <f>HYPERLINK("http://141.218.60.56/~jnz1568/getInfo.php?workbook=10_01.xlsx&amp;sheet=A0&amp;row=181&amp;col=29&amp;number=&amp;sourceID=13","")</f>
        <v/>
      </c>
      <c r="AD181" s="4" t="str">
        <f>HYPERLINK("http://141.218.60.56/~jnz1568/getInfo.php?workbook=10_01.xlsx&amp;sheet=A0&amp;row=181&amp;col=30&amp;number=&amp;sourceID=13","")</f>
        <v/>
      </c>
      <c r="AE181" s="4" t="str">
        <f>HYPERLINK("http://141.218.60.56/~jnz1568/getInfo.php?workbook=10_01.xlsx&amp;sheet=A0&amp;row=181&amp;col=31&amp;number=&amp;sourceID=13","")</f>
        <v/>
      </c>
      <c r="AF181" s="4" t="str">
        <f>HYPERLINK("http://141.218.60.56/~jnz1568/getInfo.php?workbook=10_01.xlsx&amp;sheet=A0&amp;row=181&amp;col=32&amp;number=&amp;sourceID=20","")</f>
        <v/>
      </c>
    </row>
    <row r="182" spans="1:32">
      <c r="A182" s="3">
        <v>10</v>
      </c>
      <c r="B182" s="3">
        <v>1</v>
      </c>
      <c r="C182" s="3">
        <v>20</v>
      </c>
      <c r="D182" s="3">
        <v>15</v>
      </c>
      <c r="E182" s="3">
        <f>((1/(INDEX(E0!J$4:J$28,C182,1)-INDEX(E0!J$4:J$28,D182,1))))*100000000</f>
        <v>0</v>
      </c>
      <c r="F182" s="4" t="str">
        <f>HYPERLINK("http://141.218.60.56/~jnz1568/getInfo.php?workbook=10_01.xlsx&amp;sheet=A0&amp;row=182&amp;col=6&amp;number=&amp;sourceID=18","")</f>
        <v/>
      </c>
      <c r="G182" s="4" t="str">
        <f>HYPERLINK("http://141.218.60.56/~jnz1568/getInfo.php?workbook=10_01.xlsx&amp;sheet=A0&amp;row=182&amp;col=7&amp;number==&amp;sourceID=11","=")</f>
        <v>=</v>
      </c>
      <c r="H182" s="4" t="str">
        <f>HYPERLINK("http://141.218.60.56/~jnz1568/getInfo.php?workbook=10_01.xlsx&amp;sheet=A0&amp;row=182&amp;col=8&amp;number=1705400000&amp;sourceID=11","1705400000")</f>
        <v>1705400000</v>
      </c>
      <c r="I182" s="4" t="str">
        <f>HYPERLINK("http://141.218.60.56/~jnz1568/getInfo.php?workbook=10_01.xlsx&amp;sheet=A0&amp;row=182&amp;col=9&amp;number=&amp;sourceID=11","")</f>
        <v/>
      </c>
      <c r="J182" s="4" t="str">
        <f>HYPERLINK("http://141.218.60.56/~jnz1568/getInfo.php?workbook=10_01.xlsx&amp;sheet=A0&amp;row=182&amp;col=10&amp;number=3.0775&amp;sourceID=11","3.0775")</f>
        <v>3.0775</v>
      </c>
      <c r="K182" s="4" t="str">
        <f>HYPERLINK("http://141.218.60.56/~jnz1568/getInfo.php?workbook=10_01.xlsx&amp;sheet=A0&amp;row=182&amp;col=11&amp;number=&amp;sourceID=11","")</f>
        <v/>
      </c>
      <c r="L182" s="4" t="str">
        <f>HYPERLINK("http://141.218.60.56/~jnz1568/getInfo.php?workbook=10_01.xlsx&amp;sheet=A0&amp;row=182&amp;col=12&amp;number=1.4877&amp;sourceID=11","1.4877")</f>
        <v>1.4877</v>
      </c>
      <c r="M182" s="4" t="str">
        <f>HYPERLINK("http://141.218.60.56/~jnz1568/getInfo.php?workbook=10_01.xlsx&amp;sheet=A0&amp;row=182&amp;col=13&amp;number=&amp;sourceID=11","")</f>
        <v/>
      </c>
      <c r="N182" s="4" t="str">
        <f>HYPERLINK("http://141.218.60.56/~jnz1568/getInfo.php?workbook=10_01.xlsx&amp;sheet=A0&amp;row=182&amp;col=14&amp;number=1705500000&amp;sourceID=12","1705500000")</f>
        <v>1705500000</v>
      </c>
      <c r="O182" s="4" t="str">
        <f>HYPERLINK("http://141.218.60.56/~jnz1568/getInfo.php?workbook=10_01.xlsx&amp;sheet=A0&amp;row=182&amp;col=15&amp;number=1705500000&amp;sourceID=12","1705500000")</f>
        <v>1705500000</v>
      </c>
      <c r="P182" s="4" t="str">
        <f>HYPERLINK("http://141.218.60.56/~jnz1568/getInfo.php?workbook=10_01.xlsx&amp;sheet=A0&amp;row=182&amp;col=16&amp;number=&amp;sourceID=12","")</f>
        <v/>
      </c>
      <c r="Q182" s="4" t="str">
        <f>HYPERLINK("http://141.218.60.56/~jnz1568/getInfo.php?workbook=10_01.xlsx&amp;sheet=A0&amp;row=182&amp;col=17&amp;number=3.0775&amp;sourceID=12","3.0775")</f>
        <v>3.0775</v>
      </c>
      <c r="R182" s="4" t="str">
        <f>HYPERLINK("http://141.218.60.56/~jnz1568/getInfo.php?workbook=10_01.xlsx&amp;sheet=A0&amp;row=182&amp;col=18&amp;number=&amp;sourceID=12","")</f>
        <v/>
      </c>
      <c r="S182" s="4" t="str">
        <f>HYPERLINK("http://141.218.60.56/~jnz1568/getInfo.php?workbook=10_01.xlsx&amp;sheet=A0&amp;row=182&amp;col=19&amp;number=1.4878&amp;sourceID=12","1.4878")</f>
        <v>1.4878</v>
      </c>
      <c r="T182" s="4" t="str">
        <f>HYPERLINK("http://141.218.60.56/~jnz1568/getInfo.php?workbook=10_01.xlsx&amp;sheet=A0&amp;row=182&amp;col=20&amp;number=&amp;sourceID=12","")</f>
        <v/>
      </c>
      <c r="U182" s="4" t="str">
        <f>HYPERLINK("http://141.218.60.56/~jnz1568/getInfo.php?workbook=10_01.xlsx&amp;sheet=A0&amp;row=182&amp;col=21&amp;number=1706000001.49&amp;sourceID=30","1706000001.49")</f>
        <v>1706000001.49</v>
      </c>
      <c r="V182" s="4" t="str">
        <f>HYPERLINK("http://141.218.60.56/~jnz1568/getInfo.php?workbook=10_01.xlsx&amp;sheet=A0&amp;row=182&amp;col=22&amp;number=1706000000&amp;sourceID=30","1706000000")</f>
        <v>1706000000</v>
      </c>
      <c r="W182" s="4" t="str">
        <f>HYPERLINK("http://141.218.60.56/~jnz1568/getInfo.php?workbook=10_01.xlsx&amp;sheet=A0&amp;row=182&amp;col=23&amp;number=&amp;sourceID=30","")</f>
        <v/>
      </c>
      <c r="X182" s="4" t="str">
        <f>HYPERLINK("http://141.218.60.56/~jnz1568/getInfo.php?workbook=10_01.xlsx&amp;sheet=A0&amp;row=182&amp;col=24&amp;number=&amp;sourceID=30","")</f>
        <v/>
      </c>
      <c r="Y182" s="4" t="str">
        <f>HYPERLINK("http://141.218.60.56/~jnz1568/getInfo.php?workbook=10_01.xlsx&amp;sheet=A0&amp;row=182&amp;col=25&amp;number=1.488&amp;sourceID=30","1.488")</f>
        <v>1.488</v>
      </c>
      <c r="Z182" s="4" t="str">
        <f>HYPERLINK("http://141.218.60.56/~jnz1568/getInfo.php?workbook=10_01.xlsx&amp;sheet=A0&amp;row=182&amp;col=26&amp;number=&amp;sourceID=13","")</f>
        <v/>
      </c>
      <c r="AA182" s="4" t="str">
        <f>HYPERLINK("http://141.218.60.56/~jnz1568/getInfo.php?workbook=10_01.xlsx&amp;sheet=A0&amp;row=182&amp;col=27&amp;number=&amp;sourceID=13","")</f>
        <v/>
      </c>
      <c r="AB182" s="4" t="str">
        <f>HYPERLINK("http://141.218.60.56/~jnz1568/getInfo.php?workbook=10_01.xlsx&amp;sheet=A0&amp;row=182&amp;col=28&amp;number=&amp;sourceID=13","")</f>
        <v/>
      </c>
      <c r="AC182" s="4" t="str">
        <f>HYPERLINK("http://141.218.60.56/~jnz1568/getInfo.php?workbook=10_01.xlsx&amp;sheet=A0&amp;row=182&amp;col=29&amp;number=&amp;sourceID=13","")</f>
        <v/>
      </c>
      <c r="AD182" s="4" t="str">
        <f>HYPERLINK("http://141.218.60.56/~jnz1568/getInfo.php?workbook=10_01.xlsx&amp;sheet=A0&amp;row=182&amp;col=30&amp;number=&amp;sourceID=13","")</f>
        <v/>
      </c>
      <c r="AE182" s="4" t="str">
        <f>HYPERLINK("http://141.218.60.56/~jnz1568/getInfo.php?workbook=10_01.xlsx&amp;sheet=A0&amp;row=182&amp;col=31&amp;number=&amp;sourceID=13","")</f>
        <v/>
      </c>
      <c r="AF182" s="4" t="str">
        <f>HYPERLINK("http://141.218.60.56/~jnz1568/getInfo.php?workbook=10_01.xlsx&amp;sheet=A0&amp;row=182&amp;col=32&amp;number=&amp;sourceID=20","")</f>
        <v/>
      </c>
    </row>
    <row r="183" spans="1:32">
      <c r="A183" s="3">
        <v>10</v>
      </c>
      <c r="B183" s="3">
        <v>1</v>
      </c>
      <c r="C183" s="3">
        <v>20</v>
      </c>
      <c r="D183" s="3">
        <v>16</v>
      </c>
      <c r="E183" s="3">
        <f>((1/(INDEX(E0!J$4:J$28,C183,1)-INDEX(E0!J$4:J$28,D183,1))))*100000000</f>
        <v>0</v>
      </c>
      <c r="F183" s="4" t="str">
        <f>HYPERLINK("http://141.218.60.56/~jnz1568/getInfo.php?workbook=10_01.xlsx&amp;sheet=A0&amp;row=183&amp;col=6&amp;number=&amp;sourceID=18","")</f>
        <v/>
      </c>
      <c r="G183" s="4" t="str">
        <f>HYPERLINK("http://141.218.60.56/~jnz1568/getInfo.php?workbook=10_01.xlsx&amp;sheet=A0&amp;row=183&amp;col=7&amp;number==&amp;sourceID=11","=")</f>
        <v>=</v>
      </c>
      <c r="H183" s="4" t="str">
        <f>HYPERLINK("http://141.218.60.56/~jnz1568/getInfo.php?workbook=10_01.xlsx&amp;sheet=A0&amp;row=183&amp;col=8&amp;number=&amp;sourceID=11","")</f>
        <v/>
      </c>
      <c r="I183" s="4" t="str">
        <f>HYPERLINK("http://141.218.60.56/~jnz1568/getInfo.php?workbook=10_01.xlsx&amp;sheet=A0&amp;row=183&amp;col=9&amp;number=40472&amp;sourceID=11","40472")</f>
        <v>40472</v>
      </c>
      <c r="J183" s="4" t="str">
        <f>HYPERLINK("http://141.218.60.56/~jnz1568/getInfo.php?workbook=10_01.xlsx&amp;sheet=A0&amp;row=183&amp;col=10&amp;number=&amp;sourceID=11","")</f>
        <v/>
      </c>
      <c r="K183" s="4" t="str">
        <f>HYPERLINK("http://141.218.60.56/~jnz1568/getInfo.php?workbook=10_01.xlsx&amp;sheet=A0&amp;row=183&amp;col=11&amp;number=&amp;sourceID=11","")</f>
        <v/>
      </c>
      <c r="L183" s="4" t="str">
        <f>HYPERLINK("http://141.218.60.56/~jnz1568/getInfo.php?workbook=10_01.xlsx&amp;sheet=A0&amp;row=183&amp;col=12&amp;number=&amp;sourceID=11","")</f>
        <v/>
      </c>
      <c r="M183" s="4" t="str">
        <f>HYPERLINK("http://141.218.60.56/~jnz1568/getInfo.php?workbook=10_01.xlsx&amp;sheet=A0&amp;row=183&amp;col=13&amp;number=3.1102e-05&amp;sourceID=11","3.1102e-05")</f>
        <v>3.1102e-05</v>
      </c>
      <c r="N183" s="4" t="str">
        <f>HYPERLINK("http://141.218.60.56/~jnz1568/getInfo.php?workbook=10_01.xlsx&amp;sheet=A0&amp;row=183&amp;col=14&amp;number=40473&amp;sourceID=12","40473")</f>
        <v>40473</v>
      </c>
      <c r="O183" s="4" t="str">
        <f>HYPERLINK("http://141.218.60.56/~jnz1568/getInfo.php?workbook=10_01.xlsx&amp;sheet=A0&amp;row=183&amp;col=15&amp;number=&amp;sourceID=12","")</f>
        <v/>
      </c>
      <c r="P183" s="4" t="str">
        <f>HYPERLINK("http://141.218.60.56/~jnz1568/getInfo.php?workbook=10_01.xlsx&amp;sheet=A0&amp;row=183&amp;col=16&amp;number=40473&amp;sourceID=12","40473")</f>
        <v>40473</v>
      </c>
      <c r="Q183" s="4" t="str">
        <f>HYPERLINK("http://141.218.60.56/~jnz1568/getInfo.php?workbook=10_01.xlsx&amp;sheet=A0&amp;row=183&amp;col=17&amp;number=&amp;sourceID=12","")</f>
        <v/>
      </c>
      <c r="R183" s="4" t="str">
        <f>HYPERLINK("http://141.218.60.56/~jnz1568/getInfo.php?workbook=10_01.xlsx&amp;sheet=A0&amp;row=183&amp;col=18&amp;number=&amp;sourceID=12","")</f>
        <v/>
      </c>
      <c r="S183" s="4" t="str">
        <f>HYPERLINK("http://141.218.60.56/~jnz1568/getInfo.php?workbook=10_01.xlsx&amp;sheet=A0&amp;row=183&amp;col=19&amp;number=&amp;sourceID=12","")</f>
        <v/>
      </c>
      <c r="T183" s="4" t="str">
        <f>HYPERLINK("http://141.218.60.56/~jnz1568/getInfo.php?workbook=10_01.xlsx&amp;sheet=A0&amp;row=183&amp;col=20&amp;number=3.1102e-05&amp;sourceID=12","3.1102e-05")</f>
        <v>3.1102e-05</v>
      </c>
      <c r="U183" s="4" t="str">
        <f>HYPERLINK("http://141.218.60.56/~jnz1568/getInfo.php?workbook=10_01.xlsx&amp;sheet=A0&amp;row=183&amp;col=21&amp;number=40470&amp;sourceID=30","40470")</f>
        <v>40470</v>
      </c>
      <c r="V183" s="4" t="str">
        <f>HYPERLINK("http://141.218.60.56/~jnz1568/getInfo.php?workbook=10_01.xlsx&amp;sheet=A0&amp;row=183&amp;col=22&amp;number=&amp;sourceID=30","")</f>
        <v/>
      </c>
      <c r="W183" s="4" t="str">
        <f>HYPERLINK("http://141.218.60.56/~jnz1568/getInfo.php?workbook=10_01.xlsx&amp;sheet=A0&amp;row=183&amp;col=23&amp;number=40470&amp;sourceID=30","40470")</f>
        <v>40470</v>
      </c>
      <c r="X183" s="4" t="str">
        <f>HYPERLINK("http://141.218.60.56/~jnz1568/getInfo.php?workbook=10_01.xlsx&amp;sheet=A0&amp;row=183&amp;col=24&amp;number=&amp;sourceID=30","")</f>
        <v/>
      </c>
      <c r="Y183" s="4" t="str">
        <f>HYPERLINK("http://141.218.60.56/~jnz1568/getInfo.php?workbook=10_01.xlsx&amp;sheet=A0&amp;row=183&amp;col=25&amp;number=&amp;sourceID=30","")</f>
        <v/>
      </c>
      <c r="Z183" s="4" t="str">
        <f>HYPERLINK("http://141.218.60.56/~jnz1568/getInfo.php?workbook=10_01.xlsx&amp;sheet=A0&amp;row=183&amp;col=26&amp;number=&amp;sourceID=13","")</f>
        <v/>
      </c>
      <c r="AA183" s="4" t="str">
        <f>HYPERLINK("http://141.218.60.56/~jnz1568/getInfo.php?workbook=10_01.xlsx&amp;sheet=A0&amp;row=183&amp;col=27&amp;number=&amp;sourceID=13","")</f>
        <v/>
      </c>
      <c r="AB183" s="4" t="str">
        <f>HYPERLINK("http://141.218.60.56/~jnz1568/getInfo.php?workbook=10_01.xlsx&amp;sheet=A0&amp;row=183&amp;col=28&amp;number=&amp;sourceID=13","")</f>
        <v/>
      </c>
      <c r="AC183" s="4" t="str">
        <f>HYPERLINK("http://141.218.60.56/~jnz1568/getInfo.php?workbook=10_01.xlsx&amp;sheet=A0&amp;row=183&amp;col=29&amp;number=&amp;sourceID=13","")</f>
        <v/>
      </c>
      <c r="AD183" s="4" t="str">
        <f>HYPERLINK("http://141.218.60.56/~jnz1568/getInfo.php?workbook=10_01.xlsx&amp;sheet=A0&amp;row=183&amp;col=30&amp;number=&amp;sourceID=13","")</f>
        <v/>
      </c>
      <c r="AE183" s="4" t="str">
        <f>HYPERLINK("http://141.218.60.56/~jnz1568/getInfo.php?workbook=10_01.xlsx&amp;sheet=A0&amp;row=183&amp;col=31&amp;number=&amp;sourceID=13","")</f>
        <v/>
      </c>
      <c r="AF183" s="4" t="str">
        <f>HYPERLINK("http://141.218.60.56/~jnz1568/getInfo.php?workbook=10_01.xlsx&amp;sheet=A0&amp;row=183&amp;col=32&amp;number=&amp;sourceID=20","")</f>
        <v/>
      </c>
    </row>
    <row r="184" spans="1:32">
      <c r="A184" s="3">
        <v>10</v>
      </c>
      <c r="B184" s="3">
        <v>1</v>
      </c>
      <c r="C184" s="3">
        <v>20</v>
      </c>
      <c r="D184" s="3">
        <v>17</v>
      </c>
      <c r="E184" s="3">
        <f>((1/(INDEX(E0!J$4:J$28,C184,1)-INDEX(E0!J$4:J$28,D184,1))))*100000000</f>
        <v>0</v>
      </c>
      <c r="F184" s="4" t="str">
        <f>HYPERLINK("http://141.218.60.56/~jnz1568/getInfo.php?workbook=10_01.xlsx&amp;sheet=A0&amp;row=184&amp;col=6&amp;number=&amp;sourceID=18","")</f>
        <v/>
      </c>
      <c r="G184" s="4" t="str">
        <f>HYPERLINK("http://141.218.60.56/~jnz1568/getInfo.php?workbook=10_01.xlsx&amp;sheet=A0&amp;row=184&amp;col=7&amp;number==&amp;sourceID=11","=")</f>
        <v>=</v>
      </c>
      <c r="H184" s="4" t="str">
        <f>HYPERLINK("http://141.218.60.56/~jnz1568/getInfo.php?workbook=10_01.xlsx&amp;sheet=A0&amp;row=184&amp;col=8&amp;number=&amp;sourceID=11","")</f>
        <v/>
      </c>
      <c r="I184" s="4" t="str">
        <f>HYPERLINK("http://141.218.60.56/~jnz1568/getInfo.php?workbook=10_01.xlsx&amp;sheet=A0&amp;row=184&amp;col=9&amp;number=3.5638e-09&amp;sourceID=11","3.5638e-09")</f>
        <v>3.5638e-09</v>
      </c>
      <c r="J184" s="4" t="str">
        <f>HYPERLINK("http://141.218.60.56/~jnz1568/getInfo.php?workbook=10_01.xlsx&amp;sheet=A0&amp;row=184&amp;col=10&amp;number=&amp;sourceID=11","")</f>
        <v/>
      </c>
      <c r="K184" s="4" t="str">
        <f>HYPERLINK("http://141.218.60.56/~jnz1568/getInfo.php?workbook=10_01.xlsx&amp;sheet=A0&amp;row=184&amp;col=11&amp;number=0.00011593&amp;sourceID=11","0.00011593")</f>
        <v>0.00011593</v>
      </c>
      <c r="L184" s="4" t="str">
        <f>HYPERLINK("http://141.218.60.56/~jnz1568/getInfo.php?workbook=10_01.xlsx&amp;sheet=A0&amp;row=184&amp;col=12&amp;number=&amp;sourceID=11","")</f>
        <v/>
      </c>
      <c r="M184" s="4" t="str">
        <f>HYPERLINK("http://141.218.60.56/~jnz1568/getInfo.php?workbook=10_01.xlsx&amp;sheet=A0&amp;row=184&amp;col=13&amp;number=&amp;sourceID=11","")</f>
        <v/>
      </c>
      <c r="N184" s="4" t="str">
        <f>HYPERLINK("http://141.218.60.56/~jnz1568/getInfo.php?workbook=10_01.xlsx&amp;sheet=A0&amp;row=184&amp;col=14&amp;number=0.00011593&amp;sourceID=12","0.00011593")</f>
        <v>0.00011593</v>
      </c>
      <c r="O184" s="4" t="str">
        <f>HYPERLINK("http://141.218.60.56/~jnz1568/getInfo.php?workbook=10_01.xlsx&amp;sheet=A0&amp;row=184&amp;col=15&amp;number=&amp;sourceID=12","")</f>
        <v/>
      </c>
      <c r="P184" s="4" t="str">
        <f>HYPERLINK("http://141.218.60.56/~jnz1568/getInfo.php?workbook=10_01.xlsx&amp;sheet=A0&amp;row=184&amp;col=16&amp;number=3.5641e-09&amp;sourceID=12","3.5641e-09")</f>
        <v>3.5641e-09</v>
      </c>
      <c r="Q184" s="4" t="str">
        <f>HYPERLINK("http://141.218.60.56/~jnz1568/getInfo.php?workbook=10_01.xlsx&amp;sheet=A0&amp;row=184&amp;col=17&amp;number=&amp;sourceID=12","")</f>
        <v/>
      </c>
      <c r="R184" s="4" t="str">
        <f>HYPERLINK("http://141.218.60.56/~jnz1568/getInfo.php?workbook=10_01.xlsx&amp;sheet=A0&amp;row=184&amp;col=18&amp;number=0.00011593&amp;sourceID=12","0.00011593")</f>
        <v>0.00011593</v>
      </c>
      <c r="S184" s="4" t="str">
        <f>HYPERLINK("http://141.218.60.56/~jnz1568/getInfo.php?workbook=10_01.xlsx&amp;sheet=A0&amp;row=184&amp;col=19&amp;number=&amp;sourceID=12","")</f>
        <v/>
      </c>
      <c r="T184" s="4" t="str">
        <f>HYPERLINK("http://141.218.60.56/~jnz1568/getInfo.php?workbook=10_01.xlsx&amp;sheet=A0&amp;row=184&amp;col=20&amp;number=&amp;sourceID=12","")</f>
        <v/>
      </c>
      <c r="U184" s="4" t="str">
        <f>HYPERLINK("http://141.218.60.56/~jnz1568/getInfo.php?workbook=10_01.xlsx&amp;sheet=A0&amp;row=184&amp;col=21&amp;number=0.000115903564&amp;sourceID=30","0.000115903564")</f>
        <v>0.000115903564</v>
      </c>
      <c r="V184" s="4" t="str">
        <f>HYPERLINK("http://141.218.60.56/~jnz1568/getInfo.php?workbook=10_01.xlsx&amp;sheet=A0&amp;row=184&amp;col=22&amp;number=&amp;sourceID=30","")</f>
        <v/>
      </c>
      <c r="W184" s="4" t="str">
        <f>HYPERLINK("http://141.218.60.56/~jnz1568/getInfo.php?workbook=10_01.xlsx&amp;sheet=A0&amp;row=184&amp;col=23&amp;number=3.564e-09&amp;sourceID=30","3.564e-09")</f>
        <v>3.564e-09</v>
      </c>
      <c r="X184" s="4" t="str">
        <f>HYPERLINK("http://141.218.60.56/~jnz1568/getInfo.php?workbook=10_01.xlsx&amp;sheet=A0&amp;row=184&amp;col=24&amp;number=0.0001159&amp;sourceID=30","0.0001159")</f>
        <v>0.0001159</v>
      </c>
      <c r="Y184" s="4" t="str">
        <f>HYPERLINK("http://141.218.60.56/~jnz1568/getInfo.php?workbook=10_01.xlsx&amp;sheet=A0&amp;row=184&amp;col=25&amp;number=&amp;sourceID=30","")</f>
        <v/>
      </c>
      <c r="Z184" s="4" t="str">
        <f>HYPERLINK("http://141.218.60.56/~jnz1568/getInfo.php?workbook=10_01.xlsx&amp;sheet=A0&amp;row=184&amp;col=26&amp;number=&amp;sourceID=13","")</f>
        <v/>
      </c>
      <c r="AA184" s="4" t="str">
        <f>HYPERLINK("http://141.218.60.56/~jnz1568/getInfo.php?workbook=10_01.xlsx&amp;sheet=A0&amp;row=184&amp;col=27&amp;number=&amp;sourceID=13","")</f>
        <v/>
      </c>
      <c r="AB184" s="4" t="str">
        <f>HYPERLINK("http://141.218.60.56/~jnz1568/getInfo.php?workbook=10_01.xlsx&amp;sheet=A0&amp;row=184&amp;col=28&amp;number=&amp;sourceID=13","")</f>
        <v/>
      </c>
      <c r="AC184" s="4" t="str">
        <f>HYPERLINK("http://141.218.60.56/~jnz1568/getInfo.php?workbook=10_01.xlsx&amp;sheet=A0&amp;row=184&amp;col=29&amp;number=&amp;sourceID=13","")</f>
        <v/>
      </c>
      <c r="AD184" s="4" t="str">
        <f>HYPERLINK("http://141.218.60.56/~jnz1568/getInfo.php?workbook=10_01.xlsx&amp;sheet=A0&amp;row=184&amp;col=30&amp;number=&amp;sourceID=13","")</f>
        <v/>
      </c>
      <c r="AE184" s="4" t="str">
        <f>HYPERLINK("http://141.218.60.56/~jnz1568/getInfo.php?workbook=10_01.xlsx&amp;sheet=A0&amp;row=184&amp;col=31&amp;number=&amp;sourceID=13","")</f>
        <v/>
      </c>
      <c r="AF184" s="4" t="str">
        <f>HYPERLINK("http://141.218.60.56/~jnz1568/getInfo.php?workbook=10_01.xlsx&amp;sheet=A0&amp;row=184&amp;col=32&amp;number=&amp;sourceID=20","")</f>
        <v/>
      </c>
    </row>
    <row r="185" spans="1:32">
      <c r="A185" s="3">
        <v>10</v>
      </c>
      <c r="B185" s="3">
        <v>1</v>
      </c>
      <c r="C185" s="3">
        <v>20</v>
      </c>
      <c r="D185" s="3">
        <v>18</v>
      </c>
      <c r="E185" s="3">
        <f>((1/(INDEX(E0!J$4:J$28,C185,1)-INDEX(E0!J$4:J$28,D185,1))))*100000000</f>
        <v>0</v>
      </c>
      <c r="F185" s="4" t="str">
        <f>HYPERLINK("http://141.218.60.56/~jnz1568/getInfo.php?workbook=10_01.xlsx&amp;sheet=A0&amp;row=185&amp;col=6&amp;number=&amp;sourceID=18","")</f>
        <v/>
      </c>
      <c r="G185" s="4" t="str">
        <f>HYPERLINK("http://141.218.60.56/~jnz1568/getInfo.php?workbook=10_01.xlsx&amp;sheet=A0&amp;row=185&amp;col=7&amp;number==&amp;sourceID=11","=")</f>
        <v>=</v>
      </c>
      <c r="H185" s="4" t="str">
        <f>HYPERLINK("http://141.218.60.56/~jnz1568/getInfo.php?workbook=10_01.xlsx&amp;sheet=A0&amp;row=185&amp;col=8&amp;number=117.45&amp;sourceID=11","117.45")</f>
        <v>117.45</v>
      </c>
      <c r="I185" s="4" t="str">
        <f>HYPERLINK("http://141.218.60.56/~jnz1568/getInfo.php?workbook=10_01.xlsx&amp;sheet=A0&amp;row=185&amp;col=9&amp;number=&amp;sourceID=11","")</f>
        <v/>
      </c>
      <c r="J185" s="4" t="str">
        <f>HYPERLINK("http://141.218.60.56/~jnz1568/getInfo.php?workbook=10_01.xlsx&amp;sheet=A0&amp;row=185&amp;col=10&amp;number=&amp;sourceID=11","")</f>
        <v/>
      </c>
      <c r="K185" s="4" t="str">
        <f>HYPERLINK("http://141.218.60.56/~jnz1568/getInfo.php?workbook=10_01.xlsx&amp;sheet=A0&amp;row=185&amp;col=11&amp;number=&amp;sourceID=11","")</f>
        <v/>
      </c>
      <c r="L185" s="4" t="str">
        <f>HYPERLINK("http://141.218.60.56/~jnz1568/getInfo.php?workbook=10_01.xlsx&amp;sheet=A0&amp;row=185&amp;col=12&amp;number=7.1e-14&amp;sourceID=11","7.1e-14")</f>
        <v>7.1e-14</v>
      </c>
      <c r="M185" s="4" t="str">
        <f>HYPERLINK("http://141.218.60.56/~jnz1568/getInfo.php?workbook=10_01.xlsx&amp;sheet=A0&amp;row=185&amp;col=13&amp;number=&amp;sourceID=11","")</f>
        <v/>
      </c>
      <c r="N185" s="4" t="str">
        <f>HYPERLINK("http://141.218.60.56/~jnz1568/getInfo.php?workbook=10_01.xlsx&amp;sheet=A0&amp;row=185&amp;col=14&amp;number=117.46&amp;sourceID=12","117.46")</f>
        <v>117.46</v>
      </c>
      <c r="O185" s="4" t="str">
        <f>HYPERLINK("http://141.218.60.56/~jnz1568/getInfo.php?workbook=10_01.xlsx&amp;sheet=A0&amp;row=185&amp;col=15&amp;number=117.46&amp;sourceID=12","117.46")</f>
        <v>117.46</v>
      </c>
      <c r="P185" s="4" t="str">
        <f>HYPERLINK("http://141.218.60.56/~jnz1568/getInfo.php?workbook=10_01.xlsx&amp;sheet=A0&amp;row=185&amp;col=16&amp;number=&amp;sourceID=12","")</f>
        <v/>
      </c>
      <c r="Q185" s="4" t="str">
        <f>HYPERLINK("http://141.218.60.56/~jnz1568/getInfo.php?workbook=10_01.xlsx&amp;sheet=A0&amp;row=185&amp;col=17&amp;number=&amp;sourceID=12","")</f>
        <v/>
      </c>
      <c r="R185" s="4" t="str">
        <f>HYPERLINK("http://141.218.60.56/~jnz1568/getInfo.php?workbook=10_01.xlsx&amp;sheet=A0&amp;row=185&amp;col=18&amp;number=&amp;sourceID=12","")</f>
        <v/>
      </c>
      <c r="S185" s="4" t="str">
        <f>HYPERLINK("http://141.218.60.56/~jnz1568/getInfo.php?workbook=10_01.xlsx&amp;sheet=A0&amp;row=185&amp;col=19&amp;number=7.1e-14&amp;sourceID=12","7.1e-14")</f>
        <v>7.1e-14</v>
      </c>
      <c r="T185" s="4" t="str">
        <f>HYPERLINK("http://141.218.60.56/~jnz1568/getInfo.php?workbook=10_01.xlsx&amp;sheet=A0&amp;row=185&amp;col=20&amp;number=&amp;sourceID=12","")</f>
        <v/>
      </c>
      <c r="U185" s="4" t="str">
        <f>HYPERLINK("http://141.218.60.56/~jnz1568/getInfo.php?workbook=10_01.xlsx&amp;sheet=A0&amp;row=185&amp;col=21&amp;number=117.5&amp;sourceID=30","117.5")</f>
        <v>117.5</v>
      </c>
      <c r="V185" s="4" t="str">
        <f>HYPERLINK("http://141.218.60.56/~jnz1568/getInfo.php?workbook=10_01.xlsx&amp;sheet=A0&amp;row=185&amp;col=22&amp;number=117.5&amp;sourceID=30","117.5")</f>
        <v>117.5</v>
      </c>
      <c r="W185" s="4" t="str">
        <f>HYPERLINK("http://141.218.60.56/~jnz1568/getInfo.php?workbook=10_01.xlsx&amp;sheet=A0&amp;row=185&amp;col=23&amp;number=&amp;sourceID=30","")</f>
        <v/>
      </c>
      <c r="X185" s="4" t="str">
        <f>HYPERLINK("http://141.218.60.56/~jnz1568/getInfo.php?workbook=10_01.xlsx&amp;sheet=A0&amp;row=185&amp;col=24&amp;number=&amp;sourceID=30","")</f>
        <v/>
      </c>
      <c r="Y185" s="4" t="str">
        <f>HYPERLINK("http://141.218.60.56/~jnz1568/getInfo.php?workbook=10_01.xlsx&amp;sheet=A0&amp;row=185&amp;col=25&amp;number=7.1e-14&amp;sourceID=30","7.1e-14")</f>
        <v>7.1e-14</v>
      </c>
      <c r="Z185" s="4" t="str">
        <f>HYPERLINK("http://141.218.60.56/~jnz1568/getInfo.php?workbook=10_01.xlsx&amp;sheet=A0&amp;row=185&amp;col=26&amp;number=&amp;sourceID=13","")</f>
        <v/>
      </c>
      <c r="AA185" s="4" t="str">
        <f>HYPERLINK("http://141.218.60.56/~jnz1568/getInfo.php?workbook=10_01.xlsx&amp;sheet=A0&amp;row=185&amp;col=27&amp;number=&amp;sourceID=13","")</f>
        <v/>
      </c>
      <c r="AB185" s="4" t="str">
        <f>HYPERLINK("http://141.218.60.56/~jnz1568/getInfo.php?workbook=10_01.xlsx&amp;sheet=A0&amp;row=185&amp;col=28&amp;number=&amp;sourceID=13","")</f>
        <v/>
      </c>
      <c r="AC185" s="4" t="str">
        <f>HYPERLINK("http://141.218.60.56/~jnz1568/getInfo.php?workbook=10_01.xlsx&amp;sheet=A0&amp;row=185&amp;col=29&amp;number=&amp;sourceID=13","")</f>
        <v/>
      </c>
      <c r="AD185" s="4" t="str">
        <f>HYPERLINK("http://141.218.60.56/~jnz1568/getInfo.php?workbook=10_01.xlsx&amp;sheet=A0&amp;row=185&amp;col=30&amp;number=&amp;sourceID=13","")</f>
        <v/>
      </c>
      <c r="AE185" s="4" t="str">
        <f>HYPERLINK("http://141.218.60.56/~jnz1568/getInfo.php?workbook=10_01.xlsx&amp;sheet=A0&amp;row=185&amp;col=31&amp;number=&amp;sourceID=13","")</f>
        <v/>
      </c>
      <c r="AF185" s="4" t="str">
        <f>HYPERLINK("http://141.218.60.56/~jnz1568/getInfo.php?workbook=10_01.xlsx&amp;sheet=A0&amp;row=185&amp;col=32&amp;number=&amp;sourceID=20","")</f>
        <v/>
      </c>
    </row>
    <row r="186" spans="1:32">
      <c r="A186" s="3">
        <v>10</v>
      </c>
      <c r="B186" s="3">
        <v>1</v>
      </c>
      <c r="C186" s="3">
        <v>21</v>
      </c>
      <c r="D186" s="3">
        <v>1</v>
      </c>
      <c r="E186" s="3">
        <f>((1/(INDEX(E0!J$4:J$28,C186,1)-INDEX(E0!J$4:J$28,D186,1))))*100000000</f>
        <v>0</v>
      </c>
      <c r="F186" s="4" t="str">
        <f>HYPERLINK("http://141.218.60.56/~jnz1568/getInfo.php?workbook=10_01.xlsx&amp;sheet=A0&amp;row=186&amp;col=6&amp;number=&amp;sourceID=18","")</f>
        <v/>
      </c>
      <c r="G186" s="4" t="str">
        <f>HYPERLINK("http://141.218.60.56/~jnz1568/getInfo.php?workbook=10_01.xlsx&amp;sheet=A0&amp;row=186&amp;col=7&amp;number==&amp;sourceID=11","=")</f>
        <v>=</v>
      </c>
      <c r="H186" s="4" t="str">
        <f>HYPERLINK("http://141.218.60.56/~jnz1568/getInfo.php?workbook=10_01.xlsx&amp;sheet=A0&amp;row=186&amp;col=8&amp;number=&amp;sourceID=11","")</f>
        <v/>
      </c>
      <c r="I186" s="4" t="str">
        <f>HYPERLINK("http://141.218.60.56/~jnz1568/getInfo.php?workbook=10_01.xlsx&amp;sheet=A0&amp;row=186&amp;col=9&amp;number=&amp;sourceID=11","")</f>
        <v/>
      </c>
      <c r="J186" s="4" t="str">
        <f>HYPERLINK("http://141.218.60.56/~jnz1568/getInfo.php?workbook=10_01.xlsx&amp;sheet=A0&amp;row=186&amp;col=10&amp;number=25586&amp;sourceID=11","25586")</f>
        <v>25586</v>
      </c>
      <c r="K186" s="4" t="str">
        <f>HYPERLINK("http://141.218.60.56/~jnz1568/getInfo.php?workbook=10_01.xlsx&amp;sheet=A0&amp;row=186&amp;col=11&amp;number=&amp;sourceID=11","")</f>
        <v/>
      </c>
      <c r="L186" s="4" t="str">
        <f>HYPERLINK("http://141.218.60.56/~jnz1568/getInfo.php?workbook=10_01.xlsx&amp;sheet=A0&amp;row=186&amp;col=12&amp;number=0.0014209&amp;sourceID=11","0.0014209")</f>
        <v>0.0014209</v>
      </c>
      <c r="M186" s="4" t="str">
        <f>HYPERLINK("http://141.218.60.56/~jnz1568/getInfo.php?workbook=10_01.xlsx&amp;sheet=A0&amp;row=186&amp;col=13&amp;number=&amp;sourceID=11","")</f>
        <v/>
      </c>
      <c r="N186" s="4" t="str">
        <f>HYPERLINK("http://141.218.60.56/~jnz1568/getInfo.php?workbook=10_01.xlsx&amp;sheet=A0&amp;row=186&amp;col=14&amp;number=25586&amp;sourceID=12","25586")</f>
        <v>25586</v>
      </c>
      <c r="O186" s="4" t="str">
        <f>HYPERLINK("http://141.218.60.56/~jnz1568/getInfo.php?workbook=10_01.xlsx&amp;sheet=A0&amp;row=186&amp;col=15&amp;number=&amp;sourceID=12","")</f>
        <v/>
      </c>
      <c r="P186" s="4" t="str">
        <f>HYPERLINK("http://141.218.60.56/~jnz1568/getInfo.php?workbook=10_01.xlsx&amp;sheet=A0&amp;row=186&amp;col=16&amp;number=&amp;sourceID=12","")</f>
        <v/>
      </c>
      <c r="Q186" s="4" t="str">
        <f>HYPERLINK("http://141.218.60.56/~jnz1568/getInfo.php?workbook=10_01.xlsx&amp;sheet=A0&amp;row=186&amp;col=17&amp;number=25586&amp;sourceID=12","25586")</f>
        <v>25586</v>
      </c>
      <c r="R186" s="4" t="str">
        <f>HYPERLINK("http://141.218.60.56/~jnz1568/getInfo.php?workbook=10_01.xlsx&amp;sheet=A0&amp;row=186&amp;col=18&amp;number=&amp;sourceID=12","")</f>
        <v/>
      </c>
      <c r="S186" s="4" t="str">
        <f>HYPERLINK("http://141.218.60.56/~jnz1568/getInfo.php?workbook=10_01.xlsx&amp;sheet=A0&amp;row=186&amp;col=19&amp;number=0.0014269&amp;sourceID=12","0.0014269")</f>
        <v>0.0014269</v>
      </c>
      <c r="T186" s="4" t="str">
        <f>HYPERLINK("http://141.218.60.56/~jnz1568/getInfo.php?workbook=10_01.xlsx&amp;sheet=A0&amp;row=186&amp;col=20&amp;number=&amp;sourceID=12","")</f>
        <v/>
      </c>
      <c r="U186" s="4" t="str">
        <f>HYPERLINK("http://141.218.60.56/~jnz1568/getInfo.php?workbook=10_01.xlsx&amp;sheet=A0&amp;row=186&amp;col=21&amp;number=0.001421&amp;sourceID=30","0.001421")</f>
        <v>0.001421</v>
      </c>
      <c r="V186" s="4" t="str">
        <f>HYPERLINK("http://141.218.60.56/~jnz1568/getInfo.php?workbook=10_01.xlsx&amp;sheet=A0&amp;row=186&amp;col=22&amp;number=&amp;sourceID=30","")</f>
        <v/>
      </c>
      <c r="W186" s="4" t="str">
        <f>HYPERLINK("http://141.218.60.56/~jnz1568/getInfo.php?workbook=10_01.xlsx&amp;sheet=A0&amp;row=186&amp;col=23&amp;number=&amp;sourceID=30","")</f>
        <v/>
      </c>
      <c r="X186" s="4" t="str">
        <f>HYPERLINK("http://141.218.60.56/~jnz1568/getInfo.php?workbook=10_01.xlsx&amp;sheet=A0&amp;row=186&amp;col=24&amp;number=&amp;sourceID=30","")</f>
        <v/>
      </c>
      <c r="Y186" s="4" t="str">
        <f>HYPERLINK("http://141.218.60.56/~jnz1568/getInfo.php?workbook=10_01.xlsx&amp;sheet=A0&amp;row=186&amp;col=25&amp;number=0.001421&amp;sourceID=30","0.001421")</f>
        <v>0.001421</v>
      </c>
      <c r="Z186" s="4" t="str">
        <f>HYPERLINK("http://141.218.60.56/~jnz1568/getInfo.php?workbook=10_01.xlsx&amp;sheet=A0&amp;row=186&amp;col=26&amp;number=&amp;sourceID=13","")</f>
        <v/>
      </c>
      <c r="AA186" s="4" t="str">
        <f>HYPERLINK("http://141.218.60.56/~jnz1568/getInfo.php?workbook=10_01.xlsx&amp;sheet=A0&amp;row=186&amp;col=27&amp;number=&amp;sourceID=13","")</f>
        <v/>
      </c>
      <c r="AB186" s="4" t="str">
        <f>HYPERLINK("http://141.218.60.56/~jnz1568/getInfo.php?workbook=10_01.xlsx&amp;sheet=A0&amp;row=186&amp;col=28&amp;number=&amp;sourceID=13","")</f>
        <v/>
      </c>
      <c r="AC186" s="4" t="str">
        <f>HYPERLINK("http://141.218.60.56/~jnz1568/getInfo.php?workbook=10_01.xlsx&amp;sheet=A0&amp;row=186&amp;col=29&amp;number=&amp;sourceID=13","")</f>
        <v/>
      </c>
      <c r="AD186" s="4" t="str">
        <f>HYPERLINK("http://141.218.60.56/~jnz1568/getInfo.php?workbook=10_01.xlsx&amp;sheet=A0&amp;row=186&amp;col=30&amp;number=&amp;sourceID=13","")</f>
        <v/>
      </c>
      <c r="AE186" s="4" t="str">
        <f>HYPERLINK("http://141.218.60.56/~jnz1568/getInfo.php?workbook=10_01.xlsx&amp;sheet=A0&amp;row=186&amp;col=31&amp;number=&amp;sourceID=13","")</f>
        <v/>
      </c>
      <c r="AF186" s="4" t="str">
        <f>HYPERLINK("http://141.218.60.56/~jnz1568/getInfo.php?workbook=10_01.xlsx&amp;sheet=A0&amp;row=186&amp;col=32&amp;number=&amp;sourceID=20","")</f>
        <v/>
      </c>
    </row>
    <row r="187" spans="1:32">
      <c r="A187" s="3">
        <v>10</v>
      </c>
      <c r="B187" s="3">
        <v>1</v>
      </c>
      <c r="C187" s="3">
        <v>21</v>
      </c>
      <c r="D187" s="3">
        <v>2</v>
      </c>
      <c r="E187" s="3">
        <f>((1/(INDEX(E0!J$4:J$28,C187,1)-INDEX(E0!J$4:J$28,D187,1))))*100000000</f>
        <v>0</v>
      </c>
      <c r="F187" s="4" t="str">
        <f>HYPERLINK("http://141.218.60.56/~jnz1568/getInfo.php?workbook=10_01.xlsx&amp;sheet=A0&amp;row=187&amp;col=6&amp;number=&amp;sourceID=18","")</f>
        <v/>
      </c>
      <c r="G187" s="4" t="str">
        <f>HYPERLINK("http://141.218.60.56/~jnz1568/getInfo.php?workbook=10_01.xlsx&amp;sheet=A0&amp;row=187&amp;col=7&amp;number==&amp;sourceID=11","=")</f>
        <v>=</v>
      </c>
      <c r="H187" s="4" t="str">
        <f>HYPERLINK("http://141.218.60.56/~jnz1568/getInfo.php?workbook=10_01.xlsx&amp;sheet=A0&amp;row=187&amp;col=8&amp;number=&amp;sourceID=11","")</f>
        <v/>
      </c>
      <c r="I187" s="4" t="str">
        <f>HYPERLINK("http://141.218.60.56/~jnz1568/getInfo.php?workbook=10_01.xlsx&amp;sheet=A0&amp;row=187&amp;col=9&amp;number=32152000&amp;sourceID=11","32152000")</f>
        <v>32152000</v>
      </c>
      <c r="J187" s="4" t="str">
        <f>HYPERLINK("http://141.218.60.56/~jnz1568/getInfo.php?workbook=10_01.xlsx&amp;sheet=A0&amp;row=187&amp;col=10&amp;number=&amp;sourceID=11","")</f>
        <v/>
      </c>
      <c r="K187" s="4" t="str">
        <f>HYPERLINK("http://141.218.60.56/~jnz1568/getInfo.php?workbook=10_01.xlsx&amp;sheet=A0&amp;row=187&amp;col=11&amp;number=&amp;sourceID=11","")</f>
        <v/>
      </c>
      <c r="L187" s="4" t="str">
        <f>HYPERLINK("http://141.218.60.56/~jnz1568/getInfo.php?workbook=10_01.xlsx&amp;sheet=A0&amp;row=187&amp;col=12&amp;number=&amp;sourceID=11","")</f>
        <v/>
      </c>
      <c r="M187" s="4" t="str">
        <f>HYPERLINK("http://141.218.60.56/~jnz1568/getInfo.php?workbook=10_01.xlsx&amp;sheet=A0&amp;row=187&amp;col=13&amp;number=0.045726&amp;sourceID=11","0.045726")</f>
        <v>0.045726</v>
      </c>
      <c r="N187" s="4" t="str">
        <f>HYPERLINK("http://141.218.60.56/~jnz1568/getInfo.php?workbook=10_01.xlsx&amp;sheet=A0&amp;row=187&amp;col=14&amp;number=32153000&amp;sourceID=12","32153000")</f>
        <v>32153000</v>
      </c>
      <c r="O187" s="4" t="str">
        <f>HYPERLINK("http://141.218.60.56/~jnz1568/getInfo.php?workbook=10_01.xlsx&amp;sheet=A0&amp;row=187&amp;col=15&amp;number=&amp;sourceID=12","")</f>
        <v/>
      </c>
      <c r="P187" s="4" t="str">
        <f>HYPERLINK("http://141.218.60.56/~jnz1568/getInfo.php?workbook=10_01.xlsx&amp;sheet=A0&amp;row=187&amp;col=16&amp;number=32153000&amp;sourceID=12","32153000")</f>
        <v>32153000</v>
      </c>
      <c r="Q187" s="4" t="str">
        <f>HYPERLINK("http://141.218.60.56/~jnz1568/getInfo.php?workbook=10_01.xlsx&amp;sheet=A0&amp;row=187&amp;col=17&amp;number=&amp;sourceID=12","")</f>
        <v/>
      </c>
      <c r="R187" s="4" t="str">
        <f>HYPERLINK("http://141.218.60.56/~jnz1568/getInfo.php?workbook=10_01.xlsx&amp;sheet=A0&amp;row=187&amp;col=18&amp;number=&amp;sourceID=12","")</f>
        <v/>
      </c>
      <c r="S187" s="4" t="str">
        <f>HYPERLINK("http://141.218.60.56/~jnz1568/getInfo.php?workbook=10_01.xlsx&amp;sheet=A0&amp;row=187&amp;col=19&amp;number=&amp;sourceID=12","")</f>
        <v/>
      </c>
      <c r="T187" s="4" t="str">
        <f>HYPERLINK("http://141.218.60.56/~jnz1568/getInfo.php?workbook=10_01.xlsx&amp;sheet=A0&amp;row=187&amp;col=20&amp;number=0.045728&amp;sourceID=12","0.045728")</f>
        <v>0.045728</v>
      </c>
      <c r="U187" s="4" t="str">
        <f>HYPERLINK("http://141.218.60.56/~jnz1568/getInfo.php?workbook=10_01.xlsx&amp;sheet=A0&amp;row=187&amp;col=21&amp;number=32150000&amp;sourceID=30","32150000")</f>
        <v>32150000</v>
      </c>
      <c r="V187" s="4" t="str">
        <f>HYPERLINK("http://141.218.60.56/~jnz1568/getInfo.php?workbook=10_01.xlsx&amp;sheet=A0&amp;row=187&amp;col=22&amp;number=&amp;sourceID=30","")</f>
        <v/>
      </c>
      <c r="W187" s="4" t="str">
        <f>HYPERLINK("http://141.218.60.56/~jnz1568/getInfo.php?workbook=10_01.xlsx&amp;sheet=A0&amp;row=187&amp;col=23&amp;number=32150000&amp;sourceID=30","32150000")</f>
        <v>32150000</v>
      </c>
      <c r="X187" s="4" t="str">
        <f>HYPERLINK("http://141.218.60.56/~jnz1568/getInfo.php?workbook=10_01.xlsx&amp;sheet=A0&amp;row=187&amp;col=24&amp;number=&amp;sourceID=30","")</f>
        <v/>
      </c>
      <c r="Y187" s="4" t="str">
        <f>HYPERLINK("http://141.218.60.56/~jnz1568/getInfo.php?workbook=10_01.xlsx&amp;sheet=A0&amp;row=187&amp;col=25&amp;number=&amp;sourceID=30","")</f>
        <v/>
      </c>
      <c r="Z187" s="4" t="str">
        <f>HYPERLINK("http://141.218.60.56/~jnz1568/getInfo.php?workbook=10_01.xlsx&amp;sheet=A0&amp;row=187&amp;col=26&amp;number=&amp;sourceID=13","")</f>
        <v/>
      </c>
      <c r="AA187" s="4" t="str">
        <f>HYPERLINK("http://141.218.60.56/~jnz1568/getInfo.php?workbook=10_01.xlsx&amp;sheet=A0&amp;row=187&amp;col=27&amp;number=&amp;sourceID=13","")</f>
        <v/>
      </c>
      <c r="AB187" s="4" t="str">
        <f>HYPERLINK("http://141.218.60.56/~jnz1568/getInfo.php?workbook=10_01.xlsx&amp;sheet=A0&amp;row=187&amp;col=28&amp;number=&amp;sourceID=13","")</f>
        <v/>
      </c>
      <c r="AC187" s="4" t="str">
        <f>HYPERLINK("http://141.218.60.56/~jnz1568/getInfo.php?workbook=10_01.xlsx&amp;sheet=A0&amp;row=187&amp;col=29&amp;number=&amp;sourceID=13","")</f>
        <v/>
      </c>
      <c r="AD187" s="4" t="str">
        <f>HYPERLINK("http://141.218.60.56/~jnz1568/getInfo.php?workbook=10_01.xlsx&amp;sheet=A0&amp;row=187&amp;col=30&amp;number=&amp;sourceID=13","")</f>
        <v/>
      </c>
      <c r="AE187" s="4" t="str">
        <f>HYPERLINK("http://141.218.60.56/~jnz1568/getInfo.php?workbook=10_01.xlsx&amp;sheet=A0&amp;row=187&amp;col=31&amp;number=&amp;sourceID=13","")</f>
        <v/>
      </c>
      <c r="AF187" s="4" t="str">
        <f>HYPERLINK("http://141.218.60.56/~jnz1568/getInfo.php?workbook=10_01.xlsx&amp;sheet=A0&amp;row=187&amp;col=32&amp;number=&amp;sourceID=20","")</f>
        <v/>
      </c>
    </row>
    <row r="188" spans="1:32">
      <c r="A188" s="3">
        <v>10</v>
      </c>
      <c r="B188" s="3">
        <v>1</v>
      </c>
      <c r="C188" s="3">
        <v>21</v>
      </c>
      <c r="D188" s="3">
        <v>3</v>
      </c>
      <c r="E188" s="3">
        <f>((1/(INDEX(E0!J$4:J$28,C188,1)-INDEX(E0!J$4:J$28,D188,1))))*100000000</f>
        <v>0</v>
      </c>
      <c r="F188" s="4" t="str">
        <f>HYPERLINK("http://141.218.60.56/~jnz1568/getInfo.php?workbook=10_01.xlsx&amp;sheet=A0&amp;row=188&amp;col=6&amp;number=&amp;sourceID=18","")</f>
        <v/>
      </c>
      <c r="G188" s="4" t="str">
        <f>HYPERLINK("http://141.218.60.56/~jnz1568/getInfo.php?workbook=10_01.xlsx&amp;sheet=A0&amp;row=188&amp;col=7&amp;number==&amp;sourceID=11","=")</f>
        <v>=</v>
      </c>
      <c r="H188" s="4" t="str">
        <f>HYPERLINK("http://141.218.60.56/~jnz1568/getInfo.php?workbook=10_01.xlsx&amp;sheet=A0&amp;row=188&amp;col=8&amp;number=&amp;sourceID=11","")</f>
        <v/>
      </c>
      <c r="I188" s="4" t="str">
        <f>HYPERLINK("http://141.218.60.56/~jnz1568/getInfo.php?workbook=10_01.xlsx&amp;sheet=A0&amp;row=188&amp;col=9&amp;number=&amp;sourceID=11","")</f>
        <v/>
      </c>
      <c r="J188" s="4" t="str">
        <f>HYPERLINK("http://141.218.60.56/~jnz1568/getInfo.php?workbook=10_01.xlsx&amp;sheet=A0&amp;row=188&amp;col=10&amp;number=7080.2&amp;sourceID=11","7080.2")</f>
        <v>7080.2</v>
      </c>
      <c r="K188" s="4" t="str">
        <f>HYPERLINK("http://141.218.60.56/~jnz1568/getInfo.php?workbook=10_01.xlsx&amp;sheet=A0&amp;row=188&amp;col=11&amp;number=&amp;sourceID=11","")</f>
        <v/>
      </c>
      <c r="L188" s="4" t="str">
        <f>HYPERLINK("http://141.218.60.56/~jnz1568/getInfo.php?workbook=10_01.xlsx&amp;sheet=A0&amp;row=188&amp;col=12&amp;number=7.2314e-05&amp;sourceID=11","7.2314e-05")</f>
        <v>7.2314e-05</v>
      </c>
      <c r="M188" s="4" t="str">
        <f>HYPERLINK("http://141.218.60.56/~jnz1568/getInfo.php?workbook=10_01.xlsx&amp;sheet=A0&amp;row=188&amp;col=13&amp;number=&amp;sourceID=11","")</f>
        <v/>
      </c>
      <c r="N188" s="4" t="str">
        <f>HYPERLINK("http://141.218.60.56/~jnz1568/getInfo.php?workbook=10_01.xlsx&amp;sheet=A0&amp;row=188&amp;col=14&amp;number=7080.4&amp;sourceID=12","7080.4")</f>
        <v>7080.4</v>
      </c>
      <c r="O188" s="4" t="str">
        <f>HYPERLINK("http://141.218.60.56/~jnz1568/getInfo.php?workbook=10_01.xlsx&amp;sheet=A0&amp;row=188&amp;col=15&amp;number=&amp;sourceID=12","")</f>
        <v/>
      </c>
      <c r="P188" s="4" t="str">
        <f>HYPERLINK("http://141.218.60.56/~jnz1568/getInfo.php?workbook=10_01.xlsx&amp;sheet=A0&amp;row=188&amp;col=16&amp;number=&amp;sourceID=12","")</f>
        <v/>
      </c>
      <c r="Q188" s="4" t="str">
        <f>HYPERLINK("http://141.218.60.56/~jnz1568/getInfo.php?workbook=10_01.xlsx&amp;sheet=A0&amp;row=188&amp;col=17&amp;number=7080.4&amp;sourceID=12","7080.4")</f>
        <v>7080.4</v>
      </c>
      <c r="R188" s="4" t="str">
        <f>HYPERLINK("http://141.218.60.56/~jnz1568/getInfo.php?workbook=10_01.xlsx&amp;sheet=A0&amp;row=188&amp;col=18&amp;number=&amp;sourceID=12","")</f>
        <v/>
      </c>
      <c r="S188" s="4" t="str">
        <f>HYPERLINK("http://141.218.60.56/~jnz1568/getInfo.php?workbook=10_01.xlsx&amp;sheet=A0&amp;row=188&amp;col=19&amp;number=7.251e-05&amp;sourceID=12","7.251e-05")</f>
        <v>7.251e-05</v>
      </c>
      <c r="T188" s="4" t="str">
        <f>HYPERLINK("http://141.218.60.56/~jnz1568/getInfo.php?workbook=10_01.xlsx&amp;sheet=A0&amp;row=188&amp;col=20&amp;number=&amp;sourceID=12","")</f>
        <v/>
      </c>
      <c r="U188" s="4" t="str">
        <f>HYPERLINK("http://141.218.60.56/~jnz1568/getInfo.php?workbook=10_01.xlsx&amp;sheet=A0&amp;row=188&amp;col=21&amp;number=7.227e-05&amp;sourceID=30","7.227e-05")</f>
        <v>7.227e-05</v>
      </c>
      <c r="V188" s="4" t="str">
        <f>HYPERLINK("http://141.218.60.56/~jnz1568/getInfo.php?workbook=10_01.xlsx&amp;sheet=A0&amp;row=188&amp;col=22&amp;number=&amp;sourceID=30","")</f>
        <v/>
      </c>
      <c r="W188" s="4" t="str">
        <f>HYPERLINK("http://141.218.60.56/~jnz1568/getInfo.php?workbook=10_01.xlsx&amp;sheet=A0&amp;row=188&amp;col=23&amp;number=&amp;sourceID=30","")</f>
        <v/>
      </c>
      <c r="X188" s="4" t="str">
        <f>HYPERLINK("http://141.218.60.56/~jnz1568/getInfo.php?workbook=10_01.xlsx&amp;sheet=A0&amp;row=188&amp;col=24&amp;number=&amp;sourceID=30","")</f>
        <v/>
      </c>
      <c r="Y188" s="4" t="str">
        <f>HYPERLINK("http://141.218.60.56/~jnz1568/getInfo.php?workbook=10_01.xlsx&amp;sheet=A0&amp;row=188&amp;col=25&amp;number=7.227e-05&amp;sourceID=30","7.227e-05")</f>
        <v>7.227e-05</v>
      </c>
      <c r="Z188" s="4" t="str">
        <f>HYPERLINK("http://141.218.60.56/~jnz1568/getInfo.php?workbook=10_01.xlsx&amp;sheet=A0&amp;row=188&amp;col=26&amp;number=&amp;sourceID=13","")</f>
        <v/>
      </c>
      <c r="AA188" s="4" t="str">
        <f>HYPERLINK("http://141.218.60.56/~jnz1568/getInfo.php?workbook=10_01.xlsx&amp;sheet=A0&amp;row=188&amp;col=27&amp;number=&amp;sourceID=13","")</f>
        <v/>
      </c>
      <c r="AB188" s="4" t="str">
        <f>HYPERLINK("http://141.218.60.56/~jnz1568/getInfo.php?workbook=10_01.xlsx&amp;sheet=A0&amp;row=188&amp;col=28&amp;number=&amp;sourceID=13","")</f>
        <v/>
      </c>
      <c r="AC188" s="4" t="str">
        <f>HYPERLINK("http://141.218.60.56/~jnz1568/getInfo.php?workbook=10_01.xlsx&amp;sheet=A0&amp;row=188&amp;col=29&amp;number=&amp;sourceID=13","")</f>
        <v/>
      </c>
      <c r="AD188" s="4" t="str">
        <f>HYPERLINK("http://141.218.60.56/~jnz1568/getInfo.php?workbook=10_01.xlsx&amp;sheet=A0&amp;row=188&amp;col=30&amp;number=&amp;sourceID=13","")</f>
        <v/>
      </c>
      <c r="AE188" s="4" t="str">
        <f>HYPERLINK("http://141.218.60.56/~jnz1568/getInfo.php?workbook=10_01.xlsx&amp;sheet=A0&amp;row=188&amp;col=31&amp;number=&amp;sourceID=13","")</f>
        <v/>
      </c>
      <c r="AF188" s="4" t="str">
        <f>HYPERLINK("http://141.218.60.56/~jnz1568/getInfo.php?workbook=10_01.xlsx&amp;sheet=A0&amp;row=188&amp;col=32&amp;number=&amp;sourceID=20","")</f>
        <v/>
      </c>
    </row>
    <row r="189" spans="1:32">
      <c r="A189" s="3">
        <v>10</v>
      </c>
      <c r="B189" s="3">
        <v>1</v>
      </c>
      <c r="C189" s="3">
        <v>21</v>
      </c>
      <c r="D189" s="3">
        <v>4</v>
      </c>
      <c r="E189" s="3">
        <f>((1/(INDEX(E0!J$4:J$28,C189,1)-INDEX(E0!J$4:J$28,D189,1))))*100000000</f>
        <v>0</v>
      </c>
      <c r="F189" s="4" t="str">
        <f>HYPERLINK("http://141.218.60.56/~jnz1568/getInfo.php?workbook=10_01.xlsx&amp;sheet=A0&amp;row=189&amp;col=6&amp;number=&amp;sourceID=18","")</f>
        <v/>
      </c>
      <c r="G189" s="4" t="str">
        <f>HYPERLINK("http://141.218.60.56/~jnz1568/getInfo.php?workbook=10_01.xlsx&amp;sheet=A0&amp;row=189&amp;col=7&amp;number==&amp;sourceID=11","=")</f>
        <v>=</v>
      </c>
      <c r="H189" s="4" t="str">
        <f>HYPERLINK("http://141.218.60.56/~jnz1568/getInfo.php?workbook=10_01.xlsx&amp;sheet=A0&amp;row=189&amp;col=8&amp;number=&amp;sourceID=11","")</f>
        <v/>
      </c>
      <c r="I189" s="4" t="str">
        <f>HYPERLINK("http://141.218.60.56/~jnz1568/getInfo.php?workbook=10_01.xlsx&amp;sheet=A0&amp;row=189&amp;col=9&amp;number=9177100&amp;sourceID=11","9177100")</f>
        <v>9177100</v>
      </c>
      <c r="J189" s="4" t="str">
        <f>HYPERLINK("http://141.218.60.56/~jnz1568/getInfo.php?workbook=10_01.xlsx&amp;sheet=A0&amp;row=189&amp;col=10&amp;number=&amp;sourceID=11","")</f>
        <v/>
      </c>
      <c r="K189" s="4" t="str">
        <f>HYPERLINK("http://141.218.60.56/~jnz1568/getInfo.php?workbook=10_01.xlsx&amp;sheet=A0&amp;row=189&amp;col=11&amp;number=0.38686&amp;sourceID=11","0.38686")</f>
        <v>0.38686</v>
      </c>
      <c r="L189" s="4" t="str">
        <f>HYPERLINK("http://141.218.60.56/~jnz1568/getInfo.php?workbook=10_01.xlsx&amp;sheet=A0&amp;row=189&amp;col=12&amp;number=&amp;sourceID=11","")</f>
        <v/>
      </c>
      <c r="M189" s="4" t="str">
        <f>HYPERLINK("http://141.218.60.56/~jnz1568/getInfo.php?workbook=10_01.xlsx&amp;sheet=A0&amp;row=189&amp;col=13&amp;number=0.0091179&amp;sourceID=11","0.0091179")</f>
        <v>0.0091179</v>
      </c>
      <c r="N189" s="4" t="str">
        <f>HYPERLINK("http://141.218.60.56/~jnz1568/getInfo.php?workbook=10_01.xlsx&amp;sheet=A0&amp;row=189&amp;col=14&amp;number=9177300&amp;sourceID=12","9177300")</f>
        <v>9177300</v>
      </c>
      <c r="O189" s="4" t="str">
        <f>HYPERLINK("http://141.218.60.56/~jnz1568/getInfo.php?workbook=10_01.xlsx&amp;sheet=A0&amp;row=189&amp;col=15&amp;number=&amp;sourceID=12","")</f>
        <v/>
      </c>
      <c r="P189" s="4" t="str">
        <f>HYPERLINK("http://141.218.60.56/~jnz1568/getInfo.php?workbook=10_01.xlsx&amp;sheet=A0&amp;row=189&amp;col=16&amp;number=9177300&amp;sourceID=12","9177300")</f>
        <v>9177300</v>
      </c>
      <c r="Q189" s="4" t="str">
        <f>HYPERLINK("http://141.218.60.56/~jnz1568/getInfo.php?workbook=10_01.xlsx&amp;sheet=A0&amp;row=189&amp;col=17&amp;number=&amp;sourceID=12","")</f>
        <v/>
      </c>
      <c r="R189" s="4" t="str">
        <f>HYPERLINK("http://141.218.60.56/~jnz1568/getInfo.php?workbook=10_01.xlsx&amp;sheet=A0&amp;row=189&amp;col=18&amp;number=0.38691&amp;sourceID=12","0.38691")</f>
        <v>0.38691</v>
      </c>
      <c r="S189" s="4" t="str">
        <f>HYPERLINK("http://141.218.60.56/~jnz1568/getInfo.php?workbook=10_01.xlsx&amp;sheet=A0&amp;row=189&amp;col=19&amp;number=&amp;sourceID=12","")</f>
        <v/>
      </c>
      <c r="T189" s="4" t="str">
        <f>HYPERLINK("http://141.218.60.56/~jnz1568/getInfo.php?workbook=10_01.xlsx&amp;sheet=A0&amp;row=189&amp;col=20&amp;number=0.0091182&amp;sourceID=12","0.0091182")</f>
        <v>0.0091182</v>
      </c>
      <c r="U189" s="4" t="str">
        <f>HYPERLINK("http://141.218.60.56/~jnz1568/getInfo.php?workbook=10_01.xlsx&amp;sheet=A0&amp;row=189&amp;col=21&amp;number=9177000.3868&amp;sourceID=30","9177000.3868")</f>
        <v>9177000.3868</v>
      </c>
      <c r="V189" s="4" t="str">
        <f>HYPERLINK("http://141.218.60.56/~jnz1568/getInfo.php?workbook=10_01.xlsx&amp;sheet=A0&amp;row=189&amp;col=22&amp;number=&amp;sourceID=30","")</f>
        <v/>
      </c>
      <c r="W189" s="4" t="str">
        <f>HYPERLINK("http://141.218.60.56/~jnz1568/getInfo.php?workbook=10_01.xlsx&amp;sheet=A0&amp;row=189&amp;col=23&amp;number=9177000&amp;sourceID=30","9177000")</f>
        <v>9177000</v>
      </c>
      <c r="X189" s="4" t="str">
        <f>HYPERLINK("http://141.218.60.56/~jnz1568/getInfo.php?workbook=10_01.xlsx&amp;sheet=A0&amp;row=189&amp;col=24&amp;number=0.3868&amp;sourceID=30","0.3868")</f>
        <v>0.3868</v>
      </c>
      <c r="Y189" s="4" t="str">
        <f>HYPERLINK("http://141.218.60.56/~jnz1568/getInfo.php?workbook=10_01.xlsx&amp;sheet=A0&amp;row=189&amp;col=25&amp;number=&amp;sourceID=30","")</f>
        <v/>
      </c>
      <c r="Z189" s="4" t="str">
        <f>HYPERLINK("http://141.218.60.56/~jnz1568/getInfo.php?workbook=10_01.xlsx&amp;sheet=A0&amp;row=189&amp;col=26&amp;number=&amp;sourceID=13","")</f>
        <v/>
      </c>
      <c r="AA189" s="4" t="str">
        <f>HYPERLINK("http://141.218.60.56/~jnz1568/getInfo.php?workbook=10_01.xlsx&amp;sheet=A0&amp;row=189&amp;col=27&amp;number=&amp;sourceID=13","")</f>
        <v/>
      </c>
      <c r="AB189" s="4" t="str">
        <f>HYPERLINK("http://141.218.60.56/~jnz1568/getInfo.php?workbook=10_01.xlsx&amp;sheet=A0&amp;row=189&amp;col=28&amp;number=&amp;sourceID=13","")</f>
        <v/>
      </c>
      <c r="AC189" s="4" t="str">
        <f>HYPERLINK("http://141.218.60.56/~jnz1568/getInfo.php?workbook=10_01.xlsx&amp;sheet=A0&amp;row=189&amp;col=29&amp;number=&amp;sourceID=13","")</f>
        <v/>
      </c>
      <c r="AD189" s="4" t="str">
        <f>HYPERLINK("http://141.218.60.56/~jnz1568/getInfo.php?workbook=10_01.xlsx&amp;sheet=A0&amp;row=189&amp;col=30&amp;number=&amp;sourceID=13","")</f>
        <v/>
      </c>
      <c r="AE189" s="4" t="str">
        <f>HYPERLINK("http://141.218.60.56/~jnz1568/getInfo.php?workbook=10_01.xlsx&amp;sheet=A0&amp;row=189&amp;col=31&amp;number=&amp;sourceID=13","")</f>
        <v/>
      </c>
      <c r="AF189" s="4" t="str">
        <f>HYPERLINK("http://141.218.60.56/~jnz1568/getInfo.php?workbook=10_01.xlsx&amp;sheet=A0&amp;row=189&amp;col=32&amp;number=&amp;sourceID=20","")</f>
        <v/>
      </c>
    </row>
    <row r="190" spans="1:32">
      <c r="A190" s="3">
        <v>10</v>
      </c>
      <c r="B190" s="3">
        <v>1</v>
      </c>
      <c r="C190" s="3">
        <v>21</v>
      </c>
      <c r="D190" s="3">
        <v>5</v>
      </c>
      <c r="E190" s="3">
        <f>((1/(INDEX(E0!J$4:J$28,C190,1)-INDEX(E0!J$4:J$28,D190,1))))*100000000</f>
        <v>0</v>
      </c>
      <c r="F190" s="4" t="str">
        <f>HYPERLINK("http://141.218.60.56/~jnz1568/getInfo.php?workbook=10_01.xlsx&amp;sheet=A0&amp;row=190&amp;col=6&amp;number=&amp;sourceID=18","")</f>
        <v/>
      </c>
      <c r="G190" s="4" t="str">
        <f>HYPERLINK("http://141.218.60.56/~jnz1568/getInfo.php?workbook=10_01.xlsx&amp;sheet=A0&amp;row=190&amp;col=7&amp;number==&amp;sourceID=11","=")</f>
        <v>=</v>
      </c>
      <c r="H190" s="4" t="str">
        <f>HYPERLINK("http://141.218.60.56/~jnz1568/getInfo.php?workbook=10_01.xlsx&amp;sheet=A0&amp;row=190&amp;col=8&amp;number=&amp;sourceID=11","")</f>
        <v/>
      </c>
      <c r="I190" s="4" t="str">
        <f>HYPERLINK("http://141.218.60.56/~jnz1568/getInfo.php?workbook=10_01.xlsx&amp;sheet=A0&amp;row=190&amp;col=9&amp;number=22381&amp;sourceID=11","22381")</f>
        <v>22381</v>
      </c>
      <c r="J190" s="4" t="str">
        <f>HYPERLINK("http://141.218.60.56/~jnz1568/getInfo.php?workbook=10_01.xlsx&amp;sheet=A0&amp;row=190&amp;col=10&amp;number=&amp;sourceID=11","")</f>
        <v/>
      </c>
      <c r="K190" s="4" t="str">
        <f>HYPERLINK("http://141.218.60.56/~jnz1568/getInfo.php?workbook=10_01.xlsx&amp;sheet=A0&amp;row=190&amp;col=11&amp;number=&amp;sourceID=11","")</f>
        <v/>
      </c>
      <c r="L190" s="4" t="str">
        <f>HYPERLINK("http://141.218.60.56/~jnz1568/getInfo.php?workbook=10_01.xlsx&amp;sheet=A0&amp;row=190&amp;col=12&amp;number=&amp;sourceID=11","")</f>
        <v/>
      </c>
      <c r="M190" s="4" t="str">
        <f>HYPERLINK("http://141.218.60.56/~jnz1568/getInfo.php?workbook=10_01.xlsx&amp;sheet=A0&amp;row=190&amp;col=13&amp;number=3.6387e-06&amp;sourceID=11","3.6387e-06")</f>
        <v>3.6387e-06</v>
      </c>
      <c r="N190" s="4" t="str">
        <f>HYPERLINK("http://141.218.60.56/~jnz1568/getInfo.php?workbook=10_01.xlsx&amp;sheet=A0&amp;row=190&amp;col=14&amp;number=22382&amp;sourceID=12","22382")</f>
        <v>22382</v>
      </c>
      <c r="O190" s="4" t="str">
        <f>HYPERLINK("http://141.218.60.56/~jnz1568/getInfo.php?workbook=10_01.xlsx&amp;sheet=A0&amp;row=190&amp;col=15&amp;number=&amp;sourceID=12","")</f>
        <v/>
      </c>
      <c r="P190" s="4" t="str">
        <f>HYPERLINK("http://141.218.60.56/~jnz1568/getInfo.php?workbook=10_01.xlsx&amp;sheet=A0&amp;row=190&amp;col=16&amp;number=22382&amp;sourceID=12","22382")</f>
        <v>22382</v>
      </c>
      <c r="Q190" s="4" t="str">
        <f>HYPERLINK("http://141.218.60.56/~jnz1568/getInfo.php?workbook=10_01.xlsx&amp;sheet=A0&amp;row=190&amp;col=17&amp;number=&amp;sourceID=12","")</f>
        <v/>
      </c>
      <c r="R190" s="4" t="str">
        <f>HYPERLINK("http://141.218.60.56/~jnz1568/getInfo.php?workbook=10_01.xlsx&amp;sheet=A0&amp;row=190&amp;col=18&amp;number=&amp;sourceID=12","")</f>
        <v/>
      </c>
      <c r="S190" s="4" t="str">
        <f>HYPERLINK("http://141.218.60.56/~jnz1568/getInfo.php?workbook=10_01.xlsx&amp;sheet=A0&amp;row=190&amp;col=19&amp;number=&amp;sourceID=12","")</f>
        <v/>
      </c>
      <c r="T190" s="4" t="str">
        <f>HYPERLINK("http://141.218.60.56/~jnz1568/getInfo.php?workbook=10_01.xlsx&amp;sheet=A0&amp;row=190&amp;col=20&amp;number=3.6388e-06&amp;sourceID=12","3.6388e-06")</f>
        <v>3.6388e-06</v>
      </c>
      <c r="U190" s="4" t="str">
        <f>HYPERLINK("http://141.218.60.56/~jnz1568/getInfo.php?workbook=10_01.xlsx&amp;sheet=A0&amp;row=190&amp;col=21&amp;number=22380&amp;sourceID=30","22380")</f>
        <v>22380</v>
      </c>
      <c r="V190" s="4" t="str">
        <f>HYPERLINK("http://141.218.60.56/~jnz1568/getInfo.php?workbook=10_01.xlsx&amp;sheet=A0&amp;row=190&amp;col=22&amp;number=&amp;sourceID=30","")</f>
        <v/>
      </c>
      <c r="W190" s="4" t="str">
        <f>HYPERLINK("http://141.218.60.56/~jnz1568/getInfo.php?workbook=10_01.xlsx&amp;sheet=A0&amp;row=190&amp;col=23&amp;number=22380&amp;sourceID=30","22380")</f>
        <v>22380</v>
      </c>
      <c r="X190" s="4" t="str">
        <f>HYPERLINK("http://141.218.60.56/~jnz1568/getInfo.php?workbook=10_01.xlsx&amp;sheet=A0&amp;row=190&amp;col=24&amp;number=&amp;sourceID=30","")</f>
        <v/>
      </c>
      <c r="Y190" s="4" t="str">
        <f>HYPERLINK("http://141.218.60.56/~jnz1568/getInfo.php?workbook=10_01.xlsx&amp;sheet=A0&amp;row=190&amp;col=25&amp;number=&amp;sourceID=30","")</f>
        <v/>
      </c>
      <c r="Z190" s="4" t="str">
        <f>HYPERLINK("http://141.218.60.56/~jnz1568/getInfo.php?workbook=10_01.xlsx&amp;sheet=A0&amp;row=190&amp;col=26&amp;number=&amp;sourceID=13","")</f>
        <v/>
      </c>
      <c r="AA190" s="4" t="str">
        <f>HYPERLINK("http://141.218.60.56/~jnz1568/getInfo.php?workbook=10_01.xlsx&amp;sheet=A0&amp;row=190&amp;col=27&amp;number=&amp;sourceID=13","")</f>
        <v/>
      </c>
      <c r="AB190" s="4" t="str">
        <f>HYPERLINK("http://141.218.60.56/~jnz1568/getInfo.php?workbook=10_01.xlsx&amp;sheet=A0&amp;row=190&amp;col=28&amp;number=&amp;sourceID=13","")</f>
        <v/>
      </c>
      <c r="AC190" s="4" t="str">
        <f>HYPERLINK("http://141.218.60.56/~jnz1568/getInfo.php?workbook=10_01.xlsx&amp;sheet=A0&amp;row=190&amp;col=29&amp;number=&amp;sourceID=13","")</f>
        <v/>
      </c>
      <c r="AD190" s="4" t="str">
        <f>HYPERLINK("http://141.218.60.56/~jnz1568/getInfo.php?workbook=10_01.xlsx&amp;sheet=A0&amp;row=190&amp;col=30&amp;number=&amp;sourceID=13","")</f>
        <v/>
      </c>
      <c r="AE190" s="4" t="str">
        <f>HYPERLINK("http://141.218.60.56/~jnz1568/getInfo.php?workbook=10_01.xlsx&amp;sheet=A0&amp;row=190&amp;col=31&amp;number=&amp;sourceID=13","")</f>
        <v/>
      </c>
      <c r="AF190" s="4" t="str">
        <f>HYPERLINK("http://141.218.60.56/~jnz1568/getInfo.php?workbook=10_01.xlsx&amp;sheet=A0&amp;row=190&amp;col=32&amp;number=&amp;sourceID=20","")</f>
        <v/>
      </c>
    </row>
    <row r="191" spans="1:32">
      <c r="A191" s="3">
        <v>10</v>
      </c>
      <c r="B191" s="3">
        <v>1</v>
      </c>
      <c r="C191" s="3">
        <v>21</v>
      </c>
      <c r="D191" s="3">
        <v>6</v>
      </c>
      <c r="E191" s="3">
        <f>((1/(INDEX(E0!J$4:J$28,C191,1)-INDEX(E0!J$4:J$28,D191,1))))*100000000</f>
        <v>0</v>
      </c>
      <c r="F191" s="4" t="str">
        <f>HYPERLINK("http://141.218.60.56/~jnz1568/getInfo.php?workbook=10_01.xlsx&amp;sheet=A0&amp;row=191&amp;col=6&amp;number=&amp;sourceID=18","")</f>
        <v/>
      </c>
      <c r="G191" s="4" t="str">
        <f>HYPERLINK("http://141.218.60.56/~jnz1568/getInfo.php?workbook=10_01.xlsx&amp;sheet=A0&amp;row=191&amp;col=7&amp;number==&amp;sourceID=11","=")</f>
        <v>=</v>
      </c>
      <c r="H191" s="4" t="str">
        <f>HYPERLINK("http://141.218.60.56/~jnz1568/getInfo.php?workbook=10_01.xlsx&amp;sheet=A0&amp;row=191&amp;col=8&amp;number=&amp;sourceID=11","")</f>
        <v/>
      </c>
      <c r="I191" s="4" t="str">
        <f>HYPERLINK("http://141.218.60.56/~jnz1568/getInfo.php?workbook=10_01.xlsx&amp;sheet=A0&amp;row=191&amp;col=9&amp;number=&amp;sourceID=11","")</f>
        <v/>
      </c>
      <c r="J191" s="4" t="str">
        <f>HYPERLINK("http://141.218.60.56/~jnz1568/getInfo.php?workbook=10_01.xlsx&amp;sheet=A0&amp;row=191&amp;col=10&amp;number=105.81&amp;sourceID=11","105.81")</f>
        <v>105.81</v>
      </c>
      <c r="K191" s="4" t="str">
        <f>HYPERLINK("http://141.218.60.56/~jnz1568/getInfo.php?workbook=10_01.xlsx&amp;sheet=A0&amp;row=191&amp;col=11&amp;number=&amp;sourceID=11","")</f>
        <v/>
      </c>
      <c r="L191" s="4" t="str">
        <f>HYPERLINK("http://141.218.60.56/~jnz1568/getInfo.php?workbook=10_01.xlsx&amp;sheet=A0&amp;row=191&amp;col=12&amp;number=8.3634e-08&amp;sourceID=11","8.3634e-08")</f>
        <v>8.3634e-08</v>
      </c>
      <c r="M191" s="4" t="str">
        <f>HYPERLINK("http://141.218.60.56/~jnz1568/getInfo.php?workbook=10_01.xlsx&amp;sheet=A0&amp;row=191&amp;col=13&amp;number=&amp;sourceID=11","")</f>
        <v/>
      </c>
      <c r="N191" s="4" t="str">
        <f>HYPERLINK("http://141.218.60.56/~jnz1568/getInfo.php?workbook=10_01.xlsx&amp;sheet=A0&amp;row=191&amp;col=14&amp;number=105.81&amp;sourceID=12","105.81")</f>
        <v>105.81</v>
      </c>
      <c r="O191" s="4" t="str">
        <f>HYPERLINK("http://141.218.60.56/~jnz1568/getInfo.php?workbook=10_01.xlsx&amp;sheet=A0&amp;row=191&amp;col=15&amp;number=&amp;sourceID=12","")</f>
        <v/>
      </c>
      <c r="P191" s="4" t="str">
        <f>HYPERLINK("http://141.218.60.56/~jnz1568/getInfo.php?workbook=10_01.xlsx&amp;sheet=A0&amp;row=191&amp;col=16&amp;number=&amp;sourceID=12","")</f>
        <v/>
      </c>
      <c r="Q191" s="4" t="str">
        <f>HYPERLINK("http://141.218.60.56/~jnz1568/getInfo.php?workbook=10_01.xlsx&amp;sheet=A0&amp;row=191&amp;col=17&amp;number=105.81&amp;sourceID=12","105.81")</f>
        <v>105.81</v>
      </c>
      <c r="R191" s="4" t="str">
        <f>HYPERLINK("http://141.218.60.56/~jnz1568/getInfo.php?workbook=10_01.xlsx&amp;sheet=A0&amp;row=191&amp;col=18&amp;number=&amp;sourceID=12","")</f>
        <v/>
      </c>
      <c r="S191" s="4" t="str">
        <f>HYPERLINK("http://141.218.60.56/~jnz1568/getInfo.php?workbook=10_01.xlsx&amp;sheet=A0&amp;row=191&amp;col=19&amp;number=8.3668e-08&amp;sourceID=12","8.3668e-08")</f>
        <v>8.3668e-08</v>
      </c>
      <c r="T191" s="4" t="str">
        <f>HYPERLINK("http://141.218.60.56/~jnz1568/getInfo.php?workbook=10_01.xlsx&amp;sheet=A0&amp;row=191&amp;col=20&amp;number=&amp;sourceID=12","")</f>
        <v/>
      </c>
      <c r="U191" s="4" t="str">
        <f>HYPERLINK("http://141.218.60.56/~jnz1568/getInfo.php?workbook=10_01.xlsx&amp;sheet=A0&amp;row=191&amp;col=21&amp;number=8.409e-08&amp;sourceID=30","8.409e-08")</f>
        <v>8.409e-08</v>
      </c>
      <c r="V191" s="4" t="str">
        <f>HYPERLINK("http://141.218.60.56/~jnz1568/getInfo.php?workbook=10_01.xlsx&amp;sheet=A0&amp;row=191&amp;col=22&amp;number=&amp;sourceID=30","")</f>
        <v/>
      </c>
      <c r="W191" s="4" t="str">
        <f>HYPERLINK("http://141.218.60.56/~jnz1568/getInfo.php?workbook=10_01.xlsx&amp;sheet=A0&amp;row=191&amp;col=23&amp;number=&amp;sourceID=30","")</f>
        <v/>
      </c>
      <c r="X191" s="4" t="str">
        <f>HYPERLINK("http://141.218.60.56/~jnz1568/getInfo.php?workbook=10_01.xlsx&amp;sheet=A0&amp;row=191&amp;col=24&amp;number=&amp;sourceID=30","")</f>
        <v/>
      </c>
      <c r="Y191" s="4" t="str">
        <f>HYPERLINK("http://141.218.60.56/~jnz1568/getInfo.php?workbook=10_01.xlsx&amp;sheet=A0&amp;row=191&amp;col=25&amp;number=8.409e-08&amp;sourceID=30","8.409e-08")</f>
        <v>8.409e-08</v>
      </c>
      <c r="Z191" s="4" t="str">
        <f>HYPERLINK("http://141.218.60.56/~jnz1568/getInfo.php?workbook=10_01.xlsx&amp;sheet=A0&amp;row=191&amp;col=26&amp;number=&amp;sourceID=13","")</f>
        <v/>
      </c>
      <c r="AA191" s="4" t="str">
        <f>HYPERLINK("http://141.218.60.56/~jnz1568/getInfo.php?workbook=10_01.xlsx&amp;sheet=A0&amp;row=191&amp;col=27&amp;number=&amp;sourceID=13","")</f>
        <v/>
      </c>
      <c r="AB191" s="4" t="str">
        <f>HYPERLINK("http://141.218.60.56/~jnz1568/getInfo.php?workbook=10_01.xlsx&amp;sheet=A0&amp;row=191&amp;col=28&amp;number=&amp;sourceID=13","")</f>
        <v/>
      </c>
      <c r="AC191" s="4" t="str">
        <f>HYPERLINK("http://141.218.60.56/~jnz1568/getInfo.php?workbook=10_01.xlsx&amp;sheet=A0&amp;row=191&amp;col=29&amp;number=&amp;sourceID=13","")</f>
        <v/>
      </c>
      <c r="AD191" s="4" t="str">
        <f>HYPERLINK("http://141.218.60.56/~jnz1568/getInfo.php?workbook=10_01.xlsx&amp;sheet=A0&amp;row=191&amp;col=30&amp;number=&amp;sourceID=13","")</f>
        <v/>
      </c>
      <c r="AE191" s="4" t="str">
        <f>HYPERLINK("http://141.218.60.56/~jnz1568/getInfo.php?workbook=10_01.xlsx&amp;sheet=A0&amp;row=191&amp;col=31&amp;number=&amp;sourceID=13","")</f>
        <v/>
      </c>
      <c r="AF191" s="4" t="str">
        <f>HYPERLINK("http://141.218.60.56/~jnz1568/getInfo.php?workbook=10_01.xlsx&amp;sheet=A0&amp;row=191&amp;col=32&amp;number=&amp;sourceID=20","")</f>
        <v/>
      </c>
    </row>
    <row r="192" spans="1:32">
      <c r="A192" s="3">
        <v>10</v>
      </c>
      <c r="B192" s="3">
        <v>1</v>
      </c>
      <c r="C192" s="3">
        <v>21</v>
      </c>
      <c r="D192" s="3">
        <v>7</v>
      </c>
      <c r="E192" s="3">
        <f>((1/(INDEX(E0!J$4:J$28,C192,1)-INDEX(E0!J$4:J$28,D192,1))))*100000000</f>
        <v>0</v>
      </c>
      <c r="F192" s="4" t="str">
        <f>HYPERLINK("http://141.218.60.56/~jnz1568/getInfo.php?workbook=10_01.xlsx&amp;sheet=A0&amp;row=192&amp;col=6&amp;number=&amp;sourceID=18","")</f>
        <v/>
      </c>
      <c r="G192" s="4" t="str">
        <f>HYPERLINK("http://141.218.60.56/~jnz1568/getInfo.php?workbook=10_01.xlsx&amp;sheet=A0&amp;row=192&amp;col=7&amp;number==&amp;sourceID=11","=")</f>
        <v>=</v>
      </c>
      <c r="H192" s="4" t="str">
        <f>HYPERLINK("http://141.218.60.56/~jnz1568/getInfo.php?workbook=10_01.xlsx&amp;sheet=A0&amp;row=192&amp;col=8&amp;number=42461000000&amp;sourceID=11","42461000000")</f>
        <v>42461000000</v>
      </c>
      <c r="I192" s="4" t="str">
        <f>HYPERLINK("http://141.218.60.56/~jnz1568/getInfo.php?workbook=10_01.xlsx&amp;sheet=A0&amp;row=192&amp;col=9&amp;number=&amp;sourceID=11","")</f>
        <v/>
      </c>
      <c r="J192" s="4" t="str">
        <f>HYPERLINK("http://141.218.60.56/~jnz1568/getInfo.php?workbook=10_01.xlsx&amp;sheet=A0&amp;row=192&amp;col=10&amp;number=2.7817&amp;sourceID=11","2.7817")</f>
        <v>2.7817</v>
      </c>
      <c r="K192" s="4" t="str">
        <f>HYPERLINK("http://141.218.60.56/~jnz1568/getInfo.php?workbook=10_01.xlsx&amp;sheet=A0&amp;row=192&amp;col=11&amp;number=&amp;sourceID=11","")</f>
        <v/>
      </c>
      <c r="L192" s="4" t="str">
        <f>HYPERLINK("http://141.218.60.56/~jnz1568/getInfo.php?workbook=10_01.xlsx&amp;sheet=A0&amp;row=192&amp;col=12&amp;number=67.989&amp;sourceID=11","67.989")</f>
        <v>67.989</v>
      </c>
      <c r="M192" s="4" t="str">
        <f>HYPERLINK("http://141.218.60.56/~jnz1568/getInfo.php?workbook=10_01.xlsx&amp;sheet=A0&amp;row=192&amp;col=13&amp;number=&amp;sourceID=11","")</f>
        <v/>
      </c>
      <c r="N192" s="4" t="str">
        <f>HYPERLINK("http://141.218.60.56/~jnz1568/getInfo.php?workbook=10_01.xlsx&amp;sheet=A0&amp;row=192&amp;col=14&amp;number=42462000000&amp;sourceID=12","42462000000")</f>
        <v>42462000000</v>
      </c>
      <c r="O192" s="4" t="str">
        <f>HYPERLINK("http://141.218.60.56/~jnz1568/getInfo.php?workbook=10_01.xlsx&amp;sheet=A0&amp;row=192&amp;col=15&amp;number=42462000000&amp;sourceID=12","42462000000")</f>
        <v>42462000000</v>
      </c>
      <c r="P192" s="4" t="str">
        <f>HYPERLINK("http://141.218.60.56/~jnz1568/getInfo.php?workbook=10_01.xlsx&amp;sheet=A0&amp;row=192&amp;col=16&amp;number=&amp;sourceID=12","")</f>
        <v/>
      </c>
      <c r="Q192" s="4" t="str">
        <f>HYPERLINK("http://141.218.60.56/~jnz1568/getInfo.php?workbook=10_01.xlsx&amp;sheet=A0&amp;row=192&amp;col=17&amp;number=2.7818&amp;sourceID=12","2.7818")</f>
        <v>2.7818</v>
      </c>
      <c r="R192" s="4" t="str">
        <f>HYPERLINK("http://141.218.60.56/~jnz1568/getInfo.php?workbook=10_01.xlsx&amp;sheet=A0&amp;row=192&amp;col=18&amp;number=&amp;sourceID=12","")</f>
        <v/>
      </c>
      <c r="S192" s="4" t="str">
        <f>HYPERLINK("http://141.218.60.56/~jnz1568/getInfo.php?workbook=10_01.xlsx&amp;sheet=A0&amp;row=192&amp;col=19&amp;number=67.99&amp;sourceID=12","67.99")</f>
        <v>67.99</v>
      </c>
      <c r="T192" s="4" t="str">
        <f>HYPERLINK("http://141.218.60.56/~jnz1568/getInfo.php?workbook=10_01.xlsx&amp;sheet=A0&amp;row=192&amp;col=20&amp;number=&amp;sourceID=12","")</f>
        <v/>
      </c>
      <c r="U192" s="4" t="str">
        <f>HYPERLINK("http://141.218.60.56/~jnz1568/getInfo.php?workbook=10_01.xlsx&amp;sheet=A0&amp;row=192&amp;col=21&amp;number=42460000068.0&amp;sourceID=30","42460000068.0")</f>
        <v>42460000068.0</v>
      </c>
      <c r="V192" s="4" t="str">
        <f>HYPERLINK("http://141.218.60.56/~jnz1568/getInfo.php?workbook=10_01.xlsx&amp;sheet=A0&amp;row=192&amp;col=22&amp;number=42460000000&amp;sourceID=30","42460000000")</f>
        <v>42460000000</v>
      </c>
      <c r="W192" s="4" t="str">
        <f>HYPERLINK("http://141.218.60.56/~jnz1568/getInfo.php?workbook=10_01.xlsx&amp;sheet=A0&amp;row=192&amp;col=23&amp;number=&amp;sourceID=30","")</f>
        <v/>
      </c>
      <c r="X192" s="4" t="str">
        <f>HYPERLINK("http://141.218.60.56/~jnz1568/getInfo.php?workbook=10_01.xlsx&amp;sheet=A0&amp;row=192&amp;col=24&amp;number=&amp;sourceID=30","")</f>
        <v/>
      </c>
      <c r="Y192" s="4" t="str">
        <f>HYPERLINK("http://141.218.60.56/~jnz1568/getInfo.php?workbook=10_01.xlsx&amp;sheet=A0&amp;row=192&amp;col=25&amp;number=67.99&amp;sourceID=30","67.99")</f>
        <v>67.99</v>
      </c>
      <c r="Z192" s="4" t="str">
        <f>HYPERLINK("http://141.218.60.56/~jnz1568/getInfo.php?workbook=10_01.xlsx&amp;sheet=A0&amp;row=192&amp;col=26&amp;number=&amp;sourceID=13","")</f>
        <v/>
      </c>
      <c r="AA192" s="4" t="str">
        <f>HYPERLINK("http://141.218.60.56/~jnz1568/getInfo.php?workbook=10_01.xlsx&amp;sheet=A0&amp;row=192&amp;col=27&amp;number=&amp;sourceID=13","")</f>
        <v/>
      </c>
      <c r="AB192" s="4" t="str">
        <f>HYPERLINK("http://141.218.60.56/~jnz1568/getInfo.php?workbook=10_01.xlsx&amp;sheet=A0&amp;row=192&amp;col=28&amp;number=&amp;sourceID=13","")</f>
        <v/>
      </c>
      <c r="AC192" s="4" t="str">
        <f>HYPERLINK("http://141.218.60.56/~jnz1568/getInfo.php?workbook=10_01.xlsx&amp;sheet=A0&amp;row=192&amp;col=29&amp;number=&amp;sourceID=13","")</f>
        <v/>
      </c>
      <c r="AD192" s="4" t="str">
        <f>HYPERLINK("http://141.218.60.56/~jnz1568/getInfo.php?workbook=10_01.xlsx&amp;sheet=A0&amp;row=192&amp;col=30&amp;number=&amp;sourceID=13","")</f>
        <v/>
      </c>
      <c r="AE192" s="4" t="str">
        <f>HYPERLINK("http://141.218.60.56/~jnz1568/getInfo.php?workbook=10_01.xlsx&amp;sheet=A0&amp;row=192&amp;col=31&amp;number=&amp;sourceID=13","")</f>
        <v/>
      </c>
      <c r="AF192" s="4" t="str">
        <f>HYPERLINK("http://141.218.60.56/~jnz1568/getInfo.php?workbook=10_01.xlsx&amp;sheet=A0&amp;row=192&amp;col=32&amp;number=&amp;sourceID=20","")</f>
        <v/>
      </c>
    </row>
    <row r="193" spans="1:32">
      <c r="A193" s="3">
        <v>10</v>
      </c>
      <c r="B193" s="3">
        <v>1</v>
      </c>
      <c r="C193" s="3">
        <v>21</v>
      </c>
      <c r="D193" s="3">
        <v>8</v>
      </c>
      <c r="E193" s="3">
        <f>((1/(INDEX(E0!J$4:J$28,C193,1)-INDEX(E0!J$4:J$28,D193,1))))*100000000</f>
        <v>0</v>
      </c>
      <c r="F193" s="4" t="str">
        <f>HYPERLINK("http://141.218.60.56/~jnz1568/getInfo.php?workbook=10_01.xlsx&amp;sheet=A0&amp;row=193&amp;col=6&amp;number=&amp;sourceID=18","")</f>
        <v/>
      </c>
      <c r="G193" s="4" t="str">
        <f>HYPERLINK("http://141.218.60.56/~jnz1568/getInfo.php?workbook=10_01.xlsx&amp;sheet=A0&amp;row=193&amp;col=7&amp;number==&amp;sourceID=11","=")</f>
        <v>=</v>
      </c>
      <c r="H193" s="4" t="str">
        <f>HYPERLINK("http://141.218.60.56/~jnz1568/getInfo.php?workbook=10_01.xlsx&amp;sheet=A0&amp;row=193&amp;col=8&amp;number=&amp;sourceID=11","")</f>
        <v/>
      </c>
      <c r="I193" s="4" t="str">
        <f>HYPERLINK("http://141.218.60.56/~jnz1568/getInfo.php?workbook=10_01.xlsx&amp;sheet=A0&amp;row=193&amp;col=9&amp;number=5829.2&amp;sourceID=11","5829.2")</f>
        <v>5829.2</v>
      </c>
      <c r="J193" s="4" t="str">
        <f>HYPERLINK("http://141.218.60.56/~jnz1568/getInfo.php?workbook=10_01.xlsx&amp;sheet=A0&amp;row=193&amp;col=10&amp;number=&amp;sourceID=11","")</f>
        <v/>
      </c>
      <c r="K193" s="4" t="str">
        <f>HYPERLINK("http://141.218.60.56/~jnz1568/getInfo.php?workbook=10_01.xlsx&amp;sheet=A0&amp;row=193&amp;col=11&amp;number=0.0068127&amp;sourceID=11","0.0068127")</f>
        <v>0.0068127</v>
      </c>
      <c r="L193" s="4" t="str">
        <f>HYPERLINK("http://141.218.60.56/~jnz1568/getInfo.php?workbook=10_01.xlsx&amp;sheet=A0&amp;row=193&amp;col=12&amp;number=&amp;sourceID=11","")</f>
        <v/>
      </c>
      <c r="M193" s="4" t="str">
        <f>HYPERLINK("http://141.218.60.56/~jnz1568/getInfo.php?workbook=10_01.xlsx&amp;sheet=A0&amp;row=193&amp;col=13&amp;number=6.6279e-07&amp;sourceID=11","6.6279e-07")</f>
        <v>6.6279e-07</v>
      </c>
      <c r="N193" s="4" t="str">
        <f>HYPERLINK("http://141.218.60.56/~jnz1568/getInfo.php?workbook=10_01.xlsx&amp;sheet=A0&amp;row=193&amp;col=14&amp;number=5829.4&amp;sourceID=12","5829.4")</f>
        <v>5829.4</v>
      </c>
      <c r="O193" s="4" t="str">
        <f>HYPERLINK("http://141.218.60.56/~jnz1568/getInfo.php?workbook=10_01.xlsx&amp;sheet=A0&amp;row=193&amp;col=15&amp;number=&amp;sourceID=12","")</f>
        <v/>
      </c>
      <c r="P193" s="4" t="str">
        <f>HYPERLINK("http://141.218.60.56/~jnz1568/getInfo.php?workbook=10_01.xlsx&amp;sheet=A0&amp;row=193&amp;col=16&amp;number=5829.4&amp;sourceID=12","5829.4")</f>
        <v>5829.4</v>
      </c>
      <c r="Q193" s="4" t="str">
        <f>HYPERLINK("http://141.218.60.56/~jnz1568/getInfo.php?workbook=10_01.xlsx&amp;sheet=A0&amp;row=193&amp;col=17&amp;number=&amp;sourceID=12","")</f>
        <v/>
      </c>
      <c r="R193" s="4" t="str">
        <f>HYPERLINK("http://141.218.60.56/~jnz1568/getInfo.php?workbook=10_01.xlsx&amp;sheet=A0&amp;row=193&amp;col=18&amp;number=0.0068131&amp;sourceID=12","0.0068131")</f>
        <v>0.0068131</v>
      </c>
      <c r="S193" s="4" t="str">
        <f>HYPERLINK("http://141.218.60.56/~jnz1568/getInfo.php?workbook=10_01.xlsx&amp;sheet=A0&amp;row=193&amp;col=19&amp;number=&amp;sourceID=12","")</f>
        <v/>
      </c>
      <c r="T193" s="4" t="str">
        <f>HYPERLINK("http://141.218.60.56/~jnz1568/getInfo.php?workbook=10_01.xlsx&amp;sheet=A0&amp;row=193&amp;col=20&amp;number=6.628e-07&amp;sourceID=12","6.628e-07")</f>
        <v>6.628e-07</v>
      </c>
      <c r="U193" s="4" t="str">
        <f>HYPERLINK("http://141.218.60.56/~jnz1568/getInfo.php?workbook=10_01.xlsx&amp;sheet=A0&amp;row=193&amp;col=21&amp;number=5829.006818&amp;sourceID=30","5829.006818")</f>
        <v>5829.006818</v>
      </c>
      <c r="V193" s="4" t="str">
        <f>HYPERLINK("http://141.218.60.56/~jnz1568/getInfo.php?workbook=10_01.xlsx&amp;sheet=A0&amp;row=193&amp;col=22&amp;number=&amp;sourceID=30","")</f>
        <v/>
      </c>
      <c r="W193" s="4" t="str">
        <f>HYPERLINK("http://141.218.60.56/~jnz1568/getInfo.php?workbook=10_01.xlsx&amp;sheet=A0&amp;row=193&amp;col=23&amp;number=5829&amp;sourceID=30","5829")</f>
        <v>5829</v>
      </c>
      <c r="X193" s="4" t="str">
        <f>HYPERLINK("http://141.218.60.56/~jnz1568/getInfo.php?workbook=10_01.xlsx&amp;sheet=A0&amp;row=193&amp;col=24&amp;number=0.006818&amp;sourceID=30","0.006818")</f>
        <v>0.006818</v>
      </c>
      <c r="Y193" s="4" t="str">
        <f>HYPERLINK("http://141.218.60.56/~jnz1568/getInfo.php?workbook=10_01.xlsx&amp;sheet=A0&amp;row=193&amp;col=25&amp;number=&amp;sourceID=30","")</f>
        <v/>
      </c>
      <c r="Z193" s="4" t="str">
        <f>HYPERLINK("http://141.218.60.56/~jnz1568/getInfo.php?workbook=10_01.xlsx&amp;sheet=A0&amp;row=193&amp;col=26&amp;number=&amp;sourceID=13","")</f>
        <v/>
      </c>
      <c r="AA193" s="4" t="str">
        <f>HYPERLINK("http://141.218.60.56/~jnz1568/getInfo.php?workbook=10_01.xlsx&amp;sheet=A0&amp;row=193&amp;col=27&amp;number=&amp;sourceID=13","")</f>
        <v/>
      </c>
      <c r="AB193" s="4" t="str">
        <f>HYPERLINK("http://141.218.60.56/~jnz1568/getInfo.php?workbook=10_01.xlsx&amp;sheet=A0&amp;row=193&amp;col=28&amp;number=&amp;sourceID=13","")</f>
        <v/>
      </c>
      <c r="AC193" s="4" t="str">
        <f>HYPERLINK("http://141.218.60.56/~jnz1568/getInfo.php?workbook=10_01.xlsx&amp;sheet=A0&amp;row=193&amp;col=29&amp;number=&amp;sourceID=13","")</f>
        <v/>
      </c>
      <c r="AD193" s="4" t="str">
        <f>HYPERLINK("http://141.218.60.56/~jnz1568/getInfo.php?workbook=10_01.xlsx&amp;sheet=A0&amp;row=193&amp;col=30&amp;number=&amp;sourceID=13","")</f>
        <v/>
      </c>
      <c r="AE193" s="4" t="str">
        <f>HYPERLINK("http://141.218.60.56/~jnz1568/getInfo.php?workbook=10_01.xlsx&amp;sheet=A0&amp;row=193&amp;col=31&amp;number=&amp;sourceID=13","")</f>
        <v/>
      </c>
      <c r="AF193" s="4" t="str">
        <f>HYPERLINK("http://141.218.60.56/~jnz1568/getInfo.php?workbook=10_01.xlsx&amp;sheet=A0&amp;row=193&amp;col=32&amp;number=&amp;sourceID=20","")</f>
        <v/>
      </c>
    </row>
    <row r="194" spans="1:32">
      <c r="A194" s="3">
        <v>10</v>
      </c>
      <c r="B194" s="3">
        <v>1</v>
      </c>
      <c r="C194" s="3">
        <v>21</v>
      </c>
      <c r="D194" s="3">
        <v>9</v>
      </c>
      <c r="E194" s="3">
        <f>((1/(INDEX(E0!J$4:J$28,C194,1)-INDEX(E0!J$4:J$28,D194,1))))*100000000</f>
        <v>0</v>
      </c>
      <c r="F194" s="4" t="str">
        <f>HYPERLINK("http://141.218.60.56/~jnz1568/getInfo.php?workbook=10_01.xlsx&amp;sheet=A0&amp;row=194&amp;col=6&amp;number=&amp;sourceID=18","")</f>
        <v/>
      </c>
      <c r="G194" s="4" t="str">
        <f>HYPERLINK("http://141.218.60.56/~jnz1568/getInfo.php?workbook=10_01.xlsx&amp;sheet=A0&amp;row=194&amp;col=7&amp;number==&amp;sourceID=11","=")</f>
        <v>=</v>
      </c>
      <c r="H194" s="4" t="str">
        <f>HYPERLINK("http://141.218.60.56/~jnz1568/getInfo.php?workbook=10_01.xlsx&amp;sheet=A0&amp;row=194&amp;col=8&amp;number=3027400000&amp;sourceID=11","3027400000")</f>
        <v>3027400000</v>
      </c>
      <c r="I194" s="4" t="str">
        <f>HYPERLINK("http://141.218.60.56/~jnz1568/getInfo.php?workbook=10_01.xlsx&amp;sheet=A0&amp;row=194&amp;col=9&amp;number=&amp;sourceID=11","")</f>
        <v/>
      </c>
      <c r="J194" s="4" t="str">
        <f>HYPERLINK("http://141.218.60.56/~jnz1568/getInfo.php?workbook=10_01.xlsx&amp;sheet=A0&amp;row=194&amp;col=10&amp;number=1.871&amp;sourceID=11","1.871")</f>
        <v>1.871</v>
      </c>
      <c r="K194" s="4" t="str">
        <f>HYPERLINK("http://141.218.60.56/~jnz1568/getInfo.php?workbook=10_01.xlsx&amp;sheet=A0&amp;row=194&amp;col=11&amp;number=&amp;sourceID=11","")</f>
        <v/>
      </c>
      <c r="L194" s="4" t="str">
        <f>HYPERLINK("http://141.218.60.56/~jnz1568/getInfo.php?workbook=10_01.xlsx&amp;sheet=A0&amp;row=194&amp;col=12&amp;number=&amp;sourceID=11","")</f>
        <v/>
      </c>
      <c r="M194" s="4" t="str">
        <f>HYPERLINK("http://141.218.60.56/~jnz1568/getInfo.php?workbook=10_01.xlsx&amp;sheet=A0&amp;row=194&amp;col=13&amp;number=&amp;sourceID=11","")</f>
        <v/>
      </c>
      <c r="N194" s="4" t="str">
        <f>HYPERLINK("http://141.218.60.56/~jnz1568/getInfo.php?workbook=10_01.xlsx&amp;sheet=A0&amp;row=194&amp;col=14&amp;number=3027500000&amp;sourceID=12","3027500000")</f>
        <v>3027500000</v>
      </c>
      <c r="O194" s="4" t="str">
        <f>HYPERLINK("http://141.218.60.56/~jnz1568/getInfo.php?workbook=10_01.xlsx&amp;sheet=A0&amp;row=194&amp;col=15&amp;number=3027500000&amp;sourceID=12","3027500000")</f>
        <v>3027500000</v>
      </c>
      <c r="P194" s="4" t="str">
        <f>HYPERLINK("http://141.218.60.56/~jnz1568/getInfo.php?workbook=10_01.xlsx&amp;sheet=A0&amp;row=194&amp;col=16&amp;number=&amp;sourceID=12","")</f>
        <v/>
      </c>
      <c r="Q194" s="4" t="str">
        <f>HYPERLINK("http://141.218.60.56/~jnz1568/getInfo.php?workbook=10_01.xlsx&amp;sheet=A0&amp;row=194&amp;col=17&amp;number=1.8711&amp;sourceID=12","1.8711")</f>
        <v>1.8711</v>
      </c>
      <c r="R194" s="4" t="str">
        <f>HYPERLINK("http://141.218.60.56/~jnz1568/getInfo.php?workbook=10_01.xlsx&amp;sheet=A0&amp;row=194&amp;col=18&amp;number=&amp;sourceID=12","")</f>
        <v/>
      </c>
      <c r="S194" s="4" t="str">
        <f>HYPERLINK("http://141.218.60.56/~jnz1568/getInfo.php?workbook=10_01.xlsx&amp;sheet=A0&amp;row=194&amp;col=19&amp;number=&amp;sourceID=12","")</f>
        <v/>
      </c>
      <c r="T194" s="4" t="str">
        <f>HYPERLINK("http://141.218.60.56/~jnz1568/getInfo.php?workbook=10_01.xlsx&amp;sheet=A0&amp;row=194&amp;col=20&amp;number=&amp;sourceID=12","")</f>
        <v/>
      </c>
      <c r="U194" s="4" t="str">
        <f>HYPERLINK("http://141.218.60.56/~jnz1568/getInfo.php?workbook=10_01.xlsx&amp;sheet=A0&amp;row=194&amp;col=21&amp;number=3028000000&amp;sourceID=30","3028000000")</f>
        <v>3028000000</v>
      </c>
      <c r="V194" s="4" t="str">
        <f>HYPERLINK("http://141.218.60.56/~jnz1568/getInfo.php?workbook=10_01.xlsx&amp;sheet=A0&amp;row=194&amp;col=22&amp;number=3028000000&amp;sourceID=30","3028000000")</f>
        <v>3028000000</v>
      </c>
      <c r="W194" s="4" t="str">
        <f>HYPERLINK("http://141.218.60.56/~jnz1568/getInfo.php?workbook=10_01.xlsx&amp;sheet=A0&amp;row=194&amp;col=23&amp;number=&amp;sourceID=30","")</f>
        <v/>
      </c>
      <c r="X194" s="4" t="str">
        <f>HYPERLINK("http://141.218.60.56/~jnz1568/getInfo.php?workbook=10_01.xlsx&amp;sheet=A0&amp;row=194&amp;col=24&amp;number=&amp;sourceID=30","")</f>
        <v/>
      </c>
      <c r="Y194" s="4" t="str">
        <f>HYPERLINK("http://141.218.60.56/~jnz1568/getInfo.php?workbook=10_01.xlsx&amp;sheet=A0&amp;row=194&amp;col=25&amp;number=&amp;sourceID=30","")</f>
        <v/>
      </c>
      <c r="Z194" s="4" t="str">
        <f>HYPERLINK("http://141.218.60.56/~jnz1568/getInfo.php?workbook=10_01.xlsx&amp;sheet=A0&amp;row=194&amp;col=26&amp;number=&amp;sourceID=13","")</f>
        <v/>
      </c>
      <c r="AA194" s="4" t="str">
        <f>HYPERLINK("http://141.218.60.56/~jnz1568/getInfo.php?workbook=10_01.xlsx&amp;sheet=A0&amp;row=194&amp;col=27&amp;number=&amp;sourceID=13","")</f>
        <v/>
      </c>
      <c r="AB194" s="4" t="str">
        <f>HYPERLINK("http://141.218.60.56/~jnz1568/getInfo.php?workbook=10_01.xlsx&amp;sheet=A0&amp;row=194&amp;col=28&amp;number=&amp;sourceID=13","")</f>
        <v/>
      </c>
      <c r="AC194" s="4" t="str">
        <f>HYPERLINK("http://141.218.60.56/~jnz1568/getInfo.php?workbook=10_01.xlsx&amp;sheet=A0&amp;row=194&amp;col=29&amp;number=&amp;sourceID=13","")</f>
        <v/>
      </c>
      <c r="AD194" s="4" t="str">
        <f>HYPERLINK("http://141.218.60.56/~jnz1568/getInfo.php?workbook=10_01.xlsx&amp;sheet=A0&amp;row=194&amp;col=30&amp;number=&amp;sourceID=13","")</f>
        <v/>
      </c>
      <c r="AE194" s="4" t="str">
        <f>HYPERLINK("http://141.218.60.56/~jnz1568/getInfo.php?workbook=10_01.xlsx&amp;sheet=A0&amp;row=194&amp;col=31&amp;number=&amp;sourceID=13","")</f>
        <v/>
      </c>
      <c r="AF194" s="4" t="str">
        <f>HYPERLINK("http://141.218.60.56/~jnz1568/getInfo.php?workbook=10_01.xlsx&amp;sheet=A0&amp;row=194&amp;col=32&amp;number=&amp;sourceID=20","")</f>
        <v/>
      </c>
    </row>
    <row r="195" spans="1:32">
      <c r="A195" s="3">
        <v>10</v>
      </c>
      <c r="B195" s="3">
        <v>1</v>
      </c>
      <c r="C195" s="3">
        <v>21</v>
      </c>
      <c r="D195" s="3">
        <v>10</v>
      </c>
      <c r="E195" s="3">
        <f>((1/(INDEX(E0!J$4:J$28,C195,1)-INDEX(E0!J$4:J$28,D195,1))))*100000000</f>
        <v>0</v>
      </c>
      <c r="F195" s="4" t="str">
        <f>HYPERLINK("http://141.218.60.56/~jnz1568/getInfo.php?workbook=10_01.xlsx&amp;sheet=A0&amp;row=195&amp;col=6&amp;number=&amp;sourceID=18","")</f>
        <v/>
      </c>
      <c r="G195" s="4" t="str">
        <f>HYPERLINK("http://141.218.60.56/~jnz1568/getInfo.php?workbook=10_01.xlsx&amp;sheet=A0&amp;row=195&amp;col=7&amp;number==&amp;sourceID=11","=")</f>
        <v>=</v>
      </c>
      <c r="H195" s="4" t="str">
        <f>HYPERLINK("http://141.218.60.56/~jnz1568/getInfo.php?workbook=10_01.xlsx&amp;sheet=A0&amp;row=195&amp;col=8&amp;number=&amp;sourceID=11","")</f>
        <v/>
      </c>
      <c r="I195" s="4" t="str">
        <f>HYPERLINK("http://141.218.60.56/~jnz1568/getInfo.php?workbook=10_01.xlsx&amp;sheet=A0&amp;row=195&amp;col=9&amp;number=733950&amp;sourceID=11","733950")</f>
        <v>733950</v>
      </c>
      <c r="J195" s="4" t="str">
        <f>HYPERLINK("http://141.218.60.56/~jnz1568/getInfo.php?workbook=10_01.xlsx&amp;sheet=A0&amp;row=195&amp;col=10&amp;number=&amp;sourceID=11","")</f>
        <v/>
      </c>
      <c r="K195" s="4" t="str">
        <f>HYPERLINK("http://141.218.60.56/~jnz1568/getInfo.php?workbook=10_01.xlsx&amp;sheet=A0&amp;row=195&amp;col=11&amp;number=&amp;sourceID=11","")</f>
        <v/>
      </c>
      <c r="L195" s="4" t="str">
        <f>HYPERLINK("http://141.218.60.56/~jnz1568/getInfo.php?workbook=10_01.xlsx&amp;sheet=A0&amp;row=195&amp;col=12&amp;number=&amp;sourceID=11","")</f>
        <v/>
      </c>
      <c r="M195" s="4" t="str">
        <f>HYPERLINK("http://141.218.60.56/~jnz1568/getInfo.php?workbook=10_01.xlsx&amp;sheet=A0&amp;row=195&amp;col=13&amp;number=1.2007e-05&amp;sourceID=11","1.2007e-05")</f>
        <v>1.2007e-05</v>
      </c>
      <c r="N195" s="4" t="str">
        <f>HYPERLINK("http://141.218.60.56/~jnz1568/getInfo.php?workbook=10_01.xlsx&amp;sheet=A0&amp;row=195&amp;col=14&amp;number=733970&amp;sourceID=12","733970")</f>
        <v>733970</v>
      </c>
      <c r="O195" s="4" t="str">
        <f>HYPERLINK("http://141.218.60.56/~jnz1568/getInfo.php?workbook=10_01.xlsx&amp;sheet=A0&amp;row=195&amp;col=15&amp;number=&amp;sourceID=12","")</f>
        <v/>
      </c>
      <c r="P195" s="4" t="str">
        <f>HYPERLINK("http://141.218.60.56/~jnz1568/getInfo.php?workbook=10_01.xlsx&amp;sheet=A0&amp;row=195&amp;col=16&amp;number=733970&amp;sourceID=12","733970")</f>
        <v>733970</v>
      </c>
      <c r="Q195" s="4" t="str">
        <f>HYPERLINK("http://141.218.60.56/~jnz1568/getInfo.php?workbook=10_01.xlsx&amp;sheet=A0&amp;row=195&amp;col=17&amp;number=&amp;sourceID=12","")</f>
        <v/>
      </c>
      <c r="R195" s="4" t="str">
        <f>HYPERLINK("http://141.218.60.56/~jnz1568/getInfo.php?workbook=10_01.xlsx&amp;sheet=A0&amp;row=195&amp;col=18&amp;number=&amp;sourceID=12","")</f>
        <v/>
      </c>
      <c r="S195" s="4" t="str">
        <f>HYPERLINK("http://141.218.60.56/~jnz1568/getInfo.php?workbook=10_01.xlsx&amp;sheet=A0&amp;row=195&amp;col=19&amp;number=&amp;sourceID=12","")</f>
        <v/>
      </c>
      <c r="T195" s="4" t="str">
        <f>HYPERLINK("http://141.218.60.56/~jnz1568/getInfo.php?workbook=10_01.xlsx&amp;sheet=A0&amp;row=195&amp;col=20&amp;number=1.2007e-05&amp;sourceID=12","1.2007e-05")</f>
        <v>1.2007e-05</v>
      </c>
      <c r="U195" s="4" t="str">
        <f>HYPERLINK("http://141.218.60.56/~jnz1568/getInfo.php?workbook=10_01.xlsx&amp;sheet=A0&amp;row=195&amp;col=21&amp;number=734000&amp;sourceID=30","734000")</f>
        <v>734000</v>
      </c>
      <c r="V195" s="4" t="str">
        <f>HYPERLINK("http://141.218.60.56/~jnz1568/getInfo.php?workbook=10_01.xlsx&amp;sheet=A0&amp;row=195&amp;col=22&amp;number=&amp;sourceID=30","")</f>
        <v/>
      </c>
      <c r="W195" s="4" t="str">
        <f>HYPERLINK("http://141.218.60.56/~jnz1568/getInfo.php?workbook=10_01.xlsx&amp;sheet=A0&amp;row=195&amp;col=23&amp;number=734000&amp;sourceID=30","734000")</f>
        <v>734000</v>
      </c>
      <c r="X195" s="4" t="str">
        <f>HYPERLINK("http://141.218.60.56/~jnz1568/getInfo.php?workbook=10_01.xlsx&amp;sheet=A0&amp;row=195&amp;col=24&amp;number=&amp;sourceID=30","")</f>
        <v/>
      </c>
      <c r="Y195" s="4" t="str">
        <f>HYPERLINK("http://141.218.60.56/~jnz1568/getInfo.php?workbook=10_01.xlsx&amp;sheet=A0&amp;row=195&amp;col=25&amp;number=&amp;sourceID=30","")</f>
        <v/>
      </c>
      <c r="Z195" s="4" t="str">
        <f>HYPERLINK("http://141.218.60.56/~jnz1568/getInfo.php?workbook=10_01.xlsx&amp;sheet=A0&amp;row=195&amp;col=26&amp;number=&amp;sourceID=13","")</f>
        <v/>
      </c>
      <c r="AA195" s="4" t="str">
        <f>HYPERLINK("http://141.218.60.56/~jnz1568/getInfo.php?workbook=10_01.xlsx&amp;sheet=A0&amp;row=195&amp;col=27&amp;number=&amp;sourceID=13","")</f>
        <v/>
      </c>
      <c r="AB195" s="4" t="str">
        <f>HYPERLINK("http://141.218.60.56/~jnz1568/getInfo.php?workbook=10_01.xlsx&amp;sheet=A0&amp;row=195&amp;col=28&amp;number=&amp;sourceID=13","")</f>
        <v/>
      </c>
      <c r="AC195" s="4" t="str">
        <f>HYPERLINK("http://141.218.60.56/~jnz1568/getInfo.php?workbook=10_01.xlsx&amp;sheet=A0&amp;row=195&amp;col=29&amp;number=&amp;sourceID=13","")</f>
        <v/>
      </c>
      <c r="AD195" s="4" t="str">
        <f>HYPERLINK("http://141.218.60.56/~jnz1568/getInfo.php?workbook=10_01.xlsx&amp;sheet=A0&amp;row=195&amp;col=30&amp;number=&amp;sourceID=13","")</f>
        <v/>
      </c>
      <c r="AE195" s="4" t="str">
        <f>HYPERLINK("http://141.218.60.56/~jnz1568/getInfo.php?workbook=10_01.xlsx&amp;sheet=A0&amp;row=195&amp;col=31&amp;number=&amp;sourceID=13","")</f>
        <v/>
      </c>
      <c r="AF195" s="4" t="str">
        <f>HYPERLINK("http://141.218.60.56/~jnz1568/getInfo.php?workbook=10_01.xlsx&amp;sheet=A0&amp;row=195&amp;col=32&amp;number=&amp;sourceID=20","")</f>
        <v/>
      </c>
    </row>
    <row r="196" spans="1:32">
      <c r="A196" s="3">
        <v>10</v>
      </c>
      <c r="B196" s="3">
        <v>1</v>
      </c>
      <c r="C196" s="3">
        <v>21</v>
      </c>
      <c r="D196" s="3">
        <v>11</v>
      </c>
      <c r="E196" s="3">
        <f>((1/(INDEX(E0!J$4:J$28,C196,1)-INDEX(E0!J$4:J$28,D196,1))))*100000000</f>
        <v>0</v>
      </c>
      <c r="F196" s="4" t="str">
        <f>HYPERLINK("http://141.218.60.56/~jnz1568/getInfo.php?workbook=10_01.xlsx&amp;sheet=A0&amp;row=196&amp;col=6&amp;number=&amp;sourceID=18","")</f>
        <v/>
      </c>
      <c r="G196" s="4" t="str">
        <f>HYPERLINK("http://141.218.60.56/~jnz1568/getInfo.php?workbook=10_01.xlsx&amp;sheet=A0&amp;row=196&amp;col=7&amp;number==&amp;sourceID=11","=")</f>
        <v>=</v>
      </c>
      <c r="H196" s="4" t="str">
        <f>HYPERLINK("http://141.218.60.56/~jnz1568/getInfo.php?workbook=10_01.xlsx&amp;sheet=A0&amp;row=196&amp;col=8&amp;number=&amp;sourceID=11","")</f>
        <v/>
      </c>
      <c r="I196" s="4" t="str">
        <f>HYPERLINK("http://141.218.60.56/~jnz1568/getInfo.php?workbook=10_01.xlsx&amp;sheet=A0&amp;row=196&amp;col=9&amp;number=&amp;sourceID=11","")</f>
        <v/>
      </c>
      <c r="J196" s="4" t="str">
        <f>HYPERLINK("http://141.218.60.56/~jnz1568/getInfo.php?workbook=10_01.xlsx&amp;sheet=A0&amp;row=196&amp;col=10&amp;number=12.571&amp;sourceID=11","12.571")</f>
        <v>12.571</v>
      </c>
      <c r="K196" s="4" t="str">
        <f>HYPERLINK("http://141.218.60.56/~jnz1568/getInfo.php?workbook=10_01.xlsx&amp;sheet=A0&amp;row=196&amp;col=11&amp;number=&amp;sourceID=11","")</f>
        <v/>
      </c>
      <c r="L196" s="4" t="str">
        <f>HYPERLINK("http://141.218.60.56/~jnz1568/getInfo.php?workbook=10_01.xlsx&amp;sheet=A0&amp;row=196&amp;col=12&amp;number=6.5178e-09&amp;sourceID=11","6.5178e-09")</f>
        <v>6.5178e-09</v>
      </c>
      <c r="M196" s="4" t="str">
        <f>HYPERLINK("http://141.218.60.56/~jnz1568/getInfo.php?workbook=10_01.xlsx&amp;sheet=A0&amp;row=196&amp;col=13&amp;number=&amp;sourceID=11","")</f>
        <v/>
      </c>
      <c r="N196" s="4" t="str">
        <f>HYPERLINK("http://141.218.60.56/~jnz1568/getInfo.php?workbook=10_01.xlsx&amp;sheet=A0&amp;row=196&amp;col=14&amp;number=12.571&amp;sourceID=12","12.571")</f>
        <v>12.571</v>
      </c>
      <c r="O196" s="4" t="str">
        <f>HYPERLINK("http://141.218.60.56/~jnz1568/getInfo.php?workbook=10_01.xlsx&amp;sheet=A0&amp;row=196&amp;col=15&amp;number=&amp;sourceID=12","")</f>
        <v/>
      </c>
      <c r="P196" s="4" t="str">
        <f>HYPERLINK("http://141.218.60.56/~jnz1568/getInfo.php?workbook=10_01.xlsx&amp;sheet=A0&amp;row=196&amp;col=16&amp;number=&amp;sourceID=12","")</f>
        <v/>
      </c>
      <c r="Q196" s="4" t="str">
        <f>HYPERLINK("http://141.218.60.56/~jnz1568/getInfo.php?workbook=10_01.xlsx&amp;sheet=A0&amp;row=196&amp;col=17&amp;number=12.571&amp;sourceID=12","12.571")</f>
        <v>12.571</v>
      </c>
      <c r="R196" s="4" t="str">
        <f>HYPERLINK("http://141.218.60.56/~jnz1568/getInfo.php?workbook=10_01.xlsx&amp;sheet=A0&amp;row=196&amp;col=18&amp;number=&amp;sourceID=12","")</f>
        <v/>
      </c>
      <c r="S196" s="4" t="str">
        <f>HYPERLINK("http://141.218.60.56/~jnz1568/getInfo.php?workbook=10_01.xlsx&amp;sheet=A0&amp;row=196&amp;col=19&amp;number=6.518e-09&amp;sourceID=12","6.518e-09")</f>
        <v>6.518e-09</v>
      </c>
      <c r="T196" s="4" t="str">
        <f>HYPERLINK("http://141.218.60.56/~jnz1568/getInfo.php?workbook=10_01.xlsx&amp;sheet=A0&amp;row=196&amp;col=20&amp;number=&amp;sourceID=12","")</f>
        <v/>
      </c>
      <c r="U196" s="4" t="str">
        <f>HYPERLINK("http://141.218.60.56/~jnz1568/getInfo.php?workbook=10_01.xlsx&amp;sheet=A0&amp;row=196&amp;col=21&amp;number=6.515e-09&amp;sourceID=30","6.515e-09")</f>
        <v>6.515e-09</v>
      </c>
      <c r="V196" s="4" t="str">
        <f>HYPERLINK("http://141.218.60.56/~jnz1568/getInfo.php?workbook=10_01.xlsx&amp;sheet=A0&amp;row=196&amp;col=22&amp;number=&amp;sourceID=30","")</f>
        <v/>
      </c>
      <c r="W196" s="4" t="str">
        <f>HYPERLINK("http://141.218.60.56/~jnz1568/getInfo.php?workbook=10_01.xlsx&amp;sheet=A0&amp;row=196&amp;col=23&amp;number=&amp;sourceID=30","")</f>
        <v/>
      </c>
      <c r="X196" s="4" t="str">
        <f>HYPERLINK("http://141.218.60.56/~jnz1568/getInfo.php?workbook=10_01.xlsx&amp;sheet=A0&amp;row=196&amp;col=24&amp;number=&amp;sourceID=30","")</f>
        <v/>
      </c>
      <c r="Y196" s="4" t="str">
        <f>HYPERLINK("http://141.218.60.56/~jnz1568/getInfo.php?workbook=10_01.xlsx&amp;sheet=A0&amp;row=196&amp;col=25&amp;number=6.515e-09&amp;sourceID=30","6.515e-09")</f>
        <v>6.515e-09</v>
      </c>
      <c r="Z196" s="4" t="str">
        <f>HYPERLINK("http://141.218.60.56/~jnz1568/getInfo.php?workbook=10_01.xlsx&amp;sheet=A0&amp;row=196&amp;col=26&amp;number=&amp;sourceID=13","")</f>
        <v/>
      </c>
      <c r="AA196" s="4" t="str">
        <f>HYPERLINK("http://141.218.60.56/~jnz1568/getInfo.php?workbook=10_01.xlsx&amp;sheet=A0&amp;row=196&amp;col=27&amp;number=&amp;sourceID=13","")</f>
        <v/>
      </c>
      <c r="AB196" s="4" t="str">
        <f>HYPERLINK("http://141.218.60.56/~jnz1568/getInfo.php?workbook=10_01.xlsx&amp;sheet=A0&amp;row=196&amp;col=28&amp;number=&amp;sourceID=13","")</f>
        <v/>
      </c>
      <c r="AC196" s="4" t="str">
        <f>HYPERLINK("http://141.218.60.56/~jnz1568/getInfo.php?workbook=10_01.xlsx&amp;sheet=A0&amp;row=196&amp;col=29&amp;number=&amp;sourceID=13","")</f>
        <v/>
      </c>
      <c r="AD196" s="4" t="str">
        <f>HYPERLINK("http://141.218.60.56/~jnz1568/getInfo.php?workbook=10_01.xlsx&amp;sheet=A0&amp;row=196&amp;col=30&amp;number=&amp;sourceID=13","")</f>
        <v/>
      </c>
      <c r="AE196" s="4" t="str">
        <f>HYPERLINK("http://141.218.60.56/~jnz1568/getInfo.php?workbook=10_01.xlsx&amp;sheet=A0&amp;row=196&amp;col=31&amp;number=&amp;sourceID=13","")</f>
        <v/>
      </c>
      <c r="AF196" s="4" t="str">
        <f>HYPERLINK("http://141.218.60.56/~jnz1568/getInfo.php?workbook=10_01.xlsx&amp;sheet=A0&amp;row=196&amp;col=32&amp;number=&amp;sourceID=20","")</f>
        <v/>
      </c>
    </row>
    <row r="197" spans="1:32">
      <c r="A197" s="3">
        <v>10</v>
      </c>
      <c r="B197" s="3">
        <v>1</v>
      </c>
      <c r="C197" s="3">
        <v>21</v>
      </c>
      <c r="D197" s="3">
        <v>12</v>
      </c>
      <c r="E197" s="3">
        <f>((1/(INDEX(E0!J$4:J$28,C197,1)-INDEX(E0!J$4:J$28,D197,1))))*100000000</f>
        <v>0</v>
      </c>
      <c r="F197" s="4" t="str">
        <f>HYPERLINK("http://141.218.60.56/~jnz1568/getInfo.php?workbook=10_01.xlsx&amp;sheet=A0&amp;row=197&amp;col=6&amp;number=&amp;sourceID=18","")</f>
        <v/>
      </c>
      <c r="G197" s="4" t="str">
        <f>HYPERLINK("http://141.218.60.56/~jnz1568/getInfo.php?workbook=10_01.xlsx&amp;sheet=A0&amp;row=197&amp;col=7&amp;number==&amp;sourceID=11","=")</f>
        <v>=</v>
      </c>
      <c r="H197" s="4" t="str">
        <f>HYPERLINK("http://141.218.60.56/~jnz1568/getInfo.php?workbook=10_01.xlsx&amp;sheet=A0&amp;row=197&amp;col=8&amp;number=24140000000&amp;sourceID=11","24140000000")</f>
        <v>24140000000</v>
      </c>
      <c r="I197" s="4" t="str">
        <f>HYPERLINK("http://141.218.60.56/~jnz1568/getInfo.php?workbook=10_01.xlsx&amp;sheet=A0&amp;row=197&amp;col=9&amp;number=&amp;sourceID=11","")</f>
        <v/>
      </c>
      <c r="J197" s="4" t="str">
        <f>HYPERLINK("http://141.218.60.56/~jnz1568/getInfo.php?workbook=10_01.xlsx&amp;sheet=A0&amp;row=197&amp;col=10&amp;number=4.7924&amp;sourceID=11","4.7924")</f>
        <v>4.7924</v>
      </c>
      <c r="K197" s="4" t="str">
        <f>HYPERLINK("http://141.218.60.56/~jnz1568/getInfo.php?workbook=10_01.xlsx&amp;sheet=A0&amp;row=197&amp;col=11&amp;number=&amp;sourceID=11","")</f>
        <v/>
      </c>
      <c r="L197" s="4" t="str">
        <f>HYPERLINK("http://141.218.60.56/~jnz1568/getInfo.php?workbook=10_01.xlsx&amp;sheet=A0&amp;row=197&amp;col=12&amp;number=3.8734&amp;sourceID=11","3.8734")</f>
        <v>3.8734</v>
      </c>
      <c r="M197" s="4" t="str">
        <f>HYPERLINK("http://141.218.60.56/~jnz1568/getInfo.php?workbook=10_01.xlsx&amp;sheet=A0&amp;row=197&amp;col=13&amp;number=&amp;sourceID=11","")</f>
        <v/>
      </c>
      <c r="N197" s="4" t="str">
        <f>HYPERLINK("http://141.218.60.56/~jnz1568/getInfo.php?workbook=10_01.xlsx&amp;sheet=A0&amp;row=197&amp;col=14&amp;number=24141000000&amp;sourceID=12","24141000000")</f>
        <v>24141000000</v>
      </c>
      <c r="O197" s="4" t="str">
        <f>HYPERLINK("http://141.218.60.56/~jnz1568/getInfo.php?workbook=10_01.xlsx&amp;sheet=A0&amp;row=197&amp;col=15&amp;number=24141000000&amp;sourceID=12","24141000000")</f>
        <v>24141000000</v>
      </c>
      <c r="P197" s="4" t="str">
        <f>HYPERLINK("http://141.218.60.56/~jnz1568/getInfo.php?workbook=10_01.xlsx&amp;sheet=A0&amp;row=197&amp;col=16&amp;number=&amp;sourceID=12","")</f>
        <v/>
      </c>
      <c r="Q197" s="4" t="str">
        <f>HYPERLINK("http://141.218.60.56/~jnz1568/getInfo.php?workbook=10_01.xlsx&amp;sheet=A0&amp;row=197&amp;col=17&amp;number=4.7925&amp;sourceID=12","4.7925")</f>
        <v>4.7925</v>
      </c>
      <c r="R197" s="4" t="str">
        <f>HYPERLINK("http://141.218.60.56/~jnz1568/getInfo.php?workbook=10_01.xlsx&amp;sheet=A0&amp;row=197&amp;col=18&amp;number=&amp;sourceID=12","")</f>
        <v/>
      </c>
      <c r="S197" s="4" t="str">
        <f>HYPERLINK("http://141.218.60.56/~jnz1568/getInfo.php?workbook=10_01.xlsx&amp;sheet=A0&amp;row=197&amp;col=19&amp;number=3.8735&amp;sourceID=12","3.8735")</f>
        <v>3.8735</v>
      </c>
      <c r="T197" s="4" t="str">
        <f>HYPERLINK("http://141.218.60.56/~jnz1568/getInfo.php?workbook=10_01.xlsx&amp;sheet=A0&amp;row=197&amp;col=20&amp;number=&amp;sourceID=12","")</f>
        <v/>
      </c>
      <c r="U197" s="4" t="str">
        <f>HYPERLINK("http://141.218.60.56/~jnz1568/getInfo.php?workbook=10_01.xlsx&amp;sheet=A0&amp;row=197&amp;col=21&amp;number=24140000003.9&amp;sourceID=30","24140000003.9")</f>
        <v>24140000003.9</v>
      </c>
      <c r="V197" s="4" t="str">
        <f>HYPERLINK("http://141.218.60.56/~jnz1568/getInfo.php?workbook=10_01.xlsx&amp;sheet=A0&amp;row=197&amp;col=22&amp;number=24140000000&amp;sourceID=30","24140000000")</f>
        <v>24140000000</v>
      </c>
      <c r="W197" s="4" t="str">
        <f>HYPERLINK("http://141.218.60.56/~jnz1568/getInfo.php?workbook=10_01.xlsx&amp;sheet=A0&amp;row=197&amp;col=23&amp;number=&amp;sourceID=30","")</f>
        <v/>
      </c>
      <c r="X197" s="4" t="str">
        <f>HYPERLINK("http://141.218.60.56/~jnz1568/getInfo.php?workbook=10_01.xlsx&amp;sheet=A0&amp;row=197&amp;col=24&amp;number=&amp;sourceID=30","")</f>
        <v/>
      </c>
      <c r="Y197" s="4" t="str">
        <f>HYPERLINK("http://141.218.60.56/~jnz1568/getInfo.php?workbook=10_01.xlsx&amp;sheet=A0&amp;row=197&amp;col=25&amp;number=3.874&amp;sourceID=30","3.874")</f>
        <v>3.874</v>
      </c>
      <c r="Z197" s="4" t="str">
        <f>HYPERLINK("http://141.218.60.56/~jnz1568/getInfo.php?workbook=10_01.xlsx&amp;sheet=A0&amp;row=197&amp;col=26&amp;number=&amp;sourceID=13","")</f>
        <v/>
      </c>
      <c r="AA197" s="4" t="str">
        <f>HYPERLINK("http://141.218.60.56/~jnz1568/getInfo.php?workbook=10_01.xlsx&amp;sheet=A0&amp;row=197&amp;col=27&amp;number=&amp;sourceID=13","")</f>
        <v/>
      </c>
      <c r="AB197" s="4" t="str">
        <f>HYPERLINK("http://141.218.60.56/~jnz1568/getInfo.php?workbook=10_01.xlsx&amp;sheet=A0&amp;row=197&amp;col=28&amp;number=&amp;sourceID=13","")</f>
        <v/>
      </c>
      <c r="AC197" s="4" t="str">
        <f>HYPERLINK("http://141.218.60.56/~jnz1568/getInfo.php?workbook=10_01.xlsx&amp;sheet=A0&amp;row=197&amp;col=29&amp;number=&amp;sourceID=13","")</f>
        <v/>
      </c>
      <c r="AD197" s="4" t="str">
        <f>HYPERLINK("http://141.218.60.56/~jnz1568/getInfo.php?workbook=10_01.xlsx&amp;sheet=A0&amp;row=197&amp;col=30&amp;number=&amp;sourceID=13","")</f>
        <v/>
      </c>
      <c r="AE197" s="4" t="str">
        <f>HYPERLINK("http://141.218.60.56/~jnz1568/getInfo.php?workbook=10_01.xlsx&amp;sheet=A0&amp;row=197&amp;col=31&amp;number=&amp;sourceID=13","")</f>
        <v/>
      </c>
      <c r="AF197" s="4" t="str">
        <f>HYPERLINK("http://141.218.60.56/~jnz1568/getInfo.php?workbook=10_01.xlsx&amp;sheet=A0&amp;row=197&amp;col=32&amp;number=&amp;sourceID=20","")</f>
        <v/>
      </c>
    </row>
    <row r="198" spans="1:32">
      <c r="A198" s="3">
        <v>10</v>
      </c>
      <c r="B198" s="3">
        <v>1</v>
      </c>
      <c r="C198" s="3">
        <v>21</v>
      </c>
      <c r="D198" s="3">
        <v>13</v>
      </c>
      <c r="E198" s="3">
        <f>((1/(INDEX(E0!J$4:J$28,C198,1)-INDEX(E0!J$4:J$28,D198,1))))*100000000</f>
        <v>0</v>
      </c>
      <c r="F198" s="4" t="str">
        <f>HYPERLINK("http://141.218.60.56/~jnz1568/getInfo.php?workbook=10_01.xlsx&amp;sheet=A0&amp;row=198&amp;col=6&amp;number=&amp;sourceID=18","")</f>
        <v/>
      </c>
      <c r="G198" s="4" t="str">
        <f>HYPERLINK("http://141.218.60.56/~jnz1568/getInfo.php?workbook=10_01.xlsx&amp;sheet=A0&amp;row=198&amp;col=7&amp;number==SUM(H198:M198)&amp;sourceID=11","=SUM(H198:M198)")</f>
        <v>=SUM(H198:M198)</v>
      </c>
      <c r="H198" s="4" t="str">
        <f>HYPERLINK("http://141.218.60.56/~jnz1568/getInfo.php?workbook=10_01.xlsx&amp;sheet=A0&amp;row=198&amp;col=8&amp;number=&amp;sourceID=11","")</f>
        <v/>
      </c>
      <c r="I198" s="4" t="str">
        <f>HYPERLINK("http://141.218.60.56/~jnz1568/getInfo.php?workbook=10_01.xlsx&amp;sheet=A0&amp;row=198&amp;col=9&amp;number=208640&amp;sourceID=11","208640")</f>
        <v>208640</v>
      </c>
      <c r="J198" s="4" t="str">
        <f>HYPERLINK("http://141.218.60.56/~jnz1568/getInfo.php?workbook=10_01.xlsx&amp;sheet=A0&amp;row=198&amp;col=10&amp;number=&amp;sourceID=11","")</f>
        <v/>
      </c>
      <c r="K198" s="4" t="str">
        <f>HYPERLINK("http://141.218.60.56/~jnz1568/getInfo.php?workbook=10_01.xlsx&amp;sheet=A0&amp;row=198&amp;col=11&amp;number=0.00037223&amp;sourceID=11","0.00037223")</f>
        <v>0.00037223</v>
      </c>
      <c r="L198" s="4" t="str">
        <f>HYPERLINK("http://141.218.60.56/~jnz1568/getInfo.php?workbook=10_01.xlsx&amp;sheet=A0&amp;row=198&amp;col=12&amp;number=&amp;sourceID=11","")</f>
        <v/>
      </c>
      <c r="M198" s="4" t="str">
        <f>HYPERLINK("http://141.218.60.56/~jnz1568/getInfo.php?workbook=10_01.xlsx&amp;sheet=A0&amp;row=198&amp;col=13&amp;number=2.3811e-06&amp;sourceID=11","2.3811e-06")</f>
        <v>2.3811e-06</v>
      </c>
      <c r="N198" s="4" t="str">
        <f>HYPERLINK("http://141.218.60.56/~jnz1568/getInfo.php?workbook=10_01.xlsx&amp;sheet=A0&amp;row=198&amp;col=14&amp;number=208640&amp;sourceID=12","208640")</f>
        <v>208640</v>
      </c>
      <c r="O198" s="4" t="str">
        <f>HYPERLINK("http://141.218.60.56/~jnz1568/getInfo.php?workbook=10_01.xlsx&amp;sheet=A0&amp;row=198&amp;col=15&amp;number=&amp;sourceID=12","")</f>
        <v/>
      </c>
      <c r="P198" s="4" t="str">
        <f>HYPERLINK("http://141.218.60.56/~jnz1568/getInfo.php?workbook=10_01.xlsx&amp;sheet=A0&amp;row=198&amp;col=16&amp;number=208640&amp;sourceID=12","208640")</f>
        <v>208640</v>
      </c>
      <c r="Q198" s="4" t="str">
        <f>HYPERLINK("http://141.218.60.56/~jnz1568/getInfo.php?workbook=10_01.xlsx&amp;sheet=A0&amp;row=198&amp;col=17&amp;number=&amp;sourceID=12","")</f>
        <v/>
      </c>
      <c r="R198" s="4" t="str">
        <f>HYPERLINK("http://141.218.60.56/~jnz1568/getInfo.php?workbook=10_01.xlsx&amp;sheet=A0&amp;row=198&amp;col=18&amp;number=0.00037224&amp;sourceID=12","0.00037224")</f>
        <v>0.00037224</v>
      </c>
      <c r="S198" s="4" t="str">
        <f>HYPERLINK("http://141.218.60.56/~jnz1568/getInfo.php?workbook=10_01.xlsx&amp;sheet=A0&amp;row=198&amp;col=19&amp;number=&amp;sourceID=12","")</f>
        <v/>
      </c>
      <c r="T198" s="4" t="str">
        <f>HYPERLINK("http://141.218.60.56/~jnz1568/getInfo.php?workbook=10_01.xlsx&amp;sheet=A0&amp;row=198&amp;col=20&amp;number=2.3812e-06&amp;sourceID=12","2.3812e-06")</f>
        <v>2.3812e-06</v>
      </c>
      <c r="U198" s="4" t="str">
        <f>HYPERLINK("http://141.218.60.56/~jnz1568/getInfo.php?workbook=10_01.xlsx&amp;sheet=A0&amp;row=198&amp;col=21&amp;number=208600.000372&amp;sourceID=30","208600.000372")</f>
        <v>208600.000372</v>
      </c>
      <c r="V198" s="4" t="str">
        <f>HYPERLINK("http://141.218.60.56/~jnz1568/getInfo.php?workbook=10_01.xlsx&amp;sheet=A0&amp;row=198&amp;col=22&amp;number=&amp;sourceID=30","")</f>
        <v/>
      </c>
      <c r="W198" s="4" t="str">
        <f>HYPERLINK("http://141.218.60.56/~jnz1568/getInfo.php?workbook=10_01.xlsx&amp;sheet=A0&amp;row=198&amp;col=23&amp;number=208600&amp;sourceID=30","208600")</f>
        <v>208600</v>
      </c>
      <c r="X198" s="4" t="str">
        <f>HYPERLINK("http://141.218.60.56/~jnz1568/getInfo.php?workbook=10_01.xlsx&amp;sheet=A0&amp;row=198&amp;col=24&amp;number=0.0003721&amp;sourceID=30","0.0003721")</f>
        <v>0.0003721</v>
      </c>
      <c r="Y198" s="4" t="str">
        <f>HYPERLINK("http://141.218.60.56/~jnz1568/getInfo.php?workbook=10_01.xlsx&amp;sheet=A0&amp;row=198&amp;col=25&amp;number=&amp;sourceID=30","")</f>
        <v/>
      </c>
      <c r="Z198" s="4" t="str">
        <f>HYPERLINK("http://141.218.60.56/~jnz1568/getInfo.php?workbook=10_01.xlsx&amp;sheet=A0&amp;row=198&amp;col=26&amp;number=&amp;sourceID=13","")</f>
        <v/>
      </c>
      <c r="AA198" s="4" t="str">
        <f>HYPERLINK("http://141.218.60.56/~jnz1568/getInfo.php?workbook=10_01.xlsx&amp;sheet=A0&amp;row=198&amp;col=27&amp;number=&amp;sourceID=13","")</f>
        <v/>
      </c>
      <c r="AB198" s="4" t="str">
        <f>HYPERLINK("http://141.218.60.56/~jnz1568/getInfo.php?workbook=10_01.xlsx&amp;sheet=A0&amp;row=198&amp;col=28&amp;number=&amp;sourceID=13","")</f>
        <v/>
      </c>
      <c r="AC198" s="4" t="str">
        <f>HYPERLINK("http://141.218.60.56/~jnz1568/getInfo.php?workbook=10_01.xlsx&amp;sheet=A0&amp;row=198&amp;col=29&amp;number=&amp;sourceID=13","")</f>
        <v/>
      </c>
      <c r="AD198" s="4" t="str">
        <f>HYPERLINK("http://141.218.60.56/~jnz1568/getInfo.php?workbook=10_01.xlsx&amp;sheet=A0&amp;row=198&amp;col=30&amp;number=&amp;sourceID=13","")</f>
        <v/>
      </c>
      <c r="AE198" s="4" t="str">
        <f>HYPERLINK("http://141.218.60.56/~jnz1568/getInfo.php?workbook=10_01.xlsx&amp;sheet=A0&amp;row=198&amp;col=31&amp;number=&amp;sourceID=13","")</f>
        <v/>
      </c>
      <c r="AF198" s="4" t="str">
        <f>HYPERLINK("http://141.218.60.56/~jnz1568/getInfo.php?workbook=10_01.xlsx&amp;sheet=A0&amp;row=198&amp;col=32&amp;number=&amp;sourceID=20","")</f>
        <v/>
      </c>
    </row>
    <row r="199" spans="1:32">
      <c r="A199" s="3">
        <v>10</v>
      </c>
      <c r="B199" s="3">
        <v>1</v>
      </c>
      <c r="C199" s="3">
        <v>21</v>
      </c>
      <c r="D199" s="3">
        <v>14</v>
      </c>
      <c r="E199" s="3">
        <f>((1/(INDEX(E0!J$4:J$28,C199,1)-INDEX(E0!J$4:J$28,D199,1))))*100000000</f>
        <v>0</v>
      </c>
      <c r="F199" s="4" t="str">
        <f>HYPERLINK("http://141.218.60.56/~jnz1568/getInfo.php?workbook=10_01.xlsx&amp;sheet=A0&amp;row=199&amp;col=6&amp;number=&amp;sourceID=18","")</f>
        <v/>
      </c>
      <c r="G199" s="4" t="str">
        <f>HYPERLINK("http://141.218.60.56/~jnz1568/getInfo.php?workbook=10_01.xlsx&amp;sheet=A0&amp;row=199&amp;col=7&amp;number==&amp;sourceID=11","=")</f>
        <v>=</v>
      </c>
      <c r="H199" s="4" t="str">
        <f>HYPERLINK("http://141.218.60.56/~jnz1568/getInfo.php?workbook=10_01.xlsx&amp;sheet=A0&amp;row=199&amp;col=8&amp;number=&amp;sourceID=11","")</f>
        <v/>
      </c>
      <c r="I199" s="4" t="str">
        <f>HYPERLINK("http://141.218.60.56/~jnz1568/getInfo.php?workbook=10_01.xlsx&amp;sheet=A0&amp;row=199&amp;col=9&amp;number=131150&amp;sourceID=11","131150")</f>
        <v>131150</v>
      </c>
      <c r="J199" s="4" t="str">
        <f>HYPERLINK("http://141.218.60.56/~jnz1568/getInfo.php?workbook=10_01.xlsx&amp;sheet=A0&amp;row=199&amp;col=10&amp;number=&amp;sourceID=11","")</f>
        <v/>
      </c>
      <c r="K199" s="4" t="str">
        <f>HYPERLINK("http://141.218.60.56/~jnz1568/getInfo.php?workbook=10_01.xlsx&amp;sheet=A0&amp;row=199&amp;col=11&amp;number=0.012824&amp;sourceID=11","0.012824")</f>
        <v>0.012824</v>
      </c>
      <c r="L199" s="4" t="str">
        <f>HYPERLINK("http://141.218.60.56/~jnz1568/getInfo.php?workbook=10_01.xlsx&amp;sheet=A0&amp;row=199&amp;col=12&amp;number=&amp;sourceID=11","")</f>
        <v/>
      </c>
      <c r="M199" s="4" t="str">
        <f>HYPERLINK("http://141.218.60.56/~jnz1568/getInfo.php?workbook=10_01.xlsx&amp;sheet=A0&amp;row=199&amp;col=13&amp;number=2.0179e-05&amp;sourceID=11","2.0179e-05")</f>
        <v>2.0179e-05</v>
      </c>
      <c r="N199" s="4" t="str">
        <f>HYPERLINK("http://141.218.60.56/~jnz1568/getInfo.php?workbook=10_01.xlsx&amp;sheet=A0&amp;row=199&amp;col=14&amp;number=131150&amp;sourceID=12","131150")</f>
        <v>131150</v>
      </c>
      <c r="O199" s="4" t="str">
        <f>HYPERLINK("http://141.218.60.56/~jnz1568/getInfo.php?workbook=10_01.xlsx&amp;sheet=A0&amp;row=199&amp;col=15&amp;number=&amp;sourceID=12","")</f>
        <v/>
      </c>
      <c r="P199" s="4" t="str">
        <f>HYPERLINK("http://141.218.60.56/~jnz1568/getInfo.php?workbook=10_01.xlsx&amp;sheet=A0&amp;row=199&amp;col=16&amp;number=131150&amp;sourceID=12","131150")</f>
        <v>131150</v>
      </c>
      <c r="Q199" s="4" t="str">
        <f>HYPERLINK("http://141.218.60.56/~jnz1568/getInfo.php?workbook=10_01.xlsx&amp;sheet=A0&amp;row=199&amp;col=17&amp;number=&amp;sourceID=12","")</f>
        <v/>
      </c>
      <c r="R199" s="4" t="str">
        <f>HYPERLINK("http://141.218.60.56/~jnz1568/getInfo.php?workbook=10_01.xlsx&amp;sheet=A0&amp;row=199&amp;col=18&amp;number=0.012824&amp;sourceID=12","0.012824")</f>
        <v>0.012824</v>
      </c>
      <c r="S199" s="4" t="str">
        <f>HYPERLINK("http://141.218.60.56/~jnz1568/getInfo.php?workbook=10_01.xlsx&amp;sheet=A0&amp;row=199&amp;col=19&amp;number=&amp;sourceID=12","")</f>
        <v/>
      </c>
      <c r="T199" s="4" t="str">
        <f>HYPERLINK("http://141.218.60.56/~jnz1568/getInfo.php?workbook=10_01.xlsx&amp;sheet=A0&amp;row=199&amp;col=20&amp;number=2.018e-05&amp;sourceID=12","2.018e-05")</f>
        <v>2.018e-05</v>
      </c>
      <c r="U199" s="4" t="str">
        <f>HYPERLINK("http://141.218.60.56/~jnz1568/getInfo.php?workbook=10_01.xlsx&amp;sheet=A0&amp;row=199&amp;col=21&amp;number=131200.01283&amp;sourceID=30","131200.01283")</f>
        <v>131200.01283</v>
      </c>
      <c r="V199" s="4" t="str">
        <f>HYPERLINK("http://141.218.60.56/~jnz1568/getInfo.php?workbook=10_01.xlsx&amp;sheet=A0&amp;row=199&amp;col=22&amp;number=&amp;sourceID=30","")</f>
        <v/>
      </c>
      <c r="W199" s="4" t="str">
        <f>HYPERLINK("http://141.218.60.56/~jnz1568/getInfo.php?workbook=10_01.xlsx&amp;sheet=A0&amp;row=199&amp;col=23&amp;number=131200&amp;sourceID=30","131200")</f>
        <v>131200</v>
      </c>
      <c r="X199" s="4" t="str">
        <f>HYPERLINK("http://141.218.60.56/~jnz1568/getInfo.php?workbook=10_01.xlsx&amp;sheet=A0&amp;row=199&amp;col=24&amp;number=0.01283&amp;sourceID=30","0.01283")</f>
        <v>0.01283</v>
      </c>
      <c r="Y199" s="4" t="str">
        <f>HYPERLINK("http://141.218.60.56/~jnz1568/getInfo.php?workbook=10_01.xlsx&amp;sheet=A0&amp;row=199&amp;col=25&amp;number=&amp;sourceID=30","")</f>
        <v/>
      </c>
      <c r="Z199" s="4" t="str">
        <f>HYPERLINK("http://141.218.60.56/~jnz1568/getInfo.php?workbook=10_01.xlsx&amp;sheet=A0&amp;row=199&amp;col=26&amp;number=&amp;sourceID=13","")</f>
        <v/>
      </c>
      <c r="AA199" s="4" t="str">
        <f>HYPERLINK("http://141.218.60.56/~jnz1568/getInfo.php?workbook=10_01.xlsx&amp;sheet=A0&amp;row=199&amp;col=27&amp;number=&amp;sourceID=13","")</f>
        <v/>
      </c>
      <c r="AB199" s="4" t="str">
        <f>HYPERLINK("http://141.218.60.56/~jnz1568/getInfo.php?workbook=10_01.xlsx&amp;sheet=A0&amp;row=199&amp;col=28&amp;number=&amp;sourceID=13","")</f>
        <v/>
      </c>
      <c r="AC199" s="4" t="str">
        <f>HYPERLINK("http://141.218.60.56/~jnz1568/getInfo.php?workbook=10_01.xlsx&amp;sheet=A0&amp;row=199&amp;col=29&amp;number=&amp;sourceID=13","")</f>
        <v/>
      </c>
      <c r="AD199" s="4" t="str">
        <f>HYPERLINK("http://141.218.60.56/~jnz1568/getInfo.php?workbook=10_01.xlsx&amp;sheet=A0&amp;row=199&amp;col=30&amp;number=&amp;sourceID=13","")</f>
        <v/>
      </c>
      <c r="AE199" s="4" t="str">
        <f>HYPERLINK("http://141.218.60.56/~jnz1568/getInfo.php?workbook=10_01.xlsx&amp;sheet=A0&amp;row=199&amp;col=31&amp;number=&amp;sourceID=13","")</f>
        <v/>
      </c>
      <c r="AF199" s="4" t="str">
        <f>HYPERLINK("http://141.218.60.56/~jnz1568/getInfo.php?workbook=10_01.xlsx&amp;sheet=A0&amp;row=199&amp;col=32&amp;number=&amp;sourceID=20","")</f>
        <v/>
      </c>
    </row>
    <row r="200" spans="1:32">
      <c r="A200" s="3">
        <v>10</v>
      </c>
      <c r="B200" s="3">
        <v>1</v>
      </c>
      <c r="C200" s="3">
        <v>21</v>
      </c>
      <c r="D200" s="3">
        <v>15</v>
      </c>
      <c r="E200" s="3">
        <f>((1/(INDEX(E0!J$4:J$28,C200,1)-INDEX(E0!J$4:J$28,D200,1))))*100000000</f>
        <v>0</v>
      </c>
      <c r="F200" s="4" t="str">
        <f>HYPERLINK("http://141.218.60.56/~jnz1568/getInfo.php?workbook=10_01.xlsx&amp;sheet=A0&amp;row=200&amp;col=6&amp;number=&amp;sourceID=18","")</f>
        <v/>
      </c>
      <c r="G200" s="4" t="str">
        <f>HYPERLINK("http://141.218.60.56/~jnz1568/getInfo.php?workbook=10_01.xlsx&amp;sheet=A0&amp;row=200&amp;col=7&amp;number==&amp;sourceID=11","=")</f>
        <v>=</v>
      </c>
      <c r="H200" s="4" t="str">
        <f>HYPERLINK("http://141.218.60.56/~jnz1568/getInfo.php?workbook=10_01.xlsx&amp;sheet=A0&amp;row=200&amp;col=8&amp;number=1724200000&amp;sourceID=11","1724200000")</f>
        <v>1724200000</v>
      </c>
      <c r="I200" s="4" t="str">
        <f>HYPERLINK("http://141.218.60.56/~jnz1568/getInfo.php?workbook=10_01.xlsx&amp;sheet=A0&amp;row=200&amp;col=9&amp;number=&amp;sourceID=11","")</f>
        <v/>
      </c>
      <c r="J200" s="4" t="str">
        <f>HYPERLINK("http://141.218.60.56/~jnz1568/getInfo.php?workbook=10_01.xlsx&amp;sheet=A0&amp;row=200&amp;col=10&amp;number=3.1867&amp;sourceID=11","3.1867")</f>
        <v>3.1867</v>
      </c>
      <c r="K200" s="4" t="str">
        <f>HYPERLINK("http://141.218.60.56/~jnz1568/getInfo.php?workbook=10_01.xlsx&amp;sheet=A0&amp;row=200&amp;col=11&amp;number=&amp;sourceID=11","")</f>
        <v/>
      </c>
      <c r="L200" s="4" t="str">
        <f>HYPERLINK("http://141.218.60.56/~jnz1568/getInfo.php?workbook=10_01.xlsx&amp;sheet=A0&amp;row=200&amp;col=12&amp;number=&amp;sourceID=11","")</f>
        <v/>
      </c>
      <c r="M200" s="4" t="str">
        <f>HYPERLINK("http://141.218.60.56/~jnz1568/getInfo.php?workbook=10_01.xlsx&amp;sheet=A0&amp;row=200&amp;col=13&amp;number=&amp;sourceID=11","")</f>
        <v/>
      </c>
      <c r="N200" s="4" t="str">
        <f>HYPERLINK("http://141.218.60.56/~jnz1568/getInfo.php?workbook=10_01.xlsx&amp;sheet=A0&amp;row=200&amp;col=14&amp;number=1724200000&amp;sourceID=12","1724200000")</f>
        <v>1724200000</v>
      </c>
      <c r="O200" s="4" t="str">
        <f>HYPERLINK("http://141.218.60.56/~jnz1568/getInfo.php?workbook=10_01.xlsx&amp;sheet=A0&amp;row=200&amp;col=15&amp;number=1724200000&amp;sourceID=12","1724200000")</f>
        <v>1724200000</v>
      </c>
      <c r="P200" s="4" t="str">
        <f>HYPERLINK("http://141.218.60.56/~jnz1568/getInfo.php?workbook=10_01.xlsx&amp;sheet=A0&amp;row=200&amp;col=16&amp;number=&amp;sourceID=12","")</f>
        <v/>
      </c>
      <c r="Q200" s="4" t="str">
        <f>HYPERLINK("http://141.218.60.56/~jnz1568/getInfo.php?workbook=10_01.xlsx&amp;sheet=A0&amp;row=200&amp;col=17&amp;number=3.1868&amp;sourceID=12","3.1868")</f>
        <v>3.1868</v>
      </c>
      <c r="R200" s="4" t="str">
        <f>HYPERLINK("http://141.218.60.56/~jnz1568/getInfo.php?workbook=10_01.xlsx&amp;sheet=A0&amp;row=200&amp;col=18&amp;number=&amp;sourceID=12","")</f>
        <v/>
      </c>
      <c r="S200" s="4" t="str">
        <f>HYPERLINK("http://141.218.60.56/~jnz1568/getInfo.php?workbook=10_01.xlsx&amp;sheet=A0&amp;row=200&amp;col=19&amp;number=&amp;sourceID=12","")</f>
        <v/>
      </c>
      <c r="T200" s="4" t="str">
        <f>HYPERLINK("http://141.218.60.56/~jnz1568/getInfo.php?workbook=10_01.xlsx&amp;sheet=A0&amp;row=200&amp;col=20&amp;number=&amp;sourceID=12","")</f>
        <v/>
      </c>
      <c r="U200" s="4" t="str">
        <f>HYPERLINK("http://141.218.60.56/~jnz1568/getInfo.php?workbook=10_01.xlsx&amp;sheet=A0&amp;row=200&amp;col=21&amp;number=1724000000&amp;sourceID=30","1724000000")</f>
        <v>1724000000</v>
      </c>
      <c r="V200" s="4" t="str">
        <f>HYPERLINK("http://141.218.60.56/~jnz1568/getInfo.php?workbook=10_01.xlsx&amp;sheet=A0&amp;row=200&amp;col=22&amp;number=1724000000&amp;sourceID=30","1724000000")</f>
        <v>1724000000</v>
      </c>
      <c r="W200" s="4" t="str">
        <f>HYPERLINK("http://141.218.60.56/~jnz1568/getInfo.php?workbook=10_01.xlsx&amp;sheet=A0&amp;row=200&amp;col=23&amp;number=&amp;sourceID=30","")</f>
        <v/>
      </c>
      <c r="X200" s="4" t="str">
        <f>HYPERLINK("http://141.218.60.56/~jnz1568/getInfo.php?workbook=10_01.xlsx&amp;sheet=A0&amp;row=200&amp;col=24&amp;number=&amp;sourceID=30","")</f>
        <v/>
      </c>
      <c r="Y200" s="4" t="str">
        <f>HYPERLINK("http://141.218.60.56/~jnz1568/getInfo.php?workbook=10_01.xlsx&amp;sheet=A0&amp;row=200&amp;col=25&amp;number=&amp;sourceID=30","")</f>
        <v/>
      </c>
      <c r="Z200" s="4" t="str">
        <f>HYPERLINK("http://141.218.60.56/~jnz1568/getInfo.php?workbook=10_01.xlsx&amp;sheet=A0&amp;row=200&amp;col=26&amp;number=&amp;sourceID=13","")</f>
        <v/>
      </c>
      <c r="AA200" s="4" t="str">
        <f>HYPERLINK("http://141.218.60.56/~jnz1568/getInfo.php?workbook=10_01.xlsx&amp;sheet=A0&amp;row=200&amp;col=27&amp;number=&amp;sourceID=13","")</f>
        <v/>
      </c>
      <c r="AB200" s="4" t="str">
        <f>HYPERLINK("http://141.218.60.56/~jnz1568/getInfo.php?workbook=10_01.xlsx&amp;sheet=A0&amp;row=200&amp;col=28&amp;number=&amp;sourceID=13","")</f>
        <v/>
      </c>
      <c r="AC200" s="4" t="str">
        <f>HYPERLINK("http://141.218.60.56/~jnz1568/getInfo.php?workbook=10_01.xlsx&amp;sheet=A0&amp;row=200&amp;col=29&amp;number=&amp;sourceID=13","")</f>
        <v/>
      </c>
      <c r="AD200" s="4" t="str">
        <f>HYPERLINK("http://141.218.60.56/~jnz1568/getInfo.php?workbook=10_01.xlsx&amp;sheet=A0&amp;row=200&amp;col=30&amp;number=&amp;sourceID=13","")</f>
        <v/>
      </c>
      <c r="AE200" s="4" t="str">
        <f>HYPERLINK("http://141.218.60.56/~jnz1568/getInfo.php?workbook=10_01.xlsx&amp;sheet=A0&amp;row=200&amp;col=31&amp;number=&amp;sourceID=13","")</f>
        <v/>
      </c>
      <c r="AF200" s="4" t="str">
        <f>HYPERLINK("http://141.218.60.56/~jnz1568/getInfo.php?workbook=10_01.xlsx&amp;sheet=A0&amp;row=200&amp;col=32&amp;number=&amp;sourceID=20","")</f>
        <v/>
      </c>
    </row>
    <row r="201" spans="1:32">
      <c r="A201" s="3">
        <v>10</v>
      </c>
      <c r="B201" s="3">
        <v>1</v>
      </c>
      <c r="C201" s="3">
        <v>21</v>
      </c>
      <c r="D201" s="3">
        <v>16</v>
      </c>
      <c r="E201" s="3">
        <f>((1/(INDEX(E0!J$4:J$28,C201,1)-INDEX(E0!J$4:J$28,D201,1))))*100000000</f>
        <v>0</v>
      </c>
      <c r="F201" s="4" t="str">
        <f>HYPERLINK("http://141.218.60.56/~jnz1568/getInfo.php?workbook=10_01.xlsx&amp;sheet=A0&amp;row=201&amp;col=6&amp;number=&amp;sourceID=18","")</f>
        <v/>
      </c>
      <c r="G201" s="4" t="str">
        <f>HYPERLINK("http://141.218.60.56/~jnz1568/getInfo.php?workbook=10_01.xlsx&amp;sheet=A0&amp;row=201&amp;col=7&amp;number==&amp;sourceID=11","=")</f>
        <v>=</v>
      </c>
      <c r="H201" s="4" t="str">
        <f>HYPERLINK("http://141.218.60.56/~jnz1568/getInfo.php?workbook=10_01.xlsx&amp;sheet=A0&amp;row=201&amp;col=8&amp;number=&amp;sourceID=11","")</f>
        <v/>
      </c>
      <c r="I201" s="4" t="str">
        <f>HYPERLINK("http://141.218.60.56/~jnz1568/getInfo.php?workbook=10_01.xlsx&amp;sheet=A0&amp;row=201&amp;col=9&amp;number=21850&amp;sourceID=11","21850")</f>
        <v>21850</v>
      </c>
      <c r="J201" s="4" t="str">
        <f>HYPERLINK("http://141.218.60.56/~jnz1568/getInfo.php?workbook=10_01.xlsx&amp;sheet=A0&amp;row=201&amp;col=10&amp;number=&amp;sourceID=11","")</f>
        <v/>
      </c>
      <c r="K201" s="4" t="str">
        <f>HYPERLINK("http://141.218.60.56/~jnz1568/getInfo.php?workbook=10_01.xlsx&amp;sheet=A0&amp;row=201&amp;col=11&amp;number=0.011951&amp;sourceID=11","0.011951")</f>
        <v>0.011951</v>
      </c>
      <c r="L201" s="4" t="str">
        <f>HYPERLINK("http://141.218.60.56/~jnz1568/getInfo.php?workbook=10_01.xlsx&amp;sheet=A0&amp;row=201&amp;col=12&amp;number=&amp;sourceID=11","")</f>
        <v/>
      </c>
      <c r="M201" s="4" t="str">
        <f>HYPERLINK("http://141.218.60.56/~jnz1568/getInfo.php?workbook=10_01.xlsx&amp;sheet=A0&amp;row=201&amp;col=13&amp;number=2.489e-06&amp;sourceID=11","2.489e-06")</f>
        <v>2.489e-06</v>
      </c>
      <c r="N201" s="4" t="str">
        <f>HYPERLINK("http://141.218.60.56/~jnz1568/getInfo.php?workbook=10_01.xlsx&amp;sheet=A0&amp;row=201&amp;col=14&amp;number=21850&amp;sourceID=12","21850")</f>
        <v>21850</v>
      </c>
      <c r="O201" s="4" t="str">
        <f>HYPERLINK("http://141.218.60.56/~jnz1568/getInfo.php?workbook=10_01.xlsx&amp;sheet=A0&amp;row=201&amp;col=15&amp;number=&amp;sourceID=12","")</f>
        <v/>
      </c>
      <c r="P201" s="4" t="str">
        <f>HYPERLINK("http://141.218.60.56/~jnz1568/getInfo.php?workbook=10_01.xlsx&amp;sheet=A0&amp;row=201&amp;col=16&amp;number=21850&amp;sourceID=12","21850")</f>
        <v>21850</v>
      </c>
      <c r="Q201" s="4" t="str">
        <f>HYPERLINK("http://141.218.60.56/~jnz1568/getInfo.php?workbook=10_01.xlsx&amp;sheet=A0&amp;row=201&amp;col=17&amp;number=&amp;sourceID=12","")</f>
        <v/>
      </c>
      <c r="R201" s="4" t="str">
        <f>HYPERLINK("http://141.218.60.56/~jnz1568/getInfo.php?workbook=10_01.xlsx&amp;sheet=A0&amp;row=201&amp;col=18&amp;number=0.011952&amp;sourceID=12","0.011952")</f>
        <v>0.011952</v>
      </c>
      <c r="S201" s="4" t="str">
        <f>HYPERLINK("http://141.218.60.56/~jnz1568/getInfo.php?workbook=10_01.xlsx&amp;sheet=A0&amp;row=201&amp;col=19&amp;number=&amp;sourceID=12","")</f>
        <v/>
      </c>
      <c r="T201" s="4" t="str">
        <f>HYPERLINK("http://141.218.60.56/~jnz1568/getInfo.php?workbook=10_01.xlsx&amp;sheet=A0&amp;row=201&amp;col=20&amp;number=2.4891e-06&amp;sourceID=12","2.4891e-06")</f>
        <v>2.4891e-06</v>
      </c>
      <c r="U201" s="4" t="str">
        <f>HYPERLINK("http://141.218.60.56/~jnz1568/getInfo.php?workbook=10_01.xlsx&amp;sheet=A0&amp;row=201&amp;col=21&amp;number=21850.01195&amp;sourceID=30","21850.01195")</f>
        <v>21850.01195</v>
      </c>
      <c r="V201" s="4" t="str">
        <f>HYPERLINK("http://141.218.60.56/~jnz1568/getInfo.php?workbook=10_01.xlsx&amp;sheet=A0&amp;row=201&amp;col=22&amp;number=&amp;sourceID=30","")</f>
        <v/>
      </c>
      <c r="W201" s="4" t="str">
        <f>HYPERLINK("http://141.218.60.56/~jnz1568/getInfo.php?workbook=10_01.xlsx&amp;sheet=A0&amp;row=201&amp;col=23&amp;number=21850&amp;sourceID=30","21850")</f>
        <v>21850</v>
      </c>
      <c r="X201" s="4" t="str">
        <f>HYPERLINK("http://141.218.60.56/~jnz1568/getInfo.php?workbook=10_01.xlsx&amp;sheet=A0&amp;row=201&amp;col=24&amp;number=0.01195&amp;sourceID=30","0.01195")</f>
        <v>0.01195</v>
      </c>
      <c r="Y201" s="4" t="str">
        <f>HYPERLINK("http://141.218.60.56/~jnz1568/getInfo.php?workbook=10_01.xlsx&amp;sheet=A0&amp;row=201&amp;col=25&amp;number=&amp;sourceID=30","")</f>
        <v/>
      </c>
      <c r="Z201" s="4" t="str">
        <f>HYPERLINK("http://141.218.60.56/~jnz1568/getInfo.php?workbook=10_01.xlsx&amp;sheet=A0&amp;row=201&amp;col=26&amp;number=&amp;sourceID=13","")</f>
        <v/>
      </c>
      <c r="AA201" s="4" t="str">
        <f>HYPERLINK("http://141.218.60.56/~jnz1568/getInfo.php?workbook=10_01.xlsx&amp;sheet=A0&amp;row=201&amp;col=27&amp;number=&amp;sourceID=13","")</f>
        <v/>
      </c>
      <c r="AB201" s="4" t="str">
        <f>HYPERLINK("http://141.218.60.56/~jnz1568/getInfo.php?workbook=10_01.xlsx&amp;sheet=A0&amp;row=201&amp;col=28&amp;number=&amp;sourceID=13","")</f>
        <v/>
      </c>
      <c r="AC201" s="4" t="str">
        <f>HYPERLINK("http://141.218.60.56/~jnz1568/getInfo.php?workbook=10_01.xlsx&amp;sheet=A0&amp;row=201&amp;col=29&amp;number=&amp;sourceID=13","")</f>
        <v/>
      </c>
      <c r="AD201" s="4" t="str">
        <f>HYPERLINK("http://141.218.60.56/~jnz1568/getInfo.php?workbook=10_01.xlsx&amp;sheet=A0&amp;row=201&amp;col=30&amp;number=&amp;sourceID=13","")</f>
        <v/>
      </c>
      <c r="AE201" s="4" t="str">
        <f>HYPERLINK("http://141.218.60.56/~jnz1568/getInfo.php?workbook=10_01.xlsx&amp;sheet=A0&amp;row=201&amp;col=31&amp;number=&amp;sourceID=13","")</f>
        <v/>
      </c>
      <c r="AF201" s="4" t="str">
        <f>HYPERLINK("http://141.218.60.56/~jnz1568/getInfo.php?workbook=10_01.xlsx&amp;sheet=A0&amp;row=201&amp;col=32&amp;number=&amp;sourceID=20","")</f>
        <v/>
      </c>
    </row>
    <row r="202" spans="1:32">
      <c r="A202" s="3">
        <v>10</v>
      </c>
      <c r="B202" s="3">
        <v>1</v>
      </c>
      <c r="C202" s="3">
        <v>21</v>
      </c>
      <c r="D202" s="3">
        <v>17</v>
      </c>
      <c r="E202" s="3">
        <f>((1/(INDEX(E0!J$4:J$28,C202,1)-INDEX(E0!J$4:J$28,D202,1))))*100000000</f>
        <v>0</v>
      </c>
      <c r="F202" s="4" t="str">
        <f>HYPERLINK("http://141.218.60.56/~jnz1568/getInfo.php?workbook=10_01.xlsx&amp;sheet=A0&amp;row=202&amp;col=6&amp;number=&amp;sourceID=18","")</f>
        <v/>
      </c>
      <c r="G202" s="4" t="str">
        <f>HYPERLINK("http://141.218.60.56/~jnz1568/getInfo.php?workbook=10_01.xlsx&amp;sheet=A0&amp;row=202&amp;col=7&amp;number==&amp;sourceID=11","=")</f>
        <v>=</v>
      </c>
      <c r="H202" s="4" t="str">
        <f>HYPERLINK("http://141.218.60.56/~jnz1568/getInfo.php?workbook=10_01.xlsx&amp;sheet=A0&amp;row=202&amp;col=8&amp;number=&amp;sourceID=11","")</f>
        <v/>
      </c>
      <c r="I202" s="4" t="str">
        <f>HYPERLINK("http://141.218.60.56/~jnz1568/getInfo.php?workbook=10_01.xlsx&amp;sheet=A0&amp;row=202&amp;col=9&amp;number=8.7575e-09&amp;sourceID=11","8.7575e-09")</f>
        <v>8.7575e-09</v>
      </c>
      <c r="J202" s="4" t="str">
        <f>HYPERLINK("http://141.218.60.56/~jnz1568/getInfo.php?workbook=10_01.xlsx&amp;sheet=A0&amp;row=202&amp;col=10&amp;number=&amp;sourceID=11","")</f>
        <v/>
      </c>
      <c r="K202" s="4" t="str">
        <f>HYPERLINK("http://141.218.60.56/~jnz1568/getInfo.php?workbook=10_01.xlsx&amp;sheet=A0&amp;row=202&amp;col=11&amp;number=&amp;sourceID=11","")</f>
        <v/>
      </c>
      <c r="L202" s="4" t="str">
        <f>HYPERLINK("http://141.218.60.56/~jnz1568/getInfo.php?workbook=10_01.xlsx&amp;sheet=A0&amp;row=202&amp;col=12&amp;number=&amp;sourceID=11","")</f>
        <v/>
      </c>
      <c r="M202" s="4" t="str">
        <f>HYPERLINK("http://141.218.60.56/~jnz1568/getInfo.php?workbook=10_01.xlsx&amp;sheet=A0&amp;row=202&amp;col=13&amp;number=0&amp;sourceID=11","0")</f>
        <v>0</v>
      </c>
      <c r="N202" s="4" t="str">
        <f>HYPERLINK("http://141.218.60.56/~jnz1568/getInfo.php?workbook=10_01.xlsx&amp;sheet=A0&amp;row=202&amp;col=14&amp;number=8.7587e-09&amp;sourceID=12","8.7587e-09")</f>
        <v>8.7587e-09</v>
      </c>
      <c r="O202" s="4" t="str">
        <f>HYPERLINK("http://141.218.60.56/~jnz1568/getInfo.php?workbook=10_01.xlsx&amp;sheet=A0&amp;row=202&amp;col=15&amp;number=&amp;sourceID=12","")</f>
        <v/>
      </c>
      <c r="P202" s="4" t="str">
        <f>HYPERLINK("http://141.218.60.56/~jnz1568/getInfo.php?workbook=10_01.xlsx&amp;sheet=A0&amp;row=202&amp;col=16&amp;number=8.7587e-09&amp;sourceID=12","8.7587e-09")</f>
        <v>8.7587e-09</v>
      </c>
      <c r="Q202" s="4" t="str">
        <f>HYPERLINK("http://141.218.60.56/~jnz1568/getInfo.php?workbook=10_01.xlsx&amp;sheet=A0&amp;row=202&amp;col=17&amp;number=&amp;sourceID=12","")</f>
        <v/>
      </c>
      <c r="R202" s="4" t="str">
        <f>HYPERLINK("http://141.218.60.56/~jnz1568/getInfo.php?workbook=10_01.xlsx&amp;sheet=A0&amp;row=202&amp;col=18&amp;number=&amp;sourceID=12","")</f>
        <v/>
      </c>
      <c r="S202" s="4" t="str">
        <f>HYPERLINK("http://141.218.60.56/~jnz1568/getInfo.php?workbook=10_01.xlsx&amp;sheet=A0&amp;row=202&amp;col=19&amp;number=&amp;sourceID=12","")</f>
        <v/>
      </c>
      <c r="T202" s="4" t="str">
        <f>HYPERLINK("http://141.218.60.56/~jnz1568/getInfo.php?workbook=10_01.xlsx&amp;sheet=A0&amp;row=202&amp;col=20&amp;number=0&amp;sourceID=12","0")</f>
        <v>0</v>
      </c>
      <c r="U202" s="4" t="str">
        <f>HYPERLINK("http://141.218.60.56/~jnz1568/getInfo.php?workbook=10_01.xlsx&amp;sheet=A0&amp;row=202&amp;col=21&amp;number=8.759e-09&amp;sourceID=30","8.759e-09")</f>
        <v>8.759e-09</v>
      </c>
      <c r="V202" s="4" t="str">
        <f>HYPERLINK("http://141.218.60.56/~jnz1568/getInfo.php?workbook=10_01.xlsx&amp;sheet=A0&amp;row=202&amp;col=22&amp;number=&amp;sourceID=30","")</f>
        <v/>
      </c>
      <c r="W202" s="4" t="str">
        <f>HYPERLINK("http://141.218.60.56/~jnz1568/getInfo.php?workbook=10_01.xlsx&amp;sheet=A0&amp;row=202&amp;col=23&amp;number=8.759e-09&amp;sourceID=30","8.759e-09")</f>
        <v>8.759e-09</v>
      </c>
      <c r="X202" s="4" t="str">
        <f>HYPERLINK("http://141.218.60.56/~jnz1568/getInfo.php?workbook=10_01.xlsx&amp;sheet=A0&amp;row=202&amp;col=24&amp;number=&amp;sourceID=30","")</f>
        <v/>
      </c>
      <c r="Y202" s="4" t="str">
        <f>HYPERLINK("http://141.218.60.56/~jnz1568/getInfo.php?workbook=10_01.xlsx&amp;sheet=A0&amp;row=202&amp;col=25&amp;number=&amp;sourceID=30","")</f>
        <v/>
      </c>
      <c r="Z202" s="4" t="str">
        <f>HYPERLINK("http://141.218.60.56/~jnz1568/getInfo.php?workbook=10_01.xlsx&amp;sheet=A0&amp;row=202&amp;col=26&amp;number=&amp;sourceID=13","")</f>
        <v/>
      </c>
      <c r="AA202" s="4" t="str">
        <f>HYPERLINK("http://141.218.60.56/~jnz1568/getInfo.php?workbook=10_01.xlsx&amp;sheet=A0&amp;row=202&amp;col=27&amp;number=&amp;sourceID=13","")</f>
        <v/>
      </c>
      <c r="AB202" s="4" t="str">
        <f>HYPERLINK("http://141.218.60.56/~jnz1568/getInfo.php?workbook=10_01.xlsx&amp;sheet=A0&amp;row=202&amp;col=28&amp;number=&amp;sourceID=13","")</f>
        <v/>
      </c>
      <c r="AC202" s="4" t="str">
        <f>HYPERLINK("http://141.218.60.56/~jnz1568/getInfo.php?workbook=10_01.xlsx&amp;sheet=A0&amp;row=202&amp;col=29&amp;number=&amp;sourceID=13","")</f>
        <v/>
      </c>
      <c r="AD202" s="4" t="str">
        <f>HYPERLINK("http://141.218.60.56/~jnz1568/getInfo.php?workbook=10_01.xlsx&amp;sheet=A0&amp;row=202&amp;col=30&amp;number=&amp;sourceID=13","")</f>
        <v/>
      </c>
      <c r="AE202" s="4" t="str">
        <f>HYPERLINK("http://141.218.60.56/~jnz1568/getInfo.php?workbook=10_01.xlsx&amp;sheet=A0&amp;row=202&amp;col=31&amp;number=&amp;sourceID=13","")</f>
        <v/>
      </c>
      <c r="AF202" s="4" t="str">
        <f>HYPERLINK("http://141.218.60.56/~jnz1568/getInfo.php?workbook=10_01.xlsx&amp;sheet=A0&amp;row=202&amp;col=32&amp;number=&amp;sourceID=20","")</f>
        <v/>
      </c>
    </row>
    <row r="203" spans="1:32">
      <c r="A203" s="3">
        <v>10</v>
      </c>
      <c r="B203" s="3">
        <v>1</v>
      </c>
      <c r="C203" s="3">
        <v>21</v>
      </c>
      <c r="D203" s="3">
        <v>18</v>
      </c>
      <c r="E203" s="3">
        <f>((1/(INDEX(E0!J$4:J$28,C203,1)-INDEX(E0!J$4:J$28,D203,1))))*100000000</f>
        <v>0</v>
      </c>
      <c r="F203" s="4" t="str">
        <f>HYPERLINK("http://141.218.60.56/~jnz1568/getInfo.php?workbook=10_01.xlsx&amp;sheet=A0&amp;row=203&amp;col=6&amp;number=&amp;sourceID=18","")</f>
        <v/>
      </c>
      <c r="G203" s="4" t="str">
        <f>HYPERLINK("http://141.218.60.56/~jnz1568/getInfo.php?workbook=10_01.xlsx&amp;sheet=A0&amp;row=203&amp;col=7&amp;number==&amp;sourceID=11","=")</f>
        <v>=</v>
      </c>
      <c r="H203" s="4" t="str">
        <f>HYPERLINK("http://141.218.60.56/~jnz1568/getInfo.php?workbook=10_01.xlsx&amp;sheet=A0&amp;row=203&amp;col=8&amp;number=&amp;sourceID=11","")</f>
        <v/>
      </c>
      <c r="I203" s="4" t="str">
        <f>HYPERLINK("http://141.218.60.56/~jnz1568/getInfo.php?workbook=10_01.xlsx&amp;sheet=A0&amp;row=203&amp;col=9&amp;number=&amp;sourceID=11","")</f>
        <v/>
      </c>
      <c r="J203" s="4" t="str">
        <f>HYPERLINK("http://141.218.60.56/~jnz1568/getInfo.php?workbook=10_01.xlsx&amp;sheet=A0&amp;row=203&amp;col=10&amp;number=0&amp;sourceID=11","0")</f>
        <v>0</v>
      </c>
      <c r="K203" s="4" t="str">
        <f>HYPERLINK("http://141.218.60.56/~jnz1568/getInfo.php?workbook=10_01.xlsx&amp;sheet=A0&amp;row=203&amp;col=11&amp;number=&amp;sourceID=11","")</f>
        <v/>
      </c>
      <c r="L203" s="4" t="str">
        <f>HYPERLINK("http://141.218.60.56/~jnz1568/getInfo.php?workbook=10_01.xlsx&amp;sheet=A0&amp;row=203&amp;col=12&amp;number=0&amp;sourceID=11","0")</f>
        <v>0</v>
      </c>
      <c r="M203" s="4" t="str">
        <f>HYPERLINK("http://141.218.60.56/~jnz1568/getInfo.php?workbook=10_01.xlsx&amp;sheet=A0&amp;row=203&amp;col=13&amp;number=&amp;sourceID=11","")</f>
        <v/>
      </c>
      <c r="N203" s="4" t="str">
        <f>HYPERLINK("http://141.218.60.56/~jnz1568/getInfo.php?workbook=10_01.xlsx&amp;sheet=A0&amp;row=203&amp;col=14&amp;number=0&amp;sourceID=12","0")</f>
        <v>0</v>
      </c>
      <c r="O203" s="4" t="str">
        <f>HYPERLINK("http://141.218.60.56/~jnz1568/getInfo.php?workbook=10_01.xlsx&amp;sheet=A0&amp;row=203&amp;col=15&amp;number=&amp;sourceID=12","")</f>
        <v/>
      </c>
      <c r="P203" s="4" t="str">
        <f>HYPERLINK("http://141.218.60.56/~jnz1568/getInfo.php?workbook=10_01.xlsx&amp;sheet=A0&amp;row=203&amp;col=16&amp;number=&amp;sourceID=12","")</f>
        <v/>
      </c>
      <c r="Q203" s="4" t="str">
        <f>HYPERLINK("http://141.218.60.56/~jnz1568/getInfo.php?workbook=10_01.xlsx&amp;sheet=A0&amp;row=203&amp;col=17&amp;number=0&amp;sourceID=12","0")</f>
        <v>0</v>
      </c>
      <c r="R203" s="4" t="str">
        <f>HYPERLINK("http://141.218.60.56/~jnz1568/getInfo.php?workbook=10_01.xlsx&amp;sheet=A0&amp;row=203&amp;col=18&amp;number=&amp;sourceID=12","")</f>
        <v/>
      </c>
      <c r="S203" s="4" t="str">
        <f>HYPERLINK("http://141.218.60.56/~jnz1568/getInfo.php?workbook=10_01.xlsx&amp;sheet=A0&amp;row=203&amp;col=19&amp;number=0&amp;sourceID=12","0")</f>
        <v>0</v>
      </c>
      <c r="T203" s="4" t="str">
        <f>HYPERLINK("http://141.218.60.56/~jnz1568/getInfo.php?workbook=10_01.xlsx&amp;sheet=A0&amp;row=203&amp;col=20&amp;number=&amp;sourceID=12","")</f>
        <v/>
      </c>
      <c r="U203" s="4" t="str">
        <f>HYPERLINK("http://141.218.60.56/~jnz1568/getInfo.php?workbook=10_01.xlsx&amp;sheet=A0&amp;row=203&amp;col=21&amp;number=0&amp;sourceID=30","0")</f>
        <v>0</v>
      </c>
      <c r="V203" s="4" t="str">
        <f>HYPERLINK("http://141.218.60.56/~jnz1568/getInfo.php?workbook=10_01.xlsx&amp;sheet=A0&amp;row=203&amp;col=22&amp;number=&amp;sourceID=30","")</f>
        <v/>
      </c>
      <c r="W203" s="4" t="str">
        <f>HYPERLINK("http://141.218.60.56/~jnz1568/getInfo.php?workbook=10_01.xlsx&amp;sheet=A0&amp;row=203&amp;col=23&amp;number=&amp;sourceID=30","")</f>
        <v/>
      </c>
      <c r="X203" s="4" t="str">
        <f>HYPERLINK("http://141.218.60.56/~jnz1568/getInfo.php?workbook=10_01.xlsx&amp;sheet=A0&amp;row=203&amp;col=24&amp;number=&amp;sourceID=30","")</f>
        <v/>
      </c>
      <c r="Y203" s="4" t="str">
        <f>HYPERLINK("http://141.218.60.56/~jnz1568/getInfo.php?workbook=10_01.xlsx&amp;sheet=A0&amp;row=203&amp;col=25&amp;number=0&amp;sourceID=30","0")</f>
        <v>0</v>
      </c>
      <c r="Z203" s="4" t="str">
        <f>HYPERLINK("http://141.218.60.56/~jnz1568/getInfo.php?workbook=10_01.xlsx&amp;sheet=A0&amp;row=203&amp;col=26&amp;number=&amp;sourceID=13","")</f>
        <v/>
      </c>
      <c r="AA203" s="4" t="str">
        <f>HYPERLINK("http://141.218.60.56/~jnz1568/getInfo.php?workbook=10_01.xlsx&amp;sheet=A0&amp;row=203&amp;col=27&amp;number=&amp;sourceID=13","")</f>
        <v/>
      </c>
      <c r="AB203" s="4" t="str">
        <f>HYPERLINK("http://141.218.60.56/~jnz1568/getInfo.php?workbook=10_01.xlsx&amp;sheet=A0&amp;row=203&amp;col=28&amp;number=&amp;sourceID=13","")</f>
        <v/>
      </c>
      <c r="AC203" s="4" t="str">
        <f>HYPERLINK("http://141.218.60.56/~jnz1568/getInfo.php?workbook=10_01.xlsx&amp;sheet=A0&amp;row=203&amp;col=29&amp;number=&amp;sourceID=13","")</f>
        <v/>
      </c>
      <c r="AD203" s="4" t="str">
        <f>HYPERLINK("http://141.218.60.56/~jnz1568/getInfo.php?workbook=10_01.xlsx&amp;sheet=A0&amp;row=203&amp;col=30&amp;number=&amp;sourceID=13","")</f>
        <v/>
      </c>
      <c r="AE203" s="4" t="str">
        <f>HYPERLINK("http://141.218.60.56/~jnz1568/getInfo.php?workbook=10_01.xlsx&amp;sheet=A0&amp;row=203&amp;col=31&amp;number=&amp;sourceID=13","")</f>
        <v/>
      </c>
      <c r="AF203" s="4" t="str">
        <f>HYPERLINK("http://141.218.60.56/~jnz1568/getInfo.php?workbook=10_01.xlsx&amp;sheet=A0&amp;row=203&amp;col=32&amp;number=&amp;sourceID=20","")</f>
        <v/>
      </c>
    </row>
    <row r="204" spans="1:32">
      <c r="A204" s="3">
        <v>10</v>
      </c>
      <c r="B204" s="3">
        <v>1</v>
      </c>
      <c r="C204" s="3">
        <v>21</v>
      </c>
      <c r="D204" s="3">
        <v>19</v>
      </c>
      <c r="E204" s="3">
        <f>((1/(INDEX(E0!J$4:J$28,C204,1)-INDEX(E0!J$4:J$28,D204,1))))*100000000</f>
        <v>0</v>
      </c>
      <c r="F204" s="4" t="str">
        <f>HYPERLINK("http://141.218.60.56/~jnz1568/getInfo.php?workbook=10_01.xlsx&amp;sheet=A0&amp;row=204&amp;col=6&amp;number=&amp;sourceID=18","")</f>
        <v/>
      </c>
      <c r="G204" s="4" t="str">
        <f>HYPERLINK("http://141.218.60.56/~jnz1568/getInfo.php?workbook=10_01.xlsx&amp;sheet=A0&amp;row=204&amp;col=7&amp;number==&amp;sourceID=11","=")</f>
        <v>=</v>
      </c>
      <c r="H204" s="4" t="str">
        <f>HYPERLINK("http://141.218.60.56/~jnz1568/getInfo.php?workbook=10_01.xlsx&amp;sheet=A0&amp;row=204&amp;col=8&amp;number=3.46&amp;sourceID=11","3.46")</f>
        <v>3.46</v>
      </c>
      <c r="I204" s="4" t="str">
        <f>HYPERLINK("http://141.218.60.56/~jnz1568/getInfo.php?workbook=10_01.xlsx&amp;sheet=A0&amp;row=204&amp;col=9&amp;number=&amp;sourceID=11","")</f>
        <v/>
      </c>
      <c r="J204" s="4" t="str">
        <f>HYPERLINK("http://141.218.60.56/~jnz1568/getInfo.php?workbook=10_01.xlsx&amp;sheet=A0&amp;row=204&amp;col=10&amp;number=0&amp;sourceID=11","0")</f>
        <v>0</v>
      </c>
      <c r="K204" s="4" t="str">
        <f>HYPERLINK("http://141.218.60.56/~jnz1568/getInfo.php?workbook=10_01.xlsx&amp;sheet=A0&amp;row=204&amp;col=11&amp;number=&amp;sourceID=11","")</f>
        <v/>
      </c>
      <c r="L204" s="4" t="str">
        <f>HYPERLINK("http://141.218.60.56/~jnz1568/getInfo.php?workbook=10_01.xlsx&amp;sheet=A0&amp;row=204&amp;col=12&amp;number=0&amp;sourceID=11","0")</f>
        <v>0</v>
      </c>
      <c r="M204" s="4" t="str">
        <f>HYPERLINK("http://141.218.60.56/~jnz1568/getInfo.php?workbook=10_01.xlsx&amp;sheet=A0&amp;row=204&amp;col=13&amp;number=&amp;sourceID=11","")</f>
        <v/>
      </c>
      <c r="N204" s="4" t="str">
        <f>HYPERLINK("http://141.218.60.56/~jnz1568/getInfo.php?workbook=10_01.xlsx&amp;sheet=A0&amp;row=204&amp;col=14&amp;number=3.4605&amp;sourceID=12","3.4605")</f>
        <v>3.4605</v>
      </c>
      <c r="O204" s="4" t="str">
        <f>HYPERLINK("http://141.218.60.56/~jnz1568/getInfo.php?workbook=10_01.xlsx&amp;sheet=A0&amp;row=204&amp;col=15&amp;number=3.4605&amp;sourceID=12","3.4605")</f>
        <v>3.4605</v>
      </c>
      <c r="P204" s="4" t="str">
        <f>HYPERLINK("http://141.218.60.56/~jnz1568/getInfo.php?workbook=10_01.xlsx&amp;sheet=A0&amp;row=204&amp;col=16&amp;number=&amp;sourceID=12","")</f>
        <v/>
      </c>
      <c r="Q204" s="4" t="str">
        <f>HYPERLINK("http://141.218.60.56/~jnz1568/getInfo.php?workbook=10_01.xlsx&amp;sheet=A0&amp;row=204&amp;col=17&amp;number=0&amp;sourceID=12","0")</f>
        <v>0</v>
      </c>
      <c r="R204" s="4" t="str">
        <f>HYPERLINK("http://141.218.60.56/~jnz1568/getInfo.php?workbook=10_01.xlsx&amp;sheet=A0&amp;row=204&amp;col=18&amp;number=&amp;sourceID=12","")</f>
        <v/>
      </c>
      <c r="S204" s="4" t="str">
        <f>HYPERLINK("http://141.218.60.56/~jnz1568/getInfo.php?workbook=10_01.xlsx&amp;sheet=A0&amp;row=204&amp;col=19&amp;number=0&amp;sourceID=12","0")</f>
        <v>0</v>
      </c>
      <c r="T204" s="4" t="str">
        <f>HYPERLINK("http://141.218.60.56/~jnz1568/getInfo.php?workbook=10_01.xlsx&amp;sheet=A0&amp;row=204&amp;col=20&amp;number=&amp;sourceID=12","")</f>
        <v/>
      </c>
      <c r="U204" s="4" t="str">
        <f>HYPERLINK("http://141.218.60.56/~jnz1568/getInfo.php?workbook=10_01.xlsx&amp;sheet=A0&amp;row=204&amp;col=21&amp;number=3.461&amp;sourceID=30","3.461")</f>
        <v>3.461</v>
      </c>
      <c r="V204" s="4" t="str">
        <f>HYPERLINK("http://141.218.60.56/~jnz1568/getInfo.php?workbook=10_01.xlsx&amp;sheet=A0&amp;row=204&amp;col=22&amp;number=3.461&amp;sourceID=30","3.461")</f>
        <v>3.461</v>
      </c>
      <c r="W204" s="4" t="str">
        <f>HYPERLINK("http://141.218.60.56/~jnz1568/getInfo.php?workbook=10_01.xlsx&amp;sheet=A0&amp;row=204&amp;col=23&amp;number=&amp;sourceID=30","")</f>
        <v/>
      </c>
      <c r="X204" s="4" t="str">
        <f>HYPERLINK("http://141.218.60.56/~jnz1568/getInfo.php?workbook=10_01.xlsx&amp;sheet=A0&amp;row=204&amp;col=24&amp;number=&amp;sourceID=30","")</f>
        <v/>
      </c>
      <c r="Y204" s="4" t="str">
        <f>HYPERLINK("http://141.218.60.56/~jnz1568/getInfo.php?workbook=10_01.xlsx&amp;sheet=A0&amp;row=204&amp;col=25&amp;number=0&amp;sourceID=30","0")</f>
        <v>0</v>
      </c>
      <c r="Z204" s="4" t="str">
        <f>HYPERLINK("http://141.218.60.56/~jnz1568/getInfo.php?workbook=10_01.xlsx&amp;sheet=A0&amp;row=204&amp;col=26&amp;number=&amp;sourceID=13","")</f>
        <v/>
      </c>
      <c r="AA204" s="4" t="str">
        <f>HYPERLINK("http://141.218.60.56/~jnz1568/getInfo.php?workbook=10_01.xlsx&amp;sheet=A0&amp;row=204&amp;col=27&amp;number=&amp;sourceID=13","")</f>
        <v/>
      </c>
      <c r="AB204" s="4" t="str">
        <f>HYPERLINK("http://141.218.60.56/~jnz1568/getInfo.php?workbook=10_01.xlsx&amp;sheet=A0&amp;row=204&amp;col=28&amp;number=&amp;sourceID=13","")</f>
        <v/>
      </c>
      <c r="AC204" s="4" t="str">
        <f>HYPERLINK("http://141.218.60.56/~jnz1568/getInfo.php?workbook=10_01.xlsx&amp;sheet=A0&amp;row=204&amp;col=29&amp;number=&amp;sourceID=13","")</f>
        <v/>
      </c>
      <c r="AD204" s="4" t="str">
        <f>HYPERLINK("http://141.218.60.56/~jnz1568/getInfo.php?workbook=10_01.xlsx&amp;sheet=A0&amp;row=204&amp;col=30&amp;number=&amp;sourceID=13","")</f>
        <v/>
      </c>
      <c r="AE204" s="4" t="str">
        <f>HYPERLINK("http://141.218.60.56/~jnz1568/getInfo.php?workbook=10_01.xlsx&amp;sheet=A0&amp;row=204&amp;col=31&amp;number=&amp;sourceID=13","")</f>
        <v/>
      </c>
      <c r="AF204" s="4" t="str">
        <f>HYPERLINK("http://141.218.60.56/~jnz1568/getInfo.php?workbook=10_01.xlsx&amp;sheet=A0&amp;row=204&amp;col=32&amp;number=&amp;sourceID=20","")</f>
        <v/>
      </c>
    </row>
    <row r="205" spans="1:32">
      <c r="A205" s="3">
        <v>10</v>
      </c>
      <c r="B205" s="3">
        <v>1</v>
      </c>
      <c r="C205" s="3">
        <v>21</v>
      </c>
      <c r="D205" s="3">
        <v>20</v>
      </c>
      <c r="E205" s="3">
        <f>((1/(INDEX(E0!J$4:J$28,C205,1)-INDEX(E0!J$4:J$28,D205,1))))*100000000</f>
        <v>0</v>
      </c>
      <c r="F205" s="4" t="str">
        <f>HYPERLINK("http://141.218.60.56/~jnz1568/getInfo.php?workbook=10_01.xlsx&amp;sheet=A0&amp;row=205&amp;col=6&amp;number=&amp;sourceID=18","")</f>
        <v/>
      </c>
      <c r="G205" s="4" t="str">
        <f>HYPERLINK("http://141.218.60.56/~jnz1568/getInfo.php?workbook=10_01.xlsx&amp;sheet=A0&amp;row=205&amp;col=7&amp;number==&amp;sourceID=11","=")</f>
        <v>=</v>
      </c>
      <c r="H205" s="4" t="str">
        <f>HYPERLINK("http://141.218.60.56/~jnz1568/getInfo.php?workbook=10_01.xlsx&amp;sheet=A0&amp;row=205&amp;col=8&amp;number=&amp;sourceID=11","")</f>
        <v/>
      </c>
      <c r="I205" s="4" t="str">
        <f>HYPERLINK("http://141.218.60.56/~jnz1568/getInfo.php?workbook=10_01.xlsx&amp;sheet=A0&amp;row=205&amp;col=9&amp;number=2.422e-12&amp;sourceID=11","2.422e-12")</f>
        <v>2.422e-12</v>
      </c>
      <c r="J205" s="4" t="str">
        <f>HYPERLINK("http://141.218.60.56/~jnz1568/getInfo.php?workbook=10_01.xlsx&amp;sheet=A0&amp;row=205&amp;col=10&amp;number=&amp;sourceID=11","")</f>
        <v/>
      </c>
      <c r="K205" s="4" t="str">
        <f>HYPERLINK("http://141.218.60.56/~jnz1568/getInfo.php?workbook=10_01.xlsx&amp;sheet=A0&amp;row=205&amp;col=11&amp;number=2e-15&amp;sourceID=11","2e-15")</f>
        <v>2e-15</v>
      </c>
      <c r="L205" s="4" t="str">
        <f>HYPERLINK("http://141.218.60.56/~jnz1568/getInfo.php?workbook=10_01.xlsx&amp;sheet=A0&amp;row=205&amp;col=12&amp;number=&amp;sourceID=11","")</f>
        <v/>
      </c>
      <c r="M205" s="4" t="str">
        <f>HYPERLINK("http://141.218.60.56/~jnz1568/getInfo.php?workbook=10_01.xlsx&amp;sheet=A0&amp;row=205&amp;col=13&amp;number=0&amp;sourceID=11","0")</f>
        <v>0</v>
      </c>
      <c r="N205" s="4" t="str">
        <f>HYPERLINK("http://141.218.60.56/~jnz1568/getInfo.php?workbook=10_01.xlsx&amp;sheet=A0&amp;row=205&amp;col=14&amp;number=2.425e-12&amp;sourceID=12","2.425e-12")</f>
        <v>2.425e-12</v>
      </c>
      <c r="O205" s="4" t="str">
        <f>HYPERLINK("http://141.218.60.56/~jnz1568/getInfo.php?workbook=10_01.xlsx&amp;sheet=A0&amp;row=205&amp;col=15&amp;number=&amp;sourceID=12","")</f>
        <v/>
      </c>
      <c r="P205" s="4" t="str">
        <f>HYPERLINK("http://141.218.60.56/~jnz1568/getInfo.php?workbook=10_01.xlsx&amp;sheet=A0&amp;row=205&amp;col=16&amp;number=2.423e-12&amp;sourceID=12","2.423e-12")</f>
        <v>2.423e-12</v>
      </c>
      <c r="Q205" s="4" t="str">
        <f>HYPERLINK("http://141.218.60.56/~jnz1568/getInfo.php?workbook=10_01.xlsx&amp;sheet=A0&amp;row=205&amp;col=17&amp;number=&amp;sourceID=12","")</f>
        <v/>
      </c>
      <c r="R205" s="4" t="str">
        <f>HYPERLINK("http://141.218.60.56/~jnz1568/getInfo.php?workbook=10_01.xlsx&amp;sheet=A0&amp;row=205&amp;col=18&amp;number=2e-15&amp;sourceID=12","2e-15")</f>
        <v>2e-15</v>
      </c>
      <c r="S205" s="4" t="str">
        <f>HYPERLINK("http://141.218.60.56/~jnz1568/getInfo.php?workbook=10_01.xlsx&amp;sheet=A0&amp;row=205&amp;col=19&amp;number=&amp;sourceID=12","")</f>
        <v/>
      </c>
      <c r="T205" s="4" t="str">
        <f>HYPERLINK("http://141.218.60.56/~jnz1568/getInfo.php?workbook=10_01.xlsx&amp;sheet=A0&amp;row=205&amp;col=20&amp;number=0&amp;sourceID=12","0")</f>
        <v>0</v>
      </c>
      <c r="U205" s="4" t="str">
        <f>HYPERLINK("http://141.218.60.56/~jnz1568/getInfo.php?workbook=10_01.xlsx&amp;sheet=A0&amp;row=205&amp;col=21&amp;number=2.425e-12&amp;sourceID=30","2.425e-12")</f>
        <v>2.425e-12</v>
      </c>
      <c r="V205" s="4" t="str">
        <f>HYPERLINK("http://141.218.60.56/~jnz1568/getInfo.php?workbook=10_01.xlsx&amp;sheet=A0&amp;row=205&amp;col=22&amp;number=&amp;sourceID=30","")</f>
        <v/>
      </c>
      <c r="W205" s="4" t="str">
        <f>HYPERLINK("http://141.218.60.56/~jnz1568/getInfo.php?workbook=10_01.xlsx&amp;sheet=A0&amp;row=205&amp;col=23&amp;number=2.423e-12&amp;sourceID=30","2.423e-12")</f>
        <v>2.423e-12</v>
      </c>
      <c r="X205" s="4" t="str">
        <f>HYPERLINK("http://141.218.60.56/~jnz1568/getInfo.php?workbook=10_01.xlsx&amp;sheet=A0&amp;row=205&amp;col=24&amp;number=2e-15&amp;sourceID=30","2e-15")</f>
        <v>2e-15</v>
      </c>
      <c r="Y205" s="4" t="str">
        <f>HYPERLINK("http://141.218.60.56/~jnz1568/getInfo.php?workbook=10_01.xlsx&amp;sheet=A0&amp;row=205&amp;col=25&amp;number=&amp;sourceID=30","")</f>
        <v/>
      </c>
      <c r="Z205" s="4" t="str">
        <f>HYPERLINK("http://141.218.60.56/~jnz1568/getInfo.php?workbook=10_01.xlsx&amp;sheet=A0&amp;row=205&amp;col=26&amp;number=&amp;sourceID=13","")</f>
        <v/>
      </c>
      <c r="AA205" s="4" t="str">
        <f>HYPERLINK("http://141.218.60.56/~jnz1568/getInfo.php?workbook=10_01.xlsx&amp;sheet=A0&amp;row=205&amp;col=27&amp;number=&amp;sourceID=13","")</f>
        <v/>
      </c>
      <c r="AB205" s="4" t="str">
        <f>HYPERLINK("http://141.218.60.56/~jnz1568/getInfo.php?workbook=10_01.xlsx&amp;sheet=A0&amp;row=205&amp;col=28&amp;number=&amp;sourceID=13","")</f>
        <v/>
      </c>
      <c r="AC205" s="4" t="str">
        <f>HYPERLINK("http://141.218.60.56/~jnz1568/getInfo.php?workbook=10_01.xlsx&amp;sheet=A0&amp;row=205&amp;col=29&amp;number=&amp;sourceID=13","")</f>
        <v/>
      </c>
      <c r="AD205" s="4" t="str">
        <f>HYPERLINK("http://141.218.60.56/~jnz1568/getInfo.php?workbook=10_01.xlsx&amp;sheet=A0&amp;row=205&amp;col=30&amp;number=&amp;sourceID=13","")</f>
        <v/>
      </c>
      <c r="AE205" s="4" t="str">
        <f>HYPERLINK("http://141.218.60.56/~jnz1568/getInfo.php?workbook=10_01.xlsx&amp;sheet=A0&amp;row=205&amp;col=31&amp;number=&amp;sourceID=13","")</f>
        <v/>
      </c>
      <c r="AF205" s="4" t="str">
        <f>HYPERLINK("http://141.218.60.56/~jnz1568/getInfo.php?workbook=10_01.xlsx&amp;sheet=A0&amp;row=205&amp;col=32&amp;number=&amp;sourceID=20","")</f>
        <v/>
      </c>
    </row>
    <row r="206" spans="1:32">
      <c r="A206" s="3">
        <v>10</v>
      </c>
      <c r="B206" s="3">
        <v>1</v>
      </c>
      <c r="C206" s="3">
        <v>22</v>
      </c>
      <c r="D206" s="3">
        <v>1</v>
      </c>
      <c r="E206" s="3">
        <f>((1/(INDEX(E0!J$4:J$28,C206,1)-INDEX(E0!J$4:J$28,D206,1))))*100000000</f>
        <v>0</v>
      </c>
      <c r="F206" s="4" t="str">
        <f>HYPERLINK("http://141.218.60.56/~jnz1568/getInfo.php?workbook=10_01.xlsx&amp;sheet=A0&amp;row=206&amp;col=6&amp;number=&amp;sourceID=18","")</f>
        <v/>
      </c>
      <c r="G206" s="4" t="str">
        <f>HYPERLINK("http://141.218.60.56/~jnz1568/getInfo.php?workbook=10_01.xlsx&amp;sheet=A0&amp;row=206&amp;col=7&amp;number==&amp;sourceID=11","=")</f>
        <v>=</v>
      </c>
      <c r="H206" s="4" t="str">
        <f>HYPERLINK("http://141.218.60.56/~jnz1568/getInfo.php?workbook=10_01.xlsx&amp;sheet=A0&amp;row=206&amp;col=8&amp;number=&amp;sourceID=11","")</f>
        <v/>
      </c>
      <c r="I206" s="4" t="str">
        <f>HYPERLINK("http://141.218.60.56/~jnz1568/getInfo.php?workbook=10_01.xlsx&amp;sheet=A0&amp;row=206&amp;col=9&amp;number=183880000&amp;sourceID=11","183880000")</f>
        <v>183880000</v>
      </c>
      <c r="J206" s="4" t="str">
        <f>HYPERLINK("http://141.218.60.56/~jnz1568/getInfo.php?workbook=10_01.xlsx&amp;sheet=A0&amp;row=206&amp;col=10&amp;number=&amp;sourceID=11","")</f>
        <v/>
      </c>
      <c r="K206" s="4" t="str">
        <f>HYPERLINK("http://141.218.60.56/~jnz1568/getInfo.php?workbook=10_01.xlsx&amp;sheet=A0&amp;row=206&amp;col=11&amp;number=&amp;sourceID=11","")</f>
        <v/>
      </c>
      <c r="L206" s="4" t="str">
        <f>HYPERLINK("http://141.218.60.56/~jnz1568/getInfo.php?workbook=10_01.xlsx&amp;sheet=A0&amp;row=206&amp;col=12&amp;number=&amp;sourceID=11","")</f>
        <v/>
      </c>
      <c r="M206" s="4" t="str">
        <f>HYPERLINK("http://141.218.60.56/~jnz1568/getInfo.php?workbook=10_01.xlsx&amp;sheet=A0&amp;row=206&amp;col=13&amp;number=267.81&amp;sourceID=11","267.81")</f>
        <v>267.81</v>
      </c>
      <c r="N206" s="4" t="str">
        <f>HYPERLINK("http://141.218.60.56/~jnz1568/getInfo.php?workbook=10_01.xlsx&amp;sheet=A0&amp;row=206&amp;col=14&amp;number=183890000&amp;sourceID=12","183890000")</f>
        <v>183890000</v>
      </c>
      <c r="O206" s="4" t="str">
        <f>HYPERLINK("http://141.218.60.56/~jnz1568/getInfo.php?workbook=10_01.xlsx&amp;sheet=A0&amp;row=206&amp;col=15&amp;number=&amp;sourceID=12","")</f>
        <v/>
      </c>
      <c r="P206" s="4" t="str">
        <f>HYPERLINK("http://141.218.60.56/~jnz1568/getInfo.php?workbook=10_01.xlsx&amp;sheet=A0&amp;row=206&amp;col=16&amp;number=183890000&amp;sourceID=12","183890000")</f>
        <v>183890000</v>
      </c>
      <c r="Q206" s="4" t="str">
        <f>HYPERLINK("http://141.218.60.56/~jnz1568/getInfo.php?workbook=10_01.xlsx&amp;sheet=A0&amp;row=206&amp;col=17&amp;number=&amp;sourceID=12","")</f>
        <v/>
      </c>
      <c r="R206" s="4" t="str">
        <f>HYPERLINK("http://141.218.60.56/~jnz1568/getInfo.php?workbook=10_01.xlsx&amp;sheet=A0&amp;row=206&amp;col=18&amp;number=&amp;sourceID=12","")</f>
        <v/>
      </c>
      <c r="S206" s="4" t="str">
        <f>HYPERLINK("http://141.218.60.56/~jnz1568/getInfo.php?workbook=10_01.xlsx&amp;sheet=A0&amp;row=206&amp;col=19&amp;number=&amp;sourceID=12","")</f>
        <v/>
      </c>
      <c r="T206" s="4" t="str">
        <f>HYPERLINK("http://141.218.60.56/~jnz1568/getInfo.php?workbook=10_01.xlsx&amp;sheet=A0&amp;row=206&amp;col=20&amp;number=267.82&amp;sourceID=12","267.82")</f>
        <v>267.82</v>
      </c>
      <c r="U206" s="4" t="str">
        <f>HYPERLINK("http://141.218.60.56/~jnz1568/getInfo.php?workbook=10_01.xlsx&amp;sheet=A0&amp;row=206&amp;col=21&amp;number=183900000&amp;sourceID=30","183900000")</f>
        <v>183900000</v>
      </c>
      <c r="V206" s="4" t="str">
        <f>HYPERLINK("http://141.218.60.56/~jnz1568/getInfo.php?workbook=10_01.xlsx&amp;sheet=A0&amp;row=206&amp;col=22&amp;number=&amp;sourceID=30","")</f>
        <v/>
      </c>
      <c r="W206" s="4" t="str">
        <f>HYPERLINK("http://141.218.60.56/~jnz1568/getInfo.php?workbook=10_01.xlsx&amp;sheet=A0&amp;row=206&amp;col=23&amp;number=183900000&amp;sourceID=30","183900000")</f>
        <v>183900000</v>
      </c>
      <c r="X206" s="4" t="str">
        <f>HYPERLINK("http://141.218.60.56/~jnz1568/getInfo.php?workbook=10_01.xlsx&amp;sheet=A0&amp;row=206&amp;col=24&amp;number=&amp;sourceID=30","")</f>
        <v/>
      </c>
      <c r="Y206" s="4" t="str">
        <f>HYPERLINK("http://141.218.60.56/~jnz1568/getInfo.php?workbook=10_01.xlsx&amp;sheet=A0&amp;row=206&amp;col=25&amp;number=&amp;sourceID=30","")</f>
        <v/>
      </c>
      <c r="Z206" s="4" t="str">
        <f>HYPERLINK("http://141.218.60.56/~jnz1568/getInfo.php?workbook=10_01.xlsx&amp;sheet=A0&amp;row=206&amp;col=26&amp;number=&amp;sourceID=13","")</f>
        <v/>
      </c>
      <c r="AA206" s="4" t="str">
        <f>HYPERLINK("http://141.218.60.56/~jnz1568/getInfo.php?workbook=10_01.xlsx&amp;sheet=A0&amp;row=206&amp;col=27&amp;number=&amp;sourceID=13","")</f>
        <v/>
      </c>
      <c r="AB206" s="4" t="str">
        <f>HYPERLINK("http://141.218.60.56/~jnz1568/getInfo.php?workbook=10_01.xlsx&amp;sheet=A0&amp;row=206&amp;col=28&amp;number=&amp;sourceID=13","")</f>
        <v/>
      </c>
      <c r="AC206" s="4" t="str">
        <f>HYPERLINK("http://141.218.60.56/~jnz1568/getInfo.php?workbook=10_01.xlsx&amp;sheet=A0&amp;row=206&amp;col=29&amp;number=&amp;sourceID=13","")</f>
        <v/>
      </c>
      <c r="AD206" s="4" t="str">
        <f>HYPERLINK("http://141.218.60.56/~jnz1568/getInfo.php?workbook=10_01.xlsx&amp;sheet=A0&amp;row=206&amp;col=30&amp;number=&amp;sourceID=13","")</f>
        <v/>
      </c>
      <c r="AE206" s="4" t="str">
        <f>HYPERLINK("http://141.218.60.56/~jnz1568/getInfo.php?workbook=10_01.xlsx&amp;sheet=A0&amp;row=206&amp;col=31&amp;number=&amp;sourceID=13","")</f>
        <v/>
      </c>
      <c r="AF206" s="4" t="str">
        <f>HYPERLINK("http://141.218.60.56/~jnz1568/getInfo.php?workbook=10_01.xlsx&amp;sheet=A0&amp;row=206&amp;col=32&amp;number=&amp;sourceID=20","")</f>
        <v/>
      </c>
    </row>
    <row r="207" spans="1:32">
      <c r="A207" s="3">
        <v>10</v>
      </c>
      <c r="B207" s="3">
        <v>1</v>
      </c>
      <c r="C207" s="3">
        <v>22</v>
      </c>
      <c r="D207" s="3">
        <v>2</v>
      </c>
      <c r="E207" s="3">
        <f>((1/(INDEX(E0!J$4:J$28,C207,1)-INDEX(E0!J$4:J$28,D207,1))))*100000000</f>
        <v>0</v>
      </c>
      <c r="F207" s="4" t="str">
        <f>HYPERLINK("http://141.218.60.56/~jnz1568/getInfo.php?workbook=10_01.xlsx&amp;sheet=A0&amp;row=207&amp;col=6&amp;number=&amp;sourceID=18","")</f>
        <v/>
      </c>
      <c r="G207" s="4" t="str">
        <f>HYPERLINK("http://141.218.60.56/~jnz1568/getInfo.php?workbook=10_01.xlsx&amp;sheet=A0&amp;row=207&amp;col=7&amp;number==&amp;sourceID=11","=")</f>
        <v>=</v>
      </c>
      <c r="H207" s="4" t="str">
        <f>HYPERLINK("http://141.218.60.56/~jnz1568/getInfo.php?workbook=10_01.xlsx&amp;sheet=A0&amp;row=207&amp;col=8&amp;number=&amp;sourceID=11","")</f>
        <v/>
      </c>
      <c r="I207" s="4" t="str">
        <f>HYPERLINK("http://141.218.60.56/~jnz1568/getInfo.php?workbook=10_01.xlsx&amp;sheet=A0&amp;row=207&amp;col=9&amp;number=&amp;sourceID=11","")</f>
        <v/>
      </c>
      <c r="J207" s="4" t="str">
        <f>HYPERLINK("http://141.218.60.56/~jnz1568/getInfo.php?workbook=10_01.xlsx&amp;sheet=A0&amp;row=207&amp;col=10&amp;number=38.122&amp;sourceID=11","38.122")</f>
        <v>38.122</v>
      </c>
      <c r="K207" s="4" t="str">
        <f>HYPERLINK("http://141.218.60.56/~jnz1568/getInfo.php?workbook=10_01.xlsx&amp;sheet=A0&amp;row=207&amp;col=11&amp;number=&amp;sourceID=11","")</f>
        <v/>
      </c>
      <c r="L207" s="4" t="str">
        <f>HYPERLINK("http://141.218.60.56/~jnz1568/getInfo.php?workbook=10_01.xlsx&amp;sheet=A0&amp;row=207&amp;col=12&amp;number=1321.1&amp;sourceID=11","1321.1")</f>
        <v>1321.1</v>
      </c>
      <c r="M207" s="4" t="str">
        <f>HYPERLINK("http://141.218.60.56/~jnz1568/getInfo.php?workbook=10_01.xlsx&amp;sheet=A0&amp;row=207&amp;col=13&amp;number=&amp;sourceID=11","")</f>
        <v/>
      </c>
      <c r="N207" s="4" t="str">
        <f>HYPERLINK("http://141.218.60.56/~jnz1568/getInfo.php?workbook=10_01.xlsx&amp;sheet=A0&amp;row=207&amp;col=14&amp;number=1359.2&amp;sourceID=12","1359.2")</f>
        <v>1359.2</v>
      </c>
      <c r="O207" s="4" t="str">
        <f>HYPERLINK("http://141.218.60.56/~jnz1568/getInfo.php?workbook=10_01.xlsx&amp;sheet=A0&amp;row=207&amp;col=15&amp;number=&amp;sourceID=12","")</f>
        <v/>
      </c>
      <c r="P207" s="4" t="str">
        <f>HYPERLINK("http://141.218.60.56/~jnz1568/getInfo.php?workbook=10_01.xlsx&amp;sheet=A0&amp;row=207&amp;col=16&amp;number=&amp;sourceID=12","")</f>
        <v/>
      </c>
      <c r="Q207" s="4" t="str">
        <f>HYPERLINK("http://141.218.60.56/~jnz1568/getInfo.php?workbook=10_01.xlsx&amp;sheet=A0&amp;row=207&amp;col=17&amp;number=38.123&amp;sourceID=12","38.123")</f>
        <v>38.123</v>
      </c>
      <c r="R207" s="4" t="str">
        <f>HYPERLINK("http://141.218.60.56/~jnz1568/getInfo.php?workbook=10_01.xlsx&amp;sheet=A0&amp;row=207&amp;col=18&amp;number=&amp;sourceID=12","")</f>
        <v/>
      </c>
      <c r="S207" s="4" t="str">
        <f>HYPERLINK("http://141.218.60.56/~jnz1568/getInfo.php?workbook=10_01.xlsx&amp;sheet=A0&amp;row=207&amp;col=19&amp;number=1321.1&amp;sourceID=12","1321.1")</f>
        <v>1321.1</v>
      </c>
      <c r="T207" s="4" t="str">
        <f>HYPERLINK("http://141.218.60.56/~jnz1568/getInfo.php?workbook=10_01.xlsx&amp;sheet=A0&amp;row=207&amp;col=20&amp;number=&amp;sourceID=12","")</f>
        <v/>
      </c>
      <c r="U207" s="4" t="str">
        <f>HYPERLINK("http://141.218.60.56/~jnz1568/getInfo.php?workbook=10_01.xlsx&amp;sheet=A0&amp;row=207&amp;col=21&amp;number=1321&amp;sourceID=30","1321")</f>
        <v>1321</v>
      </c>
      <c r="V207" s="4" t="str">
        <f>HYPERLINK("http://141.218.60.56/~jnz1568/getInfo.php?workbook=10_01.xlsx&amp;sheet=A0&amp;row=207&amp;col=22&amp;number=&amp;sourceID=30","")</f>
        <v/>
      </c>
      <c r="W207" s="4" t="str">
        <f>HYPERLINK("http://141.218.60.56/~jnz1568/getInfo.php?workbook=10_01.xlsx&amp;sheet=A0&amp;row=207&amp;col=23&amp;number=&amp;sourceID=30","")</f>
        <v/>
      </c>
      <c r="X207" s="4" t="str">
        <f>HYPERLINK("http://141.218.60.56/~jnz1568/getInfo.php?workbook=10_01.xlsx&amp;sheet=A0&amp;row=207&amp;col=24&amp;number=&amp;sourceID=30","")</f>
        <v/>
      </c>
      <c r="Y207" s="4" t="str">
        <f>HYPERLINK("http://141.218.60.56/~jnz1568/getInfo.php?workbook=10_01.xlsx&amp;sheet=A0&amp;row=207&amp;col=25&amp;number=1321&amp;sourceID=30","1321")</f>
        <v>1321</v>
      </c>
      <c r="Z207" s="4" t="str">
        <f>HYPERLINK("http://141.218.60.56/~jnz1568/getInfo.php?workbook=10_01.xlsx&amp;sheet=A0&amp;row=207&amp;col=26&amp;number=&amp;sourceID=13","")</f>
        <v/>
      </c>
      <c r="AA207" s="4" t="str">
        <f>HYPERLINK("http://141.218.60.56/~jnz1568/getInfo.php?workbook=10_01.xlsx&amp;sheet=A0&amp;row=207&amp;col=27&amp;number=&amp;sourceID=13","")</f>
        <v/>
      </c>
      <c r="AB207" s="4" t="str">
        <f>HYPERLINK("http://141.218.60.56/~jnz1568/getInfo.php?workbook=10_01.xlsx&amp;sheet=A0&amp;row=207&amp;col=28&amp;number=&amp;sourceID=13","")</f>
        <v/>
      </c>
      <c r="AC207" s="4" t="str">
        <f>HYPERLINK("http://141.218.60.56/~jnz1568/getInfo.php?workbook=10_01.xlsx&amp;sheet=A0&amp;row=207&amp;col=29&amp;number=&amp;sourceID=13","")</f>
        <v/>
      </c>
      <c r="AD207" s="4" t="str">
        <f>HYPERLINK("http://141.218.60.56/~jnz1568/getInfo.php?workbook=10_01.xlsx&amp;sheet=A0&amp;row=207&amp;col=30&amp;number=&amp;sourceID=13","")</f>
        <v/>
      </c>
      <c r="AE207" s="4" t="str">
        <f>HYPERLINK("http://141.218.60.56/~jnz1568/getInfo.php?workbook=10_01.xlsx&amp;sheet=A0&amp;row=207&amp;col=31&amp;number=&amp;sourceID=13","")</f>
        <v/>
      </c>
      <c r="AF207" s="4" t="str">
        <f>HYPERLINK("http://141.218.60.56/~jnz1568/getInfo.php?workbook=10_01.xlsx&amp;sheet=A0&amp;row=207&amp;col=32&amp;number=&amp;sourceID=20","")</f>
        <v/>
      </c>
    </row>
    <row r="208" spans="1:32">
      <c r="A208" s="3">
        <v>10</v>
      </c>
      <c r="B208" s="3">
        <v>1</v>
      </c>
      <c r="C208" s="3">
        <v>22</v>
      </c>
      <c r="D208" s="3">
        <v>3</v>
      </c>
      <c r="E208" s="3">
        <f>((1/(INDEX(E0!J$4:J$28,C208,1)-INDEX(E0!J$4:J$28,D208,1))))*100000000</f>
        <v>0</v>
      </c>
      <c r="F208" s="4" t="str">
        <f>HYPERLINK("http://141.218.60.56/~jnz1568/getInfo.php?workbook=10_01.xlsx&amp;sheet=A0&amp;row=208&amp;col=6&amp;number=&amp;sourceID=18","")</f>
        <v/>
      </c>
      <c r="G208" s="4" t="str">
        <f>HYPERLINK("http://141.218.60.56/~jnz1568/getInfo.php?workbook=10_01.xlsx&amp;sheet=A0&amp;row=208&amp;col=7&amp;number==&amp;sourceID=11","=")</f>
        <v>=</v>
      </c>
      <c r="H208" s="4" t="str">
        <f>HYPERLINK("http://141.218.60.56/~jnz1568/getInfo.php?workbook=10_01.xlsx&amp;sheet=A0&amp;row=208&amp;col=8&amp;number=&amp;sourceID=11","")</f>
        <v/>
      </c>
      <c r="I208" s="4" t="str">
        <f>HYPERLINK("http://141.218.60.56/~jnz1568/getInfo.php?workbook=10_01.xlsx&amp;sheet=A0&amp;row=208&amp;col=9&amp;number=994980&amp;sourceID=11","994980")</f>
        <v>994980</v>
      </c>
      <c r="J208" s="4" t="str">
        <f>HYPERLINK("http://141.218.60.56/~jnz1568/getInfo.php?workbook=10_01.xlsx&amp;sheet=A0&amp;row=208&amp;col=10&amp;number=&amp;sourceID=11","")</f>
        <v/>
      </c>
      <c r="K208" s="4" t="str">
        <f>HYPERLINK("http://141.218.60.56/~jnz1568/getInfo.php?workbook=10_01.xlsx&amp;sheet=A0&amp;row=208&amp;col=11&amp;number=&amp;sourceID=11","")</f>
        <v/>
      </c>
      <c r="L208" s="4" t="str">
        <f>HYPERLINK("http://141.218.60.56/~jnz1568/getInfo.php?workbook=10_01.xlsx&amp;sheet=A0&amp;row=208&amp;col=12&amp;number=&amp;sourceID=11","")</f>
        <v/>
      </c>
      <c r="M208" s="4" t="str">
        <f>HYPERLINK("http://141.218.60.56/~jnz1568/getInfo.php?workbook=10_01.xlsx&amp;sheet=A0&amp;row=208&amp;col=13&amp;number=0.069271&amp;sourceID=11","0.069271")</f>
        <v>0.069271</v>
      </c>
      <c r="N208" s="4" t="str">
        <f>HYPERLINK("http://141.218.60.56/~jnz1568/getInfo.php?workbook=10_01.xlsx&amp;sheet=A0&amp;row=208&amp;col=14&amp;number=995010&amp;sourceID=12","995010")</f>
        <v>995010</v>
      </c>
      <c r="O208" s="4" t="str">
        <f>HYPERLINK("http://141.218.60.56/~jnz1568/getInfo.php?workbook=10_01.xlsx&amp;sheet=A0&amp;row=208&amp;col=15&amp;number=&amp;sourceID=12","")</f>
        <v/>
      </c>
      <c r="P208" s="4" t="str">
        <f>HYPERLINK("http://141.218.60.56/~jnz1568/getInfo.php?workbook=10_01.xlsx&amp;sheet=A0&amp;row=208&amp;col=16&amp;number=995010&amp;sourceID=12","995010")</f>
        <v>995010</v>
      </c>
      <c r="Q208" s="4" t="str">
        <f>HYPERLINK("http://141.218.60.56/~jnz1568/getInfo.php?workbook=10_01.xlsx&amp;sheet=A0&amp;row=208&amp;col=17&amp;number=&amp;sourceID=12","")</f>
        <v/>
      </c>
      <c r="R208" s="4" t="str">
        <f>HYPERLINK("http://141.218.60.56/~jnz1568/getInfo.php?workbook=10_01.xlsx&amp;sheet=A0&amp;row=208&amp;col=18&amp;number=&amp;sourceID=12","")</f>
        <v/>
      </c>
      <c r="S208" s="4" t="str">
        <f>HYPERLINK("http://141.218.60.56/~jnz1568/getInfo.php?workbook=10_01.xlsx&amp;sheet=A0&amp;row=208&amp;col=19&amp;number=&amp;sourceID=12","")</f>
        <v/>
      </c>
      <c r="T208" s="4" t="str">
        <f>HYPERLINK("http://141.218.60.56/~jnz1568/getInfo.php?workbook=10_01.xlsx&amp;sheet=A0&amp;row=208&amp;col=20&amp;number=0.069272&amp;sourceID=12","0.069272")</f>
        <v>0.069272</v>
      </c>
      <c r="U208" s="4" t="str">
        <f>HYPERLINK("http://141.218.60.56/~jnz1568/getInfo.php?workbook=10_01.xlsx&amp;sheet=A0&amp;row=208&amp;col=21&amp;number=995000&amp;sourceID=30","995000")</f>
        <v>995000</v>
      </c>
      <c r="V208" s="4" t="str">
        <f>HYPERLINK("http://141.218.60.56/~jnz1568/getInfo.php?workbook=10_01.xlsx&amp;sheet=A0&amp;row=208&amp;col=22&amp;number=&amp;sourceID=30","")</f>
        <v/>
      </c>
      <c r="W208" s="4" t="str">
        <f>HYPERLINK("http://141.218.60.56/~jnz1568/getInfo.php?workbook=10_01.xlsx&amp;sheet=A0&amp;row=208&amp;col=23&amp;number=995000&amp;sourceID=30","995000")</f>
        <v>995000</v>
      </c>
      <c r="X208" s="4" t="str">
        <f>HYPERLINK("http://141.218.60.56/~jnz1568/getInfo.php?workbook=10_01.xlsx&amp;sheet=A0&amp;row=208&amp;col=24&amp;number=&amp;sourceID=30","")</f>
        <v/>
      </c>
      <c r="Y208" s="4" t="str">
        <f>HYPERLINK("http://141.218.60.56/~jnz1568/getInfo.php?workbook=10_01.xlsx&amp;sheet=A0&amp;row=208&amp;col=25&amp;number=&amp;sourceID=30","")</f>
        <v/>
      </c>
      <c r="Z208" s="4" t="str">
        <f>HYPERLINK("http://141.218.60.56/~jnz1568/getInfo.php?workbook=10_01.xlsx&amp;sheet=A0&amp;row=208&amp;col=26&amp;number=&amp;sourceID=13","")</f>
        <v/>
      </c>
      <c r="AA208" s="4" t="str">
        <f>HYPERLINK("http://141.218.60.56/~jnz1568/getInfo.php?workbook=10_01.xlsx&amp;sheet=A0&amp;row=208&amp;col=27&amp;number=&amp;sourceID=13","")</f>
        <v/>
      </c>
      <c r="AB208" s="4" t="str">
        <f>HYPERLINK("http://141.218.60.56/~jnz1568/getInfo.php?workbook=10_01.xlsx&amp;sheet=A0&amp;row=208&amp;col=28&amp;number=&amp;sourceID=13","")</f>
        <v/>
      </c>
      <c r="AC208" s="4" t="str">
        <f>HYPERLINK("http://141.218.60.56/~jnz1568/getInfo.php?workbook=10_01.xlsx&amp;sheet=A0&amp;row=208&amp;col=29&amp;number=&amp;sourceID=13","")</f>
        <v/>
      </c>
      <c r="AD208" s="4" t="str">
        <f>HYPERLINK("http://141.218.60.56/~jnz1568/getInfo.php?workbook=10_01.xlsx&amp;sheet=A0&amp;row=208&amp;col=30&amp;number=&amp;sourceID=13","")</f>
        <v/>
      </c>
      <c r="AE208" s="4" t="str">
        <f>HYPERLINK("http://141.218.60.56/~jnz1568/getInfo.php?workbook=10_01.xlsx&amp;sheet=A0&amp;row=208&amp;col=31&amp;number=&amp;sourceID=13","")</f>
        <v/>
      </c>
      <c r="AF208" s="4" t="str">
        <f>HYPERLINK("http://141.218.60.56/~jnz1568/getInfo.php?workbook=10_01.xlsx&amp;sheet=A0&amp;row=208&amp;col=32&amp;number=&amp;sourceID=20","")</f>
        <v/>
      </c>
    </row>
    <row r="209" spans="1:32">
      <c r="A209" s="3">
        <v>10</v>
      </c>
      <c r="B209" s="3">
        <v>1</v>
      </c>
      <c r="C209" s="3">
        <v>22</v>
      </c>
      <c r="D209" s="3">
        <v>4</v>
      </c>
      <c r="E209" s="3">
        <f>((1/(INDEX(E0!J$4:J$28,C209,1)-INDEX(E0!J$4:J$28,D209,1))))*100000000</f>
        <v>0</v>
      </c>
      <c r="F209" s="4" t="str">
        <f>HYPERLINK("http://141.218.60.56/~jnz1568/getInfo.php?workbook=10_01.xlsx&amp;sheet=A0&amp;row=209&amp;col=6&amp;number=&amp;sourceID=18","")</f>
        <v/>
      </c>
      <c r="G209" s="4" t="str">
        <f>HYPERLINK("http://141.218.60.56/~jnz1568/getInfo.php?workbook=10_01.xlsx&amp;sheet=A0&amp;row=209&amp;col=7&amp;number==&amp;sourceID=11","=")</f>
        <v>=</v>
      </c>
      <c r="H209" s="4" t="str">
        <f>HYPERLINK("http://141.218.60.56/~jnz1568/getInfo.php?workbook=10_01.xlsx&amp;sheet=A0&amp;row=209&amp;col=8&amp;number=94303000000&amp;sourceID=11","94303000000")</f>
        <v>94303000000</v>
      </c>
      <c r="I209" s="4" t="str">
        <f>HYPERLINK("http://141.218.60.56/~jnz1568/getInfo.php?workbook=10_01.xlsx&amp;sheet=A0&amp;row=209&amp;col=9&amp;number=&amp;sourceID=11","")</f>
        <v/>
      </c>
      <c r="J209" s="4" t="str">
        <f>HYPERLINK("http://141.218.60.56/~jnz1568/getInfo.php?workbook=10_01.xlsx&amp;sheet=A0&amp;row=209&amp;col=10&amp;number=31.334&amp;sourceID=11","31.334")</f>
        <v>31.334</v>
      </c>
      <c r="K209" s="4" t="str">
        <f>HYPERLINK("http://141.218.60.56/~jnz1568/getInfo.php?workbook=10_01.xlsx&amp;sheet=A0&amp;row=209&amp;col=11&amp;number=&amp;sourceID=11","")</f>
        <v/>
      </c>
      <c r="L209" s="4" t="str">
        <f>HYPERLINK("http://141.218.60.56/~jnz1568/getInfo.php?workbook=10_01.xlsx&amp;sheet=A0&amp;row=209&amp;col=12&amp;number=7164.2&amp;sourceID=11","7164.2")</f>
        <v>7164.2</v>
      </c>
      <c r="M209" s="4" t="str">
        <f>HYPERLINK("http://141.218.60.56/~jnz1568/getInfo.php?workbook=10_01.xlsx&amp;sheet=A0&amp;row=209&amp;col=13&amp;number=&amp;sourceID=11","")</f>
        <v/>
      </c>
      <c r="N209" s="4" t="str">
        <f>HYPERLINK("http://141.218.60.56/~jnz1568/getInfo.php?workbook=10_01.xlsx&amp;sheet=A0&amp;row=209&amp;col=14&amp;number=94305000000&amp;sourceID=12","94305000000")</f>
        <v>94305000000</v>
      </c>
      <c r="O209" s="4" t="str">
        <f>HYPERLINK("http://141.218.60.56/~jnz1568/getInfo.php?workbook=10_01.xlsx&amp;sheet=A0&amp;row=209&amp;col=15&amp;number=94305000000&amp;sourceID=12","94305000000")</f>
        <v>94305000000</v>
      </c>
      <c r="P209" s="4" t="str">
        <f>HYPERLINK("http://141.218.60.56/~jnz1568/getInfo.php?workbook=10_01.xlsx&amp;sheet=A0&amp;row=209&amp;col=16&amp;number=&amp;sourceID=12","")</f>
        <v/>
      </c>
      <c r="Q209" s="4" t="str">
        <f>HYPERLINK("http://141.218.60.56/~jnz1568/getInfo.php?workbook=10_01.xlsx&amp;sheet=A0&amp;row=209&amp;col=17&amp;number=31.335&amp;sourceID=12","31.335")</f>
        <v>31.335</v>
      </c>
      <c r="R209" s="4" t="str">
        <f>HYPERLINK("http://141.218.60.56/~jnz1568/getInfo.php?workbook=10_01.xlsx&amp;sheet=A0&amp;row=209&amp;col=18&amp;number=&amp;sourceID=12","")</f>
        <v/>
      </c>
      <c r="S209" s="4" t="str">
        <f>HYPERLINK("http://141.218.60.56/~jnz1568/getInfo.php?workbook=10_01.xlsx&amp;sheet=A0&amp;row=209&amp;col=19&amp;number=7164.4&amp;sourceID=12","7164.4")</f>
        <v>7164.4</v>
      </c>
      <c r="T209" s="4" t="str">
        <f>HYPERLINK("http://141.218.60.56/~jnz1568/getInfo.php?workbook=10_01.xlsx&amp;sheet=A0&amp;row=209&amp;col=20&amp;number=&amp;sourceID=12","")</f>
        <v/>
      </c>
      <c r="U209" s="4" t="str">
        <f>HYPERLINK("http://141.218.60.56/~jnz1568/getInfo.php?workbook=10_01.xlsx&amp;sheet=A0&amp;row=209&amp;col=21&amp;number=94310007164&amp;sourceID=30","94310007164")</f>
        <v>94310007164</v>
      </c>
      <c r="V209" s="4" t="str">
        <f>HYPERLINK("http://141.218.60.56/~jnz1568/getInfo.php?workbook=10_01.xlsx&amp;sheet=A0&amp;row=209&amp;col=22&amp;number=94310000000&amp;sourceID=30","94310000000")</f>
        <v>94310000000</v>
      </c>
      <c r="W209" s="4" t="str">
        <f>HYPERLINK("http://141.218.60.56/~jnz1568/getInfo.php?workbook=10_01.xlsx&amp;sheet=A0&amp;row=209&amp;col=23&amp;number=&amp;sourceID=30","")</f>
        <v/>
      </c>
      <c r="X209" s="4" t="str">
        <f>HYPERLINK("http://141.218.60.56/~jnz1568/getInfo.php?workbook=10_01.xlsx&amp;sheet=A0&amp;row=209&amp;col=24&amp;number=&amp;sourceID=30","")</f>
        <v/>
      </c>
      <c r="Y209" s="4" t="str">
        <f>HYPERLINK("http://141.218.60.56/~jnz1568/getInfo.php?workbook=10_01.xlsx&amp;sheet=A0&amp;row=209&amp;col=25&amp;number=7164&amp;sourceID=30","7164")</f>
        <v>7164</v>
      </c>
      <c r="Z209" s="4" t="str">
        <f>HYPERLINK("http://141.218.60.56/~jnz1568/getInfo.php?workbook=10_01.xlsx&amp;sheet=A0&amp;row=209&amp;col=26&amp;number=&amp;sourceID=13","")</f>
        <v/>
      </c>
      <c r="AA209" s="4" t="str">
        <f>HYPERLINK("http://141.218.60.56/~jnz1568/getInfo.php?workbook=10_01.xlsx&amp;sheet=A0&amp;row=209&amp;col=27&amp;number=&amp;sourceID=13","")</f>
        <v/>
      </c>
      <c r="AB209" s="4" t="str">
        <f>HYPERLINK("http://141.218.60.56/~jnz1568/getInfo.php?workbook=10_01.xlsx&amp;sheet=A0&amp;row=209&amp;col=28&amp;number=&amp;sourceID=13","")</f>
        <v/>
      </c>
      <c r="AC209" s="4" t="str">
        <f>HYPERLINK("http://141.218.60.56/~jnz1568/getInfo.php?workbook=10_01.xlsx&amp;sheet=A0&amp;row=209&amp;col=29&amp;number=&amp;sourceID=13","")</f>
        <v/>
      </c>
      <c r="AD209" s="4" t="str">
        <f>HYPERLINK("http://141.218.60.56/~jnz1568/getInfo.php?workbook=10_01.xlsx&amp;sheet=A0&amp;row=209&amp;col=30&amp;number=&amp;sourceID=13","")</f>
        <v/>
      </c>
      <c r="AE209" s="4" t="str">
        <f>HYPERLINK("http://141.218.60.56/~jnz1568/getInfo.php?workbook=10_01.xlsx&amp;sheet=A0&amp;row=209&amp;col=31&amp;number=&amp;sourceID=13","")</f>
        <v/>
      </c>
      <c r="AF209" s="4" t="str">
        <f>HYPERLINK("http://141.218.60.56/~jnz1568/getInfo.php?workbook=10_01.xlsx&amp;sheet=A0&amp;row=209&amp;col=32&amp;number=&amp;sourceID=20","")</f>
        <v/>
      </c>
    </row>
    <row r="210" spans="1:32">
      <c r="A210" s="3">
        <v>10</v>
      </c>
      <c r="B210" s="3">
        <v>1</v>
      </c>
      <c r="C210" s="3">
        <v>22</v>
      </c>
      <c r="D210" s="3">
        <v>5</v>
      </c>
      <c r="E210" s="3">
        <f>((1/(INDEX(E0!J$4:J$28,C210,1)-INDEX(E0!J$4:J$28,D210,1))))*100000000</f>
        <v>0</v>
      </c>
      <c r="F210" s="4" t="str">
        <f>HYPERLINK("http://141.218.60.56/~jnz1568/getInfo.php?workbook=10_01.xlsx&amp;sheet=A0&amp;row=210&amp;col=6&amp;number=&amp;sourceID=18","")</f>
        <v/>
      </c>
      <c r="G210" s="4" t="str">
        <f>HYPERLINK("http://141.218.60.56/~jnz1568/getInfo.php?workbook=10_01.xlsx&amp;sheet=A0&amp;row=210&amp;col=7&amp;number==&amp;sourceID=11","=")</f>
        <v>=</v>
      </c>
      <c r="H210" s="4" t="str">
        <f>HYPERLINK("http://141.218.60.56/~jnz1568/getInfo.php?workbook=10_01.xlsx&amp;sheet=A0&amp;row=210&amp;col=8&amp;number=&amp;sourceID=11","")</f>
        <v/>
      </c>
      <c r="I210" s="4" t="str">
        <f>HYPERLINK("http://141.218.60.56/~jnz1568/getInfo.php?workbook=10_01.xlsx&amp;sheet=A0&amp;row=210&amp;col=9&amp;number=&amp;sourceID=11","")</f>
        <v/>
      </c>
      <c r="J210" s="4" t="str">
        <f>HYPERLINK("http://141.218.60.56/~jnz1568/getInfo.php?workbook=10_01.xlsx&amp;sheet=A0&amp;row=210&amp;col=10&amp;number=4.3476&amp;sourceID=11","4.3476")</f>
        <v>4.3476</v>
      </c>
      <c r="K210" s="4" t="str">
        <f>HYPERLINK("http://141.218.60.56/~jnz1568/getInfo.php?workbook=10_01.xlsx&amp;sheet=A0&amp;row=210&amp;col=11&amp;number=&amp;sourceID=11","")</f>
        <v/>
      </c>
      <c r="L210" s="4" t="str">
        <f>HYPERLINK("http://141.218.60.56/~jnz1568/getInfo.php?workbook=10_01.xlsx&amp;sheet=A0&amp;row=210&amp;col=12&amp;number=54.344&amp;sourceID=11","54.344")</f>
        <v>54.344</v>
      </c>
      <c r="M210" s="4" t="str">
        <f>HYPERLINK("http://141.218.60.56/~jnz1568/getInfo.php?workbook=10_01.xlsx&amp;sheet=A0&amp;row=210&amp;col=13&amp;number=&amp;sourceID=11","")</f>
        <v/>
      </c>
      <c r="N210" s="4" t="str">
        <f>HYPERLINK("http://141.218.60.56/~jnz1568/getInfo.php?workbook=10_01.xlsx&amp;sheet=A0&amp;row=210&amp;col=14&amp;number=58.693&amp;sourceID=12","58.693")</f>
        <v>58.693</v>
      </c>
      <c r="O210" s="4" t="str">
        <f>HYPERLINK("http://141.218.60.56/~jnz1568/getInfo.php?workbook=10_01.xlsx&amp;sheet=A0&amp;row=210&amp;col=15&amp;number=&amp;sourceID=12","")</f>
        <v/>
      </c>
      <c r="P210" s="4" t="str">
        <f>HYPERLINK("http://141.218.60.56/~jnz1568/getInfo.php?workbook=10_01.xlsx&amp;sheet=A0&amp;row=210&amp;col=16&amp;number=&amp;sourceID=12","")</f>
        <v/>
      </c>
      <c r="Q210" s="4" t="str">
        <f>HYPERLINK("http://141.218.60.56/~jnz1568/getInfo.php?workbook=10_01.xlsx&amp;sheet=A0&amp;row=210&amp;col=17&amp;number=4.3477&amp;sourceID=12","4.3477")</f>
        <v>4.3477</v>
      </c>
      <c r="R210" s="4" t="str">
        <f>HYPERLINK("http://141.218.60.56/~jnz1568/getInfo.php?workbook=10_01.xlsx&amp;sheet=A0&amp;row=210&amp;col=18&amp;number=&amp;sourceID=12","")</f>
        <v/>
      </c>
      <c r="S210" s="4" t="str">
        <f>HYPERLINK("http://141.218.60.56/~jnz1568/getInfo.php?workbook=10_01.xlsx&amp;sheet=A0&amp;row=210&amp;col=19&amp;number=54.345&amp;sourceID=12","54.345")</f>
        <v>54.345</v>
      </c>
      <c r="T210" s="4" t="str">
        <f>HYPERLINK("http://141.218.60.56/~jnz1568/getInfo.php?workbook=10_01.xlsx&amp;sheet=A0&amp;row=210&amp;col=20&amp;number=&amp;sourceID=12","")</f>
        <v/>
      </c>
      <c r="U210" s="4" t="str">
        <f>HYPERLINK("http://141.218.60.56/~jnz1568/getInfo.php?workbook=10_01.xlsx&amp;sheet=A0&amp;row=210&amp;col=21&amp;number=54.35&amp;sourceID=30","54.35")</f>
        <v>54.35</v>
      </c>
      <c r="V210" s="4" t="str">
        <f>HYPERLINK("http://141.218.60.56/~jnz1568/getInfo.php?workbook=10_01.xlsx&amp;sheet=A0&amp;row=210&amp;col=22&amp;number=&amp;sourceID=30","")</f>
        <v/>
      </c>
      <c r="W210" s="4" t="str">
        <f>HYPERLINK("http://141.218.60.56/~jnz1568/getInfo.php?workbook=10_01.xlsx&amp;sheet=A0&amp;row=210&amp;col=23&amp;number=&amp;sourceID=30","")</f>
        <v/>
      </c>
      <c r="X210" s="4" t="str">
        <f>HYPERLINK("http://141.218.60.56/~jnz1568/getInfo.php?workbook=10_01.xlsx&amp;sheet=A0&amp;row=210&amp;col=24&amp;number=&amp;sourceID=30","")</f>
        <v/>
      </c>
      <c r="Y210" s="4" t="str">
        <f>HYPERLINK("http://141.218.60.56/~jnz1568/getInfo.php?workbook=10_01.xlsx&amp;sheet=A0&amp;row=210&amp;col=25&amp;number=54.35&amp;sourceID=30","54.35")</f>
        <v>54.35</v>
      </c>
      <c r="Z210" s="4" t="str">
        <f>HYPERLINK("http://141.218.60.56/~jnz1568/getInfo.php?workbook=10_01.xlsx&amp;sheet=A0&amp;row=210&amp;col=26&amp;number=&amp;sourceID=13","")</f>
        <v/>
      </c>
      <c r="AA210" s="4" t="str">
        <f>HYPERLINK("http://141.218.60.56/~jnz1568/getInfo.php?workbook=10_01.xlsx&amp;sheet=A0&amp;row=210&amp;col=27&amp;number=&amp;sourceID=13","")</f>
        <v/>
      </c>
      <c r="AB210" s="4" t="str">
        <f>HYPERLINK("http://141.218.60.56/~jnz1568/getInfo.php?workbook=10_01.xlsx&amp;sheet=A0&amp;row=210&amp;col=28&amp;number=&amp;sourceID=13","")</f>
        <v/>
      </c>
      <c r="AC210" s="4" t="str">
        <f>HYPERLINK("http://141.218.60.56/~jnz1568/getInfo.php?workbook=10_01.xlsx&amp;sheet=A0&amp;row=210&amp;col=29&amp;number=&amp;sourceID=13","")</f>
        <v/>
      </c>
      <c r="AD210" s="4" t="str">
        <f>HYPERLINK("http://141.218.60.56/~jnz1568/getInfo.php?workbook=10_01.xlsx&amp;sheet=A0&amp;row=210&amp;col=30&amp;number=&amp;sourceID=13","")</f>
        <v/>
      </c>
      <c r="AE210" s="4" t="str">
        <f>HYPERLINK("http://141.218.60.56/~jnz1568/getInfo.php?workbook=10_01.xlsx&amp;sheet=A0&amp;row=210&amp;col=31&amp;number=&amp;sourceID=13","")</f>
        <v/>
      </c>
      <c r="AF210" s="4" t="str">
        <f>HYPERLINK("http://141.218.60.56/~jnz1568/getInfo.php?workbook=10_01.xlsx&amp;sheet=A0&amp;row=210&amp;col=32&amp;number=&amp;sourceID=20","")</f>
        <v/>
      </c>
    </row>
    <row r="211" spans="1:32">
      <c r="A211" s="3">
        <v>10</v>
      </c>
      <c r="B211" s="3">
        <v>1</v>
      </c>
      <c r="C211" s="3">
        <v>22</v>
      </c>
      <c r="D211" s="3">
        <v>6</v>
      </c>
      <c r="E211" s="3">
        <f>((1/(INDEX(E0!J$4:J$28,C211,1)-INDEX(E0!J$4:J$28,D211,1))))*100000000</f>
        <v>0</v>
      </c>
      <c r="F211" s="4" t="str">
        <f>HYPERLINK("http://141.218.60.56/~jnz1568/getInfo.php?workbook=10_01.xlsx&amp;sheet=A0&amp;row=211&amp;col=6&amp;number=&amp;sourceID=18","")</f>
        <v/>
      </c>
      <c r="G211" s="4" t="str">
        <f>HYPERLINK("http://141.218.60.56/~jnz1568/getInfo.php?workbook=10_01.xlsx&amp;sheet=A0&amp;row=211&amp;col=7&amp;number==&amp;sourceID=11","=")</f>
        <v>=</v>
      </c>
      <c r="H211" s="4" t="str">
        <f>HYPERLINK("http://141.218.60.56/~jnz1568/getInfo.php?workbook=10_01.xlsx&amp;sheet=A0&amp;row=211&amp;col=8&amp;number=&amp;sourceID=11","")</f>
        <v/>
      </c>
      <c r="I211" s="4" t="str">
        <f>HYPERLINK("http://141.218.60.56/~jnz1568/getInfo.php?workbook=10_01.xlsx&amp;sheet=A0&amp;row=211&amp;col=9&amp;number=1099200&amp;sourceID=11","1099200")</f>
        <v>1099200</v>
      </c>
      <c r="J211" s="4" t="str">
        <f>HYPERLINK("http://141.218.60.56/~jnz1568/getInfo.php?workbook=10_01.xlsx&amp;sheet=A0&amp;row=211&amp;col=10&amp;number=&amp;sourceID=11","")</f>
        <v/>
      </c>
      <c r="K211" s="4" t="str">
        <f>HYPERLINK("http://141.218.60.56/~jnz1568/getInfo.php?workbook=10_01.xlsx&amp;sheet=A0&amp;row=211&amp;col=11&amp;number=&amp;sourceID=11","")</f>
        <v/>
      </c>
      <c r="L211" s="4" t="str">
        <f>HYPERLINK("http://141.218.60.56/~jnz1568/getInfo.php?workbook=10_01.xlsx&amp;sheet=A0&amp;row=211&amp;col=12&amp;number=&amp;sourceID=11","")</f>
        <v/>
      </c>
      <c r="M211" s="4" t="str">
        <f>HYPERLINK("http://141.218.60.56/~jnz1568/getInfo.php?workbook=10_01.xlsx&amp;sheet=A0&amp;row=211&amp;col=13&amp;number=0.0087889&amp;sourceID=11","0.0087889")</f>
        <v>0.0087889</v>
      </c>
      <c r="N211" s="4" t="str">
        <f>HYPERLINK("http://141.218.60.56/~jnz1568/getInfo.php?workbook=10_01.xlsx&amp;sheet=A0&amp;row=211&amp;col=14&amp;number=1099200&amp;sourceID=12","1099200")</f>
        <v>1099200</v>
      </c>
      <c r="O211" s="4" t="str">
        <f>HYPERLINK("http://141.218.60.56/~jnz1568/getInfo.php?workbook=10_01.xlsx&amp;sheet=A0&amp;row=211&amp;col=15&amp;number=&amp;sourceID=12","")</f>
        <v/>
      </c>
      <c r="P211" s="4" t="str">
        <f>HYPERLINK("http://141.218.60.56/~jnz1568/getInfo.php?workbook=10_01.xlsx&amp;sheet=A0&amp;row=211&amp;col=16&amp;number=1099200&amp;sourceID=12","1099200")</f>
        <v>1099200</v>
      </c>
      <c r="Q211" s="4" t="str">
        <f>HYPERLINK("http://141.218.60.56/~jnz1568/getInfo.php?workbook=10_01.xlsx&amp;sheet=A0&amp;row=211&amp;col=17&amp;number=&amp;sourceID=12","")</f>
        <v/>
      </c>
      <c r="R211" s="4" t="str">
        <f>HYPERLINK("http://141.218.60.56/~jnz1568/getInfo.php?workbook=10_01.xlsx&amp;sheet=A0&amp;row=211&amp;col=18&amp;number=&amp;sourceID=12","")</f>
        <v/>
      </c>
      <c r="S211" s="4" t="str">
        <f>HYPERLINK("http://141.218.60.56/~jnz1568/getInfo.php?workbook=10_01.xlsx&amp;sheet=A0&amp;row=211&amp;col=19&amp;number=&amp;sourceID=12","")</f>
        <v/>
      </c>
      <c r="T211" s="4" t="str">
        <f>HYPERLINK("http://141.218.60.56/~jnz1568/getInfo.php?workbook=10_01.xlsx&amp;sheet=A0&amp;row=211&amp;col=20&amp;number=0.0087891&amp;sourceID=12","0.0087891")</f>
        <v>0.0087891</v>
      </c>
      <c r="U211" s="4" t="str">
        <f>HYPERLINK("http://141.218.60.56/~jnz1568/getInfo.php?workbook=10_01.xlsx&amp;sheet=A0&amp;row=211&amp;col=21&amp;number=1099000&amp;sourceID=30","1099000")</f>
        <v>1099000</v>
      </c>
      <c r="V211" s="4" t="str">
        <f>HYPERLINK("http://141.218.60.56/~jnz1568/getInfo.php?workbook=10_01.xlsx&amp;sheet=A0&amp;row=211&amp;col=22&amp;number=&amp;sourceID=30","")</f>
        <v/>
      </c>
      <c r="W211" s="4" t="str">
        <f>HYPERLINK("http://141.218.60.56/~jnz1568/getInfo.php?workbook=10_01.xlsx&amp;sheet=A0&amp;row=211&amp;col=23&amp;number=1099000&amp;sourceID=30","1099000")</f>
        <v>1099000</v>
      </c>
      <c r="X211" s="4" t="str">
        <f>HYPERLINK("http://141.218.60.56/~jnz1568/getInfo.php?workbook=10_01.xlsx&amp;sheet=A0&amp;row=211&amp;col=24&amp;number=&amp;sourceID=30","")</f>
        <v/>
      </c>
      <c r="Y211" s="4" t="str">
        <f>HYPERLINK("http://141.218.60.56/~jnz1568/getInfo.php?workbook=10_01.xlsx&amp;sheet=A0&amp;row=211&amp;col=25&amp;number=&amp;sourceID=30","")</f>
        <v/>
      </c>
      <c r="Z211" s="4" t="str">
        <f>HYPERLINK("http://141.218.60.56/~jnz1568/getInfo.php?workbook=10_01.xlsx&amp;sheet=A0&amp;row=211&amp;col=26&amp;number=&amp;sourceID=13","")</f>
        <v/>
      </c>
      <c r="AA211" s="4" t="str">
        <f>HYPERLINK("http://141.218.60.56/~jnz1568/getInfo.php?workbook=10_01.xlsx&amp;sheet=A0&amp;row=211&amp;col=27&amp;number=&amp;sourceID=13","")</f>
        <v/>
      </c>
      <c r="AB211" s="4" t="str">
        <f>HYPERLINK("http://141.218.60.56/~jnz1568/getInfo.php?workbook=10_01.xlsx&amp;sheet=A0&amp;row=211&amp;col=28&amp;number=&amp;sourceID=13","")</f>
        <v/>
      </c>
      <c r="AC211" s="4" t="str">
        <f>HYPERLINK("http://141.218.60.56/~jnz1568/getInfo.php?workbook=10_01.xlsx&amp;sheet=A0&amp;row=211&amp;col=29&amp;number=&amp;sourceID=13","")</f>
        <v/>
      </c>
      <c r="AD211" s="4" t="str">
        <f>HYPERLINK("http://141.218.60.56/~jnz1568/getInfo.php?workbook=10_01.xlsx&amp;sheet=A0&amp;row=211&amp;col=30&amp;number=&amp;sourceID=13","")</f>
        <v/>
      </c>
      <c r="AE211" s="4" t="str">
        <f>HYPERLINK("http://141.218.60.56/~jnz1568/getInfo.php?workbook=10_01.xlsx&amp;sheet=A0&amp;row=211&amp;col=31&amp;number=&amp;sourceID=13","")</f>
        <v/>
      </c>
      <c r="AF211" s="4" t="str">
        <f>HYPERLINK("http://141.218.60.56/~jnz1568/getInfo.php?workbook=10_01.xlsx&amp;sheet=A0&amp;row=211&amp;col=32&amp;number=&amp;sourceID=20","")</f>
        <v/>
      </c>
    </row>
    <row r="212" spans="1:32">
      <c r="A212" s="3">
        <v>10</v>
      </c>
      <c r="B212" s="3">
        <v>1</v>
      </c>
      <c r="C212" s="3">
        <v>22</v>
      </c>
      <c r="D212" s="3">
        <v>7</v>
      </c>
      <c r="E212" s="3">
        <f>((1/(INDEX(E0!J$4:J$28,C212,1)-INDEX(E0!J$4:J$28,D212,1))))*100000000</f>
        <v>0</v>
      </c>
      <c r="F212" s="4" t="str">
        <f>HYPERLINK("http://141.218.60.56/~jnz1568/getInfo.php?workbook=10_01.xlsx&amp;sheet=A0&amp;row=212&amp;col=6&amp;number=&amp;sourceID=18","")</f>
        <v/>
      </c>
      <c r="G212" s="4" t="str">
        <f>HYPERLINK("http://141.218.60.56/~jnz1568/getInfo.php?workbook=10_01.xlsx&amp;sheet=A0&amp;row=212&amp;col=7&amp;number==&amp;sourceID=11","=")</f>
        <v>=</v>
      </c>
      <c r="H212" s="4" t="str">
        <f>HYPERLINK("http://141.218.60.56/~jnz1568/getInfo.php?workbook=10_01.xlsx&amp;sheet=A0&amp;row=212&amp;col=8&amp;number=&amp;sourceID=11","")</f>
        <v/>
      </c>
      <c r="I212" s="4" t="str">
        <f>HYPERLINK("http://141.218.60.56/~jnz1568/getInfo.php?workbook=10_01.xlsx&amp;sheet=A0&amp;row=212&amp;col=9&amp;number=114810&amp;sourceID=11","114810")</f>
        <v>114810</v>
      </c>
      <c r="J212" s="4" t="str">
        <f>HYPERLINK("http://141.218.60.56/~jnz1568/getInfo.php?workbook=10_01.xlsx&amp;sheet=A0&amp;row=212&amp;col=10&amp;number=&amp;sourceID=11","")</f>
        <v/>
      </c>
      <c r="K212" s="4" t="str">
        <f>HYPERLINK("http://141.218.60.56/~jnz1568/getInfo.php?workbook=10_01.xlsx&amp;sheet=A0&amp;row=212&amp;col=11&amp;number=0.085884&amp;sourceID=11","0.085884")</f>
        <v>0.085884</v>
      </c>
      <c r="L212" s="4" t="str">
        <f>HYPERLINK("http://141.218.60.56/~jnz1568/getInfo.php?workbook=10_01.xlsx&amp;sheet=A0&amp;row=212&amp;col=12&amp;number=&amp;sourceID=11","")</f>
        <v/>
      </c>
      <c r="M212" s="4" t="str">
        <f>HYPERLINK("http://141.218.60.56/~jnz1568/getInfo.php?workbook=10_01.xlsx&amp;sheet=A0&amp;row=212&amp;col=13&amp;number=5.2322e-05&amp;sourceID=11","5.2322e-05")</f>
        <v>5.2322e-05</v>
      </c>
      <c r="N212" s="4" t="str">
        <f>HYPERLINK("http://141.218.60.56/~jnz1568/getInfo.php?workbook=10_01.xlsx&amp;sheet=A0&amp;row=212&amp;col=14&amp;number=114820&amp;sourceID=12","114820")</f>
        <v>114820</v>
      </c>
      <c r="O212" s="4" t="str">
        <f>HYPERLINK("http://141.218.60.56/~jnz1568/getInfo.php?workbook=10_01.xlsx&amp;sheet=A0&amp;row=212&amp;col=15&amp;number=&amp;sourceID=12","")</f>
        <v/>
      </c>
      <c r="P212" s="4" t="str">
        <f>HYPERLINK("http://141.218.60.56/~jnz1568/getInfo.php?workbook=10_01.xlsx&amp;sheet=A0&amp;row=212&amp;col=16&amp;number=114820&amp;sourceID=12","114820")</f>
        <v>114820</v>
      </c>
      <c r="Q212" s="4" t="str">
        <f>HYPERLINK("http://141.218.60.56/~jnz1568/getInfo.php?workbook=10_01.xlsx&amp;sheet=A0&amp;row=212&amp;col=17&amp;number=&amp;sourceID=12","")</f>
        <v/>
      </c>
      <c r="R212" s="4" t="str">
        <f>HYPERLINK("http://141.218.60.56/~jnz1568/getInfo.php?workbook=10_01.xlsx&amp;sheet=A0&amp;row=212&amp;col=18&amp;number=0.085884&amp;sourceID=12","0.085884")</f>
        <v>0.085884</v>
      </c>
      <c r="S212" s="4" t="str">
        <f>HYPERLINK("http://141.218.60.56/~jnz1568/getInfo.php?workbook=10_01.xlsx&amp;sheet=A0&amp;row=212&amp;col=19&amp;number=&amp;sourceID=12","")</f>
        <v/>
      </c>
      <c r="T212" s="4" t="str">
        <f>HYPERLINK("http://141.218.60.56/~jnz1568/getInfo.php?workbook=10_01.xlsx&amp;sheet=A0&amp;row=212&amp;col=20&amp;number=5.2323e-05&amp;sourceID=12","5.2323e-05")</f>
        <v>5.2323e-05</v>
      </c>
      <c r="U212" s="4" t="str">
        <f>HYPERLINK("http://141.218.60.56/~jnz1568/getInfo.php?workbook=10_01.xlsx&amp;sheet=A0&amp;row=212&amp;col=21&amp;number=114800.0859&amp;sourceID=30","114800.0859")</f>
        <v>114800.0859</v>
      </c>
      <c r="V212" s="4" t="str">
        <f>HYPERLINK("http://141.218.60.56/~jnz1568/getInfo.php?workbook=10_01.xlsx&amp;sheet=A0&amp;row=212&amp;col=22&amp;number=&amp;sourceID=30","")</f>
        <v/>
      </c>
      <c r="W212" s="4" t="str">
        <f>HYPERLINK("http://141.218.60.56/~jnz1568/getInfo.php?workbook=10_01.xlsx&amp;sheet=A0&amp;row=212&amp;col=23&amp;number=114800&amp;sourceID=30","114800")</f>
        <v>114800</v>
      </c>
      <c r="X212" s="4" t="str">
        <f>HYPERLINK("http://141.218.60.56/~jnz1568/getInfo.php?workbook=10_01.xlsx&amp;sheet=A0&amp;row=212&amp;col=24&amp;number=0.0859&amp;sourceID=30","0.0859")</f>
        <v>0.0859</v>
      </c>
      <c r="Y212" s="4" t="str">
        <f>HYPERLINK("http://141.218.60.56/~jnz1568/getInfo.php?workbook=10_01.xlsx&amp;sheet=A0&amp;row=212&amp;col=25&amp;number=&amp;sourceID=30","")</f>
        <v/>
      </c>
      <c r="Z212" s="4" t="str">
        <f>HYPERLINK("http://141.218.60.56/~jnz1568/getInfo.php?workbook=10_01.xlsx&amp;sheet=A0&amp;row=212&amp;col=26&amp;number=&amp;sourceID=13","")</f>
        <v/>
      </c>
      <c r="AA212" s="4" t="str">
        <f>HYPERLINK("http://141.218.60.56/~jnz1568/getInfo.php?workbook=10_01.xlsx&amp;sheet=A0&amp;row=212&amp;col=27&amp;number=&amp;sourceID=13","")</f>
        <v/>
      </c>
      <c r="AB212" s="4" t="str">
        <f>HYPERLINK("http://141.218.60.56/~jnz1568/getInfo.php?workbook=10_01.xlsx&amp;sheet=A0&amp;row=212&amp;col=28&amp;number=&amp;sourceID=13","")</f>
        <v/>
      </c>
      <c r="AC212" s="4" t="str">
        <f>HYPERLINK("http://141.218.60.56/~jnz1568/getInfo.php?workbook=10_01.xlsx&amp;sheet=A0&amp;row=212&amp;col=29&amp;number=&amp;sourceID=13","")</f>
        <v/>
      </c>
      <c r="AD212" s="4" t="str">
        <f>HYPERLINK("http://141.218.60.56/~jnz1568/getInfo.php?workbook=10_01.xlsx&amp;sheet=A0&amp;row=212&amp;col=30&amp;number=&amp;sourceID=13","")</f>
        <v/>
      </c>
      <c r="AE212" s="4" t="str">
        <f>HYPERLINK("http://141.218.60.56/~jnz1568/getInfo.php?workbook=10_01.xlsx&amp;sheet=A0&amp;row=212&amp;col=31&amp;number=&amp;sourceID=13","")</f>
        <v/>
      </c>
      <c r="AF212" s="4" t="str">
        <f>HYPERLINK("http://141.218.60.56/~jnz1568/getInfo.php?workbook=10_01.xlsx&amp;sheet=A0&amp;row=212&amp;col=32&amp;number=&amp;sourceID=20","")</f>
        <v/>
      </c>
    </row>
    <row r="213" spans="1:32">
      <c r="A213" s="3">
        <v>10</v>
      </c>
      <c r="B213" s="3">
        <v>1</v>
      </c>
      <c r="C213" s="3">
        <v>22</v>
      </c>
      <c r="D213" s="3">
        <v>8</v>
      </c>
      <c r="E213" s="3">
        <f>((1/(INDEX(E0!J$4:J$28,C213,1)-INDEX(E0!J$4:J$28,D213,1))))*100000000</f>
        <v>0</v>
      </c>
      <c r="F213" s="4" t="str">
        <f>HYPERLINK("http://141.218.60.56/~jnz1568/getInfo.php?workbook=10_01.xlsx&amp;sheet=A0&amp;row=213&amp;col=6&amp;number=&amp;sourceID=18","")</f>
        <v/>
      </c>
      <c r="G213" s="4" t="str">
        <f>HYPERLINK("http://141.218.60.56/~jnz1568/getInfo.php?workbook=10_01.xlsx&amp;sheet=A0&amp;row=213&amp;col=7&amp;number==&amp;sourceID=11","=")</f>
        <v>=</v>
      </c>
      <c r="H213" s="4" t="str">
        <f>HYPERLINK("http://141.218.60.56/~jnz1568/getInfo.php?workbook=10_01.xlsx&amp;sheet=A0&amp;row=213&amp;col=8&amp;number=33942000000&amp;sourceID=11","33942000000")</f>
        <v>33942000000</v>
      </c>
      <c r="I213" s="4" t="str">
        <f>HYPERLINK("http://141.218.60.56/~jnz1568/getInfo.php?workbook=10_01.xlsx&amp;sheet=A0&amp;row=213&amp;col=9&amp;number=&amp;sourceID=11","")</f>
        <v/>
      </c>
      <c r="J213" s="4" t="str">
        <f>HYPERLINK("http://141.218.60.56/~jnz1568/getInfo.php?workbook=10_01.xlsx&amp;sheet=A0&amp;row=213&amp;col=10&amp;number=3.3608&amp;sourceID=11","3.3608")</f>
        <v>3.3608</v>
      </c>
      <c r="K213" s="4" t="str">
        <f>HYPERLINK("http://141.218.60.56/~jnz1568/getInfo.php?workbook=10_01.xlsx&amp;sheet=A0&amp;row=213&amp;col=11&amp;number=&amp;sourceID=11","")</f>
        <v/>
      </c>
      <c r="L213" s="4" t="str">
        <f>HYPERLINK("http://141.218.60.56/~jnz1568/getInfo.php?workbook=10_01.xlsx&amp;sheet=A0&amp;row=213&amp;col=12&amp;number=296.02&amp;sourceID=11","296.02")</f>
        <v>296.02</v>
      </c>
      <c r="M213" s="4" t="str">
        <f>HYPERLINK("http://141.218.60.56/~jnz1568/getInfo.php?workbook=10_01.xlsx&amp;sheet=A0&amp;row=213&amp;col=13&amp;number=&amp;sourceID=11","")</f>
        <v/>
      </c>
      <c r="N213" s="4" t="str">
        <f>HYPERLINK("http://141.218.60.56/~jnz1568/getInfo.php?workbook=10_01.xlsx&amp;sheet=A0&amp;row=213&amp;col=14&amp;number=33943000000&amp;sourceID=12","33943000000")</f>
        <v>33943000000</v>
      </c>
      <c r="O213" s="4" t="str">
        <f>HYPERLINK("http://141.218.60.56/~jnz1568/getInfo.php?workbook=10_01.xlsx&amp;sheet=A0&amp;row=213&amp;col=15&amp;number=33943000000&amp;sourceID=12","33943000000")</f>
        <v>33943000000</v>
      </c>
      <c r="P213" s="4" t="str">
        <f>HYPERLINK("http://141.218.60.56/~jnz1568/getInfo.php?workbook=10_01.xlsx&amp;sheet=A0&amp;row=213&amp;col=16&amp;number=&amp;sourceID=12","")</f>
        <v/>
      </c>
      <c r="Q213" s="4" t="str">
        <f>HYPERLINK("http://141.218.60.56/~jnz1568/getInfo.php?workbook=10_01.xlsx&amp;sheet=A0&amp;row=213&amp;col=17&amp;number=3.3609&amp;sourceID=12","3.3609")</f>
        <v>3.3609</v>
      </c>
      <c r="R213" s="4" t="str">
        <f>HYPERLINK("http://141.218.60.56/~jnz1568/getInfo.php?workbook=10_01.xlsx&amp;sheet=A0&amp;row=213&amp;col=18&amp;number=&amp;sourceID=12","")</f>
        <v/>
      </c>
      <c r="S213" s="4" t="str">
        <f>HYPERLINK("http://141.218.60.56/~jnz1568/getInfo.php?workbook=10_01.xlsx&amp;sheet=A0&amp;row=213&amp;col=19&amp;number=296.03&amp;sourceID=12","296.03")</f>
        <v>296.03</v>
      </c>
      <c r="T213" s="4" t="str">
        <f>HYPERLINK("http://141.218.60.56/~jnz1568/getInfo.php?workbook=10_01.xlsx&amp;sheet=A0&amp;row=213&amp;col=20&amp;number=&amp;sourceID=12","")</f>
        <v/>
      </c>
      <c r="U213" s="4" t="str">
        <f>HYPERLINK("http://141.218.60.56/~jnz1568/getInfo.php?workbook=10_01.xlsx&amp;sheet=A0&amp;row=213&amp;col=21&amp;number=33940000296&amp;sourceID=30","33940000296")</f>
        <v>33940000296</v>
      </c>
      <c r="V213" s="4" t="str">
        <f>HYPERLINK("http://141.218.60.56/~jnz1568/getInfo.php?workbook=10_01.xlsx&amp;sheet=A0&amp;row=213&amp;col=22&amp;number=33940000000&amp;sourceID=30","33940000000")</f>
        <v>33940000000</v>
      </c>
      <c r="W213" s="4" t="str">
        <f>HYPERLINK("http://141.218.60.56/~jnz1568/getInfo.php?workbook=10_01.xlsx&amp;sheet=A0&amp;row=213&amp;col=23&amp;number=&amp;sourceID=30","")</f>
        <v/>
      </c>
      <c r="X213" s="4" t="str">
        <f>HYPERLINK("http://141.218.60.56/~jnz1568/getInfo.php?workbook=10_01.xlsx&amp;sheet=A0&amp;row=213&amp;col=24&amp;number=&amp;sourceID=30","")</f>
        <v/>
      </c>
      <c r="Y213" s="4" t="str">
        <f>HYPERLINK("http://141.218.60.56/~jnz1568/getInfo.php?workbook=10_01.xlsx&amp;sheet=A0&amp;row=213&amp;col=25&amp;number=296&amp;sourceID=30","296")</f>
        <v>296</v>
      </c>
      <c r="Z213" s="4" t="str">
        <f>HYPERLINK("http://141.218.60.56/~jnz1568/getInfo.php?workbook=10_01.xlsx&amp;sheet=A0&amp;row=213&amp;col=26&amp;number=&amp;sourceID=13","")</f>
        <v/>
      </c>
      <c r="AA213" s="4" t="str">
        <f>HYPERLINK("http://141.218.60.56/~jnz1568/getInfo.php?workbook=10_01.xlsx&amp;sheet=A0&amp;row=213&amp;col=27&amp;number=&amp;sourceID=13","")</f>
        <v/>
      </c>
      <c r="AB213" s="4" t="str">
        <f>HYPERLINK("http://141.218.60.56/~jnz1568/getInfo.php?workbook=10_01.xlsx&amp;sheet=A0&amp;row=213&amp;col=28&amp;number=&amp;sourceID=13","")</f>
        <v/>
      </c>
      <c r="AC213" s="4" t="str">
        <f>HYPERLINK("http://141.218.60.56/~jnz1568/getInfo.php?workbook=10_01.xlsx&amp;sheet=A0&amp;row=213&amp;col=29&amp;number=&amp;sourceID=13","")</f>
        <v/>
      </c>
      <c r="AD213" s="4" t="str">
        <f>HYPERLINK("http://141.218.60.56/~jnz1568/getInfo.php?workbook=10_01.xlsx&amp;sheet=A0&amp;row=213&amp;col=30&amp;number=&amp;sourceID=13","")</f>
        <v/>
      </c>
      <c r="AE213" s="4" t="str">
        <f>HYPERLINK("http://141.218.60.56/~jnz1568/getInfo.php?workbook=10_01.xlsx&amp;sheet=A0&amp;row=213&amp;col=31&amp;number=&amp;sourceID=13","")</f>
        <v/>
      </c>
      <c r="AF213" s="4" t="str">
        <f>HYPERLINK("http://141.218.60.56/~jnz1568/getInfo.php?workbook=10_01.xlsx&amp;sheet=A0&amp;row=213&amp;col=32&amp;number=&amp;sourceID=20","")</f>
        <v/>
      </c>
    </row>
    <row r="214" spans="1:32">
      <c r="A214" s="3">
        <v>10</v>
      </c>
      <c r="B214" s="3">
        <v>1</v>
      </c>
      <c r="C214" s="3">
        <v>22</v>
      </c>
      <c r="D214" s="3">
        <v>9</v>
      </c>
      <c r="E214" s="3">
        <f>((1/(INDEX(E0!J$4:J$28,C214,1)-INDEX(E0!J$4:J$28,D214,1))))*100000000</f>
        <v>0</v>
      </c>
      <c r="F214" s="4" t="str">
        <f>HYPERLINK("http://141.218.60.56/~jnz1568/getInfo.php?workbook=10_01.xlsx&amp;sheet=A0&amp;row=214&amp;col=6&amp;number=&amp;sourceID=18","")</f>
        <v/>
      </c>
      <c r="G214" s="4" t="str">
        <f>HYPERLINK("http://141.218.60.56/~jnz1568/getInfo.php?workbook=10_01.xlsx&amp;sheet=A0&amp;row=214&amp;col=7&amp;number==&amp;sourceID=11","=")</f>
        <v>=</v>
      </c>
      <c r="H214" s="4" t="str">
        <f>HYPERLINK("http://141.218.60.56/~jnz1568/getInfo.php?workbook=10_01.xlsx&amp;sheet=A0&amp;row=214&amp;col=8&amp;number=&amp;sourceID=11","")</f>
        <v/>
      </c>
      <c r="I214" s="4" t="str">
        <f>HYPERLINK("http://141.218.60.56/~jnz1568/getInfo.php?workbook=10_01.xlsx&amp;sheet=A0&amp;row=214&amp;col=9&amp;number=458550&amp;sourceID=11","458550")</f>
        <v>458550</v>
      </c>
      <c r="J214" s="4" t="str">
        <f>HYPERLINK("http://141.218.60.56/~jnz1568/getInfo.php?workbook=10_01.xlsx&amp;sheet=A0&amp;row=214&amp;col=10&amp;number=&amp;sourceID=11","")</f>
        <v/>
      </c>
      <c r="K214" s="4" t="str">
        <f>HYPERLINK("http://141.218.60.56/~jnz1568/getInfo.php?workbook=10_01.xlsx&amp;sheet=A0&amp;row=214&amp;col=11&amp;number=0.62574&amp;sourceID=11","0.62574")</f>
        <v>0.62574</v>
      </c>
      <c r="L214" s="4" t="str">
        <f>HYPERLINK("http://141.218.60.56/~jnz1568/getInfo.php?workbook=10_01.xlsx&amp;sheet=A0&amp;row=214&amp;col=12&amp;number=&amp;sourceID=11","")</f>
        <v/>
      </c>
      <c r="M214" s="4" t="str">
        <f>HYPERLINK("http://141.218.60.56/~jnz1568/getInfo.php?workbook=10_01.xlsx&amp;sheet=A0&amp;row=214&amp;col=13&amp;number=0.0063415&amp;sourceID=11","0.0063415")</f>
        <v>0.0063415</v>
      </c>
      <c r="N214" s="4" t="str">
        <f>HYPERLINK("http://141.218.60.56/~jnz1568/getInfo.php?workbook=10_01.xlsx&amp;sheet=A0&amp;row=214&amp;col=14&amp;number=458560&amp;sourceID=12","458560")</f>
        <v>458560</v>
      </c>
      <c r="O214" s="4" t="str">
        <f>HYPERLINK("http://141.218.60.56/~jnz1568/getInfo.php?workbook=10_01.xlsx&amp;sheet=A0&amp;row=214&amp;col=15&amp;number=&amp;sourceID=12","")</f>
        <v/>
      </c>
      <c r="P214" s="4" t="str">
        <f>HYPERLINK("http://141.218.60.56/~jnz1568/getInfo.php?workbook=10_01.xlsx&amp;sheet=A0&amp;row=214&amp;col=16&amp;number=458560&amp;sourceID=12","458560")</f>
        <v>458560</v>
      </c>
      <c r="Q214" s="4" t="str">
        <f>HYPERLINK("http://141.218.60.56/~jnz1568/getInfo.php?workbook=10_01.xlsx&amp;sheet=A0&amp;row=214&amp;col=17&amp;number=&amp;sourceID=12","")</f>
        <v/>
      </c>
      <c r="R214" s="4" t="str">
        <f>HYPERLINK("http://141.218.60.56/~jnz1568/getInfo.php?workbook=10_01.xlsx&amp;sheet=A0&amp;row=214&amp;col=18&amp;number=0.62576&amp;sourceID=12","0.62576")</f>
        <v>0.62576</v>
      </c>
      <c r="S214" s="4" t="str">
        <f>HYPERLINK("http://141.218.60.56/~jnz1568/getInfo.php?workbook=10_01.xlsx&amp;sheet=A0&amp;row=214&amp;col=19&amp;number=&amp;sourceID=12","")</f>
        <v/>
      </c>
      <c r="T214" s="4" t="str">
        <f>HYPERLINK("http://141.218.60.56/~jnz1568/getInfo.php?workbook=10_01.xlsx&amp;sheet=A0&amp;row=214&amp;col=20&amp;number=0.0063416&amp;sourceID=12","0.0063416")</f>
        <v>0.0063416</v>
      </c>
      <c r="U214" s="4" t="str">
        <f>HYPERLINK("http://141.218.60.56/~jnz1568/getInfo.php?workbook=10_01.xlsx&amp;sheet=A0&amp;row=214&amp;col=21&amp;number=458600.6257&amp;sourceID=30","458600.6257")</f>
        <v>458600.6257</v>
      </c>
      <c r="V214" s="4" t="str">
        <f>HYPERLINK("http://141.218.60.56/~jnz1568/getInfo.php?workbook=10_01.xlsx&amp;sheet=A0&amp;row=214&amp;col=22&amp;number=&amp;sourceID=30","")</f>
        <v/>
      </c>
      <c r="W214" s="4" t="str">
        <f>HYPERLINK("http://141.218.60.56/~jnz1568/getInfo.php?workbook=10_01.xlsx&amp;sheet=A0&amp;row=214&amp;col=23&amp;number=458600&amp;sourceID=30","458600")</f>
        <v>458600</v>
      </c>
      <c r="X214" s="4" t="str">
        <f>HYPERLINK("http://141.218.60.56/~jnz1568/getInfo.php?workbook=10_01.xlsx&amp;sheet=A0&amp;row=214&amp;col=24&amp;number=0.6257&amp;sourceID=30","0.6257")</f>
        <v>0.6257</v>
      </c>
      <c r="Y214" s="4" t="str">
        <f>HYPERLINK("http://141.218.60.56/~jnz1568/getInfo.php?workbook=10_01.xlsx&amp;sheet=A0&amp;row=214&amp;col=25&amp;number=&amp;sourceID=30","")</f>
        <v/>
      </c>
      <c r="Z214" s="4" t="str">
        <f>HYPERLINK("http://141.218.60.56/~jnz1568/getInfo.php?workbook=10_01.xlsx&amp;sheet=A0&amp;row=214&amp;col=26&amp;number=&amp;sourceID=13","")</f>
        <v/>
      </c>
      <c r="AA214" s="4" t="str">
        <f>HYPERLINK("http://141.218.60.56/~jnz1568/getInfo.php?workbook=10_01.xlsx&amp;sheet=A0&amp;row=214&amp;col=27&amp;number=&amp;sourceID=13","")</f>
        <v/>
      </c>
      <c r="AB214" s="4" t="str">
        <f>HYPERLINK("http://141.218.60.56/~jnz1568/getInfo.php?workbook=10_01.xlsx&amp;sheet=A0&amp;row=214&amp;col=28&amp;number=&amp;sourceID=13","")</f>
        <v/>
      </c>
      <c r="AC214" s="4" t="str">
        <f>HYPERLINK("http://141.218.60.56/~jnz1568/getInfo.php?workbook=10_01.xlsx&amp;sheet=A0&amp;row=214&amp;col=29&amp;number=&amp;sourceID=13","")</f>
        <v/>
      </c>
      <c r="AD214" s="4" t="str">
        <f>HYPERLINK("http://141.218.60.56/~jnz1568/getInfo.php?workbook=10_01.xlsx&amp;sheet=A0&amp;row=214&amp;col=30&amp;number=&amp;sourceID=13","")</f>
        <v/>
      </c>
      <c r="AE214" s="4" t="str">
        <f>HYPERLINK("http://141.218.60.56/~jnz1568/getInfo.php?workbook=10_01.xlsx&amp;sheet=A0&amp;row=214&amp;col=31&amp;number=&amp;sourceID=13","")</f>
        <v/>
      </c>
      <c r="AF214" s="4" t="str">
        <f>HYPERLINK("http://141.218.60.56/~jnz1568/getInfo.php?workbook=10_01.xlsx&amp;sheet=A0&amp;row=214&amp;col=32&amp;number=&amp;sourceID=20","")</f>
        <v/>
      </c>
    </row>
    <row r="215" spans="1:32">
      <c r="A215" s="3">
        <v>10</v>
      </c>
      <c r="B215" s="3">
        <v>1</v>
      </c>
      <c r="C215" s="3">
        <v>22</v>
      </c>
      <c r="D215" s="3">
        <v>10</v>
      </c>
      <c r="E215" s="3">
        <f>((1/(INDEX(E0!J$4:J$28,C215,1)-INDEX(E0!J$4:J$28,D215,1))))*100000000</f>
        <v>0</v>
      </c>
      <c r="F215" s="4" t="str">
        <f>HYPERLINK("http://141.218.60.56/~jnz1568/getInfo.php?workbook=10_01.xlsx&amp;sheet=A0&amp;row=215&amp;col=6&amp;number=&amp;sourceID=18","")</f>
        <v/>
      </c>
      <c r="G215" s="4" t="str">
        <f>HYPERLINK("http://141.218.60.56/~jnz1568/getInfo.php?workbook=10_01.xlsx&amp;sheet=A0&amp;row=215&amp;col=7&amp;number==&amp;sourceID=11","=")</f>
        <v>=</v>
      </c>
      <c r="H215" s="4" t="str">
        <f>HYPERLINK("http://141.218.60.56/~jnz1568/getInfo.php?workbook=10_01.xlsx&amp;sheet=A0&amp;row=215&amp;col=8&amp;number=&amp;sourceID=11","")</f>
        <v/>
      </c>
      <c r="I215" s="4" t="str">
        <f>HYPERLINK("http://141.218.60.56/~jnz1568/getInfo.php?workbook=10_01.xlsx&amp;sheet=A0&amp;row=215&amp;col=9&amp;number=&amp;sourceID=11","")</f>
        <v/>
      </c>
      <c r="J215" s="4" t="str">
        <f>HYPERLINK("http://141.218.60.56/~jnz1568/getInfo.php?workbook=10_01.xlsx&amp;sheet=A0&amp;row=215&amp;col=10&amp;number=7.3387&amp;sourceID=11","7.3387")</f>
        <v>7.3387</v>
      </c>
      <c r="K215" s="4" t="str">
        <f>HYPERLINK("http://141.218.60.56/~jnz1568/getInfo.php?workbook=10_01.xlsx&amp;sheet=A0&amp;row=215&amp;col=11&amp;number=&amp;sourceID=11","")</f>
        <v/>
      </c>
      <c r="L215" s="4" t="str">
        <f>HYPERLINK("http://141.218.60.56/~jnz1568/getInfo.php?workbook=10_01.xlsx&amp;sheet=A0&amp;row=215&amp;col=12&amp;number=2.3772&amp;sourceID=11","2.3772")</f>
        <v>2.3772</v>
      </c>
      <c r="M215" s="4" t="str">
        <f>HYPERLINK("http://141.218.60.56/~jnz1568/getInfo.php?workbook=10_01.xlsx&amp;sheet=A0&amp;row=215&amp;col=13&amp;number=&amp;sourceID=11","")</f>
        <v/>
      </c>
      <c r="N215" s="4" t="str">
        <f>HYPERLINK("http://141.218.60.56/~jnz1568/getInfo.php?workbook=10_01.xlsx&amp;sheet=A0&amp;row=215&amp;col=14&amp;number=9.7162&amp;sourceID=12","9.7162")</f>
        <v>9.7162</v>
      </c>
      <c r="O215" s="4" t="str">
        <f>HYPERLINK("http://141.218.60.56/~jnz1568/getInfo.php?workbook=10_01.xlsx&amp;sheet=A0&amp;row=215&amp;col=15&amp;number=&amp;sourceID=12","")</f>
        <v/>
      </c>
      <c r="P215" s="4" t="str">
        <f>HYPERLINK("http://141.218.60.56/~jnz1568/getInfo.php?workbook=10_01.xlsx&amp;sheet=A0&amp;row=215&amp;col=16&amp;number=&amp;sourceID=12","")</f>
        <v/>
      </c>
      <c r="Q215" s="4" t="str">
        <f>HYPERLINK("http://141.218.60.56/~jnz1568/getInfo.php?workbook=10_01.xlsx&amp;sheet=A0&amp;row=215&amp;col=17&amp;number=7.3389&amp;sourceID=12","7.3389")</f>
        <v>7.3389</v>
      </c>
      <c r="R215" s="4" t="str">
        <f>HYPERLINK("http://141.218.60.56/~jnz1568/getInfo.php?workbook=10_01.xlsx&amp;sheet=A0&amp;row=215&amp;col=18&amp;number=&amp;sourceID=12","")</f>
        <v/>
      </c>
      <c r="S215" s="4" t="str">
        <f>HYPERLINK("http://141.218.60.56/~jnz1568/getInfo.php?workbook=10_01.xlsx&amp;sheet=A0&amp;row=215&amp;col=19&amp;number=2.3773&amp;sourceID=12","2.3773")</f>
        <v>2.3773</v>
      </c>
      <c r="T215" s="4" t="str">
        <f>HYPERLINK("http://141.218.60.56/~jnz1568/getInfo.php?workbook=10_01.xlsx&amp;sheet=A0&amp;row=215&amp;col=20&amp;number=&amp;sourceID=12","")</f>
        <v/>
      </c>
      <c r="U215" s="4" t="str">
        <f>HYPERLINK("http://141.218.60.56/~jnz1568/getInfo.php?workbook=10_01.xlsx&amp;sheet=A0&amp;row=215&amp;col=21&amp;number=2.377&amp;sourceID=30","2.377")</f>
        <v>2.377</v>
      </c>
      <c r="V215" s="4" t="str">
        <f>HYPERLINK("http://141.218.60.56/~jnz1568/getInfo.php?workbook=10_01.xlsx&amp;sheet=A0&amp;row=215&amp;col=22&amp;number=&amp;sourceID=30","")</f>
        <v/>
      </c>
      <c r="W215" s="4" t="str">
        <f>HYPERLINK("http://141.218.60.56/~jnz1568/getInfo.php?workbook=10_01.xlsx&amp;sheet=A0&amp;row=215&amp;col=23&amp;number=&amp;sourceID=30","")</f>
        <v/>
      </c>
      <c r="X215" s="4" t="str">
        <f>HYPERLINK("http://141.218.60.56/~jnz1568/getInfo.php?workbook=10_01.xlsx&amp;sheet=A0&amp;row=215&amp;col=24&amp;number=&amp;sourceID=30","")</f>
        <v/>
      </c>
      <c r="Y215" s="4" t="str">
        <f>HYPERLINK("http://141.218.60.56/~jnz1568/getInfo.php?workbook=10_01.xlsx&amp;sheet=A0&amp;row=215&amp;col=25&amp;number=2.377&amp;sourceID=30","2.377")</f>
        <v>2.377</v>
      </c>
      <c r="Z215" s="4" t="str">
        <f>HYPERLINK("http://141.218.60.56/~jnz1568/getInfo.php?workbook=10_01.xlsx&amp;sheet=A0&amp;row=215&amp;col=26&amp;number=&amp;sourceID=13","")</f>
        <v/>
      </c>
      <c r="AA215" s="4" t="str">
        <f>HYPERLINK("http://141.218.60.56/~jnz1568/getInfo.php?workbook=10_01.xlsx&amp;sheet=A0&amp;row=215&amp;col=27&amp;number=&amp;sourceID=13","")</f>
        <v/>
      </c>
      <c r="AB215" s="4" t="str">
        <f>HYPERLINK("http://141.218.60.56/~jnz1568/getInfo.php?workbook=10_01.xlsx&amp;sheet=A0&amp;row=215&amp;col=28&amp;number=&amp;sourceID=13","")</f>
        <v/>
      </c>
      <c r="AC215" s="4" t="str">
        <f>HYPERLINK("http://141.218.60.56/~jnz1568/getInfo.php?workbook=10_01.xlsx&amp;sheet=A0&amp;row=215&amp;col=29&amp;number=&amp;sourceID=13","")</f>
        <v/>
      </c>
      <c r="AD215" s="4" t="str">
        <f>HYPERLINK("http://141.218.60.56/~jnz1568/getInfo.php?workbook=10_01.xlsx&amp;sheet=A0&amp;row=215&amp;col=30&amp;number=&amp;sourceID=13","")</f>
        <v/>
      </c>
      <c r="AE215" s="4" t="str">
        <f>HYPERLINK("http://141.218.60.56/~jnz1568/getInfo.php?workbook=10_01.xlsx&amp;sheet=A0&amp;row=215&amp;col=31&amp;number=&amp;sourceID=13","")</f>
        <v/>
      </c>
      <c r="AF215" s="4" t="str">
        <f>HYPERLINK("http://141.218.60.56/~jnz1568/getInfo.php?workbook=10_01.xlsx&amp;sheet=A0&amp;row=215&amp;col=32&amp;number=&amp;sourceID=20","")</f>
        <v/>
      </c>
    </row>
    <row r="216" spans="1:32">
      <c r="A216" s="3">
        <v>10</v>
      </c>
      <c r="B216" s="3">
        <v>1</v>
      </c>
      <c r="C216" s="3">
        <v>22</v>
      </c>
      <c r="D216" s="3">
        <v>11</v>
      </c>
      <c r="E216" s="3">
        <f>((1/(INDEX(E0!J$4:J$28,C216,1)-INDEX(E0!J$4:J$28,D216,1))))*100000000</f>
        <v>0</v>
      </c>
      <c r="F216" s="4" t="str">
        <f>HYPERLINK("http://141.218.60.56/~jnz1568/getInfo.php?workbook=10_01.xlsx&amp;sheet=A0&amp;row=216&amp;col=6&amp;number=&amp;sourceID=18","")</f>
        <v/>
      </c>
      <c r="G216" s="4" t="str">
        <f>HYPERLINK("http://141.218.60.56/~jnz1568/getInfo.php?workbook=10_01.xlsx&amp;sheet=A0&amp;row=216&amp;col=7&amp;number==&amp;sourceID=11","=")</f>
        <v>=</v>
      </c>
      <c r="H216" s="4" t="str">
        <f>HYPERLINK("http://141.218.60.56/~jnz1568/getInfo.php?workbook=10_01.xlsx&amp;sheet=A0&amp;row=216&amp;col=8&amp;number=&amp;sourceID=11","")</f>
        <v/>
      </c>
      <c r="I216" s="4" t="str">
        <f>HYPERLINK("http://141.218.60.56/~jnz1568/getInfo.php?workbook=10_01.xlsx&amp;sheet=A0&amp;row=216&amp;col=9&amp;number=542090&amp;sourceID=11","542090")</f>
        <v>542090</v>
      </c>
      <c r="J216" s="4" t="str">
        <f>HYPERLINK("http://141.218.60.56/~jnz1568/getInfo.php?workbook=10_01.xlsx&amp;sheet=A0&amp;row=216&amp;col=10&amp;number=&amp;sourceID=11","")</f>
        <v/>
      </c>
      <c r="K216" s="4" t="str">
        <f>HYPERLINK("http://141.218.60.56/~jnz1568/getInfo.php?workbook=10_01.xlsx&amp;sheet=A0&amp;row=216&amp;col=11&amp;number=&amp;sourceID=11","")</f>
        <v/>
      </c>
      <c r="L216" s="4" t="str">
        <f>HYPERLINK("http://141.218.60.56/~jnz1568/getInfo.php?workbook=10_01.xlsx&amp;sheet=A0&amp;row=216&amp;col=12&amp;number=&amp;sourceID=11","")</f>
        <v/>
      </c>
      <c r="M216" s="4" t="str">
        <f>HYPERLINK("http://141.218.60.56/~jnz1568/getInfo.php?workbook=10_01.xlsx&amp;sheet=A0&amp;row=216&amp;col=13&amp;number=0.00043465&amp;sourceID=11","0.00043465")</f>
        <v>0.00043465</v>
      </c>
      <c r="N216" s="4" t="str">
        <f>HYPERLINK("http://141.218.60.56/~jnz1568/getInfo.php?workbook=10_01.xlsx&amp;sheet=A0&amp;row=216&amp;col=14&amp;number=542110&amp;sourceID=12","542110")</f>
        <v>542110</v>
      </c>
      <c r="O216" s="4" t="str">
        <f>HYPERLINK("http://141.218.60.56/~jnz1568/getInfo.php?workbook=10_01.xlsx&amp;sheet=A0&amp;row=216&amp;col=15&amp;number=&amp;sourceID=12","")</f>
        <v/>
      </c>
      <c r="P216" s="4" t="str">
        <f>HYPERLINK("http://141.218.60.56/~jnz1568/getInfo.php?workbook=10_01.xlsx&amp;sheet=A0&amp;row=216&amp;col=16&amp;number=542110&amp;sourceID=12","542110")</f>
        <v>542110</v>
      </c>
      <c r="Q216" s="4" t="str">
        <f>HYPERLINK("http://141.218.60.56/~jnz1568/getInfo.php?workbook=10_01.xlsx&amp;sheet=A0&amp;row=216&amp;col=17&amp;number=&amp;sourceID=12","")</f>
        <v/>
      </c>
      <c r="R216" s="4" t="str">
        <f>HYPERLINK("http://141.218.60.56/~jnz1568/getInfo.php?workbook=10_01.xlsx&amp;sheet=A0&amp;row=216&amp;col=18&amp;number=&amp;sourceID=12","")</f>
        <v/>
      </c>
      <c r="S216" s="4" t="str">
        <f>HYPERLINK("http://141.218.60.56/~jnz1568/getInfo.php?workbook=10_01.xlsx&amp;sheet=A0&amp;row=216&amp;col=19&amp;number=&amp;sourceID=12","")</f>
        <v/>
      </c>
      <c r="T216" s="4" t="str">
        <f>HYPERLINK("http://141.218.60.56/~jnz1568/getInfo.php?workbook=10_01.xlsx&amp;sheet=A0&amp;row=216&amp;col=20&amp;number=0.00043466&amp;sourceID=12","0.00043466")</f>
        <v>0.00043466</v>
      </c>
      <c r="U216" s="4" t="str">
        <f>HYPERLINK("http://141.218.60.56/~jnz1568/getInfo.php?workbook=10_01.xlsx&amp;sheet=A0&amp;row=216&amp;col=21&amp;number=542100&amp;sourceID=30","542100")</f>
        <v>542100</v>
      </c>
      <c r="V216" s="4" t="str">
        <f>HYPERLINK("http://141.218.60.56/~jnz1568/getInfo.php?workbook=10_01.xlsx&amp;sheet=A0&amp;row=216&amp;col=22&amp;number=&amp;sourceID=30","")</f>
        <v/>
      </c>
      <c r="W216" s="4" t="str">
        <f>HYPERLINK("http://141.218.60.56/~jnz1568/getInfo.php?workbook=10_01.xlsx&amp;sheet=A0&amp;row=216&amp;col=23&amp;number=542100&amp;sourceID=30","542100")</f>
        <v>542100</v>
      </c>
      <c r="X216" s="4" t="str">
        <f>HYPERLINK("http://141.218.60.56/~jnz1568/getInfo.php?workbook=10_01.xlsx&amp;sheet=A0&amp;row=216&amp;col=24&amp;number=&amp;sourceID=30","")</f>
        <v/>
      </c>
      <c r="Y216" s="4" t="str">
        <f>HYPERLINK("http://141.218.60.56/~jnz1568/getInfo.php?workbook=10_01.xlsx&amp;sheet=A0&amp;row=216&amp;col=25&amp;number=&amp;sourceID=30","")</f>
        <v/>
      </c>
      <c r="Z216" s="4" t="str">
        <f>HYPERLINK("http://141.218.60.56/~jnz1568/getInfo.php?workbook=10_01.xlsx&amp;sheet=A0&amp;row=216&amp;col=26&amp;number=&amp;sourceID=13","")</f>
        <v/>
      </c>
      <c r="AA216" s="4" t="str">
        <f>HYPERLINK("http://141.218.60.56/~jnz1568/getInfo.php?workbook=10_01.xlsx&amp;sheet=A0&amp;row=216&amp;col=27&amp;number=&amp;sourceID=13","")</f>
        <v/>
      </c>
      <c r="AB216" s="4" t="str">
        <f>HYPERLINK("http://141.218.60.56/~jnz1568/getInfo.php?workbook=10_01.xlsx&amp;sheet=A0&amp;row=216&amp;col=28&amp;number=&amp;sourceID=13","")</f>
        <v/>
      </c>
      <c r="AC216" s="4" t="str">
        <f>HYPERLINK("http://141.218.60.56/~jnz1568/getInfo.php?workbook=10_01.xlsx&amp;sheet=A0&amp;row=216&amp;col=29&amp;number=&amp;sourceID=13","")</f>
        <v/>
      </c>
      <c r="AD216" s="4" t="str">
        <f>HYPERLINK("http://141.218.60.56/~jnz1568/getInfo.php?workbook=10_01.xlsx&amp;sheet=A0&amp;row=216&amp;col=30&amp;number=&amp;sourceID=13","")</f>
        <v/>
      </c>
      <c r="AE216" s="4" t="str">
        <f>HYPERLINK("http://141.218.60.56/~jnz1568/getInfo.php?workbook=10_01.xlsx&amp;sheet=A0&amp;row=216&amp;col=31&amp;number=&amp;sourceID=13","")</f>
        <v/>
      </c>
      <c r="AF216" s="4" t="str">
        <f>HYPERLINK("http://141.218.60.56/~jnz1568/getInfo.php?workbook=10_01.xlsx&amp;sheet=A0&amp;row=216&amp;col=32&amp;number=&amp;sourceID=20","")</f>
        <v/>
      </c>
    </row>
    <row r="217" spans="1:32">
      <c r="A217" s="3">
        <v>10</v>
      </c>
      <c r="B217" s="3">
        <v>1</v>
      </c>
      <c r="C217" s="3">
        <v>22</v>
      </c>
      <c r="D217" s="3">
        <v>12</v>
      </c>
      <c r="E217" s="3">
        <f>((1/(INDEX(E0!J$4:J$28,C217,1)-INDEX(E0!J$4:J$28,D217,1))))*100000000</f>
        <v>0</v>
      </c>
      <c r="F217" s="4" t="str">
        <f>HYPERLINK("http://141.218.60.56/~jnz1568/getInfo.php?workbook=10_01.xlsx&amp;sheet=A0&amp;row=217&amp;col=6&amp;number=&amp;sourceID=18","")</f>
        <v/>
      </c>
      <c r="G217" s="4" t="str">
        <f>HYPERLINK("http://141.218.60.56/~jnz1568/getInfo.php?workbook=10_01.xlsx&amp;sheet=A0&amp;row=217&amp;col=7&amp;number==&amp;sourceID=11","=")</f>
        <v>=</v>
      </c>
      <c r="H217" s="4" t="str">
        <f>HYPERLINK("http://141.218.60.56/~jnz1568/getInfo.php?workbook=10_01.xlsx&amp;sheet=A0&amp;row=217&amp;col=8&amp;number=&amp;sourceID=11","")</f>
        <v/>
      </c>
      <c r="I217" s="4" t="str">
        <f>HYPERLINK("http://141.218.60.56/~jnz1568/getInfo.php?workbook=10_01.xlsx&amp;sheet=A0&amp;row=217&amp;col=9&amp;number=53190&amp;sourceID=11","53190")</f>
        <v>53190</v>
      </c>
      <c r="J217" s="4" t="str">
        <f>HYPERLINK("http://141.218.60.56/~jnz1568/getInfo.php?workbook=10_01.xlsx&amp;sheet=A0&amp;row=217&amp;col=10&amp;number=&amp;sourceID=11","")</f>
        <v/>
      </c>
      <c r="K217" s="4" t="str">
        <f>HYPERLINK("http://141.218.60.56/~jnz1568/getInfo.php?workbook=10_01.xlsx&amp;sheet=A0&amp;row=217&amp;col=11&amp;number=0.021014&amp;sourceID=11","0.021014")</f>
        <v>0.021014</v>
      </c>
      <c r="L217" s="4" t="str">
        <f>HYPERLINK("http://141.218.60.56/~jnz1568/getInfo.php?workbook=10_01.xlsx&amp;sheet=A0&amp;row=217&amp;col=12&amp;number=&amp;sourceID=11","")</f>
        <v/>
      </c>
      <c r="M217" s="4" t="str">
        <f>HYPERLINK("http://141.218.60.56/~jnz1568/getInfo.php?workbook=10_01.xlsx&amp;sheet=A0&amp;row=217&amp;col=13&amp;number=2.4281e-06&amp;sourceID=11","2.4281e-06")</f>
        <v>2.4281e-06</v>
      </c>
      <c r="N217" s="4" t="str">
        <f>HYPERLINK("http://141.218.60.56/~jnz1568/getInfo.php?workbook=10_01.xlsx&amp;sheet=A0&amp;row=217&amp;col=14&amp;number=53191&amp;sourceID=12","53191")</f>
        <v>53191</v>
      </c>
      <c r="O217" s="4" t="str">
        <f>HYPERLINK("http://141.218.60.56/~jnz1568/getInfo.php?workbook=10_01.xlsx&amp;sheet=A0&amp;row=217&amp;col=15&amp;number=&amp;sourceID=12","")</f>
        <v/>
      </c>
      <c r="P217" s="4" t="str">
        <f>HYPERLINK("http://141.218.60.56/~jnz1568/getInfo.php?workbook=10_01.xlsx&amp;sheet=A0&amp;row=217&amp;col=16&amp;number=53191&amp;sourceID=12","53191")</f>
        <v>53191</v>
      </c>
      <c r="Q217" s="4" t="str">
        <f>HYPERLINK("http://141.218.60.56/~jnz1568/getInfo.php?workbook=10_01.xlsx&amp;sheet=A0&amp;row=217&amp;col=17&amp;number=&amp;sourceID=12","")</f>
        <v/>
      </c>
      <c r="R217" s="4" t="str">
        <f>HYPERLINK("http://141.218.60.56/~jnz1568/getInfo.php?workbook=10_01.xlsx&amp;sheet=A0&amp;row=217&amp;col=18&amp;number=0.021016&amp;sourceID=12","0.021016")</f>
        <v>0.021016</v>
      </c>
      <c r="S217" s="4" t="str">
        <f>HYPERLINK("http://141.218.60.56/~jnz1568/getInfo.php?workbook=10_01.xlsx&amp;sheet=A0&amp;row=217&amp;col=19&amp;number=&amp;sourceID=12","")</f>
        <v/>
      </c>
      <c r="T217" s="4" t="str">
        <f>HYPERLINK("http://141.218.60.56/~jnz1568/getInfo.php?workbook=10_01.xlsx&amp;sheet=A0&amp;row=217&amp;col=20&amp;number=2.4281e-06&amp;sourceID=12","2.4281e-06")</f>
        <v>2.4281e-06</v>
      </c>
      <c r="U217" s="4" t="str">
        <f>HYPERLINK("http://141.218.60.56/~jnz1568/getInfo.php?workbook=10_01.xlsx&amp;sheet=A0&amp;row=217&amp;col=21&amp;number=53190.02103&amp;sourceID=30","53190.02103")</f>
        <v>53190.02103</v>
      </c>
      <c r="V217" s="4" t="str">
        <f>HYPERLINK("http://141.218.60.56/~jnz1568/getInfo.php?workbook=10_01.xlsx&amp;sheet=A0&amp;row=217&amp;col=22&amp;number=&amp;sourceID=30","")</f>
        <v/>
      </c>
      <c r="W217" s="4" t="str">
        <f>HYPERLINK("http://141.218.60.56/~jnz1568/getInfo.php?workbook=10_01.xlsx&amp;sheet=A0&amp;row=217&amp;col=23&amp;number=53190&amp;sourceID=30","53190")</f>
        <v>53190</v>
      </c>
      <c r="X217" s="4" t="str">
        <f>HYPERLINK("http://141.218.60.56/~jnz1568/getInfo.php?workbook=10_01.xlsx&amp;sheet=A0&amp;row=217&amp;col=24&amp;number=0.02103&amp;sourceID=30","0.02103")</f>
        <v>0.02103</v>
      </c>
      <c r="Y217" s="4" t="str">
        <f>HYPERLINK("http://141.218.60.56/~jnz1568/getInfo.php?workbook=10_01.xlsx&amp;sheet=A0&amp;row=217&amp;col=25&amp;number=&amp;sourceID=30","")</f>
        <v/>
      </c>
      <c r="Z217" s="4" t="str">
        <f>HYPERLINK("http://141.218.60.56/~jnz1568/getInfo.php?workbook=10_01.xlsx&amp;sheet=A0&amp;row=217&amp;col=26&amp;number=&amp;sourceID=13","")</f>
        <v/>
      </c>
      <c r="AA217" s="4" t="str">
        <f>HYPERLINK("http://141.218.60.56/~jnz1568/getInfo.php?workbook=10_01.xlsx&amp;sheet=A0&amp;row=217&amp;col=27&amp;number=&amp;sourceID=13","")</f>
        <v/>
      </c>
      <c r="AB217" s="4" t="str">
        <f>HYPERLINK("http://141.218.60.56/~jnz1568/getInfo.php?workbook=10_01.xlsx&amp;sheet=A0&amp;row=217&amp;col=28&amp;number=&amp;sourceID=13","")</f>
        <v/>
      </c>
      <c r="AC217" s="4" t="str">
        <f>HYPERLINK("http://141.218.60.56/~jnz1568/getInfo.php?workbook=10_01.xlsx&amp;sheet=A0&amp;row=217&amp;col=29&amp;number=&amp;sourceID=13","")</f>
        <v/>
      </c>
      <c r="AD217" s="4" t="str">
        <f>HYPERLINK("http://141.218.60.56/~jnz1568/getInfo.php?workbook=10_01.xlsx&amp;sheet=A0&amp;row=217&amp;col=30&amp;number=&amp;sourceID=13","")</f>
        <v/>
      </c>
      <c r="AE217" s="4" t="str">
        <f>HYPERLINK("http://141.218.60.56/~jnz1568/getInfo.php?workbook=10_01.xlsx&amp;sheet=A0&amp;row=217&amp;col=31&amp;number=&amp;sourceID=13","")</f>
        <v/>
      </c>
      <c r="AF217" s="4" t="str">
        <f>HYPERLINK("http://141.218.60.56/~jnz1568/getInfo.php?workbook=10_01.xlsx&amp;sheet=A0&amp;row=217&amp;col=32&amp;number=&amp;sourceID=20","")</f>
        <v/>
      </c>
    </row>
    <row r="218" spans="1:32">
      <c r="A218" s="3">
        <v>10</v>
      </c>
      <c r="B218" s="3">
        <v>1</v>
      </c>
      <c r="C218" s="3">
        <v>22</v>
      </c>
      <c r="D218" s="3">
        <v>13</v>
      </c>
      <c r="E218" s="3">
        <f>((1/(INDEX(E0!J$4:J$28,C218,1)-INDEX(E0!J$4:J$28,D218,1))))*100000000</f>
        <v>0</v>
      </c>
      <c r="F218" s="4" t="str">
        <f>HYPERLINK("http://141.218.60.56/~jnz1568/getInfo.php?workbook=10_01.xlsx&amp;sheet=A0&amp;row=218&amp;col=6&amp;number=&amp;sourceID=18","")</f>
        <v/>
      </c>
      <c r="G218" s="4" t="str">
        <f>HYPERLINK("http://141.218.60.56/~jnz1568/getInfo.php?workbook=10_01.xlsx&amp;sheet=A0&amp;row=218&amp;col=7&amp;number==&amp;sourceID=11","=")</f>
        <v>=</v>
      </c>
      <c r="H218" s="4" t="str">
        <f>HYPERLINK("http://141.218.60.56/~jnz1568/getInfo.php?workbook=10_01.xlsx&amp;sheet=A0&amp;row=218&amp;col=8&amp;number=14860000000&amp;sourceID=11","14860000000")</f>
        <v>14860000000</v>
      </c>
      <c r="I218" s="4" t="str">
        <f>HYPERLINK("http://141.218.60.56/~jnz1568/getInfo.php?workbook=10_01.xlsx&amp;sheet=A0&amp;row=218&amp;col=9&amp;number=&amp;sourceID=11","")</f>
        <v/>
      </c>
      <c r="J218" s="4" t="str">
        <f>HYPERLINK("http://141.218.60.56/~jnz1568/getInfo.php?workbook=10_01.xlsx&amp;sheet=A0&amp;row=218&amp;col=10&amp;number=5.8301&amp;sourceID=11","5.8301")</f>
        <v>5.8301</v>
      </c>
      <c r="K218" s="4" t="str">
        <f>HYPERLINK("http://141.218.60.56/~jnz1568/getInfo.php?workbook=10_01.xlsx&amp;sheet=A0&amp;row=218&amp;col=11&amp;number=&amp;sourceID=11","")</f>
        <v/>
      </c>
      <c r="L218" s="4" t="str">
        <f>HYPERLINK("http://141.218.60.56/~jnz1568/getInfo.php?workbook=10_01.xlsx&amp;sheet=A0&amp;row=218&amp;col=12&amp;number=12.983&amp;sourceID=11","12.983")</f>
        <v>12.983</v>
      </c>
      <c r="M218" s="4" t="str">
        <f>HYPERLINK("http://141.218.60.56/~jnz1568/getInfo.php?workbook=10_01.xlsx&amp;sheet=A0&amp;row=218&amp;col=13&amp;number=&amp;sourceID=11","")</f>
        <v/>
      </c>
      <c r="N218" s="4" t="str">
        <f>HYPERLINK("http://141.218.60.56/~jnz1568/getInfo.php?workbook=10_01.xlsx&amp;sheet=A0&amp;row=218&amp;col=14&amp;number=14860000000&amp;sourceID=12","14860000000")</f>
        <v>14860000000</v>
      </c>
      <c r="O218" s="4" t="str">
        <f>HYPERLINK("http://141.218.60.56/~jnz1568/getInfo.php?workbook=10_01.xlsx&amp;sheet=A0&amp;row=218&amp;col=15&amp;number=14860000000&amp;sourceID=12","14860000000")</f>
        <v>14860000000</v>
      </c>
      <c r="P218" s="4" t="str">
        <f>HYPERLINK("http://141.218.60.56/~jnz1568/getInfo.php?workbook=10_01.xlsx&amp;sheet=A0&amp;row=218&amp;col=16&amp;number=&amp;sourceID=12","")</f>
        <v/>
      </c>
      <c r="Q218" s="4" t="str">
        <f>HYPERLINK("http://141.218.60.56/~jnz1568/getInfo.php?workbook=10_01.xlsx&amp;sheet=A0&amp;row=218&amp;col=17&amp;number=5.8302&amp;sourceID=12","5.8302")</f>
        <v>5.8302</v>
      </c>
      <c r="R218" s="4" t="str">
        <f>HYPERLINK("http://141.218.60.56/~jnz1568/getInfo.php?workbook=10_01.xlsx&amp;sheet=A0&amp;row=218&amp;col=18&amp;number=&amp;sourceID=12","")</f>
        <v/>
      </c>
      <c r="S218" s="4" t="str">
        <f>HYPERLINK("http://141.218.60.56/~jnz1568/getInfo.php?workbook=10_01.xlsx&amp;sheet=A0&amp;row=218&amp;col=19&amp;number=12.984&amp;sourceID=12","12.984")</f>
        <v>12.984</v>
      </c>
      <c r="T218" s="4" t="str">
        <f>HYPERLINK("http://141.218.60.56/~jnz1568/getInfo.php?workbook=10_01.xlsx&amp;sheet=A0&amp;row=218&amp;col=20&amp;number=&amp;sourceID=12","")</f>
        <v/>
      </c>
      <c r="U218" s="4" t="str">
        <f>HYPERLINK("http://141.218.60.56/~jnz1568/getInfo.php?workbook=10_01.xlsx&amp;sheet=A0&amp;row=218&amp;col=21&amp;number=14860000013.0&amp;sourceID=30","14860000013.0")</f>
        <v>14860000013.0</v>
      </c>
      <c r="V218" s="4" t="str">
        <f>HYPERLINK("http://141.218.60.56/~jnz1568/getInfo.php?workbook=10_01.xlsx&amp;sheet=A0&amp;row=218&amp;col=22&amp;number=14860000000&amp;sourceID=30","14860000000")</f>
        <v>14860000000</v>
      </c>
      <c r="W218" s="4" t="str">
        <f>HYPERLINK("http://141.218.60.56/~jnz1568/getInfo.php?workbook=10_01.xlsx&amp;sheet=A0&amp;row=218&amp;col=23&amp;number=&amp;sourceID=30","")</f>
        <v/>
      </c>
      <c r="X218" s="4" t="str">
        <f>HYPERLINK("http://141.218.60.56/~jnz1568/getInfo.php?workbook=10_01.xlsx&amp;sheet=A0&amp;row=218&amp;col=24&amp;number=&amp;sourceID=30","")</f>
        <v/>
      </c>
      <c r="Y218" s="4" t="str">
        <f>HYPERLINK("http://141.218.60.56/~jnz1568/getInfo.php?workbook=10_01.xlsx&amp;sheet=A0&amp;row=218&amp;col=25&amp;number=12.98&amp;sourceID=30","12.98")</f>
        <v>12.98</v>
      </c>
      <c r="Z218" s="4" t="str">
        <f>HYPERLINK("http://141.218.60.56/~jnz1568/getInfo.php?workbook=10_01.xlsx&amp;sheet=A0&amp;row=218&amp;col=26&amp;number=&amp;sourceID=13","")</f>
        <v/>
      </c>
      <c r="AA218" s="4" t="str">
        <f>HYPERLINK("http://141.218.60.56/~jnz1568/getInfo.php?workbook=10_01.xlsx&amp;sheet=A0&amp;row=218&amp;col=27&amp;number=&amp;sourceID=13","")</f>
        <v/>
      </c>
      <c r="AB218" s="4" t="str">
        <f>HYPERLINK("http://141.218.60.56/~jnz1568/getInfo.php?workbook=10_01.xlsx&amp;sheet=A0&amp;row=218&amp;col=28&amp;number=&amp;sourceID=13","")</f>
        <v/>
      </c>
      <c r="AC218" s="4" t="str">
        <f>HYPERLINK("http://141.218.60.56/~jnz1568/getInfo.php?workbook=10_01.xlsx&amp;sheet=A0&amp;row=218&amp;col=29&amp;number=&amp;sourceID=13","")</f>
        <v/>
      </c>
      <c r="AD218" s="4" t="str">
        <f>HYPERLINK("http://141.218.60.56/~jnz1568/getInfo.php?workbook=10_01.xlsx&amp;sheet=A0&amp;row=218&amp;col=30&amp;number=&amp;sourceID=13","")</f>
        <v/>
      </c>
      <c r="AE218" s="4" t="str">
        <f>HYPERLINK("http://141.218.60.56/~jnz1568/getInfo.php?workbook=10_01.xlsx&amp;sheet=A0&amp;row=218&amp;col=31&amp;number=&amp;sourceID=13","")</f>
        <v/>
      </c>
      <c r="AF218" s="4" t="str">
        <f>HYPERLINK("http://141.218.60.56/~jnz1568/getInfo.php?workbook=10_01.xlsx&amp;sheet=A0&amp;row=218&amp;col=32&amp;number=&amp;sourceID=20","")</f>
        <v/>
      </c>
    </row>
    <row r="219" spans="1:32">
      <c r="A219" s="3">
        <v>10</v>
      </c>
      <c r="B219" s="3">
        <v>1</v>
      </c>
      <c r="C219" s="3">
        <v>22</v>
      </c>
      <c r="D219" s="3">
        <v>14</v>
      </c>
      <c r="E219" s="3">
        <f>((1/(INDEX(E0!J$4:J$28,C219,1)-INDEX(E0!J$4:J$28,D219,1))))*100000000</f>
        <v>0</v>
      </c>
      <c r="F219" s="4" t="str">
        <f>HYPERLINK("http://141.218.60.56/~jnz1568/getInfo.php?workbook=10_01.xlsx&amp;sheet=A0&amp;row=219&amp;col=6&amp;number=&amp;sourceID=18","")</f>
        <v/>
      </c>
      <c r="G219" s="4" t="str">
        <f>HYPERLINK("http://141.218.60.56/~jnz1568/getInfo.php?workbook=10_01.xlsx&amp;sheet=A0&amp;row=219&amp;col=7&amp;number==&amp;sourceID=11","=")</f>
        <v>=</v>
      </c>
      <c r="H219" s="4" t="str">
        <f>HYPERLINK("http://141.218.60.56/~jnz1568/getInfo.php?workbook=10_01.xlsx&amp;sheet=A0&amp;row=219&amp;col=8&amp;number=24062000&amp;sourceID=11","24062000")</f>
        <v>24062000</v>
      </c>
      <c r="I219" s="4" t="str">
        <f>HYPERLINK("http://141.218.60.56/~jnz1568/getInfo.php?workbook=10_01.xlsx&amp;sheet=A0&amp;row=219&amp;col=9&amp;number=&amp;sourceID=11","")</f>
        <v/>
      </c>
      <c r="J219" s="4" t="str">
        <f>HYPERLINK("http://141.218.60.56/~jnz1568/getInfo.php?workbook=10_01.xlsx&amp;sheet=A0&amp;row=219&amp;col=10&amp;number=0.52377&amp;sourceID=11","0.52377")</f>
        <v>0.52377</v>
      </c>
      <c r="K219" s="4" t="str">
        <f>HYPERLINK("http://141.218.60.56/~jnz1568/getInfo.php?workbook=10_01.xlsx&amp;sheet=A0&amp;row=219&amp;col=11&amp;number=&amp;sourceID=11","")</f>
        <v/>
      </c>
      <c r="L219" s="4" t="str">
        <f>HYPERLINK("http://141.218.60.56/~jnz1568/getInfo.php?workbook=10_01.xlsx&amp;sheet=A0&amp;row=219&amp;col=12&amp;number=&amp;sourceID=11","")</f>
        <v/>
      </c>
      <c r="M219" s="4" t="str">
        <f>HYPERLINK("http://141.218.60.56/~jnz1568/getInfo.php?workbook=10_01.xlsx&amp;sheet=A0&amp;row=219&amp;col=13&amp;number=&amp;sourceID=11","")</f>
        <v/>
      </c>
      <c r="N219" s="4" t="str">
        <f>HYPERLINK("http://141.218.60.56/~jnz1568/getInfo.php?workbook=10_01.xlsx&amp;sheet=A0&amp;row=219&amp;col=14&amp;number=24063000&amp;sourceID=12","24063000")</f>
        <v>24063000</v>
      </c>
      <c r="O219" s="4" t="str">
        <f>HYPERLINK("http://141.218.60.56/~jnz1568/getInfo.php?workbook=10_01.xlsx&amp;sheet=A0&amp;row=219&amp;col=15&amp;number=24063000&amp;sourceID=12","24063000")</f>
        <v>24063000</v>
      </c>
      <c r="P219" s="4" t="str">
        <f>HYPERLINK("http://141.218.60.56/~jnz1568/getInfo.php?workbook=10_01.xlsx&amp;sheet=A0&amp;row=219&amp;col=16&amp;number=&amp;sourceID=12","")</f>
        <v/>
      </c>
      <c r="Q219" s="4" t="str">
        <f>HYPERLINK("http://141.218.60.56/~jnz1568/getInfo.php?workbook=10_01.xlsx&amp;sheet=A0&amp;row=219&amp;col=17&amp;number=0.52379&amp;sourceID=12","0.52379")</f>
        <v>0.52379</v>
      </c>
      <c r="R219" s="4" t="str">
        <f>HYPERLINK("http://141.218.60.56/~jnz1568/getInfo.php?workbook=10_01.xlsx&amp;sheet=A0&amp;row=219&amp;col=18&amp;number=&amp;sourceID=12","")</f>
        <v/>
      </c>
      <c r="S219" s="4" t="str">
        <f>HYPERLINK("http://141.218.60.56/~jnz1568/getInfo.php?workbook=10_01.xlsx&amp;sheet=A0&amp;row=219&amp;col=19&amp;number=&amp;sourceID=12","")</f>
        <v/>
      </c>
      <c r="T219" s="4" t="str">
        <f>HYPERLINK("http://141.218.60.56/~jnz1568/getInfo.php?workbook=10_01.xlsx&amp;sheet=A0&amp;row=219&amp;col=20&amp;number=&amp;sourceID=12","")</f>
        <v/>
      </c>
      <c r="U219" s="4" t="str">
        <f>HYPERLINK("http://141.218.60.56/~jnz1568/getInfo.php?workbook=10_01.xlsx&amp;sheet=A0&amp;row=219&amp;col=21&amp;number=24060000&amp;sourceID=30","24060000")</f>
        <v>24060000</v>
      </c>
      <c r="V219" s="4" t="str">
        <f>HYPERLINK("http://141.218.60.56/~jnz1568/getInfo.php?workbook=10_01.xlsx&amp;sheet=A0&amp;row=219&amp;col=22&amp;number=24060000&amp;sourceID=30","24060000")</f>
        <v>24060000</v>
      </c>
      <c r="W219" s="4" t="str">
        <f>HYPERLINK("http://141.218.60.56/~jnz1568/getInfo.php?workbook=10_01.xlsx&amp;sheet=A0&amp;row=219&amp;col=23&amp;number=&amp;sourceID=30","")</f>
        <v/>
      </c>
      <c r="X219" s="4" t="str">
        <f>HYPERLINK("http://141.218.60.56/~jnz1568/getInfo.php?workbook=10_01.xlsx&amp;sheet=A0&amp;row=219&amp;col=24&amp;number=&amp;sourceID=30","")</f>
        <v/>
      </c>
      <c r="Y219" s="4" t="str">
        <f>HYPERLINK("http://141.218.60.56/~jnz1568/getInfo.php?workbook=10_01.xlsx&amp;sheet=A0&amp;row=219&amp;col=25&amp;number=&amp;sourceID=30","")</f>
        <v/>
      </c>
      <c r="Z219" s="4" t="str">
        <f>HYPERLINK("http://141.218.60.56/~jnz1568/getInfo.php?workbook=10_01.xlsx&amp;sheet=A0&amp;row=219&amp;col=26&amp;number=&amp;sourceID=13","")</f>
        <v/>
      </c>
      <c r="AA219" s="4" t="str">
        <f>HYPERLINK("http://141.218.60.56/~jnz1568/getInfo.php?workbook=10_01.xlsx&amp;sheet=A0&amp;row=219&amp;col=27&amp;number=&amp;sourceID=13","")</f>
        <v/>
      </c>
      <c r="AB219" s="4" t="str">
        <f>HYPERLINK("http://141.218.60.56/~jnz1568/getInfo.php?workbook=10_01.xlsx&amp;sheet=A0&amp;row=219&amp;col=28&amp;number=&amp;sourceID=13","")</f>
        <v/>
      </c>
      <c r="AC219" s="4" t="str">
        <f>HYPERLINK("http://141.218.60.56/~jnz1568/getInfo.php?workbook=10_01.xlsx&amp;sheet=A0&amp;row=219&amp;col=29&amp;number=&amp;sourceID=13","")</f>
        <v/>
      </c>
      <c r="AD219" s="4" t="str">
        <f>HYPERLINK("http://141.218.60.56/~jnz1568/getInfo.php?workbook=10_01.xlsx&amp;sheet=A0&amp;row=219&amp;col=30&amp;number=&amp;sourceID=13","")</f>
        <v/>
      </c>
      <c r="AE219" s="4" t="str">
        <f>HYPERLINK("http://141.218.60.56/~jnz1568/getInfo.php?workbook=10_01.xlsx&amp;sheet=A0&amp;row=219&amp;col=31&amp;number=&amp;sourceID=13","")</f>
        <v/>
      </c>
      <c r="AF219" s="4" t="str">
        <f>HYPERLINK("http://141.218.60.56/~jnz1568/getInfo.php?workbook=10_01.xlsx&amp;sheet=A0&amp;row=219&amp;col=32&amp;number=&amp;sourceID=20","")</f>
        <v/>
      </c>
    </row>
    <row r="220" spans="1:32">
      <c r="A220" s="3">
        <v>10</v>
      </c>
      <c r="B220" s="3">
        <v>1</v>
      </c>
      <c r="C220" s="3">
        <v>22</v>
      </c>
      <c r="D220" s="3">
        <v>15</v>
      </c>
      <c r="E220" s="3">
        <f>((1/(INDEX(E0!J$4:J$28,C220,1)-INDEX(E0!J$4:J$28,D220,1))))*100000000</f>
        <v>0</v>
      </c>
      <c r="F220" s="4" t="str">
        <f>HYPERLINK("http://141.218.60.56/~jnz1568/getInfo.php?workbook=10_01.xlsx&amp;sheet=A0&amp;row=220&amp;col=6&amp;number=&amp;sourceID=18","")</f>
        <v/>
      </c>
      <c r="G220" s="4" t="str">
        <f>HYPERLINK("http://141.218.60.56/~jnz1568/getInfo.php?workbook=10_01.xlsx&amp;sheet=A0&amp;row=220&amp;col=7&amp;number==&amp;sourceID=11","=")</f>
        <v>=</v>
      </c>
      <c r="H220" s="4" t="str">
        <f>HYPERLINK("http://141.218.60.56/~jnz1568/getInfo.php?workbook=10_01.xlsx&amp;sheet=A0&amp;row=220&amp;col=8&amp;number=&amp;sourceID=11","")</f>
        <v/>
      </c>
      <c r="I220" s="4" t="str">
        <f>HYPERLINK("http://141.218.60.56/~jnz1568/getInfo.php?workbook=10_01.xlsx&amp;sheet=A0&amp;row=220&amp;col=9&amp;number=212640&amp;sourceID=11","212640")</f>
        <v>212640</v>
      </c>
      <c r="J220" s="4" t="str">
        <f>HYPERLINK("http://141.218.60.56/~jnz1568/getInfo.php?workbook=10_01.xlsx&amp;sheet=A0&amp;row=220&amp;col=10&amp;number=&amp;sourceID=11","")</f>
        <v/>
      </c>
      <c r="K220" s="4" t="str">
        <f>HYPERLINK("http://141.218.60.56/~jnz1568/getInfo.php?workbook=10_01.xlsx&amp;sheet=A0&amp;row=220&amp;col=11&amp;number=0.029038&amp;sourceID=11","0.029038")</f>
        <v>0.029038</v>
      </c>
      <c r="L220" s="4" t="str">
        <f>HYPERLINK("http://141.218.60.56/~jnz1568/getInfo.php?workbook=10_01.xlsx&amp;sheet=A0&amp;row=220&amp;col=12&amp;number=&amp;sourceID=11","")</f>
        <v/>
      </c>
      <c r="M220" s="4" t="str">
        <f>HYPERLINK("http://141.218.60.56/~jnz1568/getInfo.php?workbook=10_01.xlsx&amp;sheet=A0&amp;row=220&amp;col=13&amp;number=0.00029448&amp;sourceID=11","0.00029448")</f>
        <v>0.00029448</v>
      </c>
      <c r="N220" s="4" t="str">
        <f>HYPERLINK("http://141.218.60.56/~jnz1568/getInfo.php?workbook=10_01.xlsx&amp;sheet=A0&amp;row=220&amp;col=14&amp;number=212650&amp;sourceID=12","212650")</f>
        <v>212650</v>
      </c>
      <c r="O220" s="4" t="str">
        <f>HYPERLINK("http://141.218.60.56/~jnz1568/getInfo.php?workbook=10_01.xlsx&amp;sheet=A0&amp;row=220&amp;col=15&amp;number=&amp;sourceID=12","")</f>
        <v/>
      </c>
      <c r="P220" s="4" t="str">
        <f>HYPERLINK("http://141.218.60.56/~jnz1568/getInfo.php?workbook=10_01.xlsx&amp;sheet=A0&amp;row=220&amp;col=16&amp;number=212650&amp;sourceID=12","212650")</f>
        <v>212650</v>
      </c>
      <c r="Q220" s="4" t="str">
        <f>HYPERLINK("http://141.218.60.56/~jnz1568/getInfo.php?workbook=10_01.xlsx&amp;sheet=A0&amp;row=220&amp;col=17&amp;number=&amp;sourceID=12","")</f>
        <v/>
      </c>
      <c r="R220" s="4" t="str">
        <f>HYPERLINK("http://141.218.60.56/~jnz1568/getInfo.php?workbook=10_01.xlsx&amp;sheet=A0&amp;row=220&amp;col=18&amp;number=0.029039&amp;sourceID=12","0.029039")</f>
        <v>0.029039</v>
      </c>
      <c r="S220" s="4" t="str">
        <f>HYPERLINK("http://141.218.60.56/~jnz1568/getInfo.php?workbook=10_01.xlsx&amp;sheet=A0&amp;row=220&amp;col=19&amp;number=&amp;sourceID=12","")</f>
        <v/>
      </c>
      <c r="T220" s="4" t="str">
        <f>HYPERLINK("http://141.218.60.56/~jnz1568/getInfo.php?workbook=10_01.xlsx&amp;sheet=A0&amp;row=220&amp;col=20&amp;number=0.00029449&amp;sourceID=12","0.00029449")</f>
        <v>0.00029449</v>
      </c>
      <c r="U220" s="4" t="str">
        <f>HYPERLINK("http://141.218.60.56/~jnz1568/getInfo.php?workbook=10_01.xlsx&amp;sheet=A0&amp;row=220&amp;col=21&amp;number=212600.02902&amp;sourceID=30","212600.02902")</f>
        <v>212600.02902</v>
      </c>
      <c r="V220" s="4" t="str">
        <f>HYPERLINK("http://141.218.60.56/~jnz1568/getInfo.php?workbook=10_01.xlsx&amp;sheet=A0&amp;row=220&amp;col=22&amp;number=&amp;sourceID=30","")</f>
        <v/>
      </c>
      <c r="W220" s="4" t="str">
        <f>HYPERLINK("http://141.218.60.56/~jnz1568/getInfo.php?workbook=10_01.xlsx&amp;sheet=A0&amp;row=220&amp;col=23&amp;number=212600&amp;sourceID=30","212600")</f>
        <v>212600</v>
      </c>
      <c r="X220" s="4" t="str">
        <f>HYPERLINK("http://141.218.60.56/~jnz1568/getInfo.php?workbook=10_01.xlsx&amp;sheet=A0&amp;row=220&amp;col=24&amp;number=0.02902&amp;sourceID=30","0.02902")</f>
        <v>0.02902</v>
      </c>
      <c r="Y220" s="4" t="str">
        <f>HYPERLINK("http://141.218.60.56/~jnz1568/getInfo.php?workbook=10_01.xlsx&amp;sheet=A0&amp;row=220&amp;col=25&amp;number=&amp;sourceID=30","")</f>
        <v/>
      </c>
      <c r="Z220" s="4" t="str">
        <f>HYPERLINK("http://141.218.60.56/~jnz1568/getInfo.php?workbook=10_01.xlsx&amp;sheet=A0&amp;row=220&amp;col=26&amp;number=&amp;sourceID=13","")</f>
        <v/>
      </c>
      <c r="AA220" s="4" t="str">
        <f>HYPERLINK("http://141.218.60.56/~jnz1568/getInfo.php?workbook=10_01.xlsx&amp;sheet=A0&amp;row=220&amp;col=27&amp;number=&amp;sourceID=13","")</f>
        <v/>
      </c>
      <c r="AB220" s="4" t="str">
        <f>HYPERLINK("http://141.218.60.56/~jnz1568/getInfo.php?workbook=10_01.xlsx&amp;sheet=A0&amp;row=220&amp;col=28&amp;number=&amp;sourceID=13","")</f>
        <v/>
      </c>
      <c r="AC220" s="4" t="str">
        <f>HYPERLINK("http://141.218.60.56/~jnz1568/getInfo.php?workbook=10_01.xlsx&amp;sheet=A0&amp;row=220&amp;col=29&amp;number=&amp;sourceID=13","")</f>
        <v/>
      </c>
      <c r="AD220" s="4" t="str">
        <f>HYPERLINK("http://141.218.60.56/~jnz1568/getInfo.php?workbook=10_01.xlsx&amp;sheet=A0&amp;row=220&amp;col=30&amp;number=&amp;sourceID=13","")</f>
        <v/>
      </c>
      <c r="AE220" s="4" t="str">
        <f>HYPERLINK("http://141.218.60.56/~jnz1568/getInfo.php?workbook=10_01.xlsx&amp;sheet=A0&amp;row=220&amp;col=31&amp;number=&amp;sourceID=13","")</f>
        <v/>
      </c>
      <c r="AF220" s="4" t="str">
        <f>HYPERLINK("http://141.218.60.56/~jnz1568/getInfo.php?workbook=10_01.xlsx&amp;sheet=A0&amp;row=220&amp;col=32&amp;number=&amp;sourceID=20","")</f>
        <v/>
      </c>
    </row>
    <row r="221" spans="1:32">
      <c r="A221" s="3">
        <v>10</v>
      </c>
      <c r="B221" s="3">
        <v>1</v>
      </c>
      <c r="C221" s="3">
        <v>22</v>
      </c>
      <c r="D221" s="3">
        <v>16</v>
      </c>
      <c r="E221" s="3">
        <f>((1/(INDEX(E0!J$4:J$28,C221,1)-INDEX(E0!J$4:J$28,D221,1))))*100000000</f>
        <v>0</v>
      </c>
      <c r="F221" s="4" t="str">
        <f>HYPERLINK("http://141.218.60.56/~jnz1568/getInfo.php?workbook=10_01.xlsx&amp;sheet=A0&amp;row=221&amp;col=6&amp;number=&amp;sourceID=18","")</f>
        <v/>
      </c>
      <c r="G221" s="4" t="str">
        <f>HYPERLINK("http://141.218.60.56/~jnz1568/getInfo.php?workbook=10_01.xlsx&amp;sheet=A0&amp;row=221&amp;col=7&amp;number==&amp;sourceID=11","=")</f>
        <v>=</v>
      </c>
      <c r="H221" s="4" t="str">
        <f>HYPERLINK("http://141.218.60.56/~jnz1568/getInfo.php?workbook=10_01.xlsx&amp;sheet=A0&amp;row=221&amp;col=8&amp;number=482440000&amp;sourceID=11","482440000")</f>
        <v>482440000</v>
      </c>
      <c r="I221" s="4" t="str">
        <f>HYPERLINK("http://141.218.60.56/~jnz1568/getInfo.php?workbook=10_01.xlsx&amp;sheet=A0&amp;row=221&amp;col=9&amp;number=&amp;sourceID=11","")</f>
        <v/>
      </c>
      <c r="J221" s="4" t="str">
        <f>HYPERLINK("http://141.218.60.56/~jnz1568/getInfo.php?workbook=10_01.xlsx&amp;sheet=A0&amp;row=221&amp;col=10&amp;number=1.3084&amp;sourceID=11","1.3084")</f>
        <v>1.3084</v>
      </c>
      <c r="K221" s="4" t="str">
        <f>HYPERLINK("http://141.218.60.56/~jnz1568/getInfo.php?workbook=10_01.xlsx&amp;sheet=A0&amp;row=221&amp;col=11&amp;number=&amp;sourceID=11","")</f>
        <v/>
      </c>
      <c r="L221" s="4" t="str">
        <f>HYPERLINK("http://141.218.60.56/~jnz1568/getInfo.php?workbook=10_01.xlsx&amp;sheet=A0&amp;row=221&amp;col=12&amp;number=0.6364&amp;sourceID=11","0.6364")</f>
        <v>0.6364</v>
      </c>
      <c r="M221" s="4" t="str">
        <f>HYPERLINK("http://141.218.60.56/~jnz1568/getInfo.php?workbook=10_01.xlsx&amp;sheet=A0&amp;row=221&amp;col=13&amp;number=&amp;sourceID=11","")</f>
        <v/>
      </c>
      <c r="N221" s="4" t="str">
        <f>HYPERLINK("http://141.218.60.56/~jnz1568/getInfo.php?workbook=10_01.xlsx&amp;sheet=A0&amp;row=221&amp;col=14&amp;number=482450000&amp;sourceID=12","482450000")</f>
        <v>482450000</v>
      </c>
      <c r="O221" s="4" t="str">
        <f>HYPERLINK("http://141.218.60.56/~jnz1568/getInfo.php?workbook=10_01.xlsx&amp;sheet=A0&amp;row=221&amp;col=15&amp;number=482450000&amp;sourceID=12","482450000")</f>
        <v>482450000</v>
      </c>
      <c r="P221" s="4" t="str">
        <f>HYPERLINK("http://141.218.60.56/~jnz1568/getInfo.php?workbook=10_01.xlsx&amp;sheet=A0&amp;row=221&amp;col=16&amp;number=&amp;sourceID=12","")</f>
        <v/>
      </c>
      <c r="Q221" s="4" t="str">
        <f>HYPERLINK("http://141.218.60.56/~jnz1568/getInfo.php?workbook=10_01.xlsx&amp;sheet=A0&amp;row=221&amp;col=17&amp;number=1.3084&amp;sourceID=12","1.3084")</f>
        <v>1.3084</v>
      </c>
      <c r="R221" s="4" t="str">
        <f>HYPERLINK("http://141.218.60.56/~jnz1568/getInfo.php?workbook=10_01.xlsx&amp;sheet=A0&amp;row=221&amp;col=18&amp;number=&amp;sourceID=12","")</f>
        <v/>
      </c>
      <c r="S221" s="4" t="str">
        <f>HYPERLINK("http://141.218.60.56/~jnz1568/getInfo.php?workbook=10_01.xlsx&amp;sheet=A0&amp;row=221&amp;col=19&amp;number=0.63642&amp;sourceID=12","0.63642")</f>
        <v>0.63642</v>
      </c>
      <c r="T221" s="4" t="str">
        <f>HYPERLINK("http://141.218.60.56/~jnz1568/getInfo.php?workbook=10_01.xlsx&amp;sheet=A0&amp;row=221&amp;col=20&amp;number=&amp;sourceID=12","")</f>
        <v/>
      </c>
      <c r="U221" s="4" t="str">
        <f>HYPERLINK("http://141.218.60.56/~jnz1568/getInfo.php?workbook=10_01.xlsx&amp;sheet=A0&amp;row=221&amp;col=21&amp;number=482400000.636&amp;sourceID=30","482400000.636")</f>
        <v>482400000.636</v>
      </c>
      <c r="V221" s="4" t="str">
        <f>HYPERLINK("http://141.218.60.56/~jnz1568/getInfo.php?workbook=10_01.xlsx&amp;sheet=A0&amp;row=221&amp;col=22&amp;number=482400000&amp;sourceID=30","482400000")</f>
        <v>482400000</v>
      </c>
      <c r="W221" s="4" t="str">
        <f>HYPERLINK("http://141.218.60.56/~jnz1568/getInfo.php?workbook=10_01.xlsx&amp;sheet=A0&amp;row=221&amp;col=23&amp;number=&amp;sourceID=30","")</f>
        <v/>
      </c>
      <c r="X221" s="4" t="str">
        <f>HYPERLINK("http://141.218.60.56/~jnz1568/getInfo.php?workbook=10_01.xlsx&amp;sheet=A0&amp;row=221&amp;col=24&amp;number=&amp;sourceID=30","")</f>
        <v/>
      </c>
      <c r="Y221" s="4" t="str">
        <f>HYPERLINK("http://141.218.60.56/~jnz1568/getInfo.php?workbook=10_01.xlsx&amp;sheet=A0&amp;row=221&amp;col=25&amp;number=0.6364&amp;sourceID=30","0.6364")</f>
        <v>0.6364</v>
      </c>
      <c r="Z221" s="4" t="str">
        <f>HYPERLINK("http://141.218.60.56/~jnz1568/getInfo.php?workbook=10_01.xlsx&amp;sheet=A0&amp;row=221&amp;col=26&amp;number=&amp;sourceID=13","")</f>
        <v/>
      </c>
      <c r="AA221" s="4" t="str">
        <f>HYPERLINK("http://141.218.60.56/~jnz1568/getInfo.php?workbook=10_01.xlsx&amp;sheet=A0&amp;row=221&amp;col=27&amp;number=&amp;sourceID=13","")</f>
        <v/>
      </c>
      <c r="AB221" s="4" t="str">
        <f>HYPERLINK("http://141.218.60.56/~jnz1568/getInfo.php?workbook=10_01.xlsx&amp;sheet=A0&amp;row=221&amp;col=28&amp;number=&amp;sourceID=13","")</f>
        <v/>
      </c>
      <c r="AC221" s="4" t="str">
        <f>HYPERLINK("http://141.218.60.56/~jnz1568/getInfo.php?workbook=10_01.xlsx&amp;sheet=A0&amp;row=221&amp;col=29&amp;number=&amp;sourceID=13","")</f>
        <v/>
      </c>
      <c r="AD221" s="4" t="str">
        <f>HYPERLINK("http://141.218.60.56/~jnz1568/getInfo.php?workbook=10_01.xlsx&amp;sheet=A0&amp;row=221&amp;col=30&amp;number=&amp;sourceID=13","")</f>
        <v/>
      </c>
      <c r="AE221" s="4" t="str">
        <f>HYPERLINK("http://141.218.60.56/~jnz1568/getInfo.php?workbook=10_01.xlsx&amp;sheet=A0&amp;row=221&amp;col=31&amp;number=&amp;sourceID=13","")</f>
        <v/>
      </c>
      <c r="AF221" s="4" t="str">
        <f>HYPERLINK("http://141.218.60.56/~jnz1568/getInfo.php?workbook=10_01.xlsx&amp;sheet=A0&amp;row=221&amp;col=32&amp;number=&amp;sourceID=20","")</f>
        <v/>
      </c>
    </row>
    <row r="222" spans="1:32">
      <c r="A222" s="3">
        <v>10</v>
      </c>
      <c r="B222" s="3">
        <v>1</v>
      </c>
      <c r="C222" s="3">
        <v>22</v>
      </c>
      <c r="D222" s="3">
        <v>17</v>
      </c>
      <c r="E222" s="3">
        <f>((1/(INDEX(E0!J$4:J$28,C222,1)-INDEX(E0!J$4:J$28,D222,1))))*100000000</f>
        <v>0</v>
      </c>
      <c r="F222" s="4" t="str">
        <f>HYPERLINK("http://141.218.60.56/~jnz1568/getInfo.php?workbook=10_01.xlsx&amp;sheet=A0&amp;row=222&amp;col=6&amp;number=&amp;sourceID=18","")</f>
        <v/>
      </c>
      <c r="G222" s="4" t="str">
        <f>HYPERLINK("http://141.218.60.56/~jnz1568/getInfo.php?workbook=10_01.xlsx&amp;sheet=A0&amp;row=222&amp;col=7&amp;number==&amp;sourceID=11","=")</f>
        <v>=</v>
      </c>
      <c r="H222" s="4" t="str">
        <f>HYPERLINK("http://141.218.60.56/~jnz1568/getInfo.php?workbook=10_01.xlsx&amp;sheet=A0&amp;row=222&amp;col=8&amp;number=&amp;sourceID=11","")</f>
        <v/>
      </c>
      <c r="I222" s="4" t="str">
        <f>HYPERLINK("http://141.218.60.56/~jnz1568/getInfo.php?workbook=10_01.xlsx&amp;sheet=A0&amp;row=222&amp;col=9&amp;number=&amp;sourceID=11","")</f>
        <v/>
      </c>
      <c r="J222" s="4" t="str">
        <f>HYPERLINK("http://141.218.60.56/~jnz1568/getInfo.php?workbook=10_01.xlsx&amp;sheet=A0&amp;row=222&amp;col=10&amp;number=0&amp;sourceID=11","0")</f>
        <v>0</v>
      </c>
      <c r="K222" s="4" t="str">
        <f>HYPERLINK("http://141.218.60.56/~jnz1568/getInfo.php?workbook=10_01.xlsx&amp;sheet=A0&amp;row=222&amp;col=11&amp;number=&amp;sourceID=11","")</f>
        <v/>
      </c>
      <c r="L222" s="4" t="str">
        <f>HYPERLINK("http://141.218.60.56/~jnz1568/getInfo.php?workbook=10_01.xlsx&amp;sheet=A0&amp;row=222&amp;col=12&amp;number=7.5e-14&amp;sourceID=11","7.5e-14")</f>
        <v>7.5e-14</v>
      </c>
      <c r="M222" s="4" t="str">
        <f>HYPERLINK("http://141.218.60.56/~jnz1568/getInfo.php?workbook=10_01.xlsx&amp;sheet=A0&amp;row=222&amp;col=13&amp;number=&amp;sourceID=11","")</f>
        <v/>
      </c>
      <c r="N222" s="4" t="str">
        <f>HYPERLINK("http://141.218.60.56/~jnz1568/getInfo.php?workbook=10_01.xlsx&amp;sheet=A0&amp;row=222&amp;col=14&amp;number=7.5e-14&amp;sourceID=12","7.5e-14")</f>
        <v>7.5e-14</v>
      </c>
      <c r="O222" s="4" t="str">
        <f>HYPERLINK("http://141.218.60.56/~jnz1568/getInfo.php?workbook=10_01.xlsx&amp;sheet=A0&amp;row=222&amp;col=15&amp;number=&amp;sourceID=12","")</f>
        <v/>
      </c>
      <c r="P222" s="4" t="str">
        <f>HYPERLINK("http://141.218.60.56/~jnz1568/getInfo.php?workbook=10_01.xlsx&amp;sheet=A0&amp;row=222&amp;col=16&amp;number=&amp;sourceID=12","")</f>
        <v/>
      </c>
      <c r="Q222" s="4" t="str">
        <f>HYPERLINK("http://141.218.60.56/~jnz1568/getInfo.php?workbook=10_01.xlsx&amp;sheet=A0&amp;row=222&amp;col=17&amp;number=0&amp;sourceID=12","0")</f>
        <v>0</v>
      </c>
      <c r="R222" s="4" t="str">
        <f>HYPERLINK("http://141.218.60.56/~jnz1568/getInfo.php?workbook=10_01.xlsx&amp;sheet=A0&amp;row=222&amp;col=18&amp;number=&amp;sourceID=12","")</f>
        <v/>
      </c>
      <c r="S222" s="4" t="str">
        <f>HYPERLINK("http://141.218.60.56/~jnz1568/getInfo.php?workbook=10_01.xlsx&amp;sheet=A0&amp;row=222&amp;col=19&amp;number=7.5e-14&amp;sourceID=12","7.5e-14")</f>
        <v>7.5e-14</v>
      </c>
      <c r="T222" s="4" t="str">
        <f>HYPERLINK("http://141.218.60.56/~jnz1568/getInfo.php?workbook=10_01.xlsx&amp;sheet=A0&amp;row=222&amp;col=20&amp;number=&amp;sourceID=12","")</f>
        <v/>
      </c>
      <c r="U222" s="4" t="str">
        <f>HYPERLINK("http://141.218.60.56/~jnz1568/getInfo.php?workbook=10_01.xlsx&amp;sheet=A0&amp;row=222&amp;col=21&amp;number=7.5e-14&amp;sourceID=30","7.5e-14")</f>
        <v>7.5e-14</v>
      </c>
      <c r="V222" s="4" t="str">
        <f>HYPERLINK("http://141.218.60.56/~jnz1568/getInfo.php?workbook=10_01.xlsx&amp;sheet=A0&amp;row=222&amp;col=22&amp;number=&amp;sourceID=30","")</f>
        <v/>
      </c>
      <c r="W222" s="4" t="str">
        <f>HYPERLINK("http://141.218.60.56/~jnz1568/getInfo.php?workbook=10_01.xlsx&amp;sheet=A0&amp;row=222&amp;col=23&amp;number=&amp;sourceID=30","")</f>
        <v/>
      </c>
      <c r="X222" s="4" t="str">
        <f>HYPERLINK("http://141.218.60.56/~jnz1568/getInfo.php?workbook=10_01.xlsx&amp;sheet=A0&amp;row=222&amp;col=24&amp;number=&amp;sourceID=30","")</f>
        <v/>
      </c>
      <c r="Y222" s="4" t="str">
        <f>HYPERLINK("http://141.218.60.56/~jnz1568/getInfo.php?workbook=10_01.xlsx&amp;sheet=A0&amp;row=222&amp;col=25&amp;number=7.5e-14&amp;sourceID=30","7.5e-14")</f>
        <v>7.5e-14</v>
      </c>
      <c r="Z222" s="4" t="str">
        <f>HYPERLINK("http://141.218.60.56/~jnz1568/getInfo.php?workbook=10_01.xlsx&amp;sheet=A0&amp;row=222&amp;col=26&amp;number=&amp;sourceID=13","")</f>
        <v/>
      </c>
      <c r="AA222" s="4" t="str">
        <f>HYPERLINK("http://141.218.60.56/~jnz1568/getInfo.php?workbook=10_01.xlsx&amp;sheet=A0&amp;row=222&amp;col=27&amp;number=&amp;sourceID=13","")</f>
        <v/>
      </c>
      <c r="AB222" s="4" t="str">
        <f>HYPERLINK("http://141.218.60.56/~jnz1568/getInfo.php?workbook=10_01.xlsx&amp;sheet=A0&amp;row=222&amp;col=28&amp;number=&amp;sourceID=13","")</f>
        <v/>
      </c>
      <c r="AC222" s="4" t="str">
        <f>HYPERLINK("http://141.218.60.56/~jnz1568/getInfo.php?workbook=10_01.xlsx&amp;sheet=A0&amp;row=222&amp;col=29&amp;number=&amp;sourceID=13","")</f>
        <v/>
      </c>
      <c r="AD222" s="4" t="str">
        <f>HYPERLINK("http://141.218.60.56/~jnz1568/getInfo.php?workbook=10_01.xlsx&amp;sheet=A0&amp;row=222&amp;col=30&amp;number=&amp;sourceID=13","")</f>
        <v/>
      </c>
      <c r="AE222" s="4" t="str">
        <f>HYPERLINK("http://141.218.60.56/~jnz1568/getInfo.php?workbook=10_01.xlsx&amp;sheet=A0&amp;row=222&amp;col=31&amp;number=&amp;sourceID=13","")</f>
        <v/>
      </c>
      <c r="AF222" s="4" t="str">
        <f>HYPERLINK("http://141.218.60.56/~jnz1568/getInfo.php?workbook=10_01.xlsx&amp;sheet=A0&amp;row=222&amp;col=32&amp;number=&amp;sourceID=20","")</f>
        <v/>
      </c>
    </row>
    <row r="223" spans="1:32">
      <c r="A223" s="3">
        <v>10</v>
      </c>
      <c r="B223" s="3">
        <v>1</v>
      </c>
      <c r="C223" s="3">
        <v>22</v>
      </c>
      <c r="D223" s="3">
        <v>18</v>
      </c>
      <c r="E223" s="3">
        <f>((1/(INDEX(E0!J$4:J$28,C223,1)-INDEX(E0!J$4:J$28,D223,1))))*100000000</f>
        <v>0</v>
      </c>
      <c r="F223" s="4" t="str">
        <f>HYPERLINK("http://141.218.60.56/~jnz1568/getInfo.php?workbook=10_01.xlsx&amp;sheet=A0&amp;row=223&amp;col=6&amp;number=&amp;sourceID=18","")</f>
        <v/>
      </c>
      <c r="G223" s="4" t="str">
        <f>HYPERLINK("http://141.218.60.56/~jnz1568/getInfo.php?workbook=10_01.xlsx&amp;sheet=A0&amp;row=223&amp;col=7&amp;number==&amp;sourceID=11","=")</f>
        <v>=</v>
      </c>
      <c r="H223" s="4" t="str">
        <f>HYPERLINK("http://141.218.60.56/~jnz1568/getInfo.php?workbook=10_01.xlsx&amp;sheet=A0&amp;row=223&amp;col=8&amp;number=&amp;sourceID=11","")</f>
        <v/>
      </c>
      <c r="I223" s="4" t="str">
        <f>HYPERLINK("http://141.218.60.56/~jnz1568/getInfo.php?workbook=10_01.xlsx&amp;sheet=A0&amp;row=223&amp;col=9&amp;number=1.3126e-08&amp;sourceID=11","1.3126e-08")</f>
        <v>1.3126e-08</v>
      </c>
      <c r="J223" s="4" t="str">
        <f>HYPERLINK("http://141.218.60.56/~jnz1568/getInfo.php?workbook=10_01.xlsx&amp;sheet=A0&amp;row=223&amp;col=10&amp;number=&amp;sourceID=11","")</f>
        <v/>
      </c>
      <c r="K223" s="4" t="str">
        <f>HYPERLINK("http://141.218.60.56/~jnz1568/getInfo.php?workbook=10_01.xlsx&amp;sheet=A0&amp;row=223&amp;col=11&amp;number=&amp;sourceID=11","")</f>
        <v/>
      </c>
      <c r="L223" s="4" t="str">
        <f>HYPERLINK("http://141.218.60.56/~jnz1568/getInfo.php?workbook=10_01.xlsx&amp;sheet=A0&amp;row=223&amp;col=12&amp;number=&amp;sourceID=11","")</f>
        <v/>
      </c>
      <c r="M223" s="4" t="str">
        <f>HYPERLINK("http://141.218.60.56/~jnz1568/getInfo.php?workbook=10_01.xlsx&amp;sheet=A0&amp;row=223&amp;col=13&amp;number=0&amp;sourceID=11","0")</f>
        <v>0</v>
      </c>
      <c r="N223" s="4" t="str">
        <f>HYPERLINK("http://141.218.60.56/~jnz1568/getInfo.php?workbook=10_01.xlsx&amp;sheet=A0&amp;row=223&amp;col=14&amp;number=1.3128e-08&amp;sourceID=12","1.3128e-08")</f>
        <v>1.3128e-08</v>
      </c>
      <c r="O223" s="4" t="str">
        <f>HYPERLINK("http://141.218.60.56/~jnz1568/getInfo.php?workbook=10_01.xlsx&amp;sheet=A0&amp;row=223&amp;col=15&amp;number=&amp;sourceID=12","")</f>
        <v/>
      </c>
      <c r="P223" s="4" t="str">
        <f>HYPERLINK("http://141.218.60.56/~jnz1568/getInfo.php?workbook=10_01.xlsx&amp;sheet=A0&amp;row=223&amp;col=16&amp;number=1.3128e-08&amp;sourceID=12","1.3128e-08")</f>
        <v>1.3128e-08</v>
      </c>
      <c r="Q223" s="4" t="str">
        <f>HYPERLINK("http://141.218.60.56/~jnz1568/getInfo.php?workbook=10_01.xlsx&amp;sheet=A0&amp;row=223&amp;col=17&amp;number=&amp;sourceID=12","")</f>
        <v/>
      </c>
      <c r="R223" s="4" t="str">
        <f>HYPERLINK("http://141.218.60.56/~jnz1568/getInfo.php?workbook=10_01.xlsx&amp;sheet=A0&amp;row=223&amp;col=18&amp;number=&amp;sourceID=12","")</f>
        <v/>
      </c>
      <c r="S223" s="4" t="str">
        <f>HYPERLINK("http://141.218.60.56/~jnz1568/getInfo.php?workbook=10_01.xlsx&amp;sheet=A0&amp;row=223&amp;col=19&amp;number=&amp;sourceID=12","")</f>
        <v/>
      </c>
      <c r="T223" s="4" t="str">
        <f>HYPERLINK("http://141.218.60.56/~jnz1568/getInfo.php?workbook=10_01.xlsx&amp;sheet=A0&amp;row=223&amp;col=20&amp;number=0&amp;sourceID=12","0")</f>
        <v>0</v>
      </c>
      <c r="U223" s="4" t="str">
        <f>HYPERLINK("http://141.218.60.56/~jnz1568/getInfo.php?workbook=10_01.xlsx&amp;sheet=A0&amp;row=223&amp;col=21&amp;number=1.313e-08&amp;sourceID=30","1.313e-08")</f>
        <v>1.313e-08</v>
      </c>
      <c r="V223" s="4" t="str">
        <f>HYPERLINK("http://141.218.60.56/~jnz1568/getInfo.php?workbook=10_01.xlsx&amp;sheet=A0&amp;row=223&amp;col=22&amp;number=&amp;sourceID=30","")</f>
        <v/>
      </c>
      <c r="W223" s="4" t="str">
        <f>HYPERLINK("http://141.218.60.56/~jnz1568/getInfo.php?workbook=10_01.xlsx&amp;sheet=A0&amp;row=223&amp;col=23&amp;number=1.313e-08&amp;sourceID=30","1.313e-08")</f>
        <v>1.313e-08</v>
      </c>
      <c r="X223" s="4" t="str">
        <f>HYPERLINK("http://141.218.60.56/~jnz1568/getInfo.php?workbook=10_01.xlsx&amp;sheet=A0&amp;row=223&amp;col=24&amp;number=&amp;sourceID=30","")</f>
        <v/>
      </c>
      <c r="Y223" s="4" t="str">
        <f>HYPERLINK("http://141.218.60.56/~jnz1568/getInfo.php?workbook=10_01.xlsx&amp;sheet=A0&amp;row=223&amp;col=25&amp;number=&amp;sourceID=30","")</f>
        <v/>
      </c>
      <c r="Z223" s="4" t="str">
        <f>HYPERLINK("http://141.218.60.56/~jnz1568/getInfo.php?workbook=10_01.xlsx&amp;sheet=A0&amp;row=223&amp;col=26&amp;number=&amp;sourceID=13","")</f>
        <v/>
      </c>
      <c r="AA223" s="4" t="str">
        <f>HYPERLINK("http://141.218.60.56/~jnz1568/getInfo.php?workbook=10_01.xlsx&amp;sheet=A0&amp;row=223&amp;col=27&amp;number=&amp;sourceID=13","")</f>
        <v/>
      </c>
      <c r="AB223" s="4" t="str">
        <f>HYPERLINK("http://141.218.60.56/~jnz1568/getInfo.php?workbook=10_01.xlsx&amp;sheet=A0&amp;row=223&amp;col=28&amp;number=&amp;sourceID=13","")</f>
        <v/>
      </c>
      <c r="AC223" s="4" t="str">
        <f>HYPERLINK("http://141.218.60.56/~jnz1568/getInfo.php?workbook=10_01.xlsx&amp;sheet=A0&amp;row=223&amp;col=29&amp;number=&amp;sourceID=13","")</f>
        <v/>
      </c>
      <c r="AD223" s="4" t="str">
        <f>HYPERLINK("http://141.218.60.56/~jnz1568/getInfo.php?workbook=10_01.xlsx&amp;sheet=A0&amp;row=223&amp;col=30&amp;number=&amp;sourceID=13","")</f>
        <v/>
      </c>
      <c r="AE223" s="4" t="str">
        <f>HYPERLINK("http://141.218.60.56/~jnz1568/getInfo.php?workbook=10_01.xlsx&amp;sheet=A0&amp;row=223&amp;col=31&amp;number=&amp;sourceID=13","")</f>
        <v/>
      </c>
      <c r="AF223" s="4" t="str">
        <f>HYPERLINK("http://141.218.60.56/~jnz1568/getInfo.php?workbook=10_01.xlsx&amp;sheet=A0&amp;row=223&amp;col=32&amp;number=&amp;sourceID=20","")</f>
        <v/>
      </c>
    </row>
    <row r="224" spans="1:32">
      <c r="A224" s="3">
        <v>10</v>
      </c>
      <c r="B224" s="3">
        <v>1</v>
      </c>
      <c r="C224" s="3">
        <v>22</v>
      </c>
      <c r="D224" s="3">
        <v>19</v>
      </c>
      <c r="E224" s="3">
        <f>((1/(INDEX(E0!J$4:J$28,C224,1)-INDEX(E0!J$4:J$28,D224,1))))*100000000</f>
        <v>0</v>
      </c>
      <c r="F224" s="4" t="str">
        <f>HYPERLINK("http://141.218.60.56/~jnz1568/getInfo.php?workbook=10_01.xlsx&amp;sheet=A0&amp;row=224&amp;col=6&amp;number=&amp;sourceID=18","")</f>
        <v/>
      </c>
      <c r="G224" s="4" t="str">
        <f>HYPERLINK("http://141.218.60.56/~jnz1568/getInfo.php?workbook=10_01.xlsx&amp;sheet=A0&amp;row=224&amp;col=7&amp;number==&amp;sourceID=11","=")</f>
        <v>=</v>
      </c>
      <c r="H224" s="4" t="str">
        <f>HYPERLINK("http://141.218.60.56/~jnz1568/getInfo.php?workbook=10_01.xlsx&amp;sheet=A0&amp;row=224&amp;col=8&amp;number=&amp;sourceID=11","")</f>
        <v/>
      </c>
      <c r="I224" s="4" t="str">
        <f>HYPERLINK("http://141.218.60.56/~jnz1568/getInfo.php?workbook=10_01.xlsx&amp;sheet=A0&amp;row=224&amp;col=9&amp;number=3.362e-12&amp;sourceID=11","3.362e-12")</f>
        <v>3.362e-12</v>
      </c>
      <c r="J224" s="4" t="str">
        <f>HYPERLINK("http://141.218.60.56/~jnz1568/getInfo.php?workbook=10_01.xlsx&amp;sheet=A0&amp;row=224&amp;col=10&amp;number=&amp;sourceID=11","")</f>
        <v/>
      </c>
      <c r="K224" s="4" t="str">
        <f>HYPERLINK("http://141.218.60.56/~jnz1568/getInfo.php?workbook=10_01.xlsx&amp;sheet=A0&amp;row=224&amp;col=11&amp;number=5.1189e-06&amp;sourceID=11","5.1189e-06")</f>
        <v>5.1189e-06</v>
      </c>
      <c r="L224" s="4" t="str">
        <f>HYPERLINK("http://141.218.60.56/~jnz1568/getInfo.php?workbook=10_01.xlsx&amp;sheet=A0&amp;row=224&amp;col=12&amp;number=&amp;sourceID=11","")</f>
        <v/>
      </c>
      <c r="M224" s="4" t="str">
        <f>HYPERLINK("http://141.218.60.56/~jnz1568/getInfo.php?workbook=10_01.xlsx&amp;sheet=A0&amp;row=224&amp;col=13&amp;number=0&amp;sourceID=11","0")</f>
        <v>0</v>
      </c>
      <c r="N224" s="4" t="str">
        <f>HYPERLINK("http://141.218.60.56/~jnz1568/getInfo.php?workbook=10_01.xlsx&amp;sheet=A0&amp;row=224&amp;col=14&amp;number=5.1197e-06&amp;sourceID=12","5.1197e-06")</f>
        <v>5.1197e-06</v>
      </c>
      <c r="O224" s="4" t="str">
        <f>HYPERLINK("http://141.218.60.56/~jnz1568/getInfo.php?workbook=10_01.xlsx&amp;sheet=A0&amp;row=224&amp;col=15&amp;number=&amp;sourceID=12","")</f>
        <v/>
      </c>
      <c r="P224" s="4" t="str">
        <f>HYPERLINK("http://141.218.60.56/~jnz1568/getInfo.php?workbook=10_01.xlsx&amp;sheet=A0&amp;row=224&amp;col=16&amp;number=3.363e-12&amp;sourceID=12","3.363e-12")</f>
        <v>3.363e-12</v>
      </c>
      <c r="Q224" s="4" t="str">
        <f>HYPERLINK("http://141.218.60.56/~jnz1568/getInfo.php?workbook=10_01.xlsx&amp;sheet=A0&amp;row=224&amp;col=17&amp;number=&amp;sourceID=12","")</f>
        <v/>
      </c>
      <c r="R224" s="4" t="str">
        <f>HYPERLINK("http://141.218.60.56/~jnz1568/getInfo.php?workbook=10_01.xlsx&amp;sheet=A0&amp;row=224&amp;col=18&amp;number=5.1197e-06&amp;sourceID=12","5.1197e-06")</f>
        <v>5.1197e-06</v>
      </c>
      <c r="S224" s="4" t="str">
        <f>HYPERLINK("http://141.218.60.56/~jnz1568/getInfo.php?workbook=10_01.xlsx&amp;sheet=A0&amp;row=224&amp;col=19&amp;number=&amp;sourceID=12","")</f>
        <v/>
      </c>
      <c r="T224" s="4" t="str">
        <f>HYPERLINK("http://141.218.60.56/~jnz1568/getInfo.php?workbook=10_01.xlsx&amp;sheet=A0&amp;row=224&amp;col=20&amp;number=0&amp;sourceID=12","0")</f>
        <v>0</v>
      </c>
      <c r="U224" s="4" t="str">
        <f>HYPERLINK("http://141.218.60.56/~jnz1568/getInfo.php?workbook=10_01.xlsx&amp;sheet=A0&amp;row=224&amp;col=21&amp;number=5.120003363e-06&amp;sourceID=30","5.120003363e-06")</f>
        <v>5.120003363e-06</v>
      </c>
      <c r="V224" s="4" t="str">
        <f>HYPERLINK("http://141.218.60.56/~jnz1568/getInfo.php?workbook=10_01.xlsx&amp;sheet=A0&amp;row=224&amp;col=22&amp;number=&amp;sourceID=30","")</f>
        <v/>
      </c>
      <c r="W224" s="4" t="str">
        <f>HYPERLINK("http://141.218.60.56/~jnz1568/getInfo.php?workbook=10_01.xlsx&amp;sheet=A0&amp;row=224&amp;col=23&amp;number=3.363e-12&amp;sourceID=30","3.363e-12")</f>
        <v>3.363e-12</v>
      </c>
      <c r="X224" s="4" t="str">
        <f>HYPERLINK("http://141.218.60.56/~jnz1568/getInfo.php?workbook=10_01.xlsx&amp;sheet=A0&amp;row=224&amp;col=24&amp;number=5.12e-06&amp;sourceID=30","5.12e-06")</f>
        <v>5.12e-06</v>
      </c>
      <c r="Y224" s="4" t="str">
        <f>HYPERLINK("http://141.218.60.56/~jnz1568/getInfo.php?workbook=10_01.xlsx&amp;sheet=A0&amp;row=224&amp;col=25&amp;number=&amp;sourceID=30","")</f>
        <v/>
      </c>
      <c r="Z224" s="4" t="str">
        <f>HYPERLINK("http://141.218.60.56/~jnz1568/getInfo.php?workbook=10_01.xlsx&amp;sheet=A0&amp;row=224&amp;col=26&amp;number=&amp;sourceID=13","")</f>
        <v/>
      </c>
      <c r="AA224" s="4" t="str">
        <f>HYPERLINK("http://141.218.60.56/~jnz1568/getInfo.php?workbook=10_01.xlsx&amp;sheet=A0&amp;row=224&amp;col=27&amp;number=&amp;sourceID=13","")</f>
        <v/>
      </c>
      <c r="AB224" s="4" t="str">
        <f>HYPERLINK("http://141.218.60.56/~jnz1568/getInfo.php?workbook=10_01.xlsx&amp;sheet=A0&amp;row=224&amp;col=28&amp;number=&amp;sourceID=13","")</f>
        <v/>
      </c>
      <c r="AC224" s="4" t="str">
        <f>HYPERLINK("http://141.218.60.56/~jnz1568/getInfo.php?workbook=10_01.xlsx&amp;sheet=A0&amp;row=224&amp;col=29&amp;number=&amp;sourceID=13","")</f>
        <v/>
      </c>
      <c r="AD224" s="4" t="str">
        <f>HYPERLINK("http://141.218.60.56/~jnz1568/getInfo.php?workbook=10_01.xlsx&amp;sheet=A0&amp;row=224&amp;col=30&amp;number=&amp;sourceID=13","")</f>
        <v/>
      </c>
      <c r="AE224" s="4" t="str">
        <f>HYPERLINK("http://141.218.60.56/~jnz1568/getInfo.php?workbook=10_01.xlsx&amp;sheet=A0&amp;row=224&amp;col=31&amp;number=&amp;sourceID=13","")</f>
        <v/>
      </c>
      <c r="AF224" s="4" t="str">
        <f>HYPERLINK("http://141.218.60.56/~jnz1568/getInfo.php?workbook=10_01.xlsx&amp;sheet=A0&amp;row=224&amp;col=32&amp;number=&amp;sourceID=20","")</f>
        <v/>
      </c>
    </row>
    <row r="225" spans="1:32">
      <c r="A225" s="3">
        <v>10</v>
      </c>
      <c r="B225" s="3">
        <v>1</v>
      </c>
      <c r="C225" s="3">
        <v>22</v>
      </c>
      <c r="D225" s="3">
        <v>20</v>
      </c>
      <c r="E225" s="3">
        <f>((1/(INDEX(E0!J$4:J$28,C225,1)-INDEX(E0!J$4:J$28,D225,1))))*100000000</f>
        <v>0</v>
      </c>
      <c r="F225" s="4" t="str">
        <f>HYPERLINK("http://141.218.60.56/~jnz1568/getInfo.php?workbook=10_01.xlsx&amp;sheet=A0&amp;row=225&amp;col=6&amp;number=&amp;sourceID=18","")</f>
        <v/>
      </c>
      <c r="G225" s="4" t="str">
        <f>HYPERLINK("http://141.218.60.56/~jnz1568/getInfo.php?workbook=10_01.xlsx&amp;sheet=A0&amp;row=225&amp;col=7&amp;number==&amp;sourceID=11","=")</f>
        <v>=</v>
      </c>
      <c r="H225" s="4" t="str">
        <f>HYPERLINK("http://141.218.60.56/~jnz1568/getInfo.php?workbook=10_01.xlsx&amp;sheet=A0&amp;row=225&amp;col=8&amp;number=4.5406&amp;sourceID=11","4.5406")</f>
        <v>4.5406</v>
      </c>
      <c r="I225" s="4" t="str">
        <f>HYPERLINK("http://141.218.60.56/~jnz1568/getInfo.php?workbook=10_01.xlsx&amp;sheet=A0&amp;row=225&amp;col=9&amp;number=&amp;sourceID=11","")</f>
        <v/>
      </c>
      <c r="J225" s="4" t="str">
        <f>HYPERLINK("http://141.218.60.56/~jnz1568/getInfo.php?workbook=10_01.xlsx&amp;sheet=A0&amp;row=225&amp;col=10&amp;number=0&amp;sourceID=11","0")</f>
        <v>0</v>
      </c>
      <c r="K225" s="4" t="str">
        <f>HYPERLINK("http://141.218.60.56/~jnz1568/getInfo.php?workbook=10_01.xlsx&amp;sheet=A0&amp;row=225&amp;col=11&amp;number=&amp;sourceID=11","")</f>
        <v/>
      </c>
      <c r="L225" s="4" t="str">
        <f>HYPERLINK("http://141.218.60.56/~jnz1568/getInfo.php?workbook=10_01.xlsx&amp;sheet=A0&amp;row=225&amp;col=12&amp;number=0&amp;sourceID=11","0")</f>
        <v>0</v>
      </c>
      <c r="M225" s="4" t="str">
        <f>HYPERLINK("http://141.218.60.56/~jnz1568/getInfo.php?workbook=10_01.xlsx&amp;sheet=A0&amp;row=225&amp;col=13&amp;number=&amp;sourceID=11","")</f>
        <v/>
      </c>
      <c r="N225" s="4" t="str">
        <f>HYPERLINK("http://141.218.60.56/~jnz1568/getInfo.php?workbook=10_01.xlsx&amp;sheet=A0&amp;row=225&amp;col=14&amp;number=4.5413&amp;sourceID=12","4.5413")</f>
        <v>4.5413</v>
      </c>
      <c r="O225" s="4" t="str">
        <f>HYPERLINK("http://141.218.60.56/~jnz1568/getInfo.php?workbook=10_01.xlsx&amp;sheet=A0&amp;row=225&amp;col=15&amp;number=4.5413&amp;sourceID=12","4.5413")</f>
        <v>4.5413</v>
      </c>
      <c r="P225" s="4" t="str">
        <f>HYPERLINK("http://141.218.60.56/~jnz1568/getInfo.php?workbook=10_01.xlsx&amp;sheet=A0&amp;row=225&amp;col=16&amp;number=&amp;sourceID=12","")</f>
        <v/>
      </c>
      <c r="Q225" s="4" t="str">
        <f>HYPERLINK("http://141.218.60.56/~jnz1568/getInfo.php?workbook=10_01.xlsx&amp;sheet=A0&amp;row=225&amp;col=17&amp;number=0&amp;sourceID=12","0")</f>
        <v>0</v>
      </c>
      <c r="R225" s="4" t="str">
        <f>HYPERLINK("http://141.218.60.56/~jnz1568/getInfo.php?workbook=10_01.xlsx&amp;sheet=A0&amp;row=225&amp;col=18&amp;number=&amp;sourceID=12","")</f>
        <v/>
      </c>
      <c r="S225" s="4" t="str">
        <f>HYPERLINK("http://141.218.60.56/~jnz1568/getInfo.php?workbook=10_01.xlsx&amp;sheet=A0&amp;row=225&amp;col=19&amp;number=0&amp;sourceID=12","0")</f>
        <v>0</v>
      </c>
      <c r="T225" s="4" t="str">
        <f>HYPERLINK("http://141.218.60.56/~jnz1568/getInfo.php?workbook=10_01.xlsx&amp;sheet=A0&amp;row=225&amp;col=20&amp;number=&amp;sourceID=12","")</f>
        <v/>
      </c>
      <c r="U225" s="4" t="str">
        <f>HYPERLINK("http://141.218.60.56/~jnz1568/getInfo.php?workbook=10_01.xlsx&amp;sheet=A0&amp;row=225&amp;col=21&amp;number=4.541&amp;sourceID=30","4.541")</f>
        <v>4.541</v>
      </c>
      <c r="V225" s="4" t="str">
        <f>HYPERLINK("http://141.218.60.56/~jnz1568/getInfo.php?workbook=10_01.xlsx&amp;sheet=A0&amp;row=225&amp;col=22&amp;number=4.541&amp;sourceID=30","4.541")</f>
        <v>4.541</v>
      </c>
      <c r="W225" s="4" t="str">
        <f>HYPERLINK("http://141.218.60.56/~jnz1568/getInfo.php?workbook=10_01.xlsx&amp;sheet=A0&amp;row=225&amp;col=23&amp;number=&amp;sourceID=30","")</f>
        <v/>
      </c>
      <c r="X225" s="4" t="str">
        <f>HYPERLINK("http://141.218.60.56/~jnz1568/getInfo.php?workbook=10_01.xlsx&amp;sheet=A0&amp;row=225&amp;col=24&amp;number=&amp;sourceID=30","")</f>
        <v/>
      </c>
      <c r="Y225" s="4" t="str">
        <f>HYPERLINK("http://141.218.60.56/~jnz1568/getInfo.php?workbook=10_01.xlsx&amp;sheet=A0&amp;row=225&amp;col=25&amp;number=0&amp;sourceID=30","0")</f>
        <v>0</v>
      </c>
      <c r="Z225" s="4" t="str">
        <f>HYPERLINK("http://141.218.60.56/~jnz1568/getInfo.php?workbook=10_01.xlsx&amp;sheet=A0&amp;row=225&amp;col=26&amp;number=&amp;sourceID=13","")</f>
        <v/>
      </c>
      <c r="AA225" s="4" t="str">
        <f>HYPERLINK("http://141.218.60.56/~jnz1568/getInfo.php?workbook=10_01.xlsx&amp;sheet=A0&amp;row=225&amp;col=27&amp;number=&amp;sourceID=13","")</f>
        <v/>
      </c>
      <c r="AB225" s="4" t="str">
        <f>HYPERLINK("http://141.218.60.56/~jnz1568/getInfo.php?workbook=10_01.xlsx&amp;sheet=A0&amp;row=225&amp;col=28&amp;number=&amp;sourceID=13","")</f>
        <v/>
      </c>
      <c r="AC225" s="4" t="str">
        <f>HYPERLINK("http://141.218.60.56/~jnz1568/getInfo.php?workbook=10_01.xlsx&amp;sheet=A0&amp;row=225&amp;col=29&amp;number=&amp;sourceID=13","")</f>
        <v/>
      </c>
      <c r="AD225" s="4" t="str">
        <f>HYPERLINK("http://141.218.60.56/~jnz1568/getInfo.php?workbook=10_01.xlsx&amp;sheet=A0&amp;row=225&amp;col=30&amp;number=&amp;sourceID=13","")</f>
        <v/>
      </c>
      <c r="AE225" s="4" t="str">
        <f>HYPERLINK("http://141.218.60.56/~jnz1568/getInfo.php?workbook=10_01.xlsx&amp;sheet=A0&amp;row=225&amp;col=31&amp;number=&amp;sourceID=13","")</f>
        <v/>
      </c>
      <c r="AF225" s="4" t="str">
        <f>HYPERLINK("http://141.218.60.56/~jnz1568/getInfo.php?workbook=10_01.xlsx&amp;sheet=A0&amp;row=225&amp;col=32&amp;number=&amp;sourceID=20","")</f>
        <v/>
      </c>
    </row>
    <row r="226" spans="1:32">
      <c r="A226" s="3">
        <v>10</v>
      </c>
      <c r="B226" s="3">
        <v>1</v>
      </c>
      <c r="C226" s="3">
        <v>23</v>
      </c>
      <c r="D226" s="3">
        <v>1</v>
      </c>
      <c r="E226" s="3">
        <f>((1/(INDEX(E0!J$4:J$28,C226,1)-INDEX(E0!J$4:J$28,D226,1))))*100000000</f>
        <v>0</v>
      </c>
      <c r="F226" s="4" t="str">
        <f>HYPERLINK("http://141.218.60.56/~jnz1568/getInfo.php?workbook=10_01.xlsx&amp;sheet=A0&amp;row=226&amp;col=6&amp;number=&amp;sourceID=18","")</f>
        <v/>
      </c>
      <c r="G226" s="4" t="str">
        <f>HYPERLINK("http://141.218.60.56/~jnz1568/getInfo.php?workbook=10_01.xlsx&amp;sheet=A0&amp;row=226&amp;col=7&amp;number==&amp;sourceID=11","=")</f>
        <v>=</v>
      </c>
      <c r="H226" s="4" t="str">
        <f>HYPERLINK("http://141.218.60.56/~jnz1568/getInfo.php?workbook=10_01.xlsx&amp;sheet=A0&amp;row=226&amp;col=8&amp;number=&amp;sourceID=11","")</f>
        <v/>
      </c>
      <c r="I226" s="4" t="str">
        <f>HYPERLINK("http://141.218.60.56/~jnz1568/getInfo.php?workbook=10_01.xlsx&amp;sheet=A0&amp;row=226&amp;col=9&amp;number=&amp;sourceID=11","")</f>
        <v/>
      </c>
      <c r="J226" s="4" t="str">
        <f>HYPERLINK("http://141.218.60.56/~jnz1568/getInfo.php?workbook=10_01.xlsx&amp;sheet=A0&amp;row=226&amp;col=10&amp;number=&amp;sourceID=11","")</f>
        <v/>
      </c>
      <c r="K226" s="4" t="str">
        <f>HYPERLINK("http://141.218.60.56/~jnz1568/getInfo.php?workbook=10_01.xlsx&amp;sheet=A0&amp;row=226&amp;col=11&amp;number=&amp;sourceID=11","")</f>
        <v/>
      </c>
      <c r="L226" s="4" t="str">
        <f>HYPERLINK("http://141.218.60.56/~jnz1568/getInfo.php?workbook=10_01.xlsx&amp;sheet=A0&amp;row=226&amp;col=12&amp;number=&amp;sourceID=11","")</f>
        <v/>
      </c>
      <c r="M226" s="4" t="str">
        <f>HYPERLINK("http://141.218.60.56/~jnz1568/getInfo.php?workbook=10_01.xlsx&amp;sheet=A0&amp;row=226&amp;col=13&amp;number=2.9246e-08&amp;sourceID=11","2.9246e-08")</f>
        <v>2.9246e-08</v>
      </c>
      <c r="N226" s="4" t="str">
        <f>HYPERLINK("http://141.218.60.56/~jnz1568/getInfo.php?workbook=10_01.xlsx&amp;sheet=A0&amp;row=226&amp;col=14&amp;number=2.1393e-08&amp;sourceID=12","2.1393e-08")</f>
        <v>2.1393e-08</v>
      </c>
      <c r="O226" s="4" t="str">
        <f>HYPERLINK("http://141.218.60.56/~jnz1568/getInfo.php?workbook=10_01.xlsx&amp;sheet=A0&amp;row=226&amp;col=15&amp;number=&amp;sourceID=12","")</f>
        <v/>
      </c>
      <c r="P226" s="4" t="str">
        <f>HYPERLINK("http://141.218.60.56/~jnz1568/getInfo.php?workbook=10_01.xlsx&amp;sheet=A0&amp;row=226&amp;col=16&amp;number=&amp;sourceID=12","")</f>
        <v/>
      </c>
      <c r="Q226" s="4" t="str">
        <f>HYPERLINK("http://141.218.60.56/~jnz1568/getInfo.php?workbook=10_01.xlsx&amp;sheet=A0&amp;row=226&amp;col=17&amp;number=&amp;sourceID=12","")</f>
        <v/>
      </c>
      <c r="R226" s="4" t="str">
        <f>HYPERLINK("http://141.218.60.56/~jnz1568/getInfo.php?workbook=10_01.xlsx&amp;sheet=A0&amp;row=226&amp;col=18&amp;number=&amp;sourceID=12","")</f>
        <v/>
      </c>
      <c r="S226" s="4" t="str">
        <f>HYPERLINK("http://141.218.60.56/~jnz1568/getInfo.php?workbook=10_01.xlsx&amp;sheet=A0&amp;row=226&amp;col=19&amp;number=&amp;sourceID=12","")</f>
        <v/>
      </c>
      <c r="T226" s="4" t="str">
        <f>HYPERLINK("http://141.218.60.56/~jnz1568/getInfo.php?workbook=10_01.xlsx&amp;sheet=A0&amp;row=226&amp;col=20&amp;number=2.1393e-08&amp;sourceID=12","2.1393e-08")</f>
        <v>2.1393e-08</v>
      </c>
      <c r="U226" s="4" t="str">
        <f>HYPERLINK("http://141.218.60.56/~jnz1568/getInfo.php?workbook=10_01.xlsx&amp;sheet=A0&amp;row=226&amp;col=21&amp;number=&amp;sourceID=30","")</f>
        <v/>
      </c>
      <c r="V226" s="4" t="str">
        <f>HYPERLINK("http://141.218.60.56/~jnz1568/getInfo.php?workbook=10_01.xlsx&amp;sheet=A0&amp;row=226&amp;col=22&amp;number=&amp;sourceID=30","")</f>
        <v/>
      </c>
      <c r="W226" s="4" t="str">
        <f>HYPERLINK("http://141.218.60.56/~jnz1568/getInfo.php?workbook=10_01.xlsx&amp;sheet=A0&amp;row=226&amp;col=23&amp;number=&amp;sourceID=30","")</f>
        <v/>
      </c>
      <c r="X226" s="4" t="str">
        <f>HYPERLINK("http://141.218.60.56/~jnz1568/getInfo.php?workbook=10_01.xlsx&amp;sheet=A0&amp;row=226&amp;col=24&amp;number=&amp;sourceID=30","")</f>
        <v/>
      </c>
      <c r="Y226" s="4" t="str">
        <f>HYPERLINK("http://141.218.60.56/~jnz1568/getInfo.php?workbook=10_01.xlsx&amp;sheet=A0&amp;row=226&amp;col=25&amp;number=&amp;sourceID=30","")</f>
        <v/>
      </c>
      <c r="Z226" s="4" t="str">
        <f>HYPERLINK("http://141.218.60.56/~jnz1568/getInfo.php?workbook=10_01.xlsx&amp;sheet=A0&amp;row=226&amp;col=26&amp;number=&amp;sourceID=13","")</f>
        <v/>
      </c>
      <c r="AA226" s="4" t="str">
        <f>HYPERLINK("http://141.218.60.56/~jnz1568/getInfo.php?workbook=10_01.xlsx&amp;sheet=A0&amp;row=226&amp;col=27&amp;number=&amp;sourceID=13","")</f>
        <v/>
      </c>
      <c r="AB226" s="4" t="str">
        <f>HYPERLINK("http://141.218.60.56/~jnz1568/getInfo.php?workbook=10_01.xlsx&amp;sheet=A0&amp;row=226&amp;col=28&amp;number=&amp;sourceID=13","")</f>
        <v/>
      </c>
      <c r="AC226" s="4" t="str">
        <f>HYPERLINK("http://141.218.60.56/~jnz1568/getInfo.php?workbook=10_01.xlsx&amp;sheet=A0&amp;row=226&amp;col=29&amp;number=&amp;sourceID=13","")</f>
        <v/>
      </c>
      <c r="AD226" s="4" t="str">
        <f>HYPERLINK("http://141.218.60.56/~jnz1568/getInfo.php?workbook=10_01.xlsx&amp;sheet=A0&amp;row=226&amp;col=30&amp;number=&amp;sourceID=13","")</f>
        <v/>
      </c>
      <c r="AE226" s="4" t="str">
        <f>HYPERLINK("http://141.218.60.56/~jnz1568/getInfo.php?workbook=10_01.xlsx&amp;sheet=A0&amp;row=226&amp;col=31&amp;number=&amp;sourceID=13","")</f>
        <v/>
      </c>
      <c r="AF226" s="4" t="str">
        <f>HYPERLINK("http://141.218.60.56/~jnz1568/getInfo.php?workbook=10_01.xlsx&amp;sheet=A0&amp;row=226&amp;col=32&amp;number=&amp;sourceID=20","")</f>
        <v/>
      </c>
    </row>
    <row r="227" spans="1:32">
      <c r="A227" s="3">
        <v>10</v>
      </c>
      <c r="B227" s="3">
        <v>1</v>
      </c>
      <c r="C227" s="3">
        <v>23</v>
      </c>
      <c r="D227" s="3">
        <v>2</v>
      </c>
      <c r="E227" s="3">
        <f>((1/(INDEX(E0!J$4:J$28,C227,1)-INDEX(E0!J$4:J$28,D227,1))))*100000000</f>
        <v>0</v>
      </c>
      <c r="F227" s="4" t="str">
        <f>HYPERLINK("http://141.218.60.56/~jnz1568/getInfo.php?workbook=10_01.xlsx&amp;sheet=A0&amp;row=227&amp;col=6&amp;number=&amp;sourceID=18","")</f>
        <v/>
      </c>
      <c r="G227" s="4" t="str">
        <f>HYPERLINK("http://141.218.60.56/~jnz1568/getInfo.php?workbook=10_01.xlsx&amp;sheet=A0&amp;row=227&amp;col=7&amp;number==&amp;sourceID=11","=")</f>
        <v>=</v>
      </c>
      <c r="H227" s="4" t="str">
        <f>HYPERLINK("http://141.218.60.56/~jnz1568/getInfo.php?workbook=10_01.xlsx&amp;sheet=A0&amp;row=227&amp;col=8&amp;number=&amp;sourceID=11","")</f>
        <v/>
      </c>
      <c r="I227" s="4" t="str">
        <f>HYPERLINK("http://141.218.60.56/~jnz1568/getInfo.php?workbook=10_01.xlsx&amp;sheet=A0&amp;row=227&amp;col=9&amp;number=&amp;sourceID=11","")</f>
        <v/>
      </c>
      <c r="J227" s="4" t="str">
        <f>HYPERLINK("http://141.218.60.56/~jnz1568/getInfo.php?workbook=10_01.xlsx&amp;sheet=A0&amp;row=227&amp;col=10&amp;number=2509.7&amp;sourceID=11","2509.7")</f>
        <v>2509.7</v>
      </c>
      <c r="K227" s="4" t="str">
        <f>HYPERLINK("http://141.218.60.56/~jnz1568/getInfo.php?workbook=10_01.xlsx&amp;sheet=A0&amp;row=227&amp;col=11&amp;number=&amp;sourceID=11","")</f>
        <v/>
      </c>
      <c r="L227" s="4" t="str">
        <f>HYPERLINK("http://141.218.60.56/~jnz1568/getInfo.php?workbook=10_01.xlsx&amp;sheet=A0&amp;row=227&amp;col=12&amp;number=&amp;sourceID=11","")</f>
        <v/>
      </c>
      <c r="M227" s="4" t="str">
        <f>HYPERLINK("http://141.218.60.56/~jnz1568/getInfo.php?workbook=10_01.xlsx&amp;sheet=A0&amp;row=227&amp;col=13&amp;number=&amp;sourceID=11","")</f>
        <v/>
      </c>
      <c r="N227" s="4" t="str">
        <f>HYPERLINK("http://141.218.60.56/~jnz1568/getInfo.php?workbook=10_01.xlsx&amp;sheet=A0&amp;row=227&amp;col=14&amp;number=2509.8&amp;sourceID=12","2509.8")</f>
        <v>2509.8</v>
      </c>
      <c r="O227" s="4" t="str">
        <f>HYPERLINK("http://141.218.60.56/~jnz1568/getInfo.php?workbook=10_01.xlsx&amp;sheet=A0&amp;row=227&amp;col=15&amp;number=&amp;sourceID=12","")</f>
        <v/>
      </c>
      <c r="P227" s="4" t="str">
        <f>HYPERLINK("http://141.218.60.56/~jnz1568/getInfo.php?workbook=10_01.xlsx&amp;sheet=A0&amp;row=227&amp;col=16&amp;number=&amp;sourceID=12","")</f>
        <v/>
      </c>
      <c r="Q227" s="4" t="str">
        <f>HYPERLINK("http://141.218.60.56/~jnz1568/getInfo.php?workbook=10_01.xlsx&amp;sheet=A0&amp;row=227&amp;col=17&amp;number=2509.8&amp;sourceID=12","2509.8")</f>
        <v>2509.8</v>
      </c>
      <c r="R227" s="4" t="str">
        <f>HYPERLINK("http://141.218.60.56/~jnz1568/getInfo.php?workbook=10_01.xlsx&amp;sheet=A0&amp;row=227&amp;col=18&amp;number=&amp;sourceID=12","")</f>
        <v/>
      </c>
      <c r="S227" s="4" t="str">
        <f>HYPERLINK("http://141.218.60.56/~jnz1568/getInfo.php?workbook=10_01.xlsx&amp;sheet=A0&amp;row=227&amp;col=19&amp;number=&amp;sourceID=12","")</f>
        <v/>
      </c>
      <c r="T227" s="4" t="str">
        <f>HYPERLINK("http://141.218.60.56/~jnz1568/getInfo.php?workbook=10_01.xlsx&amp;sheet=A0&amp;row=227&amp;col=20&amp;number=&amp;sourceID=12","")</f>
        <v/>
      </c>
      <c r="U227" s="4" t="str">
        <f>HYPERLINK("http://141.218.60.56/~jnz1568/getInfo.php?workbook=10_01.xlsx&amp;sheet=A0&amp;row=227&amp;col=21&amp;number=&amp;sourceID=30","")</f>
        <v/>
      </c>
      <c r="V227" s="4" t="str">
        <f>HYPERLINK("http://141.218.60.56/~jnz1568/getInfo.php?workbook=10_01.xlsx&amp;sheet=A0&amp;row=227&amp;col=22&amp;number=&amp;sourceID=30","")</f>
        <v/>
      </c>
      <c r="W227" s="4" t="str">
        <f>HYPERLINK("http://141.218.60.56/~jnz1568/getInfo.php?workbook=10_01.xlsx&amp;sheet=A0&amp;row=227&amp;col=23&amp;number=&amp;sourceID=30","")</f>
        <v/>
      </c>
      <c r="X227" s="4" t="str">
        <f>HYPERLINK("http://141.218.60.56/~jnz1568/getInfo.php?workbook=10_01.xlsx&amp;sheet=A0&amp;row=227&amp;col=24&amp;number=&amp;sourceID=30","")</f>
        <v/>
      </c>
      <c r="Y227" s="4" t="str">
        <f>HYPERLINK("http://141.218.60.56/~jnz1568/getInfo.php?workbook=10_01.xlsx&amp;sheet=A0&amp;row=227&amp;col=25&amp;number=&amp;sourceID=30","")</f>
        <v/>
      </c>
      <c r="Z227" s="4" t="str">
        <f>HYPERLINK("http://141.218.60.56/~jnz1568/getInfo.php?workbook=10_01.xlsx&amp;sheet=A0&amp;row=227&amp;col=26&amp;number=&amp;sourceID=13","")</f>
        <v/>
      </c>
      <c r="AA227" s="4" t="str">
        <f>HYPERLINK("http://141.218.60.56/~jnz1568/getInfo.php?workbook=10_01.xlsx&amp;sheet=A0&amp;row=227&amp;col=27&amp;number=&amp;sourceID=13","")</f>
        <v/>
      </c>
      <c r="AB227" s="4" t="str">
        <f>HYPERLINK("http://141.218.60.56/~jnz1568/getInfo.php?workbook=10_01.xlsx&amp;sheet=A0&amp;row=227&amp;col=28&amp;number=&amp;sourceID=13","")</f>
        <v/>
      </c>
      <c r="AC227" s="4" t="str">
        <f>HYPERLINK("http://141.218.60.56/~jnz1568/getInfo.php?workbook=10_01.xlsx&amp;sheet=A0&amp;row=227&amp;col=29&amp;number=&amp;sourceID=13","")</f>
        <v/>
      </c>
      <c r="AD227" s="4" t="str">
        <f>HYPERLINK("http://141.218.60.56/~jnz1568/getInfo.php?workbook=10_01.xlsx&amp;sheet=A0&amp;row=227&amp;col=30&amp;number=&amp;sourceID=13","")</f>
        <v/>
      </c>
      <c r="AE227" s="4" t="str">
        <f>HYPERLINK("http://141.218.60.56/~jnz1568/getInfo.php?workbook=10_01.xlsx&amp;sheet=A0&amp;row=227&amp;col=31&amp;number=&amp;sourceID=13","")</f>
        <v/>
      </c>
      <c r="AF227" s="4" t="str">
        <f>HYPERLINK("http://141.218.60.56/~jnz1568/getInfo.php?workbook=10_01.xlsx&amp;sheet=A0&amp;row=227&amp;col=32&amp;number=&amp;sourceID=20","")</f>
        <v/>
      </c>
    </row>
    <row r="228" spans="1:32">
      <c r="A228" s="3">
        <v>10</v>
      </c>
      <c r="B228" s="3">
        <v>1</v>
      </c>
      <c r="C228" s="3">
        <v>23</v>
      </c>
      <c r="D228" s="3">
        <v>3</v>
      </c>
      <c r="E228" s="3">
        <f>((1/(INDEX(E0!J$4:J$28,C228,1)-INDEX(E0!J$4:J$28,D228,1))))*100000000</f>
        <v>0</v>
      </c>
      <c r="F228" s="4" t="str">
        <f>HYPERLINK("http://141.218.60.56/~jnz1568/getInfo.php?workbook=10_01.xlsx&amp;sheet=A0&amp;row=228&amp;col=6&amp;number=&amp;sourceID=18","")</f>
        <v/>
      </c>
      <c r="G228" s="4" t="str">
        <f>HYPERLINK("http://141.218.60.56/~jnz1568/getInfo.php?workbook=10_01.xlsx&amp;sheet=A0&amp;row=228&amp;col=7&amp;number==&amp;sourceID=11","=")</f>
        <v>=</v>
      </c>
      <c r="H228" s="4" t="str">
        <f>HYPERLINK("http://141.218.60.56/~jnz1568/getInfo.php?workbook=10_01.xlsx&amp;sheet=A0&amp;row=228&amp;col=8&amp;number=&amp;sourceID=11","")</f>
        <v/>
      </c>
      <c r="I228" s="4" t="str">
        <f>HYPERLINK("http://141.218.60.56/~jnz1568/getInfo.php?workbook=10_01.xlsx&amp;sheet=A0&amp;row=228&amp;col=9&amp;number=&amp;sourceID=11","")</f>
        <v/>
      </c>
      <c r="J228" s="4" t="str">
        <f>HYPERLINK("http://141.218.60.56/~jnz1568/getInfo.php?workbook=10_01.xlsx&amp;sheet=A0&amp;row=228&amp;col=10&amp;number=&amp;sourceID=11","")</f>
        <v/>
      </c>
      <c r="K228" s="4" t="str">
        <f>HYPERLINK("http://141.218.60.56/~jnz1568/getInfo.php?workbook=10_01.xlsx&amp;sheet=A0&amp;row=228&amp;col=11&amp;number=&amp;sourceID=11","")</f>
        <v/>
      </c>
      <c r="L228" s="4" t="str">
        <f>HYPERLINK("http://141.218.60.56/~jnz1568/getInfo.php?workbook=10_01.xlsx&amp;sheet=A0&amp;row=228&amp;col=12&amp;number=&amp;sourceID=11","")</f>
        <v/>
      </c>
      <c r="M228" s="4" t="str">
        <f>HYPERLINK("http://141.218.60.56/~jnz1568/getInfo.php?workbook=10_01.xlsx&amp;sheet=A0&amp;row=228&amp;col=13&amp;number=3.0374e-09&amp;sourceID=11","3.0374e-09")</f>
        <v>3.0374e-09</v>
      </c>
      <c r="N228" s="4" t="str">
        <f>HYPERLINK("http://141.218.60.56/~jnz1568/getInfo.php?workbook=10_01.xlsx&amp;sheet=A0&amp;row=228&amp;col=14&amp;number=3.0218e-09&amp;sourceID=12","3.0218e-09")</f>
        <v>3.0218e-09</v>
      </c>
      <c r="O228" s="4" t="str">
        <f>HYPERLINK("http://141.218.60.56/~jnz1568/getInfo.php?workbook=10_01.xlsx&amp;sheet=A0&amp;row=228&amp;col=15&amp;number=&amp;sourceID=12","")</f>
        <v/>
      </c>
      <c r="P228" s="4" t="str">
        <f>HYPERLINK("http://141.218.60.56/~jnz1568/getInfo.php?workbook=10_01.xlsx&amp;sheet=A0&amp;row=228&amp;col=16&amp;number=&amp;sourceID=12","")</f>
        <v/>
      </c>
      <c r="Q228" s="4" t="str">
        <f>HYPERLINK("http://141.218.60.56/~jnz1568/getInfo.php?workbook=10_01.xlsx&amp;sheet=A0&amp;row=228&amp;col=17&amp;number=&amp;sourceID=12","")</f>
        <v/>
      </c>
      <c r="R228" s="4" t="str">
        <f>HYPERLINK("http://141.218.60.56/~jnz1568/getInfo.php?workbook=10_01.xlsx&amp;sheet=A0&amp;row=228&amp;col=18&amp;number=&amp;sourceID=12","")</f>
        <v/>
      </c>
      <c r="S228" s="4" t="str">
        <f>HYPERLINK("http://141.218.60.56/~jnz1568/getInfo.php?workbook=10_01.xlsx&amp;sheet=A0&amp;row=228&amp;col=19&amp;number=&amp;sourceID=12","")</f>
        <v/>
      </c>
      <c r="T228" s="4" t="str">
        <f>HYPERLINK("http://141.218.60.56/~jnz1568/getInfo.php?workbook=10_01.xlsx&amp;sheet=A0&amp;row=228&amp;col=20&amp;number=3.0218e-09&amp;sourceID=12","3.0218e-09")</f>
        <v>3.0218e-09</v>
      </c>
      <c r="U228" s="4" t="str">
        <f>HYPERLINK("http://141.218.60.56/~jnz1568/getInfo.php?workbook=10_01.xlsx&amp;sheet=A0&amp;row=228&amp;col=21&amp;number=&amp;sourceID=30","")</f>
        <v/>
      </c>
      <c r="V228" s="4" t="str">
        <f>HYPERLINK("http://141.218.60.56/~jnz1568/getInfo.php?workbook=10_01.xlsx&amp;sheet=A0&amp;row=228&amp;col=22&amp;number=&amp;sourceID=30","")</f>
        <v/>
      </c>
      <c r="W228" s="4" t="str">
        <f>HYPERLINK("http://141.218.60.56/~jnz1568/getInfo.php?workbook=10_01.xlsx&amp;sheet=A0&amp;row=228&amp;col=23&amp;number=&amp;sourceID=30","")</f>
        <v/>
      </c>
      <c r="X228" s="4" t="str">
        <f>HYPERLINK("http://141.218.60.56/~jnz1568/getInfo.php?workbook=10_01.xlsx&amp;sheet=A0&amp;row=228&amp;col=24&amp;number=&amp;sourceID=30","")</f>
        <v/>
      </c>
      <c r="Y228" s="4" t="str">
        <f>HYPERLINK("http://141.218.60.56/~jnz1568/getInfo.php?workbook=10_01.xlsx&amp;sheet=A0&amp;row=228&amp;col=25&amp;number=&amp;sourceID=30","")</f>
        <v/>
      </c>
      <c r="Z228" s="4" t="str">
        <f>HYPERLINK("http://141.218.60.56/~jnz1568/getInfo.php?workbook=10_01.xlsx&amp;sheet=A0&amp;row=228&amp;col=26&amp;number=&amp;sourceID=13","")</f>
        <v/>
      </c>
      <c r="AA228" s="4" t="str">
        <f>HYPERLINK("http://141.218.60.56/~jnz1568/getInfo.php?workbook=10_01.xlsx&amp;sheet=A0&amp;row=228&amp;col=27&amp;number=&amp;sourceID=13","")</f>
        <v/>
      </c>
      <c r="AB228" s="4" t="str">
        <f>HYPERLINK("http://141.218.60.56/~jnz1568/getInfo.php?workbook=10_01.xlsx&amp;sheet=A0&amp;row=228&amp;col=28&amp;number=&amp;sourceID=13","")</f>
        <v/>
      </c>
      <c r="AC228" s="4" t="str">
        <f>HYPERLINK("http://141.218.60.56/~jnz1568/getInfo.php?workbook=10_01.xlsx&amp;sheet=A0&amp;row=228&amp;col=29&amp;number=&amp;sourceID=13","")</f>
        <v/>
      </c>
      <c r="AD228" s="4" t="str">
        <f>HYPERLINK("http://141.218.60.56/~jnz1568/getInfo.php?workbook=10_01.xlsx&amp;sheet=A0&amp;row=228&amp;col=30&amp;number=&amp;sourceID=13","")</f>
        <v/>
      </c>
      <c r="AE228" s="4" t="str">
        <f>HYPERLINK("http://141.218.60.56/~jnz1568/getInfo.php?workbook=10_01.xlsx&amp;sheet=A0&amp;row=228&amp;col=31&amp;number=&amp;sourceID=13","")</f>
        <v/>
      </c>
      <c r="AF228" s="4" t="str">
        <f>HYPERLINK("http://141.218.60.56/~jnz1568/getInfo.php?workbook=10_01.xlsx&amp;sheet=A0&amp;row=228&amp;col=32&amp;number=&amp;sourceID=20","")</f>
        <v/>
      </c>
    </row>
    <row r="229" spans="1:32">
      <c r="A229" s="3">
        <v>10</v>
      </c>
      <c r="B229" s="3">
        <v>1</v>
      </c>
      <c r="C229" s="3">
        <v>23</v>
      </c>
      <c r="D229" s="3">
        <v>4</v>
      </c>
      <c r="E229" s="3">
        <f>((1/(INDEX(E0!J$4:J$28,C229,1)-INDEX(E0!J$4:J$28,D229,1))))*100000000</f>
        <v>0</v>
      </c>
      <c r="F229" s="4" t="str">
        <f>HYPERLINK("http://141.218.60.56/~jnz1568/getInfo.php?workbook=10_01.xlsx&amp;sheet=A0&amp;row=229&amp;col=6&amp;number=&amp;sourceID=18","")</f>
        <v/>
      </c>
      <c r="G229" s="4" t="str">
        <f>HYPERLINK("http://141.218.60.56/~jnz1568/getInfo.php?workbook=10_01.xlsx&amp;sheet=A0&amp;row=229&amp;col=7&amp;number==&amp;sourceID=11","=")</f>
        <v>=</v>
      </c>
      <c r="H229" s="4" t="str">
        <f>HYPERLINK("http://141.218.60.56/~jnz1568/getInfo.php?workbook=10_01.xlsx&amp;sheet=A0&amp;row=229&amp;col=8&amp;number=&amp;sourceID=11","")</f>
        <v/>
      </c>
      <c r="I229" s="4" t="str">
        <f>HYPERLINK("http://141.218.60.56/~jnz1568/getInfo.php?workbook=10_01.xlsx&amp;sheet=A0&amp;row=229&amp;col=9&amp;number=&amp;sourceID=11","")</f>
        <v/>
      </c>
      <c r="J229" s="4" t="str">
        <f>HYPERLINK("http://141.218.60.56/~jnz1568/getInfo.php?workbook=10_01.xlsx&amp;sheet=A0&amp;row=229&amp;col=10&amp;number=837.26&amp;sourceID=11","837.26")</f>
        <v>837.26</v>
      </c>
      <c r="K229" s="4" t="str">
        <f>HYPERLINK("http://141.218.60.56/~jnz1568/getInfo.php?workbook=10_01.xlsx&amp;sheet=A0&amp;row=229&amp;col=11&amp;number=&amp;sourceID=11","")</f>
        <v/>
      </c>
      <c r="L229" s="4" t="str">
        <f>HYPERLINK("http://141.218.60.56/~jnz1568/getInfo.php?workbook=10_01.xlsx&amp;sheet=A0&amp;row=229&amp;col=12&amp;number=1.2764e-05&amp;sourceID=11","1.2764e-05")</f>
        <v>1.2764e-05</v>
      </c>
      <c r="M229" s="4" t="str">
        <f>HYPERLINK("http://141.218.60.56/~jnz1568/getInfo.php?workbook=10_01.xlsx&amp;sheet=A0&amp;row=229&amp;col=13&amp;number=&amp;sourceID=11","")</f>
        <v/>
      </c>
      <c r="N229" s="4" t="str">
        <f>HYPERLINK("http://141.218.60.56/~jnz1568/getInfo.php?workbook=10_01.xlsx&amp;sheet=A0&amp;row=229&amp;col=14&amp;number=837.28&amp;sourceID=12","837.28")</f>
        <v>837.28</v>
      </c>
      <c r="O229" s="4" t="str">
        <f>HYPERLINK("http://141.218.60.56/~jnz1568/getInfo.php?workbook=10_01.xlsx&amp;sheet=A0&amp;row=229&amp;col=15&amp;number=&amp;sourceID=12","")</f>
        <v/>
      </c>
      <c r="P229" s="4" t="str">
        <f>HYPERLINK("http://141.218.60.56/~jnz1568/getInfo.php?workbook=10_01.xlsx&amp;sheet=A0&amp;row=229&amp;col=16&amp;number=&amp;sourceID=12","")</f>
        <v/>
      </c>
      <c r="Q229" s="4" t="str">
        <f>HYPERLINK("http://141.218.60.56/~jnz1568/getInfo.php?workbook=10_01.xlsx&amp;sheet=A0&amp;row=229&amp;col=17&amp;number=837.28&amp;sourceID=12","837.28")</f>
        <v>837.28</v>
      </c>
      <c r="R229" s="4" t="str">
        <f>HYPERLINK("http://141.218.60.56/~jnz1568/getInfo.php?workbook=10_01.xlsx&amp;sheet=A0&amp;row=229&amp;col=18&amp;number=&amp;sourceID=12","")</f>
        <v/>
      </c>
      <c r="S229" s="4" t="str">
        <f>HYPERLINK("http://141.218.60.56/~jnz1568/getInfo.php?workbook=10_01.xlsx&amp;sheet=A0&amp;row=229&amp;col=19&amp;number=1.2734e-05&amp;sourceID=12","1.2734e-05")</f>
        <v>1.2734e-05</v>
      </c>
      <c r="T229" s="4" t="str">
        <f>HYPERLINK("http://141.218.60.56/~jnz1568/getInfo.php?workbook=10_01.xlsx&amp;sheet=A0&amp;row=229&amp;col=20&amp;number=&amp;sourceID=12","")</f>
        <v/>
      </c>
      <c r="U229" s="4" t="str">
        <f>HYPERLINK("http://141.218.60.56/~jnz1568/getInfo.php?workbook=10_01.xlsx&amp;sheet=A0&amp;row=229&amp;col=21&amp;number=1.277e-05&amp;sourceID=30","1.277e-05")</f>
        <v>1.277e-05</v>
      </c>
      <c r="V229" s="4" t="str">
        <f>HYPERLINK("http://141.218.60.56/~jnz1568/getInfo.php?workbook=10_01.xlsx&amp;sheet=A0&amp;row=229&amp;col=22&amp;number=&amp;sourceID=30","")</f>
        <v/>
      </c>
      <c r="W229" s="4" t="str">
        <f>HYPERLINK("http://141.218.60.56/~jnz1568/getInfo.php?workbook=10_01.xlsx&amp;sheet=A0&amp;row=229&amp;col=23&amp;number=&amp;sourceID=30","")</f>
        <v/>
      </c>
      <c r="X229" s="4" t="str">
        <f>HYPERLINK("http://141.218.60.56/~jnz1568/getInfo.php?workbook=10_01.xlsx&amp;sheet=A0&amp;row=229&amp;col=24&amp;number=&amp;sourceID=30","")</f>
        <v/>
      </c>
      <c r="Y229" s="4" t="str">
        <f>HYPERLINK("http://141.218.60.56/~jnz1568/getInfo.php?workbook=10_01.xlsx&amp;sheet=A0&amp;row=229&amp;col=25&amp;number=1.277e-05&amp;sourceID=30","1.277e-05")</f>
        <v>1.277e-05</v>
      </c>
      <c r="Z229" s="4" t="str">
        <f>HYPERLINK("http://141.218.60.56/~jnz1568/getInfo.php?workbook=10_01.xlsx&amp;sheet=A0&amp;row=229&amp;col=26&amp;number=&amp;sourceID=13","")</f>
        <v/>
      </c>
      <c r="AA229" s="4" t="str">
        <f>HYPERLINK("http://141.218.60.56/~jnz1568/getInfo.php?workbook=10_01.xlsx&amp;sheet=A0&amp;row=229&amp;col=27&amp;number=&amp;sourceID=13","")</f>
        <v/>
      </c>
      <c r="AB229" s="4" t="str">
        <f>HYPERLINK("http://141.218.60.56/~jnz1568/getInfo.php?workbook=10_01.xlsx&amp;sheet=A0&amp;row=229&amp;col=28&amp;number=&amp;sourceID=13","")</f>
        <v/>
      </c>
      <c r="AC229" s="4" t="str">
        <f>HYPERLINK("http://141.218.60.56/~jnz1568/getInfo.php?workbook=10_01.xlsx&amp;sheet=A0&amp;row=229&amp;col=29&amp;number=&amp;sourceID=13","")</f>
        <v/>
      </c>
      <c r="AD229" s="4" t="str">
        <f>HYPERLINK("http://141.218.60.56/~jnz1568/getInfo.php?workbook=10_01.xlsx&amp;sheet=A0&amp;row=229&amp;col=30&amp;number=&amp;sourceID=13","")</f>
        <v/>
      </c>
      <c r="AE229" s="4" t="str">
        <f>HYPERLINK("http://141.218.60.56/~jnz1568/getInfo.php?workbook=10_01.xlsx&amp;sheet=A0&amp;row=229&amp;col=31&amp;number=&amp;sourceID=13","")</f>
        <v/>
      </c>
      <c r="AF229" s="4" t="str">
        <f>HYPERLINK("http://141.218.60.56/~jnz1568/getInfo.php?workbook=10_01.xlsx&amp;sheet=A0&amp;row=229&amp;col=32&amp;number=&amp;sourceID=20","")</f>
        <v/>
      </c>
    </row>
    <row r="230" spans="1:32">
      <c r="A230" s="3">
        <v>10</v>
      </c>
      <c r="B230" s="3">
        <v>1</v>
      </c>
      <c r="C230" s="3">
        <v>23</v>
      </c>
      <c r="D230" s="3">
        <v>5</v>
      </c>
      <c r="E230" s="3">
        <f>((1/(INDEX(E0!J$4:J$28,C230,1)-INDEX(E0!J$4:J$28,D230,1))))*100000000</f>
        <v>0</v>
      </c>
      <c r="F230" s="4" t="str">
        <f>HYPERLINK("http://141.218.60.56/~jnz1568/getInfo.php?workbook=10_01.xlsx&amp;sheet=A0&amp;row=230&amp;col=6&amp;number=&amp;sourceID=18","")</f>
        <v/>
      </c>
      <c r="G230" s="4" t="str">
        <f>HYPERLINK("http://141.218.60.56/~jnz1568/getInfo.php?workbook=10_01.xlsx&amp;sheet=A0&amp;row=230&amp;col=7&amp;number==&amp;sourceID=11","=")</f>
        <v>=</v>
      </c>
      <c r="H230" s="4" t="str">
        <f>HYPERLINK("http://141.218.60.56/~jnz1568/getInfo.php?workbook=10_01.xlsx&amp;sheet=A0&amp;row=230&amp;col=8&amp;number=&amp;sourceID=11","")</f>
        <v/>
      </c>
      <c r="I230" s="4" t="str">
        <f>HYPERLINK("http://141.218.60.56/~jnz1568/getInfo.php?workbook=10_01.xlsx&amp;sheet=A0&amp;row=230&amp;col=9&amp;number=&amp;sourceID=11","")</f>
        <v/>
      </c>
      <c r="J230" s="4" t="str">
        <f>HYPERLINK("http://141.218.60.56/~jnz1568/getInfo.php?workbook=10_01.xlsx&amp;sheet=A0&amp;row=230&amp;col=10&amp;number=1066.6&amp;sourceID=11","1066.6")</f>
        <v>1066.6</v>
      </c>
      <c r="K230" s="4" t="str">
        <f>HYPERLINK("http://141.218.60.56/~jnz1568/getInfo.php?workbook=10_01.xlsx&amp;sheet=A0&amp;row=230&amp;col=11&amp;number=&amp;sourceID=11","")</f>
        <v/>
      </c>
      <c r="L230" s="4" t="str">
        <f>HYPERLINK("http://141.218.60.56/~jnz1568/getInfo.php?workbook=10_01.xlsx&amp;sheet=A0&amp;row=230&amp;col=12&amp;number=&amp;sourceID=11","")</f>
        <v/>
      </c>
      <c r="M230" s="4" t="str">
        <f>HYPERLINK("http://141.218.60.56/~jnz1568/getInfo.php?workbook=10_01.xlsx&amp;sheet=A0&amp;row=230&amp;col=13&amp;number=&amp;sourceID=11","")</f>
        <v/>
      </c>
      <c r="N230" s="4" t="str">
        <f>HYPERLINK("http://141.218.60.56/~jnz1568/getInfo.php?workbook=10_01.xlsx&amp;sheet=A0&amp;row=230&amp;col=14&amp;number=1066.6&amp;sourceID=12","1066.6")</f>
        <v>1066.6</v>
      </c>
      <c r="O230" s="4" t="str">
        <f>HYPERLINK("http://141.218.60.56/~jnz1568/getInfo.php?workbook=10_01.xlsx&amp;sheet=A0&amp;row=230&amp;col=15&amp;number=&amp;sourceID=12","")</f>
        <v/>
      </c>
      <c r="P230" s="4" t="str">
        <f>HYPERLINK("http://141.218.60.56/~jnz1568/getInfo.php?workbook=10_01.xlsx&amp;sheet=A0&amp;row=230&amp;col=16&amp;number=&amp;sourceID=12","")</f>
        <v/>
      </c>
      <c r="Q230" s="4" t="str">
        <f>HYPERLINK("http://141.218.60.56/~jnz1568/getInfo.php?workbook=10_01.xlsx&amp;sheet=A0&amp;row=230&amp;col=17&amp;number=1066.6&amp;sourceID=12","1066.6")</f>
        <v>1066.6</v>
      </c>
      <c r="R230" s="4" t="str">
        <f>HYPERLINK("http://141.218.60.56/~jnz1568/getInfo.php?workbook=10_01.xlsx&amp;sheet=A0&amp;row=230&amp;col=18&amp;number=&amp;sourceID=12","")</f>
        <v/>
      </c>
      <c r="S230" s="4" t="str">
        <f>HYPERLINK("http://141.218.60.56/~jnz1568/getInfo.php?workbook=10_01.xlsx&amp;sheet=A0&amp;row=230&amp;col=19&amp;number=&amp;sourceID=12","")</f>
        <v/>
      </c>
      <c r="T230" s="4" t="str">
        <f>HYPERLINK("http://141.218.60.56/~jnz1568/getInfo.php?workbook=10_01.xlsx&amp;sheet=A0&amp;row=230&amp;col=20&amp;number=&amp;sourceID=12","")</f>
        <v/>
      </c>
      <c r="U230" s="4" t="str">
        <f>HYPERLINK("http://141.218.60.56/~jnz1568/getInfo.php?workbook=10_01.xlsx&amp;sheet=A0&amp;row=230&amp;col=21&amp;number=&amp;sourceID=30","")</f>
        <v/>
      </c>
      <c r="V230" s="4" t="str">
        <f>HYPERLINK("http://141.218.60.56/~jnz1568/getInfo.php?workbook=10_01.xlsx&amp;sheet=A0&amp;row=230&amp;col=22&amp;number=&amp;sourceID=30","")</f>
        <v/>
      </c>
      <c r="W230" s="4" t="str">
        <f>HYPERLINK("http://141.218.60.56/~jnz1568/getInfo.php?workbook=10_01.xlsx&amp;sheet=A0&amp;row=230&amp;col=23&amp;number=&amp;sourceID=30","")</f>
        <v/>
      </c>
      <c r="X230" s="4" t="str">
        <f>HYPERLINK("http://141.218.60.56/~jnz1568/getInfo.php?workbook=10_01.xlsx&amp;sheet=A0&amp;row=230&amp;col=24&amp;number=&amp;sourceID=30","")</f>
        <v/>
      </c>
      <c r="Y230" s="4" t="str">
        <f>HYPERLINK("http://141.218.60.56/~jnz1568/getInfo.php?workbook=10_01.xlsx&amp;sheet=A0&amp;row=230&amp;col=25&amp;number=&amp;sourceID=30","")</f>
        <v/>
      </c>
      <c r="Z230" s="4" t="str">
        <f>HYPERLINK("http://141.218.60.56/~jnz1568/getInfo.php?workbook=10_01.xlsx&amp;sheet=A0&amp;row=230&amp;col=26&amp;number=&amp;sourceID=13","")</f>
        <v/>
      </c>
      <c r="AA230" s="4" t="str">
        <f>HYPERLINK("http://141.218.60.56/~jnz1568/getInfo.php?workbook=10_01.xlsx&amp;sheet=A0&amp;row=230&amp;col=27&amp;number=&amp;sourceID=13","")</f>
        <v/>
      </c>
      <c r="AB230" s="4" t="str">
        <f>HYPERLINK("http://141.218.60.56/~jnz1568/getInfo.php?workbook=10_01.xlsx&amp;sheet=A0&amp;row=230&amp;col=28&amp;number=&amp;sourceID=13","")</f>
        <v/>
      </c>
      <c r="AC230" s="4" t="str">
        <f>HYPERLINK("http://141.218.60.56/~jnz1568/getInfo.php?workbook=10_01.xlsx&amp;sheet=A0&amp;row=230&amp;col=29&amp;number=&amp;sourceID=13","")</f>
        <v/>
      </c>
      <c r="AD230" s="4" t="str">
        <f>HYPERLINK("http://141.218.60.56/~jnz1568/getInfo.php?workbook=10_01.xlsx&amp;sheet=A0&amp;row=230&amp;col=30&amp;number=&amp;sourceID=13","")</f>
        <v/>
      </c>
      <c r="AE230" s="4" t="str">
        <f>HYPERLINK("http://141.218.60.56/~jnz1568/getInfo.php?workbook=10_01.xlsx&amp;sheet=A0&amp;row=230&amp;col=31&amp;number=&amp;sourceID=13","")</f>
        <v/>
      </c>
      <c r="AF230" s="4" t="str">
        <f>HYPERLINK("http://141.218.60.56/~jnz1568/getInfo.php?workbook=10_01.xlsx&amp;sheet=A0&amp;row=230&amp;col=32&amp;number=&amp;sourceID=20","")</f>
        <v/>
      </c>
    </row>
    <row r="231" spans="1:32">
      <c r="A231" s="3">
        <v>10</v>
      </c>
      <c r="B231" s="3">
        <v>1</v>
      </c>
      <c r="C231" s="3">
        <v>23</v>
      </c>
      <c r="D231" s="3">
        <v>6</v>
      </c>
      <c r="E231" s="3">
        <f>((1/(INDEX(E0!J$4:J$28,C231,1)-INDEX(E0!J$4:J$28,D231,1))))*100000000</f>
        <v>0</v>
      </c>
      <c r="F231" s="4" t="str">
        <f>HYPERLINK("http://141.218.60.56/~jnz1568/getInfo.php?workbook=10_01.xlsx&amp;sheet=A0&amp;row=231&amp;col=6&amp;number=&amp;sourceID=18","")</f>
        <v/>
      </c>
      <c r="G231" s="4" t="str">
        <f>HYPERLINK("http://141.218.60.56/~jnz1568/getInfo.php?workbook=10_01.xlsx&amp;sheet=A0&amp;row=231&amp;col=7&amp;number==&amp;sourceID=11","=")</f>
        <v>=</v>
      </c>
      <c r="H231" s="4" t="str">
        <f>HYPERLINK("http://141.218.60.56/~jnz1568/getInfo.php?workbook=10_01.xlsx&amp;sheet=A0&amp;row=231&amp;col=8&amp;number=&amp;sourceID=11","")</f>
        <v/>
      </c>
      <c r="I231" s="4" t="str">
        <f>HYPERLINK("http://141.218.60.56/~jnz1568/getInfo.php?workbook=10_01.xlsx&amp;sheet=A0&amp;row=231&amp;col=9&amp;number=&amp;sourceID=11","")</f>
        <v/>
      </c>
      <c r="J231" s="4" t="str">
        <f>HYPERLINK("http://141.218.60.56/~jnz1568/getInfo.php?workbook=10_01.xlsx&amp;sheet=A0&amp;row=231&amp;col=10&amp;number=&amp;sourceID=11","")</f>
        <v/>
      </c>
      <c r="K231" s="4" t="str">
        <f>HYPERLINK("http://141.218.60.56/~jnz1568/getInfo.php?workbook=10_01.xlsx&amp;sheet=A0&amp;row=231&amp;col=11&amp;number=&amp;sourceID=11","")</f>
        <v/>
      </c>
      <c r="L231" s="4" t="str">
        <f>HYPERLINK("http://141.218.60.56/~jnz1568/getInfo.php?workbook=10_01.xlsx&amp;sheet=A0&amp;row=231&amp;col=12&amp;number=&amp;sourceID=11","")</f>
        <v/>
      </c>
      <c r="M231" s="4" t="str">
        <f>HYPERLINK("http://141.218.60.56/~jnz1568/getInfo.php?workbook=10_01.xlsx&amp;sheet=A0&amp;row=231&amp;col=13&amp;number=7.6748e-11&amp;sourceID=11","7.6748e-11")</f>
        <v>7.6748e-11</v>
      </c>
      <c r="N231" s="4" t="str">
        <f>HYPERLINK("http://141.218.60.56/~jnz1568/getInfo.php?workbook=10_01.xlsx&amp;sheet=A0&amp;row=231&amp;col=14&amp;number=7.6745e-11&amp;sourceID=12","7.6745e-11")</f>
        <v>7.6745e-11</v>
      </c>
      <c r="O231" s="4" t="str">
        <f>HYPERLINK("http://141.218.60.56/~jnz1568/getInfo.php?workbook=10_01.xlsx&amp;sheet=A0&amp;row=231&amp;col=15&amp;number=&amp;sourceID=12","")</f>
        <v/>
      </c>
      <c r="P231" s="4" t="str">
        <f>HYPERLINK("http://141.218.60.56/~jnz1568/getInfo.php?workbook=10_01.xlsx&amp;sheet=A0&amp;row=231&amp;col=16&amp;number=&amp;sourceID=12","")</f>
        <v/>
      </c>
      <c r="Q231" s="4" t="str">
        <f>HYPERLINK("http://141.218.60.56/~jnz1568/getInfo.php?workbook=10_01.xlsx&amp;sheet=A0&amp;row=231&amp;col=17&amp;number=&amp;sourceID=12","")</f>
        <v/>
      </c>
      <c r="R231" s="4" t="str">
        <f>HYPERLINK("http://141.218.60.56/~jnz1568/getInfo.php?workbook=10_01.xlsx&amp;sheet=A0&amp;row=231&amp;col=18&amp;number=&amp;sourceID=12","")</f>
        <v/>
      </c>
      <c r="S231" s="4" t="str">
        <f>HYPERLINK("http://141.218.60.56/~jnz1568/getInfo.php?workbook=10_01.xlsx&amp;sheet=A0&amp;row=231&amp;col=19&amp;number=&amp;sourceID=12","")</f>
        <v/>
      </c>
      <c r="T231" s="4" t="str">
        <f>HYPERLINK("http://141.218.60.56/~jnz1568/getInfo.php?workbook=10_01.xlsx&amp;sheet=A0&amp;row=231&amp;col=20&amp;number=7.6745e-11&amp;sourceID=12","7.6745e-11")</f>
        <v>7.6745e-11</v>
      </c>
      <c r="U231" s="4" t="str">
        <f>HYPERLINK("http://141.218.60.56/~jnz1568/getInfo.php?workbook=10_01.xlsx&amp;sheet=A0&amp;row=231&amp;col=21&amp;number=&amp;sourceID=30","")</f>
        <v/>
      </c>
      <c r="V231" s="4" t="str">
        <f>HYPERLINK("http://141.218.60.56/~jnz1568/getInfo.php?workbook=10_01.xlsx&amp;sheet=A0&amp;row=231&amp;col=22&amp;number=&amp;sourceID=30","")</f>
        <v/>
      </c>
      <c r="W231" s="4" t="str">
        <f>HYPERLINK("http://141.218.60.56/~jnz1568/getInfo.php?workbook=10_01.xlsx&amp;sheet=A0&amp;row=231&amp;col=23&amp;number=&amp;sourceID=30","")</f>
        <v/>
      </c>
      <c r="X231" s="4" t="str">
        <f>HYPERLINK("http://141.218.60.56/~jnz1568/getInfo.php?workbook=10_01.xlsx&amp;sheet=A0&amp;row=231&amp;col=24&amp;number=&amp;sourceID=30","")</f>
        <v/>
      </c>
      <c r="Y231" s="4" t="str">
        <f>HYPERLINK("http://141.218.60.56/~jnz1568/getInfo.php?workbook=10_01.xlsx&amp;sheet=A0&amp;row=231&amp;col=25&amp;number=&amp;sourceID=30","")</f>
        <v/>
      </c>
      <c r="Z231" s="4" t="str">
        <f>HYPERLINK("http://141.218.60.56/~jnz1568/getInfo.php?workbook=10_01.xlsx&amp;sheet=A0&amp;row=231&amp;col=26&amp;number=&amp;sourceID=13","")</f>
        <v/>
      </c>
      <c r="AA231" s="4" t="str">
        <f>HYPERLINK("http://141.218.60.56/~jnz1568/getInfo.php?workbook=10_01.xlsx&amp;sheet=A0&amp;row=231&amp;col=27&amp;number=&amp;sourceID=13","")</f>
        <v/>
      </c>
      <c r="AB231" s="4" t="str">
        <f>HYPERLINK("http://141.218.60.56/~jnz1568/getInfo.php?workbook=10_01.xlsx&amp;sheet=A0&amp;row=231&amp;col=28&amp;number=&amp;sourceID=13","")</f>
        <v/>
      </c>
      <c r="AC231" s="4" t="str">
        <f>HYPERLINK("http://141.218.60.56/~jnz1568/getInfo.php?workbook=10_01.xlsx&amp;sheet=A0&amp;row=231&amp;col=29&amp;number=&amp;sourceID=13","")</f>
        <v/>
      </c>
      <c r="AD231" s="4" t="str">
        <f>HYPERLINK("http://141.218.60.56/~jnz1568/getInfo.php?workbook=10_01.xlsx&amp;sheet=A0&amp;row=231&amp;col=30&amp;number=&amp;sourceID=13","")</f>
        <v/>
      </c>
      <c r="AE231" s="4" t="str">
        <f>HYPERLINK("http://141.218.60.56/~jnz1568/getInfo.php?workbook=10_01.xlsx&amp;sheet=A0&amp;row=231&amp;col=31&amp;number=&amp;sourceID=13","")</f>
        <v/>
      </c>
      <c r="AF231" s="4" t="str">
        <f>HYPERLINK("http://141.218.60.56/~jnz1568/getInfo.php?workbook=10_01.xlsx&amp;sheet=A0&amp;row=231&amp;col=32&amp;number=&amp;sourceID=20","")</f>
        <v/>
      </c>
    </row>
    <row r="232" spans="1:32">
      <c r="A232" s="3">
        <v>10</v>
      </c>
      <c r="B232" s="3">
        <v>1</v>
      </c>
      <c r="C232" s="3">
        <v>23</v>
      </c>
      <c r="D232" s="3">
        <v>7</v>
      </c>
      <c r="E232" s="3">
        <f>((1/(INDEX(E0!J$4:J$28,C232,1)-INDEX(E0!J$4:J$28,D232,1))))*100000000</f>
        <v>0</v>
      </c>
      <c r="F232" s="4" t="str">
        <f>HYPERLINK("http://141.218.60.56/~jnz1568/getInfo.php?workbook=10_01.xlsx&amp;sheet=A0&amp;row=232&amp;col=6&amp;number=&amp;sourceID=18","")</f>
        <v/>
      </c>
      <c r="G232" s="4" t="str">
        <f>HYPERLINK("http://141.218.60.56/~jnz1568/getInfo.php?workbook=10_01.xlsx&amp;sheet=A0&amp;row=232&amp;col=7&amp;number==&amp;sourceID=11","=")</f>
        <v>=</v>
      </c>
      <c r="H232" s="4" t="str">
        <f>HYPERLINK("http://141.218.60.56/~jnz1568/getInfo.php?workbook=10_01.xlsx&amp;sheet=A0&amp;row=232&amp;col=8&amp;number=&amp;sourceID=11","")</f>
        <v/>
      </c>
      <c r="I232" s="4" t="str">
        <f>HYPERLINK("http://141.218.60.56/~jnz1568/getInfo.php?workbook=10_01.xlsx&amp;sheet=A0&amp;row=232&amp;col=9&amp;number=10454000&amp;sourceID=11","10454000")</f>
        <v>10454000</v>
      </c>
      <c r="J232" s="4" t="str">
        <f>HYPERLINK("http://141.218.60.56/~jnz1568/getInfo.php?workbook=10_01.xlsx&amp;sheet=A0&amp;row=232&amp;col=10&amp;number=&amp;sourceID=11","")</f>
        <v/>
      </c>
      <c r="K232" s="4" t="str">
        <f>HYPERLINK("http://141.218.60.56/~jnz1568/getInfo.php?workbook=10_01.xlsx&amp;sheet=A0&amp;row=232&amp;col=11&amp;number=&amp;sourceID=11","")</f>
        <v/>
      </c>
      <c r="L232" s="4" t="str">
        <f>HYPERLINK("http://141.218.60.56/~jnz1568/getInfo.php?workbook=10_01.xlsx&amp;sheet=A0&amp;row=232&amp;col=12&amp;number=&amp;sourceID=11","")</f>
        <v/>
      </c>
      <c r="M232" s="4" t="str">
        <f>HYPERLINK("http://141.218.60.56/~jnz1568/getInfo.php?workbook=10_01.xlsx&amp;sheet=A0&amp;row=232&amp;col=13&amp;number=0.0089323&amp;sourceID=11","0.0089323")</f>
        <v>0.0089323</v>
      </c>
      <c r="N232" s="4" t="str">
        <f>HYPERLINK("http://141.218.60.56/~jnz1568/getInfo.php?workbook=10_01.xlsx&amp;sheet=A0&amp;row=232&amp;col=14&amp;number=10454000&amp;sourceID=12","10454000")</f>
        <v>10454000</v>
      </c>
      <c r="O232" s="4" t="str">
        <f>HYPERLINK("http://141.218.60.56/~jnz1568/getInfo.php?workbook=10_01.xlsx&amp;sheet=A0&amp;row=232&amp;col=15&amp;number=&amp;sourceID=12","")</f>
        <v/>
      </c>
      <c r="P232" s="4" t="str">
        <f>HYPERLINK("http://141.218.60.56/~jnz1568/getInfo.php?workbook=10_01.xlsx&amp;sheet=A0&amp;row=232&amp;col=16&amp;number=10454000&amp;sourceID=12","10454000")</f>
        <v>10454000</v>
      </c>
      <c r="Q232" s="4" t="str">
        <f>HYPERLINK("http://141.218.60.56/~jnz1568/getInfo.php?workbook=10_01.xlsx&amp;sheet=A0&amp;row=232&amp;col=17&amp;number=&amp;sourceID=12","")</f>
        <v/>
      </c>
      <c r="R232" s="4" t="str">
        <f>HYPERLINK("http://141.218.60.56/~jnz1568/getInfo.php?workbook=10_01.xlsx&amp;sheet=A0&amp;row=232&amp;col=18&amp;number=&amp;sourceID=12","")</f>
        <v/>
      </c>
      <c r="S232" s="4" t="str">
        <f>HYPERLINK("http://141.218.60.56/~jnz1568/getInfo.php?workbook=10_01.xlsx&amp;sheet=A0&amp;row=232&amp;col=19&amp;number=&amp;sourceID=12","")</f>
        <v/>
      </c>
      <c r="T232" s="4" t="str">
        <f>HYPERLINK("http://141.218.60.56/~jnz1568/getInfo.php?workbook=10_01.xlsx&amp;sheet=A0&amp;row=232&amp;col=20&amp;number=0.0089326&amp;sourceID=12","0.0089326")</f>
        <v>0.0089326</v>
      </c>
      <c r="U232" s="4" t="str">
        <f>HYPERLINK("http://141.218.60.56/~jnz1568/getInfo.php?workbook=10_01.xlsx&amp;sheet=A0&amp;row=232&amp;col=21&amp;number=10450000&amp;sourceID=30","10450000")</f>
        <v>10450000</v>
      </c>
      <c r="V232" s="4" t="str">
        <f>HYPERLINK("http://141.218.60.56/~jnz1568/getInfo.php?workbook=10_01.xlsx&amp;sheet=A0&amp;row=232&amp;col=22&amp;number=&amp;sourceID=30","")</f>
        <v/>
      </c>
      <c r="W232" s="4" t="str">
        <f>HYPERLINK("http://141.218.60.56/~jnz1568/getInfo.php?workbook=10_01.xlsx&amp;sheet=A0&amp;row=232&amp;col=23&amp;number=10450000&amp;sourceID=30","10450000")</f>
        <v>10450000</v>
      </c>
      <c r="X232" s="4" t="str">
        <f>HYPERLINK("http://141.218.60.56/~jnz1568/getInfo.php?workbook=10_01.xlsx&amp;sheet=A0&amp;row=232&amp;col=24&amp;number=&amp;sourceID=30","")</f>
        <v/>
      </c>
      <c r="Y232" s="4" t="str">
        <f>HYPERLINK("http://141.218.60.56/~jnz1568/getInfo.php?workbook=10_01.xlsx&amp;sheet=A0&amp;row=232&amp;col=25&amp;number=&amp;sourceID=30","")</f>
        <v/>
      </c>
      <c r="Z232" s="4" t="str">
        <f>HYPERLINK("http://141.218.60.56/~jnz1568/getInfo.php?workbook=10_01.xlsx&amp;sheet=A0&amp;row=232&amp;col=26&amp;number=&amp;sourceID=13","")</f>
        <v/>
      </c>
      <c r="AA232" s="4" t="str">
        <f>HYPERLINK("http://141.218.60.56/~jnz1568/getInfo.php?workbook=10_01.xlsx&amp;sheet=A0&amp;row=232&amp;col=27&amp;number=&amp;sourceID=13","")</f>
        <v/>
      </c>
      <c r="AB232" s="4" t="str">
        <f>HYPERLINK("http://141.218.60.56/~jnz1568/getInfo.php?workbook=10_01.xlsx&amp;sheet=A0&amp;row=232&amp;col=28&amp;number=&amp;sourceID=13","")</f>
        <v/>
      </c>
      <c r="AC232" s="4" t="str">
        <f>HYPERLINK("http://141.218.60.56/~jnz1568/getInfo.php?workbook=10_01.xlsx&amp;sheet=A0&amp;row=232&amp;col=29&amp;number=&amp;sourceID=13","")</f>
        <v/>
      </c>
      <c r="AD232" s="4" t="str">
        <f>HYPERLINK("http://141.218.60.56/~jnz1568/getInfo.php?workbook=10_01.xlsx&amp;sheet=A0&amp;row=232&amp;col=30&amp;number=&amp;sourceID=13","")</f>
        <v/>
      </c>
      <c r="AE232" s="4" t="str">
        <f>HYPERLINK("http://141.218.60.56/~jnz1568/getInfo.php?workbook=10_01.xlsx&amp;sheet=A0&amp;row=232&amp;col=31&amp;number=&amp;sourceID=13","")</f>
        <v/>
      </c>
      <c r="AF232" s="4" t="str">
        <f>HYPERLINK("http://141.218.60.56/~jnz1568/getInfo.php?workbook=10_01.xlsx&amp;sheet=A0&amp;row=232&amp;col=32&amp;number=&amp;sourceID=20","")</f>
        <v/>
      </c>
    </row>
    <row r="233" spans="1:32">
      <c r="A233" s="3">
        <v>10</v>
      </c>
      <c r="B233" s="3">
        <v>1</v>
      </c>
      <c r="C233" s="3">
        <v>23</v>
      </c>
      <c r="D233" s="3">
        <v>8</v>
      </c>
      <c r="E233" s="3">
        <f>((1/(INDEX(E0!J$4:J$28,C233,1)-INDEX(E0!J$4:J$28,D233,1))))*100000000</f>
        <v>0</v>
      </c>
      <c r="F233" s="4" t="str">
        <f>HYPERLINK("http://141.218.60.56/~jnz1568/getInfo.php?workbook=10_01.xlsx&amp;sheet=A0&amp;row=233&amp;col=6&amp;number=&amp;sourceID=18","")</f>
        <v/>
      </c>
      <c r="G233" s="4" t="str">
        <f>HYPERLINK("http://141.218.60.56/~jnz1568/getInfo.php?workbook=10_01.xlsx&amp;sheet=A0&amp;row=233&amp;col=7&amp;number==&amp;sourceID=11","=")</f>
        <v>=</v>
      </c>
      <c r="H233" s="4" t="str">
        <f>HYPERLINK("http://141.218.60.56/~jnz1568/getInfo.php?workbook=10_01.xlsx&amp;sheet=A0&amp;row=233&amp;col=8&amp;number=&amp;sourceID=11","")</f>
        <v/>
      </c>
      <c r="I233" s="4" t="str">
        <f>HYPERLINK("http://141.218.60.56/~jnz1568/getInfo.php?workbook=10_01.xlsx&amp;sheet=A0&amp;row=233&amp;col=9&amp;number=&amp;sourceID=11","")</f>
        <v/>
      </c>
      <c r="J233" s="4" t="str">
        <f>HYPERLINK("http://141.218.60.56/~jnz1568/getInfo.php?workbook=10_01.xlsx&amp;sheet=A0&amp;row=233&amp;col=10&amp;number=354.33&amp;sourceID=11","354.33")</f>
        <v>354.33</v>
      </c>
      <c r="K233" s="4" t="str">
        <f>HYPERLINK("http://141.218.60.56/~jnz1568/getInfo.php?workbook=10_01.xlsx&amp;sheet=A0&amp;row=233&amp;col=11&amp;number=&amp;sourceID=11","")</f>
        <v/>
      </c>
      <c r="L233" s="4" t="str">
        <f>HYPERLINK("http://141.218.60.56/~jnz1568/getInfo.php?workbook=10_01.xlsx&amp;sheet=A0&amp;row=233&amp;col=12&amp;number=1.6936e-06&amp;sourceID=11","1.6936e-06")</f>
        <v>1.6936e-06</v>
      </c>
      <c r="M233" s="4" t="str">
        <f>HYPERLINK("http://141.218.60.56/~jnz1568/getInfo.php?workbook=10_01.xlsx&amp;sheet=A0&amp;row=233&amp;col=13&amp;number=&amp;sourceID=11","")</f>
        <v/>
      </c>
      <c r="N233" s="4" t="str">
        <f>HYPERLINK("http://141.218.60.56/~jnz1568/getInfo.php?workbook=10_01.xlsx&amp;sheet=A0&amp;row=233&amp;col=14&amp;number=354.34&amp;sourceID=12","354.34")</f>
        <v>354.34</v>
      </c>
      <c r="O233" s="4" t="str">
        <f>HYPERLINK("http://141.218.60.56/~jnz1568/getInfo.php?workbook=10_01.xlsx&amp;sheet=A0&amp;row=233&amp;col=15&amp;number=&amp;sourceID=12","")</f>
        <v/>
      </c>
      <c r="P233" s="4" t="str">
        <f>HYPERLINK("http://141.218.60.56/~jnz1568/getInfo.php?workbook=10_01.xlsx&amp;sheet=A0&amp;row=233&amp;col=16&amp;number=&amp;sourceID=12","")</f>
        <v/>
      </c>
      <c r="Q233" s="4" t="str">
        <f>HYPERLINK("http://141.218.60.56/~jnz1568/getInfo.php?workbook=10_01.xlsx&amp;sheet=A0&amp;row=233&amp;col=17&amp;number=354.34&amp;sourceID=12","354.34")</f>
        <v>354.34</v>
      </c>
      <c r="R233" s="4" t="str">
        <f>HYPERLINK("http://141.218.60.56/~jnz1568/getInfo.php?workbook=10_01.xlsx&amp;sheet=A0&amp;row=233&amp;col=18&amp;number=&amp;sourceID=12","")</f>
        <v/>
      </c>
      <c r="S233" s="4" t="str">
        <f>HYPERLINK("http://141.218.60.56/~jnz1568/getInfo.php?workbook=10_01.xlsx&amp;sheet=A0&amp;row=233&amp;col=19&amp;number=1.6935e-06&amp;sourceID=12","1.6935e-06")</f>
        <v>1.6935e-06</v>
      </c>
      <c r="T233" s="4" t="str">
        <f>HYPERLINK("http://141.218.60.56/~jnz1568/getInfo.php?workbook=10_01.xlsx&amp;sheet=A0&amp;row=233&amp;col=20&amp;number=&amp;sourceID=12","")</f>
        <v/>
      </c>
      <c r="U233" s="4" t="str">
        <f>HYPERLINK("http://141.218.60.56/~jnz1568/getInfo.php?workbook=10_01.xlsx&amp;sheet=A0&amp;row=233&amp;col=21&amp;number=1.692e-06&amp;sourceID=30","1.692e-06")</f>
        <v>1.692e-06</v>
      </c>
      <c r="V233" s="4" t="str">
        <f>HYPERLINK("http://141.218.60.56/~jnz1568/getInfo.php?workbook=10_01.xlsx&amp;sheet=A0&amp;row=233&amp;col=22&amp;number=&amp;sourceID=30","")</f>
        <v/>
      </c>
      <c r="W233" s="4" t="str">
        <f>HYPERLINK("http://141.218.60.56/~jnz1568/getInfo.php?workbook=10_01.xlsx&amp;sheet=A0&amp;row=233&amp;col=23&amp;number=&amp;sourceID=30","")</f>
        <v/>
      </c>
      <c r="X233" s="4" t="str">
        <f>HYPERLINK("http://141.218.60.56/~jnz1568/getInfo.php?workbook=10_01.xlsx&amp;sheet=A0&amp;row=233&amp;col=24&amp;number=&amp;sourceID=30","")</f>
        <v/>
      </c>
      <c r="Y233" s="4" t="str">
        <f>HYPERLINK("http://141.218.60.56/~jnz1568/getInfo.php?workbook=10_01.xlsx&amp;sheet=A0&amp;row=233&amp;col=25&amp;number=1.692e-06&amp;sourceID=30","1.692e-06")</f>
        <v>1.692e-06</v>
      </c>
      <c r="Z233" s="4" t="str">
        <f>HYPERLINK("http://141.218.60.56/~jnz1568/getInfo.php?workbook=10_01.xlsx&amp;sheet=A0&amp;row=233&amp;col=26&amp;number=&amp;sourceID=13","")</f>
        <v/>
      </c>
      <c r="AA233" s="4" t="str">
        <f>HYPERLINK("http://141.218.60.56/~jnz1568/getInfo.php?workbook=10_01.xlsx&amp;sheet=A0&amp;row=233&amp;col=27&amp;number=&amp;sourceID=13","")</f>
        <v/>
      </c>
      <c r="AB233" s="4" t="str">
        <f>HYPERLINK("http://141.218.60.56/~jnz1568/getInfo.php?workbook=10_01.xlsx&amp;sheet=A0&amp;row=233&amp;col=28&amp;number=&amp;sourceID=13","")</f>
        <v/>
      </c>
      <c r="AC233" s="4" t="str">
        <f>HYPERLINK("http://141.218.60.56/~jnz1568/getInfo.php?workbook=10_01.xlsx&amp;sheet=A0&amp;row=233&amp;col=29&amp;number=&amp;sourceID=13","")</f>
        <v/>
      </c>
      <c r="AD233" s="4" t="str">
        <f>HYPERLINK("http://141.218.60.56/~jnz1568/getInfo.php?workbook=10_01.xlsx&amp;sheet=A0&amp;row=233&amp;col=30&amp;number=&amp;sourceID=13","")</f>
        <v/>
      </c>
      <c r="AE233" s="4" t="str">
        <f>HYPERLINK("http://141.218.60.56/~jnz1568/getInfo.php?workbook=10_01.xlsx&amp;sheet=A0&amp;row=233&amp;col=31&amp;number=&amp;sourceID=13","")</f>
        <v/>
      </c>
      <c r="AF233" s="4" t="str">
        <f>HYPERLINK("http://141.218.60.56/~jnz1568/getInfo.php?workbook=10_01.xlsx&amp;sheet=A0&amp;row=233&amp;col=32&amp;number=&amp;sourceID=20","")</f>
        <v/>
      </c>
    </row>
    <row r="234" spans="1:32">
      <c r="A234" s="3">
        <v>10</v>
      </c>
      <c r="B234" s="3">
        <v>1</v>
      </c>
      <c r="C234" s="3">
        <v>23</v>
      </c>
      <c r="D234" s="3">
        <v>9</v>
      </c>
      <c r="E234" s="3">
        <f>((1/(INDEX(E0!J$4:J$28,C234,1)-INDEX(E0!J$4:J$28,D234,1))))*100000000</f>
        <v>0</v>
      </c>
      <c r="F234" s="4" t="str">
        <f>HYPERLINK("http://141.218.60.56/~jnz1568/getInfo.php?workbook=10_01.xlsx&amp;sheet=A0&amp;row=234&amp;col=6&amp;number=&amp;sourceID=18","")</f>
        <v/>
      </c>
      <c r="G234" s="4" t="str">
        <f>HYPERLINK("http://141.218.60.56/~jnz1568/getInfo.php?workbook=10_01.xlsx&amp;sheet=A0&amp;row=234&amp;col=7&amp;number==&amp;sourceID=11","=")</f>
        <v>=</v>
      </c>
      <c r="H234" s="4" t="str">
        <f>HYPERLINK("http://141.218.60.56/~jnz1568/getInfo.php?workbook=10_01.xlsx&amp;sheet=A0&amp;row=234&amp;col=8&amp;number=&amp;sourceID=11","")</f>
        <v/>
      </c>
      <c r="I234" s="4" t="str">
        <f>HYPERLINK("http://141.218.60.56/~jnz1568/getInfo.php?workbook=10_01.xlsx&amp;sheet=A0&amp;row=234&amp;col=9&amp;number=1161200&amp;sourceID=11","1161200")</f>
        <v>1161200</v>
      </c>
      <c r="J234" s="4" t="str">
        <f>HYPERLINK("http://141.218.60.56/~jnz1568/getInfo.php?workbook=10_01.xlsx&amp;sheet=A0&amp;row=234&amp;col=10&amp;number=&amp;sourceID=11","")</f>
        <v/>
      </c>
      <c r="K234" s="4" t="str">
        <f>HYPERLINK("http://141.218.60.56/~jnz1568/getInfo.php?workbook=10_01.xlsx&amp;sheet=A0&amp;row=234&amp;col=11&amp;number=0.013884&amp;sourceID=11","0.013884")</f>
        <v>0.013884</v>
      </c>
      <c r="L234" s="4" t="str">
        <f>HYPERLINK("http://141.218.60.56/~jnz1568/getInfo.php?workbook=10_01.xlsx&amp;sheet=A0&amp;row=234&amp;col=12&amp;number=&amp;sourceID=11","")</f>
        <v/>
      </c>
      <c r="M234" s="4" t="str">
        <f>HYPERLINK("http://141.218.60.56/~jnz1568/getInfo.php?workbook=10_01.xlsx&amp;sheet=A0&amp;row=234&amp;col=13&amp;number=0.00033056&amp;sourceID=11","0.00033056")</f>
        <v>0.00033056</v>
      </c>
      <c r="N234" s="4" t="str">
        <f>HYPERLINK("http://141.218.60.56/~jnz1568/getInfo.php?workbook=10_01.xlsx&amp;sheet=A0&amp;row=234&amp;col=14&amp;number=1161300&amp;sourceID=12","1161300")</f>
        <v>1161300</v>
      </c>
      <c r="O234" s="4" t="str">
        <f>HYPERLINK("http://141.218.60.56/~jnz1568/getInfo.php?workbook=10_01.xlsx&amp;sheet=A0&amp;row=234&amp;col=15&amp;number=&amp;sourceID=12","")</f>
        <v/>
      </c>
      <c r="P234" s="4" t="str">
        <f>HYPERLINK("http://141.218.60.56/~jnz1568/getInfo.php?workbook=10_01.xlsx&amp;sheet=A0&amp;row=234&amp;col=16&amp;number=1161300&amp;sourceID=12","1161300")</f>
        <v>1161300</v>
      </c>
      <c r="Q234" s="4" t="str">
        <f>HYPERLINK("http://141.218.60.56/~jnz1568/getInfo.php?workbook=10_01.xlsx&amp;sheet=A0&amp;row=234&amp;col=17&amp;number=&amp;sourceID=12","")</f>
        <v/>
      </c>
      <c r="R234" s="4" t="str">
        <f>HYPERLINK("http://141.218.60.56/~jnz1568/getInfo.php?workbook=10_01.xlsx&amp;sheet=A0&amp;row=234&amp;col=18&amp;number=0.013884&amp;sourceID=12","0.013884")</f>
        <v>0.013884</v>
      </c>
      <c r="S234" s="4" t="str">
        <f>HYPERLINK("http://141.218.60.56/~jnz1568/getInfo.php?workbook=10_01.xlsx&amp;sheet=A0&amp;row=234&amp;col=19&amp;number=&amp;sourceID=12","")</f>
        <v/>
      </c>
      <c r="T234" s="4" t="str">
        <f>HYPERLINK("http://141.218.60.56/~jnz1568/getInfo.php?workbook=10_01.xlsx&amp;sheet=A0&amp;row=234&amp;col=20&amp;number=0.00033057&amp;sourceID=12","0.00033057")</f>
        <v>0.00033057</v>
      </c>
      <c r="U234" s="4" t="str">
        <f>HYPERLINK("http://141.218.60.56/~jnz1568/getInfo.php?workbook=10_01.xlsx&amp;sheet=A0&amp;row=234&amp;col=21&amp;number=1161000.01388&amp;sourceID=30","1161000.01388")</f>
        <v>1161000.01388</v>
      </c>
      <c r="V234" s="4" t="str">
        <f>HYPERLINK("http://141.218.60.56/~jnz1568/getInfo.php?workbook=10_01.xlsx&amp;sheet=A0&amp;row=234&amp;col=22&amp;number=&amp;sourceID=30","")</f>
        <v/>
      </c>
      <c r="W234" s="4" t="str">
        <f>HYPERLINK("http://141.218.60.56/~jnz1568/getInfo.php?workbook=10_01.xlsx&amp;sheet=A0&amp;row=234&amp;col=23&amp;number=1161000&amp;sourceID=30","1161000")</f>
        <v>1161000</v>
      </c>
      <c r="X234" s="4" t="str">
        <f>HYPERLINK("http://141.218.60.56/~jnz1568/getInfo.php?workbook=10_01.xlsx&amp;sheet=A0&amp;row=234&amp;col=24&amp;number=0.01388&amp;sourceID=30","0.01388")</f>
        <v>0.01388</v>
      </c>
      <c r="Y234" s="4" t="str">
        <f>HYPERLINK("http://141.218.60.56/~jnz1568/getInfo.php?workbook=10_01.xlsx&amp;sheet=A0&amp;row=234&amp;col=25&amp;number=&amp;sourceID=30","")</f>
        <v/>
      </c>
      <c r="Z234" s="4" t="str">
        <f>HYPERLINK("http://141.218.60.56/~jnz1568/getInfo.php?workbook=10_01.xlsx&amp;sheet=A0&amp;row=234&amp;col=26&amp;number=&amp;sourceID=13","")</f>
        <v/>
      </c>
      <c r="AA234" s="4" t="str">
        <f>HYPERLINK("http://141.218.60.56/~jnz1568/getInfo.php?workbook=10_01.xlsx&amp;sheet=A0&amp;row=234&amp;col=27&amp;number=&amp;sourceID=13","")</f>
        <v/>
      </c>
      <c r="AB234" s="4" t="str">
        <f>HYPERLINK("http://141.218.60.56/~jnz1568/getInfo.php?workbook=10_01.xlsx&amp;sheet=A0&amp;row=234&amp;col=28&amp;number=&amp;sourceID=13","")</f>
        <v/>
      </c>
      <c r="AC234" s="4" t="str">
        <f>HYPERLINK("http://141.218.60.56/~jnz1568/getInfo.php?workbook=10_01.xlsx&amp;sheet=A0&amp;row=234&amp;col=29&amp;number=&amp;sourceID=13","")</f>
        <v/>
      </c>
      <c r="AD234" s="4" t="str">
        <f>HYPERLINK("http://141.218.60.56/~jnz1568/getInfo.php?workbook=10_01.xlsx&amp;sheet=A0&amp;row=234&amp;col=30&amp;number=&amp;sourceID=13","")</f>
        <v/>
      </c>
      <c r="AE234" s="4" t="str">
        <f>HYPERLINK("http://141.218.60.56/~jnz1568/getInfo.php?workbook=10_01.xlsx&amp;sheet=A0&amp;row=234&amp;col=31&amp;number=&amp;sourceID=13","")</f>
        <v/>
      </c>
      <c r="AF234" s="4" t="str">
        <f>HYPERLINK("http://141.218.60.56/~jnz1568/getInfo.php?workbook=10_01.xlsx&amp;sheet=A0&amp;row=234&amp;col=32&amp;number=&amp;sourceID=20","")</f>
        <v/>
      </c>
    </row>
    <row r="235" spans="1:32">
      <c r="A235" s="3">
        <v>10</v>
      </c>
      <c r="B235" s="3">
        <v>1</v>
      </c>
      <c r="C235" s="3">
        <v>23</v>
      </c>
      <c r="D235" s="3">
        <v>10</v>
      </c>
      <c r="E235" s="3">
        <f>((1/(INDEX(E0!J$4:J$28,C235,1)-INDEX(E0!J$4:J$28,D235,1))))*100000000</f>
        <v>0</v>
      </c>
      <c r="F235" s="4" t="str">
        <f>HYPERLINK("http://141.218.60.56/~jnz1568/getInfo.php?workbook=10_01.xlsx&amp;sheet=A0&amp;row=235&amp;col=6&amp;number=&amp;sourceID=18","")</f>
        <v/>
      </c>
      <c r="G235" s="4" t="str">
        <f>HYPERLINK("http://141.218.60.56/~jnz1568/getInfo.php?workbook=10_01.xlsx&amp;sheet=A0&amp;row=235&amp;col=7&amp;number==&amp;sourceID=11","=")</f>
        <v>=</v>
      </c>
      <c r="H235" s="4" t="str">
        <f>HYPERLINK("http://141.218.60.56/~jnz1568/getInfo.php?workbook=10_01.xlsx&amp;sheet=A0&amp;row=235&amp;col=8&amp;number=&amp;sourceID=11","")</f>
        <v/>
      </c>
      <c r="I235" s="4" t="str">
        <f>HYPERLINK("http://141.218.60.56/~jnz1568/getInfo.php?workbook=10_01.xlsx&amp;sheet=A0&amp;row=235&amp;col=9&amp;number=&amp;sourceID=11","")</f>
        <v/>
      </c>
      <c r="J235" s="4" t="str">
        <f>HYPERLINK("http://141.218.60.56/~jnz1568/getInfo.php?workbook=10_01.xlsx&amp;sheet=A0&amp;row=235&amp;col=10&amp;number=9.9274&amp;sourceID=11","9.9274")</f>
        <v>9.9274</v>
      </c>
      <c r="K235" s="4" t="str">
        <f>HYPERLINK("http://141.218.60.56/~jnz1568/getInfo.php?workbook=10_01.xlsx&amp;sheet=A0&amp;row=235&amp;col=11&amp;number=&amp;sourceID=11","")</f>
        <v/>
      </c>
      <c r="L235" s="4" t="str">
        <f>HYPERLINK("http://141.218.60.56/~jnz1568/getInfo.php?workbook=10_01.xlsx&amp;sheet=A0&amp;row=235&amp;col=12&amp;number=&amp;sourceID=11","")</f>
        <v/>
      </c>
      <c r="M235" s="4" t="str">
        <f>HYPERLINK("http://141.218.60.56/~jnz1568/getInfo.php?workbook=10_01.xlsx&amp;sheet=A0&amp;row=235&amp;col=13&amp;number=&amp;sourceID=11","")</f>
        <v/>
      </c>
      <c r="N235" s="4" t="str">
        <f>HYPERLINK("http://141.218.60.56/~jnz1568/getInfo.php?workbook=10_01.xlsx&amp;sheet=A0&amp;row=235&amp;col=14&amp;number=9.9276&amp;sourceID=12","9.9276")</f>
        <v>9.9276</v>
      </c>
      <c r="O235" s="4" t="str">
        <f>HYPERLINK("http://141.218.60.56/~jnz1568/getInfo.php?workbook=10_01.xlsx&amp;sheet=A0&amp;row=235&amp;col=15&amp;number=&amp;sourceID=12","")</f>
        <v/>
      </c>
      <c r="P235" s="4" t="str">
        <f>HYPERLINK("http://141.218.60.56/~jnz1568/getInfo.php?workbook=10_01.xlsx&amp;sheet=A0&amp;row=235&amp;col=16&amp;number=&amp;sourceID=12","")</f>
        <v/>
      </c>
      <c r="Q235" s="4" t="str">
        <f>HYPERLINK("http://141.218.60.56/~jnz1568/getInfo.php?workbook=10_01.xlsx&amp;sheet=A0&amp;row=235&amp;col=17&amp;number=9.9276&amp;sourceID=12","9.9276")</f>
        <v>9.9276</v>
      </c>
      <c r="R235" s="4" t="str">
        <f>HYPERLINK("http://141.218.60.56/~jnz1568/getInfo.php?workbook=10_01.xlsx&amp;sheet=A0&amp;row=235&amp;col=18&amp;number=&amp;sourceID=12","")</f>
        <v/>
      </c>
      <c r="S235" s="4" t="str">
        <f>HYPERLINK("http://141.218.60.56/~jnz1568/getInfo.php?workbook=10_01.xlsx&amp;sheet=A0&amp;row=235&amp;col=19&amp;number=&amp;sourceID=12","")</f>
        <v/>
      </c>
      <c r="T235" s="4" t="str">
        <f>HYPERLINK("http://141.218.60.56/~jnz1568/getInfo.php?workbook=10_01.xlsx&amp;sheet=A0&amp;row=235&amp;col=20&amp;number=&amp;sourceID=12","")</f>
        <v/>
      </c>
      <c r="U235" s="4" t="str">
        <f>HYPERLINK("http://141.218.60.56/~jnz1568/getInfo.php?workbook=10_01.xlsx&amp;sheet=A0&amp;row=235&amp;col=21&amp;number=&amp;sourceID=30","")</f>
        <v/>
      </c>
      <c r="V235" s="4" t="str">
        <f>HYPERLINK("http://141.218.60.56/~jnz1568/getInfo.php?workbook=10_01.xlsx&amp;sheet=A0&amp;row=235&amp;col=22&amp;number=&amp;sourceID=30","")</f>
        <v/>
      </c>
      <c r="W235" s="4" t="str">
        <f>HYPERLINK("http://141.218.60.56/~jnz1568/getInfo.php?workbook=10_01.xlsx&amp;sheet=A0&amp;row=235&amp;col=23&amp;number=&amp;sourceID=30","")</f>
        <v/>
      </c>
      <c r="X235" s="4" t="str">
        <f>HYPERLINK("http://141.218.60.56/~jnz1568/getInfo.php?workbook=10_01.xlsx&amp;sheet=A0&amp;row=235&amp;col=24&amp;number=&amp;sourceID=30","")</f>
        <v/>
      </c>
      <c r="Y235" s="4" t="str">
        <f>HYPERLINK("http://141.218.60.56/~jnz1568/getInfo.php?workbook=10_01.xlsx&amp;sheet=A0&amp;row=235&amp;col=25&amp;number=&amp;sourceID=30","")</f>
        <v/>
      </c>
      <c r="Z235" s="4" t="str">
        <f>HYPERLINK("http://141.218.60.56/~jnz1568/getInfo.php?workbook=10_01.xlsx&amp;sheet=A0&amp;row=235&amp;col=26&amp;number=&amp;sourceID=13","")</f>
        <v/>
      </c>
      <c r="AA235" s="4" t="str">
        <f>HYPERLINK("http://141.218.60.56/~jnz1568/getInfo.php?workbook=10_01.xlsx&amp;sheet=A0&amp;row=235&amp;col=27&amp;number=&amp;sourceID=13","")</f>
        <v/>
      </c>
      <c r="AB235" s="4" t="str">
        <f>HYPERLINK("http://141.218.60.56/~jnz1568/getInfo.php?workbook=10_01.xlsx&amp;sheet=A0&amp;row=235&amp;col=28&amp;number=&amp;sourceID=13","")</f>
        <v/>
      </c>
      <c r="AC235" s="4" t="str">
        <f>HYPERLINK("http://141.218.60.56/~jnz1568/getInfo.php?workbook=10_01.xlsx&amp;sheet=A0&amp;row=235&amp;col=29&amp;number=&amp;sourceID=13","")</f>
        <v/>
      </c>
      <c r="AD235" s="4" t="str">
        <f>HYPERLINK("http://141.218.60.56/~jnz1568/getInfo.php?workbook=10_01.xlsx&amp;sheet=A0&amp;row=235&amp;col=30&amp;number=&amp;sourceID=13","")</f>
        <v/>
      </c>
      <c r="AE235" s="4" t="str">
        <f>HYPERLINK("http://141.218.60.56/~jnz1568/getInfo.php?workbook=10_01.xlsx&amp;sheet=A0&amp;row=235&amp;col=31&amp;number=&amp;sourceID=13","")</f>
        <v/>
      </c>
      <c r="AF235" s="4" t="str">
        <f>HYPERLINK("http://141.218.60.56/~jnz1568/getInfo.php?workbook=10_01.xlsx&amp;sheet=A0&amp;row=235&amp;col=32&amp;number=&amp;sourceID=20","")</f>
        <v/>
      </c>
    </row>
    <row r="236" spans="1:32">
      <c r="A236" s="3">
        <v>10</v>
      </c>
      <c r="B236" s="3">
        <v>1</v>
      </c>
      <c r="C236" s="3">
        <v>23</v>
      </c>
      <c r="D236" s="3">
        <v>11</v>
      </c>
      <c r="E236" s="3">
        <f>((1/(INDEX(E0!J$4:J$28,C236,1)-INDEX(E0!J$4:J$28,D236,1))))*100000000</f>
        <v>0</v>
      </c>
      <c r="F236" s="4" t="str">
        <f>HYPERLINK("http://141.218.60.56/~jnz1568/getInfo.php?workbook=10_01.xlsx&amp;sheet=A0&amp;row=236&amp;col=6&amp;number=&amp;sourceID=18","")</f>
        <v/>
      </c>
      <c r="G236" s="4" t="str">
        <f>HYPERLINK("http://141.218.60.56/~jnz1568/getInfo.php?workbook=10_01.xlsx&amp;sheet=A0&amp;row=236&amp;col=7&amp;number==&amp;sourceID=11","=")</f>
        <v>=</v>
      </c>
      <c r="H236" s="4" t="str">
        <f>HYPERLINK("http://141.218.60.56/~jnz1568/getInfo.php?workbook=10_01.xlsx&amp;sheet=A0&amp;row=236&amp;col=8&amp;number=&amp;sourceID=11","")</f>
        <v/>
      </c>
      <c r="I236" s="4" t="str">
        <f>HYPERLINK("http://141.218.60.56/~jnz1568/getInfo.php?workbook=10_01.xlsx&amp;sheet=A0&amp;row=236&amp;col=9&amp;number=&amp;sourceID=11","")</f>
        <v/>
      </c>
      <c r="J236" s="4" t="str">
        <f>HYPERLINK("http://141.218.60.56/~jnz1568/getInfo.php?workbook=10_01.xlsx&amp;sheet=A0&amp;row=236&amp;col=10&amp;number=&amp;sourceID=11","")</f>
        <v/>
      </c>
      <c r="K236" s="4" t="str">
        <f>HYPERLINK("http://141.218.60.56/~jnz1568/getInfo.php?workbook=10_01.xlsx&amp;sheet=A0&amp;row=236&amp;col=11&amp;number=&amp;sourceID=11","")</f>
        <v/>
      </c>
      <c r="L236" s="4" t="str">
        <f>HYPERLINK("http://141.218.60.56/~jnz1568/getInfo.php?workbook=10_01.xlsx&amp;sheet=A0&amp;row=236&amp;col=12&amp;number=&amp;sourceID=11","")</f>
        <v/>
      </c>
      <c r="M236" s="4" t="str">
        <f>HYPERLINK("http://141.218.60.56/~jnz1568/getInfo.php?workbook=10_01.xlsx&amp;sheet=A0&amp;row=236&amp;col=13&amp;number=8.8e-14&amp;sourceID=11","8.8e-14")</f>
        <v>8.8e-14</v>
      </c>
      <c r="N236" s="4" t="str">
        <f>HYPERLINK("http://141.218.60.56/~jnz1568/getInfo.php?workbook=10_01.xlsx&amp;sheet=A0&amp;row=236&amp;col=14&amp;number=8.8e-14&amp;sourceID=12","8.8e-14")</f>
        <v>8.8e-14</v>
      </c>
      <c r="O236" s="4" t="str">
        <f>HYPERLINK("http://141.218.60.56/~jnz1568/getInfo.php?workbook=10_01.xlsx&amp;sheet=A0&amp;row=236&amp;col=15&amp;number=&amp;sourceID=12","")</f>
        <v/>
      </c>
      <c r="P236" s="4" t="str">
        <f>HYPERLINK("http://141.218.60.56/~jnz1568/getInfo.php?workbook=10_01.xlsx&amp;sheet=A0&amp;row=236&amp;col=16&amp;number=&amp;sourceID=12","")</f>
        <v/>
      </c>
      <c r="Q236" s="4" t="str">
        <f>HYPERLINK("http://141.218.60.56/~jnz1568/getInfo.php?workbook=10_01.xlsx&amp;sheet=A0&amp;row=236&amp;col=17&amp;number=&amp;sourceID=12","")</f>
        <v/>
      </c>
      <c r="R236" s="4" t="str">
        <f>HYPERLINK("http://141.218.60.56/~jnz1568/getInfo.php?workbook=10_01.xlsx&amp;sheet=A0&amp;row=236&amp;col=18&amp;number=&amp;sourceID=12","")</f>
        <v/>
      </c>
      <c r="S236" s="4" t="str">
        <f>HYPERLINK("http://141.218.60.56/~jnz1568/getInfo.php?workbook=10_01.xlsx&amp;sheet=A0&amp;row=236&amp;col=19&amp;number=&amp;sourceID=12","")</f>
        <v/>
      </c>
      <c r="T236" s="4" t="str">
        <f>HYPERLINK("http://141.218.60.56/~jnz1568/getInfo.php?workbook=10_01.xlsx&amp;sheet=A0&amp;row=236&amp;col=20&amp;number=8.8e-14&amp;sourceID=12","8.8e-14")</f>
        <v>8.8e-14</v>
      </c>
      <c r="U236" s="4" t="str">
        <f>HYPERLINK("http://141.218.60.56/~jnz1568/getInfo.php?workbook=10_01.xlsx&amp;sheet=A0&amp;row=236&amp;col=21&amp;number=&amp;sourceID=30","")</f>
        <v/>
      </c>
      <c r="V236" s="4" t="str">
        <f>HYPERLINK("http://141.218.60.56/~jnz1568/getInfo.php?workbook=10_01.xlsx&amp;sheet=A0&amp;row=236&amp;col=22&amp;number=&amp;sourceID=30","")</f>
        <v/>
      </c>
      <c r="W236" s="4" t="str">
        <f>HYPERLINK("http://141.218.60.56/~jnz1568/getInfo.php?workbook=10_01.xlsx&amp;sheet=A0&amp;row=236&amp;col=23&amp;number=&amp;sourceID=30","")</f>
        <v/>
      </c>
      <c r="X236" s="4" t="str">
        <f>HYPERLINK("http://141.218.60.56/~jnz1568/getInfo.php?workbook=10_01.xlsx&amp;sheet=A0&amp;row=236&amp;col=24&amp;number=&amp;sourceID=30","")</f>
        <v/>
      </c>
      <c r="Y236" s="4" t="str">
        <f>HYPERLINK("http://141.218.60.56/~jnz1568/getInfo.php?workbook=10_01.xlsx&amp;sheet=A0&amp;row=236&amp;col=25&amp;number=&amp;sourceID=30","")</f>
        <v/>
      </c>
      <c r="Z236" s="4" t="str">
        <f>HYPERLINK("http://141.218.60.56/~jnz1568/getInfo.php?workbook=10_01.xlsx&amp;sheet=A0&amp;row=236&amp;col=26&amp;number=&amp;sourceID=13","")</f>
        <v/>
      </c>
      <c r="AA236" s="4" t="str">
        <f>HYPERLINK("http://141.218.60.56/~jnz1568/getInfo.php?workbook=10_01.xlsx&amp;sheet=A0&amp;row=236&amp;col=27&amp;number=&amp;sourceID=13","")</f>
        <v/>
      </c>
      <c r="AB236" s="4" t="str">
        <f>HYPERLINK("http://141.218.60.56/~jnz1568/getInfo.php?workbook=10_01.xlsx&amp;sheet=A0&amp;row=236&amp;col=28&amp;number=&amp;sourceID=13","")</f>
        <v/>
      </c>
      <c r="AC236" s="4" t="str">
        <f>HYPERLINK("http://141.218.60.56/~jnz1568/getInfo.php?workbook=10_01.xlsx&amp;sheet=A0&amp;row=236&amp;col=29&amp;number=&amp;sourceID=13","")</f>
        <v/>
      </c>
      <c r="AD236" s="4" t="str">
        <f>HYPERLINK("http://141.218.60.56/~jnz1568/getInfo.php?workbook=10_01.xlsx&amp;sheet=A0&amp;row=236&amp;col=30&amp;number=&amp;sourceID=13","")</f>
        <v/>
      </c>
      <c r="AE236" s="4" t="str">
        <f>HYPERLINK("http://141.218.60.56/~jnz1568/getInfo.php?workbook=10_01.xlsx&amp;sheet=A0&amp;row=236&amp;col=31&amp;number=&amp;sourceID=13","")</f>
        <v/>
      </c>
      <c r="AF236" s="4" t="str">
        <f>HYPERLINK("http://141.218.60.56/~jnz1568/getInfo.php?workbook=10_01.xlsx&amp;sheet=A0&amp;row=236&amp;col=32&amp;number=&amp;sourceID=20","")</f>
        <v/>
      </c>
    </row>
    <row r="237" spans="1:32">
      <c r="A237" s="3">
        <v>10</v>
      </c>
      <c r="B237" s="3">
        <v>1</v>
      </c>
      <c r="C237" s="3">
        <v>23</v>
      </c>
      <c r="D237" s="3">
        <v>12</v>
      </c>
      <c r="E237" s="3">
        <f>((1/(INDEX(E0!J$4:J$28,C237,1)-INDEX(E0!J$4:J$28,D237,1))))*100000000</f>
        <v>0</v>
      </c>
      <c r="F237" s="4" t="str">
        <f>HYPERLINK("http://141.218.60.56/~jnz1568/getInfo.php?workbook=10_01.xlsx&amp;sheet=A0&amp;row=237&amp;col=6&amp;number=&amp;sourceID=18","")</f>
        <v/>
      </c>
      <c r="G237" s="4" t="str">
        <f>HYPERLINK("http://141.218.60.56/~jnz1568/getInfo.php?workbook=10_01.xlsx&amp;sheet=A0&amp;row=237&amp;col=7&amp;number==&amp;sourceID=11","=")</f>
        <v>=</v>
      </c>
      <c r="H237" s="4" t="str">
        <f>HYPERLINK("http://141.218.60.56/~jnz1568/getInfo.php?workbook=10_01.xlsx&amp;sheet=A0&amp;row=237&amp;col=8&amp;number=&amp;sourceID=11","")</f>
        <v/>
      </c>
      <c r="I237" s="4" t="str">
        <f>HYPERLINK("http://141.218.60.56/~jnz1568/getInfo.php?workbook=10_01.xlsx&amp;sheet=A0&amp;row=237&amp;col=9&amp;number=902280&amp;sourceID=11","902280")</f>
        <v>902280</v>
      </c>
      <c r="J237" s="4" t="str">
        <f>HYPERLINK("http://141.218.60.56/~jnz1568/getInfo.php?workbook=10_01.xlsx&amp;sheet=A0&amp;row=237&amp;col=10&amp;number=&amp;sourceID=11","")</f>
        <v/>
      </c>
      <c r="K237" s="4" t="str">
        <f>HYPERLINK("http://141.218.60.56/~jnz1568/getInfo.php?workbook=10_01.xlsx&amp;sheet=A0&amp;row=237&amp;col=11&amp;number=&amp;sourceID=11","")</f>
        <v/>
      </c>
      <c r="L237" s="4" t="str">
        <f>HYPERLINK("http://141.218.60.56/~jnz1568/getInfo.php?workbook=10_01.xlsx&amp;sheet=A0&amp;row=237&amp;col=12&amp;number=&amp;sourceID=11","")</f>
        <v/>
      </c>
      <c r="M237" s="4" t="str">
        <f>HYPERLINK("http://141.218.60.56/~jnz1568/getInfo.php?workbook=10_01.xlsx&amp;sheet=A0&amp;row=237&amp;col=13&amp;number=7.7239e-05&amp;sourceID=11","7.7239e-05")</f>
        <v>7.7239e-05</v>
      </c>
      <c r="N237" s="4" t="str">
        <f>HYPERLINK("http://141.218.60.56/~jnz1568/getInfo.php?workbook=10_01.xlsx&amp;sheet=A0&amp;row=237&amp;col=14&amp;number=902310&amp;sourceID=12","902310")</f>
        <v>902310</v>
      </c>
      <c r="O237" s="4" t="str">
        <f>HYPERLINK("http://141.218.60.56/~jnz1568/getInfo.php?workbook=10_01.xlsx&amp;sheet=A0&amp;row=237&amp;col=15&amp;number=&amp;sourceID=12","")</f>
        <v/>
      </c>
      <c r="P237" s="4" t="str">
        <f>HYPERLINK("http://141.218.60.56/~jnz1568/getInfo.php?workbook=10_01.xlsx&amp;sheet=A0&amp;row=237&amp;col=16&amp;number=902310&amp;sourceID=12","902310")</f>
        <v>902310</v>
      </c>
      <c r="Q237" s="4" t="str">
        <f>HYPERLINK("http://141.218.60.56/~jnz1568/getInfo.php?workbook=10_01.xlsx&amp;sheet=A0&amp;row=237&amp;col=17&amp;number=&amp;sourceID=12","")</f>
        <v/>
      </c>
      <c r="R237" s="4" t="str">
        <f>HYPERLINK("http://141.218.60.56/~jnz1568/getInfo.php?workbook=10_01.xlsx&amp;sheet=A0&amp;row=237&amp;col=18&amp;number=&amp;sourceID=12","")</f>
        <v/>
      </c>
      <c r="S237" s="4" t="str">
        <f>HYPERLINK("http://141.218.60.56/~jnz1568/getInfo.php?workbook=10_01.xlsx&amp;sheet=A0&amp;row=237&amp;col=19&amp;number=&amp;sourceID=12","")</f>
        <v/>
      </c>
      <c r="T237" s="4" t="str">
        <f>HYPERLINK("http://141.218.60.56/~jnz1568/getInfo.php?workbook=10_01.xlsx&amp;sheet=A0&amp;row=237&amp;col=20&amp;number=7.7241e-05&amp;sourceID=12","7.7241e-05")</f>
        <v>7.7241e-05</v>
      </c>
      <c r="U237" s="4" t="str">
        <f>HYPERLINK("http://141.218.60.56/~jnz1568/getInfo.php?workbook=10_01.xlsx&amp;sheet=A0&amp;row=237&amp;col=21&amp;number=902300&amp;sourceID=30","902300")</f>
        <v>902300</v>
      </c>
      <c r="V237" s="4" t="str">
        <f>HYPERLINK("http://141.218.60.56/~jnz1568/getInfo.php?workbook=10_01.xlsx&amp;sheet=A0&amp;row=237&amp;col=22&amp;number=&amp;sourceID=30","")</f>
        <v/>
      </c>
      <c r="W237" s="4" t="str">
        <f>HYPERLINK("http://141.218.60.56/~jnz1568/getInfo.php?workbook=10_01.xlsx&amp;sheet=A0&amp;row=237&amp;col=23&amp;number=902300&amp;sourceID=30","902300")</f>
        <v>902300</v>
      </c>
      <c r="X237" s="4" t="str">
        <f>HYPERLINK("http://141.218.60.56/~jnz1568/getInfo.php?workbook=10_01.xlsx&amp;sheet=A0&amp;row=237&amp;col=24&amp;number=&amp;sourceID=30","")</f>
        <v/>
      </c>
      <c r="Y237" s="4" t="str">
        <f>HYPERLINK("http://141.218.60.56/~jnz1568/getInfo.php?workbook=10_01.xlsx&amp;sheet=A0&amp;row=237&amp;col=25&amp;number=&amp;sourceID=30","")</f>
        <v/>
      </c>
      <c r="Z237" s="4" t="str">
        <f>HYPERLINK("http://141.218.60.56/~jnz1568/getInfo.php?workbook=10_01.xlsx&amp;sheet=A0&amp;row=237&amp;col=26&amp;number=&amp;sourceID=13","")</f>
        <v/>
      </c>
      <c r="AA237" s="4" t="str">
        <f>HYPERLINK("http://141.218.60.56/~jnz1568/getInfo.php?workbook=10_01.xlsx&amp;sheet=A0&amp;row=237&amp;col=27&amp;number=&amp;sourceID=13","")</f>
        <v/>
      </c>
      <c r="AB237" s="4" t="str">
        <f>HYPERLINK("http://141.218.60.56/~jnz1568/getInfo.php?workbook=10_01.xlsx&amp;sheet=A0&amp;row=237&amp;col=28&amp;number=&amp;sourceID=13","")</f>
        <v/>
      </c>
      <c r="AC237" s="4" t="str">
        <f>HYPERLINK("http://141.218.60.56/~jnz1568/getInfo.php?workbook=10_01.xlsx&amp;sheet=A0&amp;row=237&amp;col=29&amp;number=&amp;sourceID=13","")</f>
        <v/>
      </c>
      <c r="AD237" s="4" t="str">
        <f>HYPERLINK("http://141.218.60.56/~jnz1568/getInfo.php?workbook=10_01.xlsx&amp;sheet=A0&amp;row=237&amp;col=30&amp;number=&amp;sourceID=13","")</f>
        <v/>
      </c>
      <c r="AE237" s="4" t="str">
        <f>HYPERLINK("http://141.218.60.56/~jnz1568/getInfo.php?workbook=10_01.xlsx&amp;sheet=A0&amp;row=237&amp;col=31&amp;number=&amp;sourceID=13","")</f>
        <v/>
      </c>
      <c r="AF237" s="4" t="str">
        <f>HYPERLINK("http://141.218.60.56/~jnz1568/getInfo.php?workbook=10_01.xlsx&amp;sheet=A0&amp;row=237&amp;col=32&amp;number=&amp;sourceID=20","")</f>
        <v/>
      </c>
    </row>
    <row r="238" spans="1:32">
      <c r="A238" s="3">
        <v>10</v>
      </c>
      <c r="B238" s="3">
        <v>1</v>
      </c>
      <c r="C238" s="3">
        <v>23</v>
      </c>
      <c r="D238" s="3">
        <v>13</v>
      </c>
      <c r="E238" s="3">
        <f>((1/(INDEX(E0!J$4:J$28,C238,1)-INDEX(E0!J$4:J$28,D238,1))))*100000000</f>
        <v>0</v>
      </c>
      <c r="F238" s="4" t="str">
        <f>HYPERLINK("http://141.218.60.56/~jnz1568/getInfo.php?workbook=10_01.xlsx&amp;sheet=A0&amp;row=238&amp;col=6&amp;number=&amp;sourceID=18","")</f>
        <v/>
      </c>
      <c r="G238" s="4" t="str">
        <f>HYPERLINK("http://141.218.60.56/~jnz1568/getInfo.php?workbook=10_01.xlsx&amp;sheet=A0&amp;row=238&amp;col=7&amp;number==&amp;sourceID=11","=")</f>
        <v>=</v>
      </c>
      <c r="H238" s="4" t="str">
        <f>HYPERLINK("http://141.218.60.56/~jnz1568/getInfo.php?workbook=10_01.xlsx&amp;sheet=A0&amp;row=238&amp;col=8&amp;number=&amp;sourceID=11","")</f>
        <v/>
      </c>
      <c r="I238" s="4" t="str">
        <f>HYPERLINK("http://141.218.60.56/~jnz1568/getInfo.php?workbook=10_01.xlsx&amp;sheet=A0&amp;row=238&amp;col=9&amp;number=&amp;sourceID=11","")</f>
        <v/>
      </c>
      <c r="J238" s="4" t="str">
        <f>HYPERLINK("http://141.218.60.56/~jnz1568/getInfo.php?workbook=10_01.xlsx&amp;sheet=A0&amp;row=238&amp;col=10&amp;number=3.2756&amp;sourceID=11","3.2756")</f>
        <v>3.2756</v>
      </c>
      <c r="K238" s="4" t="str">
        <f>HYPERLINK("http://141.218.60.56/~jnz1568/getInfo.php?workbook=10_01.xlsx&amp;sheet=A0&amp;row=238&amp;col=11&amp;number=&amp;sourceID=11","")</f>
        <v/>
      </c>
      <c r="L238" s="4" t="str">
        <f>HYPERLINK("http://141.218.60.56/~jnz1568/getInfo.php?workbook=10_01.xlsx&amp;sheet=A0&amp;row=238&amp;col=12&amp;number=9.8668e-09&amp;sourceID=11","9.8668e-09")</f>
        <v>9.8668e-09</v>
      </c>
      <c r="M238" s="4" t="str">
        <f>HYPERLINK("http://141.218.60.56/~jnz1568/getInfo.php?workbook=10_01.xlsx&amp;sheet=A0&amp;row=238&amp;col=13&amp;number=&amp;sourceID=11","")</f>
        <v/>
      </c>
      <c r="N238" s="4" t="str">
        <f>HYPERLINK("http://141.218.60.56/~jnz1568/getInfo.php?workbook=10_01.xlsx&amp;sheet=A0&amp;row=238&amp;col=14&amp;number=3.2756&amp;sourceID=12","3.2756")</f>
        <v>3.2756</v>
      </c>
      <c r="O238" s="4" t="str">
        <f>HYPERLINK("http://141.218.60.56/~jnz1568/getInfo.php?workbook=10_01.xlsx&amp;sheet=A0&amp;row=238&amp;col=15&amp;number=&amp;sourceID=12","")</f>
        <v/>
      </c>
      <c r="P238" s="4" t="str">
        <f>HYPERLINK("http://141.218.60.56/~jnz1568/getInfo.php?workbook=10_01.xlsx&amp;sheet=A0&amp;row=238&amp;col=16&amp;number=&amp;sourceID=12","")</f>
        <v/>
      </c>
      <c r="Q238" s="4" t="str">
        <f>HYPERLINK("http://141.218.60.56/~jnz1568/getInfo.php?workbook=10_01.xlsx&amp;sheet=A0&amp;row=238&amp;col=17&amp;number=3.2756&amp;sourceID=12","3.2756")</f>
        <v>3.2756</v>
      </c>
      <c r="R238" s="4" t="str">
        <f>HYPERLINK("http://141.218.60.56/~jnz1568/getInfo.php?workbook=10_01.xlsx&amp;sheet=A0&amp;row=238&amp;col=18&amp;number=&amp;sourceID=12","")</f>
        <v/>
      </c>
      <c r="S238" s="4" t="str">
        <f>HYPERLINK("http://141.218.60.56/~jnz1568/getInfo.php?workbook=10_01.xlsx&amp;sheet=A0&amp;row=238&amp;col=19&amp;number=9.8665e-09&amp;sourceID=12","9.8665e-09")</f>
        <v>9.8665e-09</v>
      </c>
      <c r="T238" s="4" t="str">
        <f>HYPERLINK("http://141.218.60.56/~jnz1568/getInfo.php?workbook=10_01.xlsx&amp;sheet=A0&amp;row=238&amp;col=20&amp;number=&amp;sourceID=12","")</f>
        <v/>
      </c>
      <c r="U238" s="4" t="str">
        <f>HYPERLINK("http://141.218.60.56/~jnz1568/getInfo.php?workbook=10_01.xlsx&amp;sheet=A0&amp;row=238&amp;col=21&amp;number=9.879e-09&amp;sourceID=30","9.879e-09")</f>
        <v>9.879e-09</v>
      </c>
      <c r="V238" s="4" t="str">
        <f>HYPERLINK("http://141.218.60.56/~jnz1568/getInfo.php?workbook=10_01.xlsx&amp;sheet=A0&amp;row=238&amp;col=22&amp;number=&amp;sourceID=30","")</f>
        <v/>
      </c>
      <c r="W238" s="4" t="str">
        <f>HYPERLINK("http://141.218.60.56/~jnz1568/getInfo.php?workbook=10_01.xlsx&amp;sheet=A0&amp;row=238&amp;col=23&amp;number=&amp;sourceID=30","")</f>
        <v/>
      </c>
      <c r="X238" s="4" t="str">
        <f>HYPERLINK("http://141.218.60.56/~jnz1568/getInfo.php?workbook=10_01.xlsx&amp;sheet=A0&amp;row=238&amp;col=24&amp;number=&amp;sourceID=30","")</f>
        <v/>
      </c>
      <c r="Y238" s="4" t="str">
        <f>HYPERLINK("http://141.218.60.56/~jnz1568/getInfo.php?workbook=10_01.xlsx&amp;sheet=A0&amp;row=238&amp;col=25&amp;number=9.879e-09&amp;sourceID=30","9.879e-09")</f>
        <v>9.879e-09</v>
      </c>
      <c r="Z238" s="4" t="str">
        <f>HYPERLINK("http://141.218.60.56/~jnz1568/getInfo.php?workbook=10_01.xlsx&amp;sheet=A0&amp;row=238&amp;col=26&amp;number=&amp;sourceID=13","")</f>
        <v/>
      </c>
      <c r="AA238" s="4" t="str">
        <f>HYPERLINK("http://141.218.60.56/~jnz1568/getInfo.php?workbook=10_01.xlsx&amp;sheet=A0&amp;row=238&amp;col=27&amp;number=&amp;sourceID=13","")</f>
        <v/>
      </c>
      <c r="AB238" s="4" t="str">
        <f>HYPERLINK("http://141.218.60.56/~jnz1568/getInfo.php?workbook=10_01.xlsx&amp;sheet=A0&amp;row=238&amp;col=28&amp;number=&amp;sourceID=13","")</f>
        <v/>
      </c>
      <c r="AC238" s="4" t="str">
        <f>HYPERLINK("http://141.218.60.56/~jnz1568/getInfo.php?workbook=10_01.xlsx&amp;sheet=A0&amp;row=238&amp;col=29&amp;number=&amp;sourceID=13","")</f>
        <v/>
      </c>
      <c r="AD238" s="4" t="str">
        <f>HYPERLINK("http://141.218.60.56/~jnz1568/getInfo.php?workbook=10_01.xlsx&amp;sheet=A0&amp;row=238&amp;col=30&amp;number=&amp;sourceID=13","")</f>
        <v/>
      </c>
      <c r="AE238" s="4" t="str">
        <f>HYPERLINK("http://141.218.60.56/~jnz1568/getInfo.php?workbook=10_01.xlsx&amp;sheet=A0&amp;row=238&amp;col=31&amp;number=&amp;sourceID=13","")</f>
        <v/>
      </c>
      <c r="AF238" s="4" t="str">
        <f>HYPERLINK("http://141.218.60.56/~jnz1568/getInfo.php?workbook=10_01.xlsx&amp;sheet=A0&amp;row=238&amp;col=32&amp;number=&amp;sourceID=20","")</f>
        <v/>
      </c>
    </row>
    <row r="239" spans="1:32">
      <c r="A239" s="3">
        <v>10</v>
      </c>
      <c r="B239" s="3">
        <v>1</v>
      </c>
      <c r="C239" s="3">
        <v>23</v>
      </c>
      <c r="D239" s="3">
        <v>14</v>
      </c>
      <c r="E239" s="3">
        <f>((1/(INDEX(E0!J$4:J$28,C239,1)-INDEX(E0!J$4:J$28,D239,1))))*100000000</f>
        <v>0</v>
      </c>
      <c r="F239" s="4" t="str">
        <f>HYPERLINK("http://141.218.60.56/~jnz1568/getInfo.php?workbook=10_01.xlsx&amp;sheet=A0&amp;row=239&amp;col=6&amp;number=&amp;sourceID=18","")</f>
        <v/>
      </c>
      <c r="G239" s="4" t="str">
        <f>HYPERLINK("http://141.218.60.56/~jnz1568/getInfo.php?workbook=10_01.xlsx&amp;sheet=A0&amp;row=239&amp;col=7&amp;number==&amp;sourceID=11","=")</f>
        <v>=</v>
      </c>
      <c r="H239" s="4" t="str">
        <f>HYPERLINK("http://141.218.60.56/~jnz1568/getInfo.php?workbook=10_01.xlsx&amp;sheet=A0&amp;row=239&amp;col=8&amp;number=41055000000&amp;sourceID=11","41055000000")</f>
        <v>41055000000</v>
      </c>
      <c r="I239" s="4" t="str">
        <f>HYPERLINK("http://141.218.60.56/~jnz1568/getInfo.php?workbook=10_01.xlsx&amp;sheet=A0&amp;row=239&amp;col=9&amp;number=&amp;sourceID=11","")</f>
        <v/>
      </c>
      <c r="J239" s="4" t="str">
        <f>HYPERLINK("http://141.218.60.56/~jnz1568/getInfo.php?workbook=10_01.xlsx&amp;sheet=A0&amp;row=239&amp;col=10&amp;number=3.3559&amp;sourceID=11","3.3559")</f>
        <v>3.3559</v>
      </c>
      <c r="K239" s="4" t="str">
        <f>HYPERLINK("http://141.218.60.56/~jnz1568/getInfo.php?workbook=10_01.xlsx&amp;sheet=A0&amp;row=239&amp;col=11&amp;number=&amp;sourceID=11","")</f>
        <v/>
      </c>
      <c r="L239" s="4" t="str">
        <f>HYPERLINK("http://141.218.60.56/~jnz1568/getInfo.php?workbook=10_01.xlsx&amp;sheet=A0&amp;row=239&amp;col=12&amp;number=16.721&amp;sourceID=11","16.721")</f>
        <v>16.721</v>
      </c>
      <c r="M239" s="4" t="str">
        <f>HYPERLINK("http://141.218.60.56/~jnz1568/getInfo.php?workbook=10_01.xlsx&amp;sheet=A0&amp;row=239&amp;col=13&amp;number=&amp;sourceID=11","")</f>
        <v/>
      </c>
      <c r="N239" s="4" t="str">
        <f>HYPERLINK("http://141.218.60.56/~jnz1568/getInfo.php?workbook=10_01.xlsx&amp;sheet=A0&amp;row=239&amp;col=14&amp;number=41056000000&amp;sourceID=12","41056000000")</f>
        <v>41056000000</v>
      </c>
      <c r="O239" s="4" t="str">
        <f>HYPERLINK("http://141.218.60.56/~jnz1568/getInfo.php?workbook=10_01.xlsx&amp;sheet=A0&amp;row=239&amp;col=15&amp;number=41056000000&amp;sourceID=12","41056000000")</f>
        <v>41056000000</v>
      </c>
      <c r="P239" s="4" t="str">
        <f>HYPERLINK("http://141.218.60.56/~jnz1568/getInfo.php?workbook=10_01.xlsx&amp;sheet=A0&amp;row=239&amp;col=16&amp;number=&amp;sourceID=12","")</f>
        <v/>
      </c>
      <c r="Q239" s="4" t="str">
        <f>HYPERLINK("http://141.218.60.56/~jnz1568/getInfo.php?workbook=10_01.xlsx&amp;sheet=A0&amp;row=239&amp;col=17&amp;number=3.356&amp;sourceID=12","3.356")</f>
        <v>3.356</v>
      </c>
      <c r="R239" s="4" t="str">
        <f>HYPERLINK("http://141.218.60.56/~jnz1568/getInfo.php?workbook=10_01.xlsx&amp;sheet=A0&amp;row=239&amp;col=18&amp;number=&amp;sourceID=12","")</f>
        <v/>
      </c>
      <c r="S239" s="4" t="str">
        <f>HYPERLINK("http://141.218.60.56/~jnz1568/getInfo.php?workbook=10_01.xlsx&amp;sheet=A0&amp;row=239&amp;col=19&amp;number=16.721&amp;sourceID=12","16.721")</f>
        <v>16.721</v>
      </c>
      <c r="T239" s="4" t="str">
        <f>HYPERLINK("http://141.218.60.56/~jnz1568/getInfo.php?workbook=10_01.xlsx&amp;sheet=A0&amp;row=239&amp;col=20&amp;number=&amp;sourceID=12","")</f>
        <v/>
      </c>
      <c r="U239" s="4" t="str">
        <f>HYPERLINK("http://141.218.60.56/~jnz1568/getInfo.php?workbook=10_01.xlsx&amp;sheet=A0&amp;row=239&amp;col=21&amp;number=41060000016.7&amp;sourceID=30","41060000016.7")</f>
        <v>41060000016.7</v>
      </c>
      <c r="V239" s="4" t="str">
        <f>HYPERLINK("http://141.218.60.56/~jnz1568/getInfo.php?workbook=10_01.xlsx&amp;sheet=A0&amp;row=239&amp;col=22&amp;number=41060000000&amp;sourceID=30","41060000000")</f>
        <v>41060000000</v>
      </c>
      <c r="W239" s="4" t="str">
        <f>HYPERLINK("http://141.218.60.56/~jnz1568/getInfo.php?workbook=10_01.xlsx&amp;sheet=A0&amp;row=239&amp;col=23&amp;number=&amp;sourceID=30","")</f>
        <v/>
      </c>
      <c r="X239" s="4" t="str">
        <f>HYPERLINK("http://141.218.60.56/~jnz1568/getInfo.php?workbook=10_01.xlsx&amp;sheet=A0&amp;row=239&amp;col=24&amp;number=&amp;sourceID=30","")</f>
        <v/>
      </c>
      <c r="Y239" s="4" t="str">
        <f>HYPERLINK("http://141.218.60.56/~jnz1568/getInfo.php?workbook=10_01.xlsx&amp;sheet=A0&amp;row=239&amp;col=25&amp;number=16.72&amp;sourceID=30","16.72")</f>
        <v>16.72</v>
      </c>
      <c r="Z239" s="4" t="str">
        <f>HYPERLINK("http://141.218.60.56/~jnz1568/getInfo.php?workbook=10_01.xlsx&amp;sheet=A0&amp;row=239&amp;col=26&amp;number=&amp;sourceID=13","")</f>
        <v/>
      </c>
      <c r="AA239" s="4" t="str">
        <f>HYPERLINK("http://141.218.60.56/~jnz1568/getInfo.php?workbook=10_01.xlsx&amp;sheet=A0&amp;row=239&amp;col=27&amp;number=&amp;sourceID=13","")</f>
        <v/>
      </c>
      <c r="AB239" s="4" t="str">
        <f>HYPERLINK("http://141.218.60.56/~jnz1568/getInfo.php?workbook=10_01.xlsx&amp;sheet=A0&amp;row=239&amp;col=28&amp;number=&amp;sourceID=13","")</f>
        <v/>
      </c>
      <c r="AC239" s="4" t="str">
        <f>HYPERLINK("http://141.218.60.56/~jnz1568/getInfo.php?workbook=10_01.xlsx&amp;sheet=A0&amp;row=239&amp;col=29&amp;number=&amp;sourceID=13","")</f>
        <v/>
      </c>
      <c r="AD239" s="4" t="str">
        <f>HYPERLINK("http://141.218.60.56/~jnz1568/getInfo.php?workbook=10_01.xlsx&amp;sheet=A0&amp;row=239&amp;col=30&amp;number=&amp;sourceID=13","")</f>
        <v/>
      </c>
      <c r="AE239" s="4" t="str">
        <f>HYPERLINK("http://141.218.60.56/~jnz1568/getInfo.php?workbook=10_01.xlsx&amp;sheet=A0&amp;row=239&amp;col=31&amp;number=&amp;sourceID=13","")</f>
        <v/>
      </c>
      <c r="AF239" s="4" t="str">
        <f>HYPERLINK("http://141.218.60.56/~jnz1568/getInfo.php?workbook=10_01.xlsx&amp;sheet=A0&amp;row=239&amp;col=32&amp;number=&amp;sourceID=20","")</f>
        <v/>
      </c>
    </row>
    <row r="240" spans="1:32">
      <c r="A240" s="3">
        <v>10</v>
      </c>
      <c r="B240" s="3">
        <v>1</v>
      </c>
      <c r="C240" s="3">
        <v>23</v>
      </c>
      <c r="D240" s="3">
        <v>15</v>
      </c>
      <c r="E240" s="3">
        <f>((1/(INDEX(E0!J$4:J$28,C240,1)-INDEX(E0!J$4:J$28,D240,1))))*100000000</f>
        <v>0</v>
      </c>
      <c r="F240" s="4" t="str">
        <f>HYPERLINK("http://141.218.60.56/~jnz1568/getInfo.php?workbook=10_01.xlsx&amp;sheet=A0&amp;row=240&amp;col=6&amp;number=&amp;sourceID=18","")</f>
        <v/>
      </c>
      <c r="G240" s="4" t="str">
        <f>HYPERLINK("http://141.218.60.56/~jnz1568/getInfo.php?workbook=10_01.xlsx&amp;sheet=A0&amp;row=240&amp;col=7&amp;number==&amp;sourceID=11","=")</f>
        <v>=</v>
      </c>
      <c r="H240" s="4" t="str">
        <f>HYPERLINK("http://141.218.60.56/~jnz1568/getInfo.php?workbook=10_01.xlsx&amp;sheet=A0&amp;row=240&amp;col=8&amp;number=&amp;sourceID=11","")</f>
        <v/>
      </c>
      <c r="I240" s="4" t="str">
        <f>HYPERLINK("http://141.218.60.56/~jnz1568/getInfo.php?workbook=10_01.xlsx&amp;sheet=A0&amp;row=240&amp;col=9&amp;number=100030&amp;sourceID=11","100030")</f>
        <v>100030</v>
      </c>
      <c r="J240" s="4" t="str">
        <f>HYPERLINK("http://141.218.60.56/~jnz1568/getInfo.php?workbook=10_01.xlsx&amp;sheet=A0&amp;row=240&amp;col=10&amp;number=&amp;sourceID=11","")</f>
        <v/>
      </c>
      <c r="K240" s="4" t="str">
        <f>HYPERLINK("http://141.218.60.56/~jnz1568/getInfo.php?workbook=10_01.xlsx&amp;sheet=A0&amp;row=240&amp;col=11&amp;number=0.00053613&amp;sourceID=11","0.00053613")</f>
        <v>0.00053613</v>
      </c>
      <c r="L240" s="4" t="str">
        <f>HYPERLINK("http://141.218.60.56/~jnz1568/getInfo.php?workbook=10_01.xlsx&amp;sheet=A0&amp;row=240&amp;col=12&amp;number=&amp;sourceID=11","")</f>
        <v/>
      </c>
      <c r="M240" s="4" t="str">
        <f>HYPERLINK("http://141.218.60.56/~jnz1568/getInfo.php?workbook=10_01.xlsx&amp;sheet=A0&amp;row=240&amp;col=13&amp;number=2.8513e-06&amp;sourceID=11","2.8513e-06")</f>
        <v>2.8513e-06</v>
      </c>
      <c r="N240" s="4" t="str">
        <f>HYPERLINK("http://141.218.60.56/~jnz1568/getInfo.php?workbook=10_01.xlsx&amp;sheet=A0&amp;row=240&amp;col=14&amp;number=100030&amp;sourceID=12","100030")</f>
        <v>100030</v>
      </c>
      <c r="O240" s="4" t="str">
        <f>HYPERLINK("http://141.218.60.56/~jnz1568/getInfo.php?workbook=10_01.xlsx&amp;sheet=A0&amp;row=240&amp;col=15&amp;number=&amp;sourceID=12","")</f>
        <v/>
      </c>
      <c r="P240" s="4" t="str">
        <f>HYPERLINK("http://141.218.60.56/~jnz1568/getInfo.php?workbook=10_01.xlsx&amp;sheet=A0&amp;row=240&amp;col=16&amp;number=100030&amp;sourceID=12","100030")</f>
        <v>100030</v>
      </c>
      <c r="Q240" s="4" t="str">
        <f>HYPERLINK("http://141.218.60.56/~jnz1568/getInfo.php?workbook=10_01.xlsx&amp;sheet=A0&amp;row=240&amp;col=17&amp;number=&amp;sourceID=12","")</f>
        <v/>
      </c>
      <c r="R240" s="4" t="str">
        <f>HYPERLINK("http://141.218.60.56/~jnz1568/getInfo.php?workbook=10_01.xlsx&amp;sheet=A0&amp;row=240&amp;col=18&amp;number=0.00053612&amp;sourceID=12","0.00053612")</f>
        <v>0.00053612</v>
      </c>
      <c r="S240" s="4" t="str">
        <f>HYPERLINK("http://141.218.60.56/~jnz1568/getInfo.php?workbook=10_01.xlsx&amp;sheet=A0&amp;row=240&amp;col=19&amp;number=&amp;sourceID=12","")</f>
        <v/>
      </c>
      <c r="T240" s="4" t="str">
        <f>HYPERLINK("http://141.218.60.56/~jnz1568/getInfo.php?workbook=10_01.xlsx&amp;sheet=A0&amp;row=240&amp;col=20&amp;number=2.8514e-06&amp;sourceID=12","2.8514e-06")</f>
        <v>2.8514e-06</v>
      </c>
      <c r="U240" s="4" t="str">
        <f>HYPERLINK("http://141.218.60.56/~jnz1568/getInfo.php?workbook=10_01.xlsx&amp;sheet=A0&amp;row=240&amp;col=21&amp;number=100000.000536&amp;sourceID=30","100000.000536")</f>
        <v>100000.000536</v>
      </c>
      <c r="V240" s="4" t="str">
        <f>HYPERLINK("http://141.218.60.56/~jnz1568/getInfo.php?workbook=10_01.xlsx&amp;sheet=A0&amp;row=240&amp;col=22&amp;number=&amp;sourceID=30","")</f>
        <v/>
      </c>
      <c r="W240" s="4" t="str">
        <f>HYPERLINK("http://141.218.60.56/~jnz1568/getInfo.php?workbook=10_01.xlsx&amp;sheet=A0&amp;row=240&amp;col=23&amp;number=100000&amp;sourceID=30","100000")</f>
        <v>100000</v>
      </c>
      <c r="X240" s="4" t="str">
        <f>HYPERLINK("http://141.218.60.56/~jnz1568/getInfo.php?workbook=10_01.xlsx&amp;sheet=A0&amp;row=240&amp;col=24&amp;number=0.0005363&amp;sourceID=30","0.0005363")</f>
        <v>0.0005363</v>
      </c>
      <c r="Y240" s="4" t="str">
        <f>HYPERLINK("http://141.218.60.56/~jnz1568/getInfo.php?workbook=10_01.xlsx&amp;sheet=A0&amp;row=240&amp;col=25&amp;number=&amp;sourceID=30","")</f>
        <v/>
      </c>
      <c r="Z240" s="4" t="str">
        <f>HYPERLINK("http://141.218.60.56/~jnz1568/getInfo.php?workbook=10_01.xlsx&amp;sheet=A0&amp;row=240&amp;col=26&amp;number=&amp;sourceID=13","")</f>
        <v/>
      </c>
      <c r="AA240" s="4" t="str">
        <f>HYPERLINK("http://141.218.60.56/~jnz1568/getInfo.php?workbook=10_01.xlsx&amp;sheet=A0&amp;row=240&amp;col=27&amp;number=&amp;sourceID=13","")</f>
        <v/>
      </c>
      <c r="AB240" s="4" t="str">
        <f>HYPERLINK("http://141.218.60.56/~jnz1568/getInfo.php?workbook=10_01.xlsx&amp;sheet=A0&amp;row=240&amp;col=28&amp;number=&amp;sourceID=13","")</f>
        <v/>
      </c>
      <c r="AC240" s="4" t="str">
        <f>HYPERLINK("http://141.218.60.56/~jnz1568/getInfo.php?workbook=10_01.xlsx&amp;sheet=A0&amp;row=240&amp;col=29&amp;number=&amp;sourceID=13","")</f>
        <v/>
      </c>
      <c r="AD240" s="4" t="str">
        <f>HYPERLINK("http://141.218.60.56/~jnz1568/getInfo.php?workbook=10_01.xlsx&amp;sheet=A0&amp;row=240&amp;col=30&amp;number=&amp;sourceID=13","")</f>
        <v/>
      </c>
      <c r="AE240" s="4" t="str">
        <f>HYPERLINK("http://141.218.60.56/~jnz1568/getInfo.php?workbook=10_01.xlsx&amp;sheet=A0&amp;row=240&amp;col=31&amp;number=&amp;sourceID=13","")</f>
        <v/>
      </c>
      <c r="AF240" s="4" t="str">
        <f>HYPERLINK("http://141.218.60.56/~jnz1568/getInfo.php?workbook=10_01.xlsx&amp;sheet=A0&amp;row=240&amp;col=32&amp;number=&amp;sourceID=20","")</f>
        <v/>
      </c>
    </row>
    <row r="241" spans="1:32">
      <c r="A241" s="3">
        <v>10</v>
      </c>
      <c r="B241" s="3">
        <v>1</v>
      </c>
      <c r="C241" s="3">
        <v>23</v>
      </c>
      <c r="D241" s="3">
        <v>16</v>
      </c>
      <c r="E241" s="3">
        <f>((1/(INDEX(E0!J$4:J$28,C241,1)-INDEX(E0!J$4:J$28,D241,1))))*100000000</f>
        <v>0</v>
      </c>
      <c r="F241" s="4" t="str">
        <f>HYPERLINK("http://141.218.60.56/~jnz1568/getInfo.php?workbook=10_01.xlsx&amp;sheet=A0&amp;row=241&amp;col=6&amp;number=&amp;sourceID=18","")</f>
        <v/>
      </c>
      <c r="G241" s="4" t="str">
        <f>HYPERLINK("http://141.218.60.56/~jnz1568/getInfo.php?workbook=10_01.xlsx&amp;sheet=A0&amp;row=241&amp;col=7&amp;number==&amp;sourceID=11","=")</f>
        <v>=</v>
      </c>
      <c r="H241" s="4" t="str">
        <f>HYPERLINK("http://141.218.60.56/~jnz1568/getInfo.php?workbook=10_01.xlsx&amp;sheet=A0&amp;row=241&amp;col=8&amp;number=1519800000&amp;sourceID=11","1519800000")</f>
        <v>1519800000</v>
      </c>
      <c r="I241" s="4" t="str">
        <f>HYPERLINK("http://141.218.60.56/~jnz1568/getInfo.php?workbook=10_01.xlsx&amp;sheet=A0&amp;row=241&amp;col=9&amp;number=&amp;sourceID=11","")</f>
        <v/>
      </c>
      <c r="J241" s="4" t="str">
        <f>HYPERLINK("http://141.218.60.56/~jnz1568/getInfo.php?workbook=10_01.xlsx&amp;sheet=A0&amp;row=241&amp;col=10&amp;number=0.91389&amp;sourceID=11","0.91389")</f>
        <v>0.91389</v>
      </c>
      <c r="K241" s="4" t="str">
        <f>HYPERLINK("http://141.218.60.56/~jnz1568/getInfo.php?workbook=10_01.xlsx&amp;sheet=A0&amp;row=241&amp;col=11&amp;number=&amp;sourceID=11","")</f>
        <v/>
      </c>
      <c r="L241" s="4" t="str">
        <f>HYPERLINK("http://141.218.60.56/~jnz1568/getInfo.php?workbook=10_01.xlsx&amp;sheet=A0&amp;row=241&amp;col=12&amp;number=&amp;sourceID=11","")</f>
        <v/>
      </c>
      <c r="M241" s="4" t="str">
        <f>HYPERLINK("http://141.218.60.56/~jnz1568/getInfo.php?workbook=10_01.xlsx&amp;sheet=A0&amp;row=241&amp;col=13&amp;number=&amp;sourceID=11","")</f>
        <v/>
      </c>
      <c r="N241" s="4" t="str">
        <f>HYPERLINK("http://141.218.60.56/~jnz1568/getInfo.php?workbook=10_01.xlsx&amp;sheet=A0&amp;row=241&amp;col=14&amp;number=1519800000&amp;sourceID=12","1519800000")</f>
        <v>1519800000</v>
      </c>
      <c r="O241" s="4" t="str">
        <f>HYPERLINK("http://141.218.60.56/~jnz1568/getInfo.php?workbook=10_01.xlsx&amp;sheet=A0&amp;row=241&amp;col=15&amp;number=1519800000&amp;sourceID=12","1519800000")</f>
        <v>1519800000</v>
      </c>
      <c r="P241" s="4" t="str">
        <f>HYPERLINK("http://141.218.60.56/~jnz1568/getInfo.php?workbook=10_01.xlsx&amp;sheet=A0&amp;row=241&amp;col=16&amp;number=&amp;sourceID=12","")</f>
        <v/>
      </c>
      <c r="Q241" s="4" t="str">
        <f>HYPERLINK("http://141.218.60.56/~jnz1568/getInfo.php?workbook=10_01.xlsx&amp;sheet=A0&amp;row=241&amp;col=17&amp;number=0.91392&amp;sourceID=12","0.91392")</f>
        <v>0.91392</v>
      </c>
      <c r="R241" s="4" t="str">
        <f>HYPERLINK("http://141.218.60.56/~jnz1568/getInfo.php?workbook=10_01.xlsx&amp;sheet=A0&amp;row=241&amp;col=18&amp;number=&amp;sourceID=12","")</f>
        <v/>
      </c>
      <c r="S241" s="4" t="str">
        <f>HYPERLINK("http://141.218.60.56/~jnz1568/getInfo.php?workbook=10_01.xlsx&amp;sheet=A0&amp;row=241&amp;col=19&amp;number=&amp;sourceID=12","")</f>
        <v/>
      </c>
      <c r="T241" s="4" t="str">
        <f>HYPERLINK("http://141.218.60.56/~jnz1568/getInfo.php?workbook=10_01.xlsx&amp;sheet=A0&amp;row=241&amp;col=20&amp;number=&amp;sourceID=12","")</f>
        <v/>
      </c>
      <c r="U241" s="4" t="str">
        <f>HYPERLINK("http://141.218.60.56/~jnz1568/getInfo.php?workbook=10_01.xlsx&amp;sheet=A0&amp;row=241&amp;col=21&amp;number=1520000000&amp;sourceID=30","1520000000")</f>
        <v>1520000000</v>
      </c>
      <c r="V241" s="4" t="str">
        <f>HYPERLINK("http://141.218.60.56/~jnz1568/getInfo.php?workbook=10_01.xlsx&amp;sheet=A0&amp;row=241&amp;col=22&amp;number=1520000000&amp;sourceID=30","1520000000")</f>
        <v>1520000000</v>
      </c>
      <c r="W241" s="4" t="str">
        <f>HYPERLINK("http://141.218.60.56/~jnz1568/getInfo.php?workbook=10_01.xlsx&amp;sheet=A0&amp;row=241&amp;col=23&amp;number=&amp;sourceID=30","")</f>
        <v/>
      </c>
      <c r="X241" s="4" t="str">
        <f>HYPERLINK("http://141.218.60.56/~jnz1568/getInfo.php?workbook=10_01.xlsx&amp;sheet=A0&amp;row=241&amp;col=24&amp;number=&amp;sourceID=30","")</f>
        <v/>
      </c>
      <c r="Y241" s="4" t="str">
        <f>HYPERLINK("http://141.218.60.56/~jnz1568/getInfo.php?workbook=10_01.xlsx&amp;sheet=A0&amp;row=241&amp;col=25&amp;number=&amp;sourceID=30","")</f>
        <v/>
      </c>
      <c r="Z241" s="4" t="str">
        <f>HYPERLINK("http://141.218.60.56/~jnz1568/getInfo.php?workbook=10_01.xlsx&amp;sheet=A0&amp;row=241&amp;col=26&amp;number=&amp;sourceID=13","")</f>
        <v/>
      </c>
      <c r="AA241" s="4" t="str">
        <f>HYPERLINK("http://141.218.60.56/~jnz1568/getInfo.php?workbook=10_01.xlsx&amp;sheet=A0&amp;row=241&amp;col=27&amp;number=&amp;sourceID=13","")</f>
        <v/>
      </c>
      <c r="AB241" s="4" t="str">
        <f>HYPERLINK("http://141.218.60.56/~jnz1568/getInfo.php?workbook=10_01.xlsx&amp;sheet=A0&amp;row=241&amp;col=28&amp;number=&amp;sourceID=13","")</f>
        <v/>
      </c>
      <c r="AC241" s="4" t="str">
        <f>HYPERLINK("http://141.218.60.56/~jnz1568/getInfo.php?workbook=10_01.xlsx&amp;sheet=A0&amp;row=241&amp;col=29&amp;number=&amp;sourceID=13","")</f>
        <v/>
      </c>
      <c r="AD241" s="4" t="str">
        <f>HYPERLINK("http://141.218.60.56/~jnz1568/getInfo.php?workbook=10_01.xlsx&amp;sheet=A0&amp;row=241&amp;col=30&amp;number=&amp;sourceID=13","")</f>
        <v/>
      </c>
      <c r="AE241" s="4" t="str">
        <f>HYPERLINK("http://141.218.60.56/~jnz1568/getInfo.php?workbook=10_01.xlsx&amp;sheet=A0&amp;row=241&amp;col=31&amp;number=&amp;sourceID=13","")</f>
        <v/>
      </c>
      <c r="AF241" s="4" t="str">
        <f>HYPERLINK("http://141.218.60.56/~jnz1568/getInfo.php?workbook=10_01.xlsx&amp;sheet=A0&amp;row=241&amp;col=32&amp;number=&amp;sourceID=20","")</f>
        <v/>
      </c>
    </row>
    <row r="242" spans="1:32">
      <c r="A242" s="3">
        <v>10</v>
      </c>
      <c r="B242" s="3">
        <v>1</v>
      </c>
      <c r="C242" s="3">
        <v>23</v>
      </c>
      <c r="D242" s="3">
        <v>17</v>
      </c>
      <c r="E242" s="3">
        <f>((1/(INDEX(E0!J$4:J$28,C242,1)-INDEX(E0!J$4:J$28,D242,1))))*100000000</f>
        <v>0</v>
      </c>
      <c r="F242" s="4" t="str">
        <f>HYPERLINK("http://141.218.60.56/~jnz1568/getInfo.php?workbook=10_01.xlsx&amp;sheet=A0&amp;row=242&amp;col=6&amp;number=&amp;sourceID=18","")</f>
        <v/>
      </c>
      <c r="G242" s="4" t="str">
        <f>HYPERLINK("http://141.218.60.56/~jnz1568/getInfo.php?workbook=10_01.xlsx&amp;sheet=A0&amp;row=242&amp;col=7&amp;number==&amp;sourceID=11","=")</f>
        <v>=</v>
      </c>
      <c r="H242" s="4" t="str">
        <f>HYPERLINK("http://141.218.60.56/~jnz1568/getInfo.php?workbook=10_01.xlsx&amp;sheet=A0&amp;row=242&amp;col=8&amp;number=&amp;sourceID=11","")</f>
        <v/>
      </c>
      <c r="I242" s="4" t="str">
        <f>HYPERLINK("http://141.218.60.56/~jnz1568/getInfo.php?workbook=10_01.xlsx&amp;sheet=A0&amp;row=242&amp;col=9&amp;number=&amp;sourceID=11","")</f>
        <v/>
      </c>
      <c r="J242" s="4" t="str">
        <f>HYPERLINK("http://141.218.60.56/~jnz1568/getInfo.php?workbook=10_01.xlsx&amp;sheet=A0&amp;row=242&amp;col=10&amp;number=0&amp;sourceID=11","0")</f>
        <v>0</v>
      </c>
      <c r="K242" s="4" t="str">
        <f>HYPERLINK("http://141.218.60.56/~jnz1568/getInfo.php?workbook=10_01.xlsx&amp;sheet=A0&amp;row=242&amp;col=11&amp;number=&amp;sourceID=11","")</f>
        <v/>
      </c>
      <c r="L242" s="4" t="str">
        <f>HYPERLINK("http://141.218.60.56/~jnz1568/getInfo.php?workbook=10_01.xlsx&amp;sheet=A0&amp;row=242&amp;col=12&amp;number=&amp;sourceID=11","")</f>
        <v/>
      </c>
      <c r="M242" s="4" t="str">
        <f>HYPERLINK("http://141.218.60.56/~jnz1568/getInfo.php?workbook=10_01.xlsx&amp;sheet=A0&amp;row=242&amp;col=13&amp;number=&amp;sourceID=11","")</f>
        <v/>
      </c>
      <c r="N242" s="4" t="str">
        <f>HYPERLINK("http://141.218.60.56/~jnz1568/getInfo.php?workbook=10_01.xlsx&amp;sheet=A0&amp;row=242&amp;col=14&amp;number=0&amp;sourceID=12","0")</f>
        <v>0</v>
      </c>
      <c r="O242" s="4" t="str">
        <f>HYPERLINK("http://141.218.60.56/~jnz1568/getInfo.php?workbook=10_01.xlsx&amp;sheet=A0&amp;row=242&amp;col=15&amp;number=&amp;sourceID=12","")</f>
        <v/>
      </c>
      <c r="P242" s="4" t="str">
        <f>HYPERLINK("http://141.218.60.56/~jnz1568/getInfo.php?workbook=10_01.xlsx&amp;sheet=A0&amp;row=242&amp;col=16&amp;number=&amp;sourceID=12","")</f>
        <v/>
      </c>
      <c r="Q242" s="4" t="str">
        <f>HYPERLINK("http://141.218.60.56/~jnz1568/getInfo.php?workbook=10_01.xlsx&amp;sheet=A0&amp;row=242&amp;col=17&amp;number=0&amp;sourceID=12","0")</f>
        <v>0</v>
      </c>
      <c r="R242" s="4" t="str">
        <f>HYPERLINK("http://141.218.60.56/~jnz1568/getInfo.php?workbook=10_01.xlsx&amp;sheet=A0&amp;row=242&amp;col=18&amp;number=&amp;sourceID=12","")</f>
        <v/>
      </c>
      <c r="S242" s="4" t="str">
        <f>HYPERLINK("http://141.218.60.56/~jnz1568/getInfo.php?workbook=10_01.xlsx&amp;sheet=A0&amp;row=242&amp;col=19&amp;number=&amp;sourceID=12","")</f>
        <v/>
      </c>
      <c r="T242" s="4" t="str">
        <f>HYPERLINK("http://141.218.60.56/~jnz1568/getInfo.php?workbook=10_01.xlsx&amp;sheet=A0&amp;row=242&amp;col=20&amp;number=&amp;sourceID=12","")</f>
        <v/>
      </c>
      <c r="U242" s="4" t="str">
        <f>HYPERLINK("http://141.218.60.56/~jnz1568/getInfo.php?workbook=10_01.xlsx&amp;sheet=A0&amp;row=242&amp;col=21&amp;number=&amp;sourceID=30","")</f>
        <v/>
      </c>
      <c r="V242" s="4" t="str">
        <f>HYPERLINK("http://141.218.60.56/~jnz1568/getInfo.php?workbook=10_01.xlsx&amp;sheet=A0&amp;row=242&amp;col=22&amp;number=&amp;sourceID=30","")</f>
        <v/>
      </c>
      <c r="W242" s="4" t="str">
        <f>HYPERLINK("http://141.218.60.56/~jnz1568/getInfo.php?workbook=10_01.xlsx&amp;sheet=A0&amp;row=242&amp;col=23&amp;number=&amp;sourceID=30","")</f>
        <v/>
      </c>
      <c r="X242" s="4" t="str">
        <f>HYPERLINK("http://141.218.60.56/~jnz1568/getInfo.php?workbook=10_01.xlsx&amp;sheet=A0&amp;row=242&amp;col=24&amp;number=&amp;sourceID=30","")</f>
        <v/>
      </c>
      <c r="Y242" s="4" t="str">
        <f>HYPERLINK("http://141.218.60.56/~jnz1568/getInfo.php?workbook=10_01.xlsx&amp;sheet=A0&amp;row=242&amp;col=25&amp;number=&amp;sourceID=30","")</f>
        <v/>
      </c>
      <c r="Z242" s="4" t="str">
        <f>HYPERLINK("http://141.218.60.56/~jnz1568/getInfo.php?workbook=10_01.xlsx&amp;sheet=A0&amp;row=242&amp;col=26&amp;number=&amp;sourceID=13","")</f>
        <v/>
      </c>
      <c r="AA242" s="4" t="str">
        <f>HYPERLINK("http://141.218.60.56/~jnz1568/getInfo.php?workbook=10_01.xlsx&amp;sheet=A0&amp;row=242&amp;col=27&amp;number=&amp;sourceID=13","")</f>
        <v/>
      </c>
      <c r="AB242" s="4" t="str">
        <f>HYPERLINK("http://141.218.60.56/~jnz1568/getInfo.php?workbook=10_01.xlsx&amp;sheet=A0&amp;row=242&amp;col=28&amp;number=&amp;sourceID=13","")</f>
        <v/>
      </c>
      <c r="AC242" s="4" t="str">
        <f>HYPERLINK("http://141.218.60.56/~jnz1568/getInfo.php?workbook=10_01.xlsx&amp;sheet=A0&amp;row=242&amp;col=29&amp;number=&amp;sourceID=13","")</f>
        <v/>
      </c>
      <c r="AD242" s="4" t="str">
        <f>HYPERLINK("http://141.218.60.56/~jnz1568/getInfo.php?workbook=10_01.xlsx&amp;sheet=A0&amp;row=242&amp;col=30&amp;number=&amp;sourceID=13","")</f>
        <v/>
      </c>
      <c r="AE242" s="4" t="str">
        <f>HYPERLINK("http://141.218.60.56/~jnz1568/getInfo.php?workbook=10_01.xlsx&amp;sheet=A0&amp;row=242&amp;col=31&amp;number=&amp;sourceID=13","")</f>
        <v/>
      </c>
      <c r="AF242" s="4" t="str">
        <f>HYPERLINK("http://141.218.60.56/~jnz1568/getInfo.php?workbook=10_01.xlsx&amp;sheet=A0&amp;row=242&amp;col=32&amp;number=&amp;sourceID=20","")</f>
        <v/>
      </c>
    </row>
    <row r="243" spans="1:32">
      <c r="A243" s="3">
        <v>10</v>
      </c>
      <c r="B243" s="3">
        <v>1</v>
      </c>
      <c r="C243" s="3">
        <v>23</v>
      </c>
      <c r="D243" s="3">
        <v>18</v>
      </c>
      <c r="E243" s="3">
        <f>((1/(INDEX(E0!J$4:J$28,C243,1)-INDEX(E0!J$4:J$28,D243,1))))*100000000</f>
        <v>0</v>
      </c>
      <c r="F243" s="4" t="str">
        <f>HYPERLINK("http://141.218.60.56/~jnz1568/getInfo.php?workbook=10_01.xlsx&amp;sheet=A0&amp;row=243&amp;col=6&amp;number=&amp;sourceID=18","")</f>
        <v/>
      </c>
      <c r="G243" s="4" t="str">
        <f>HYPERLINK("http://141.218.60.56/~jnz1568/getInfo.php?workbook=10_01.xlsx&amp;sheet=A0&amp;row=243&amp;col=7&amp;number==&amp;sourceID=11","=")</f>
        <v>=</v>
      </c>
      <c r="H243" s="4" t="str">
        <f>HYPERLINK("http://141.218.60.56/~jnz1568/getInfo.php?workbook=10_01.xlsx&amp;sheet=A0&amp;row=243&amp;col=8&amp;number=&amp;sourceID=11","")</f>
        <v/>
      </c>
      <c r="I243" s="4" t="str">
        <f>HYPERLINK("http://141.218.60.56/~jnz1568/getInfo.php?workbook=10_01.xlsx&amp;sheet=A0&amp;row=243&amp;col=9&amp;number=&amp;sourceID=11","")</f>
        <v/>
      </c>
      <c r="J243" s="4" t="str">
        <f>HYPERLINK("http://141.218.60.56/~jnz1568/getInfo.php?workbook=10_01.xlsx&amp;sheet=A0&amp;row=243&amp;col=10&amp;number=&amp;sourceID=11","")</f>
        <v/>
      </c>
      <c r="K243" s="4" t="str">
        <f>HYPERLINK("http://141.218.60.56/~jnz1568/getInfo.php?workbook=10_01.xlsx&amp;sheet=A0&amp;row=243&amp;col=11&amp;number=&amp;sourceID=11","")</f>
        <v/>
      </c>
      <c r="L243" s="4" t="str">
        <f>HYPERLINK("http://141.218.60.56/~jnz1568/getInfo.php?workbook=10_01.xlsx&amp;sheet=A0&amp;row=243&amp;col=12&amp;number=&amp;sourceID=11","")</f>
        <v/>
      </c>
      <c r="M243" s="4" t="str">
        <f>HYPERLINK("http://141.218.60.56/~jnz1568/getInfo.php?workbook=10_01.xlsx&amp;sheet=A0&amp;row=243&amp;col=13&amp;number=0&amp;sourceID=11","0")</f>
        <v>0</v>
      </c>
      <c r="N243" s="4" t="str">
        <f>HYPERLINK("http://141.218.60.56/~jnz1568/getInfo.php?workbook=10_01.xlsx&amp;sheet=A0&amp;row=243&amp;col=14&amp;number=0&amp;sourceID=12","0")</f>
        <v>0</v>
      </c>
      <c r="O243" s="4" t="str">
        <f>HYPERLINK("http://141.218.60.56/~jnz1568/getInfo.php?workbook=10_01.xlsx&amp;sheet=A0&amp;row=243&amp;col=15&amp;number=&amp;sourceID=12","")</f>
        <v/>
      </c>
      <c r="P243" s="4" t="str">
        <f>HYPERLINK("http://141.218.60.56/~jnz1568/getInfo.php?workbook=10_01.xlsx&amp;sheet=A0&amp;row=243&amp;col=16&amp;number=&amp;sourceID=12","")</f>
        <v/>
      </c>
      <c r="Q243" s="4" t="str">
        <f>HYPERLINK("http://141.218.60.56/~jnz1568/getInfo.php?workbook=10_01.xlsx&amp;sheet=A0&amp;row=243&amp;col=17&amp;number=&amp;sourceID=12","")</f>
        <v/>
      </c>
      <c r="R243" s="4" t="str">
        <f>HYPERLINK("http://141.218.60.56/~jnz1568/getInfo.php?workbook=10_01.xlsx&amp;sheet=A0&amp;row=243&amp;col=18&amp;number=&amp;sourceID=12","")</f>
        <v/>
      </c>
      <c r="S243" s="4" t="str">
        <f>HYPERLINK("http://141.218.60.56/~jnz1568/getInfo.php?workbook=10_01.xlsx&amp;sheet=A0&amp;row=243&amp;col=19&amp;number=&amp;sourceID=12","")</f>
        <v/>
      </c>
      <c r="T243" s="4" t="str">
        <f>HYPERLINK("http://141.218.60.56/~jnz1568/getInfo.php?workbook=10_01.xlsx&amp;sheet=A0&amp;row=243&amp;col=20&amp;number=0&amp;sourceID=12","0")</f>
        <v>0</v>
      </c>
      <c r="U243" s="4" t="str">
        <f>HYPERLINK("http://141.218.60.56/~jnz1568/getInfo.php?workbook=10_01.xlsx&amp;sheet=A0&amp;row=243&amp;col=21&amp;number=&amp;sourceID=30","")</f>
        <v/>
      </c>
      <c r="V243" s="4" t="str">
        <f>HYPERLINK("http://141.218.60.56/~jnz1568/getInfo.php?workbook=10_01.xlsx&amp;sheet=A0&amp;row=243&amp;col=22&amp;number=&amp;sourceID=30","")</f>
        <v/>
      </c>
      <c r="W243" s="4" t="str">
        <f>HYPERLINK("http://141.218.60.56/~jnz1568/getInfo.php?workbook=10_01.xlsx&amp;sheet=A0&amp;row=243&amp;col=23&amp;number=&amp;sourceID=30","")</f>
        <v/>
      </c>
      <c r="X243" s="4" t="str">
        <f>HYPERLINK("http://141.218.60.56/~jnz1568/getInfo.php?workbook=10_01.xlsx&amp;sheet=A0&amp;row=243&amp;col=24&amp;number=&amp;sourceID=30","")</f>
        <v/>
      </c>
      <c r="Y243" s="4" t="str">
        <f>HYPERLINK("http://141.218.60.56/~jnz1568/getInfo.php?workbook=10_01.xlsx&amp;sheet=A0&amp;row=243&amp;col=25&amp;number=&amp;sourceID=30","")</f>
        <v/>
      </c>
      <c r="Z243" s="4" t="str">
        <f>HYPERLINK("http://141.218.60.56/~jnz1568/getInfo.php?workbook=10_01.xlsx&amp;sheet=A0&amp;row=243&amp;col=26&amp;number=&amp;sourceID=13","")</f>
        <v/>
      </c>
      <c r="AA243" s="4" t="str">
        <f>HYPERLINK("http://141.218.60.56/~jnz1568/getInfo.php?workbook=10_01.xlsx&amp;sheet=A0&amp;row=243&amp;col=27&amp;number=&amp;sourceID=13","")</f>
        <v/>
      </c>
      <c r="AB243" s="4" t="str">
        <f>HYPERLINK("http://141.218.60.56/~jnz1568/getInfo.php?workbook=10_01.xlsx&amp;sheet=A0&amp;row=243&amp;col=28&amp;number=&amp;sourceID=13","")</f>
        <v/>
      </c>
      <c r="AC243" s="4" t="str">
        <f>HYPERLINK("http://141.218.60.56/~jnz1568/getInfo.php?workbook=10_01.xlsx&amp;sheet=A0&amp;row=243&amp;col=29&amp;number=&amp;sourceID=13","")</f>
        <v/>
      </c>
      <c r="AD243" s="4" t="str">
        <f>HYPERLINK("http://141.218.60.56/~jnz1568/getInfo.php?workbook=10_01.xlsx&amp;sheet=A0&amp;row=243&amp;col=30&amp;number=&amp;sourceID=13","")</f>
        <v/>
      </c>
      <c r="AE243" s="4" t="str">
        <f>HYPERLINK("http://141.218.60.56/~jnz1568/getInfo.php?workbook=10_01.xlsx&amp;sheet=A0&amp;row=243&amp;col=31&amp;number=&amp;sourceID=13","")</f>
        <v/>
      </c>
      <c r="AF243" s="4" t="str">
        <f>HYPERLINK("http://141.218.60.56/~jnz1568/getInfo.php?workbook=10_01.xlsx&amp;sheet=A0&amp;row=243&amp;col=32&amp;number=&amp;sourceID=20","")</f>
        <v/>
      </c>
    </row>
    <row r="244" spans="1:32">
      <c r="A244" s="3">
        <v>10</v>
      </c>
      <c r="B244" s="3">
        <v>1</v>
      </c>
      <c r="C244" s="3">
        <v>23</v>
      </c>
      <c r="D244" s="3">
        <v>19</v>
      </c>
      <c r="E244" s="3">
        <f>((1/(INDEX(E0!J$4:J$28,C244,1)-INDEX(E0!J$4:J$28,D244,1))))*100000000</f>
        <v>0</v>
      </c>
      <c r="F244" s="4" t="str">
        <f>HYPERLINK("http://141.218.60.56/~jnz1568/getInfo.php?workbook=10_01.xlsx&amp;sheet=A0&amp;row=244&amp;col=6&amp;number=&amp;sourceID=18","")</f>
        <v/>
      </c>
      <c r="G244" s="4" t="str">
        <f>HYPERLINK("http://141.218.60.56/~jnz1568/getInfo.php?workbook=10_01.xlsx&amp;sheet=A0&amp;row=244&amp;col=7&amp;number==&amp;sourceID=11","=")</f>
        <v>=</v>
      </c>
      <c r="H244" s="4" t="str">
        <f>HYPERLINK("http://141.218.60.56/~jnz1568/getInfo.php?workbook=10_01.xlsx&amp;sheet=A0&amp;row=244&amp;col=8&amp;number=&amp;sourceID=11","")</f>
        <v/>
      </c>
      <c r="I244" s="4" t="str">
        <f>HYPERLINK("http://141.218.60.56/~jnz1568/getInfo.php?workbook=10_01.xlsx&amp;sheet=A0&amp;row=244&amp;col=9&amp;number=3.5472e-11&amp;sourceID=11","3.5472e-11")</f>
        <v>3.5472e-11</v>
      </c>
      <c r="J244" s="4" t="str">
        <f>HYPERLINK("http://141.218.60.56/~jnz1568/getInfo.php?workbook=10_01.xlsx&amp;sheet=A0&amp;row=244&amp;col=10&amp;number=&amp;sourceID=11","")</f>
        <v/>
      </c>
      <c r="K244" s="4" t="str">
        <f>HYPERLINK("http://141.218.60.56/~jnz1568/getInfo.php?workbook=10_01.xlsx&amp;sheet=A0&amp;row=244&amp;col=11&amp;number=&amp;sourceID=11","")</f>
        <v/>
      </c>
      <c r="L244" s="4" t="str">
        <f>HYPERLINK("http://141.218.60.56/~jnz1568/getInfo.php?workbook=10_01.xlsx&amp;sheet=A0&amp;row=244&amp;col=12&amp;number=&amp;sourceID=11","")</f>
        <v/>
      </c>
      <c r="M244" s="4" t="str">
        <f>HYPERLINK("http://141.218.60.56/~jnz1568/getInfo.php?workbook=10_01.xlsx&amp;sheet=A0&amp;row=244&amp;col=13&amp;number=0&amp;sourceID=11","0")</f>
        <v>0</v>
      </c>
      <c r="N244" s="4" t="str">
        <f>HYPERLINK("http://141.218.60.56/~jnz1568/getInfo.php?workbook=10_01.xlsx&amp;sheet=A0&amp;row=244&amp;col=14&amp;number=3.548e-11&amp;sourceID=12","3.548e-11")</f>
        <v>3.548e-11</v>
      </c>
      <c r="O244" s="4" t="str">
        <f>HYPERLINK("http://141.218.60.56/~jnz1568/getInfo.php?workbook=10_01.xlsx&amp;sheet=A0&amp;row=244&amp;col=15&amp;number=&amp;sourceID=12","")</f>
        <v/>
      </c>
      <c r="P244" s="4" t="str">
        <f>HYPERLINK("http://141.218.60.56/~jnz1568/getInfo.php?workbook=10_01.xlsx&amp;sheet=A0&amp;row=244&amp;col=16&amp;number=3.548e-11&amp;sourceID=12","3.548e-11")</f>
        <v>3.548e-11</v>
      </c>
      <c r="Q244" s="4" t="str">
        <f>HYPERLINK("http://141.218.60.56/~jnz1568/getInfo.php?workbook=10_01.xlsx&amp;sheet=A0&amp;row=244&amp;col=17&amp;number=&amp;sourceID=12","")</f>
        <v/>
      </c>
      <c r="R244" s="4" t="str">
        <f>HYPERLINK("http://141.218.60.56/~jnz1568/getInfo.php?workbook=10_01.xlsx&amp;sheet=A0&amp;row=244&amp;col=18&amp;number=&amp;sourceID=12","")</f>
        <v/>
      </c>
      <c r="S244" s="4" t="str">
        <f>HYPERLINK("http://141.218.60.56/~jnz1568/getInfo.php?workbook=10_01.xlsx&amp;sheet=A0&amp;row=244&amp;col=19&amp;number=&amp;sourceID=12","")</f>
        <v/>
      </c>
      <c r="T244" s="4" t="str">
        <f>HYPERLINK("http://141.218.60.56/~jnz1568/getInfo.php?workbook=10_01.xlsx&amp;sheet=A0&amp;row=244&amp;col=20&amp;number=0&amp;sourceID=12","0")</f>
        <v>0</v>
      </c>
      <c r="U244" s="4" t="str">
        <f>HYPERLINK("http://141.218.60.56/~jnz1568/getInfo.php?workbook=10_01.xlsx&amp;sheet=A0&amp;row=244&amp;col=21&amp;number=3.548e-11&amp;sourceID=30","3.548e-11")</f>
        <v>3.548e-11</v>
      </c>
      <c r="V244" s="4" t="str">
        <f>HYPERLINK("http://141.218.60.56/~jnz1568/getInfo.php?workbook=10_01.xlsx&amp;sheet=A0&amp;row=244&amp;col=22&amp;number=&amp;sourceID=30","")</f>
        <v/>
      </c>
      <c r="W244" s="4" t="str">
        <f>HYPERLINK("http://141.218.60.56/~jnz1568/getInfo.php?workbook=10_01.xlsx&amp;sheet=A0&amp;row=244&amp;col=23&amp;number=3.548e-11&amp;sourceID=30","3.548e-11")</f>
        <v>3.548e-11</v>
      </c>
      <c r="X244" s="4" t="str">
        <f>HYPERLINK("http://141.218.60.56/~jnz1568/getInfo.php?workbook=10_01.xlsx&amp;sheet=A0&amp;row=244&amp;col=24&amp;number=&amp;sourceID=30","")</f>
        <v/>
      </c>
      <c r="Y244" s="4" t="str">
        <f>HYPERLINK("http://141.218.60.56/~jnz1568/getInfo.php?workbook=10_01.xlsx&amp;sheet=A0&amp;row=244&amp;col=25&amp;number=&amp;sourceID=30","")</f>
        <v/>
      </c>
      <c r="Z244" s="4" t="str">
        <f>HYPERLINK("http://141.218.60.56/~jnz1568/getInfo.php?workbook=10_01.xlsx&amp;sheet=A0&amp;row=244&amp;col=26&amp;number=&amp;sourceID=13","")</f>
        <v/>
      </c>
      <c r="AA244" s="4" t="str">
        <f>HYPERLINK("http://141.218.60.56/~jnz1568/getInfo.php?workbook=10_01.xlsx&amp;sheet=A0&amp;row=244&amp;col=27&amp;number=&amp;sourceID=13","")</f>
        <v/>
      </c>
      <c r="AB244" s="4" t="str">
        <f>HYPERLINK("http://141.218.60.56/~jnz1568/getInfo.php?workbook=10_01.xlsx&amp;sheet=A0&amp;row=244&amp;col=28&amp;number=&amp;sourceID=13","")</f>
        <v/>
      </c>
      <c r="AC244" s="4" t="str">
        <f>HYPERLINK("http://141.218.60.56/~jnz1568/getInfo.php?workbook=10_01.xlsx&amp;sheet=A0&amp;row=244&amp;col=29&amp;number=&amp;sourceID=13","")</f>
        <v/>
      </c>
      <c r="AD244" s="4" t="str">
        <f>HYPERLINK("http://141.218.60.56/~jnz1568/getInfo.php?workbook=10_01.xlsx&amp;sheet=A0&amp;row=244&amp;col=30&amp;number=&amp;sourceID=13","")</f>
        <v/>
      </c>
      <c r="AE244" s="4" t="str">
        <f>HYPERLINK("http://141.218.60.56/~jnz1568/getInfo.php?workbook=10_01.xlsx&amp;sheet=A0&amp;row=244&amp;col=31&amp;number=&amp;sourceID=13","")</f>
        <v/>
      </c>
      <c r="AF244" s="4" t="str">
        <f>HYPERLINK("http://141.218.60.56/~jnz1568/getInfo.php?workbook=10_01.xlsx&amp;sheet=A0&amp;row=244&amp;col=32&amp;number=&amp;sourceID=20","")</f>
        <v/>
      </c>
    </row>
    <row r="245" spans="1:32">
      <c r="A245" s="3">
        <v>10</v>
      </c>
      <c r="B245" s="3">
        <v>1</v>
      </c>
      <c r="C245" s="3">
        <v>23</v>
      </c>
      <c r="D245" s="3">
        <v>20</v>
      </c>
      <c r="E245" s="3">
        <f>((1/(INDEX(E0!J$4:J$28,C245,1)-INDEX(E0!J$4:J$28,D245,1))))*100000000</f>
        <v>0</v>
      </c>
      <c r="F245" s="4" t="str">
        <f>HYPERLINK("http://141.218.60.56/~jnz1568/getInfo.php?workbook=10_01.xlsx&amp;sheet=A0&amp;row=245&amp;col=6&amp;number=&amp;sourceID=18","")</f>
        <v/>
      </c>
      <c r="G245" s="4" t="str">
        <f>HYPERLINK("http://141.218.60.56/~jnz1568/getInfo.php?workbook=10_01.xlsx&amp;sheet=A0&amp;row=245&amp;col=7&amp;number==&amp;sourceID=11","=")</f>
        <v>=</v>
      </c>
      <c r="H245" s="4" t="str">
        <f>HYPERLINK("http://141.218.60.56/~jnz1568/getInfo.php?workbook=10_01.xlsx&amp;sheet=A0&amp;row=245&amp;col=8&amp;number=&amp;sourceID=11","")</f>
        <v/>
      </c>
      <c r="I245" s="4" t="str">
        <f>HYPERLINK("http://141.218.60.56/~jnz1568/getInfo.php?workbook=10_01.xlsx&amp;sheet=A0&amp;row=245&amp;col=9&amp;number=&amp;sourceID=11","")</f>
        <v/>
      </c>
      <c r="J245" s="4" t="str">
        <f>HYPERLINK("http://141.218.60.56/~jnz1568/getInfo.php?workbook=10_01.xlsx&amp;sheet=A0&amp;row=245&amp;col=10&amp;number=0&amp;sourceID=11","0")</f>
        <v>0</v>
      </c>
      <c r="K245" s="4" t="str">
        <f>HYPERLINK("http://141.218.60.56/~jnz1568/getInfo.php?workbook=10_01.xlsx&amp;sheet=A0&amp;row=245&amp;col=11&amp;number=&amp;sourceID=11","")</f>
        <v/>
      </c>
      <c r="L245" s="4" t="str">
        <f>HYPERLINK("http://141.218.60.56/~jnz1568/getInfo.php?workbook=10_01.xlsx&amp;sheet=A0&amp;row=245&amp;col=12&amp;number=0&amp;sourceID=11","0")</f>
        <v>0</v>
      </c>
      <c r="M245" s="4" t="str">
        <f>HYPERLINK("http://141.218.60.56/~jnz1568/getInfo.php?workbook=10_01.xlsx&amp;sheet=A0&amp;row=245&amp;col=13&amp;number=&amp;sourceID=11","")</f>
        <v/>
      </c>
      <c r="N245" s="4" t="str">
        <f>HYPERLINK("http://141.218.60.56/~jnz1568/getInfo.php?workbook=10_01.xlsx&amp;sheet=A0&amp;row=245&amp;col=14&amp;number=0&amp;sourceID=12","0")</f>
        <v>0</v>
      </c>
      <c r="O245" s="4" t="str">
        <f>HYPERLINK("http://141.218.60.56/~jnz1568/getInfo.php?workbook=10_01.xlsx&amp;sheet=A0&amp;row=245&amp;col=15&amp;number=&amp;sourceID=12","")</f>
        <v/>
      </c>
      <c r="P245" s="4" t="str">
        <f>HYPERLINK("http://141.218.60.56/~jnz1568/getInfo.php?workbook=10_01.xlsx&amp;sheet=A0&amp;row=245&amp;col=16&amp;number=&amp;sourceID=12","")</f>
        <v/>
      </c>
      <c r="Q245" s="4" t="str">
        <f>HYPERLINK("http://141.218.60.56/~jnz1568/getInfo.php?workbook=10_01.xlsx&amp;sheet=A0&amp;row=245&amp;col=17&amp;number=0&amp;sourceID=12","0")</f>
        <v>0</v>
      </c>
      <c r="R245" s="4" t="str">
        <f>HYPERLINK("http://141.218.60.56/~jnz1568/getInfo.php?workbook=10_01.xlsx&amp;sheet=A0&amp;row=245&amp;col=18&amp;number=&amp;sourceID=12","")</f>
        <v/>
      </c>
      <c r="S245" s="4" t="str">
        <f>HYPERLINK("http://141.218.60.56/~jnz1568/getInfo.php?workbook=10_01.xlsx&amp;sheet=A0&amp;row=245&amp;col=19&amp;number=0&amp;sourceID=12","0")</f>
        <v>0</v>
      </c>
      <c r="T245" s="4" t="str">
        <f>HYPERLINK("http://141.218.60.56/~jnz1568/getInfo.php?workbook=10_01.xlsx&amp;sheet=A0&amp;row=245&amp;col=20&amp;number=&amp;sourceID=12","")</f>
        <v/>
      </c>
      <c r="U245" s="4" t="str">
        <f>HYPERLINK("http://141.218.60.56/~jnz1568/getInfo.php?workbook=10_01.xlsx&amp;sheet=A0&amp;row=245&amp;col=21&amp;number=0&amp;sourceID=30","0")</f>
        <v>0</v>
      </c>
      <c r="V245" s="4" t="str">
        <f>HYPERLINK("http://141.218.60.56/~jnz1568/getInfo.php?workbook=10_01.xlsx&amp;sheet=A0&amp;row=245&amp;col=22&amp;number=&amp;sourceID=30","")</f>
        <v/>
      </c>
      <c r="W245" s="4" t="str">
        <f>HYPERLINK("http://141.218.60.56/~jnz1568/getInfo.php?workbook=10_01.xlsx&amp;sheet=A0&amp;row=245&amp;col=23&amp;number=&amp;sourceID=30","")</f>
        <v/>
      </c>
      <c r="X245" s="4" t="str">
        <f>HYPERLINK("http://141.218.60.56/~jnz1568/getInfo.php?workbook=10_01.xlsx&amp;sheet=A0&amp;row=245&amp;col=24&amp;number=&amp;sourceID=30","")</f>
        <v/>
      </c>
      <c r="Y245" s="4" t="str">
        <f>HYPERLINK("http://141.218.60.56/~jnz1568/getInfo.php?workbook=10_01.xlsx&amp;sheet=A0&amp;row=245&amp;col=25&amp;number=0&amp;sourceID=30","0")</f>
        <v>0</v>
      </c>
      <c r="Z245" s="4" t="str">
        <f>HYPERLINK("http://141.218.60.56/~jnz1568/getInfo.php?workbook=10_01.xlsx&amp;sheet=A0&amp;row=245&amp;col=26&amp;number=&amp;sourceID=13","")</f>
        <v/>
      </c>
      <c r="AA245" s="4" t="str">
        <f>HYPERLINK("http://141.218.60.56/~jnz1568/getInfo.php?workbook=10_01.xlsx&amp;sheet=A0&amp;row=245&amp;col=27&amp;number=&amp;sourceID=13","")</f>
        <v/>
      </c>
      <c r="AB245" s="4" t="str">
        <f>HYPERLINK("http://141.218.60.56/~jnz1568/getInfo.php?workbook=10_01.xlsx&amp;sheet=A0&amp;row=245&amp;col=28&amp;number=&amp;sourceID=13","")</f>
        <v/>
      </c>
      <c r="AC245" s="4" t="str">
        <f>HYPERLINK("http://141.218.60.56/~jnz1568/getInfo.php?workbook=10_01.xlsx&amp;sheet=A0&amp;row=245&amp;col=29&amp;number=&amp;sourceID=13","")</f>
        <v/>
      </c>
      <c r="AD245" s="4" t="str">
        <f>HYPERLINK("http://141.218.60.56/~jnz1568/getInfo.php?workbook=10_01.xlsx&amp;sheet=A0&amp;row=245&amp;col=30&amp;number=&amp;sourceID=13","")</f>
        <v/>
      </c>
      <c r="AE245" s="4" t="str">
        <f>HYPERLINK("http://141.218.60.56/~jnz1568/getInfo.php?workbook=10_01.xlsx&amp;sheet=A0&amp;row=245&amp;col=31&amp;number=&amp;sourceID=13","")</f>
        <v/>
      </c>
      <c r="AF245" s="4" t="str">
        <f>HYPERLINK("http://141.218.60.56/~jnz1568/getInfo.php?workbook=10_01.xlsx&amp;sheet=A0&amp;row=245&amp;col=32&amp;number=&amp;sourceID=20","")</f>
        <v/>
      </c>
    </row>
    <row r="246" spans="1:32">
      <c r="A246" s="3">
        <v>10</v>
      </c>
      <c r="B246" s="3">
        <v>1</v>
      </c>
      <c r="C246" s="3">
        <v>23</v>
      </c>
      <c r="D246" s="3">
        <v>21</v>
      </c>
      <c r="E246" s="3">
        <f>((1/(INDEX(E0!J$4:J$28,C246,1)-INDEX(E0!J$4:J$28,D246,1))))*100000000</f>
        <v>0</v>
      </c>
      <c r="F246" s="4" t="str">
        <f>HYPERLINK("http://141.218.60.56/~jnz1568/getInfo.php?workbook=10_01.xlsx&amp;sheet=A0&amp;row=246&amp;col=6&amp;number=&amp;sourceID=18","")</f>
        <v/>
      </c>
      <c r="G246" s="4" t="str">
        <f>HYPERLINK("http://141.218.60.56/~jnz1568/getInfo.php?workbook=10_01.xlsx&amp;sheet=A0&amp;row=246&amp;col=7&amp;number==&amp;sourceID=11","=")</f>
        <v>=</v>
      </c>
      <c r="H246" s="4" t="str">
        <f>HYPERLINK("http://141.218.60.56/~jnz1568/getInfo.php?workbook=10_01.xlsx&amp;sheet=A0&amp;row=246&amp;col=8&amp;number=0.26025&amp;sourceID=11","0.26025")</f>
        <v>0.26025</v>
      </c>
      <c r="I246" s="4" t="str">
        <f>HYPERLINK("http://141.218.60.56/~jnz1568/getInfo.php?workbook=10_01.xlsx&amp;sheet=A0&amp;row=246&amp;col=9&amp;number=&amp;sourceID=11","")</f>
        <v/>
      </c>
      <c r="J246" s="4" t="str">
        <f>HYPERLINK("http://141.218.60.56/~jnz1568/getInfo.php?workbook=10_01.xlsx&amp;sheet=A0&amp;row=246&amp;col=10&amp;number=0&amp;sourceID=11","0")</f>
        <v>0</v>
      </c>
      <c r="K246" s="4" t="str">
        <f>HYPERLINK("http://141.218.60.56/~jnz1568/getInfo.php?workbook=10_01.xlsx&amp;sheet=A0&amp;row=246&amp;col=11&amp;number=&amp;sourceID=11","")</f>
        <v/>
      </c>
      <c r="L246" s="4" t="str">
        <f>HYPERLINK("http://141.218.60.56/~jnz1568/getInfo.php?workbook=10_01.xlsx&amp;sheet=A0&amp;row=246&amp;col=12&amp;number=0&amp;sourceID=11","0")</f>
        <v>0</v>
      </c>
      <c r="M246" s="4" t="str">
        <f>HYPERLINK("http://141.218.60.56/~jnz1568/getInfo.php?workbook=10_01.xlsx&amp;sheet=A0&amp;row=246&amp;col=13&amp;number=&amp;sourceID=11","")</f>
        <v/>
      </c>
      <c r="N246" s="4" t="str">
        <f>HYPERLINK("http://141.218.60.56/~jnz1568/getInfo.php?workbook=10_01.xlsx&amp;sheet=A0&amp;row=246&amp;col=14&amp;number=0.26028&amp;sourceID=12","0.26028")</f>
        <v>0.26028</v>
      </c>
      <c r="O246" s="4" t="str">
        <f>HYPERLINK("http://141.218.60.56/~jnz1568/getInfo.php?workbook=10_01.xlsx&amp;sheet=A0&amp;row=246&amp;col=15&amp;number=0.26028&amp;sourceID=12","0.26028")</f>
        <v>0.26028</v>
      </c>
      <c r="P246" s="4" t="str">
        <f>HYPERLINK("http://141.218.60.56/~jnz1568/getInfo.php?workbook=10_01.xlsx&amp;sheet=A0&amp;row=246&amp;col=16&amp;number=&amp;sourceID=12","")</f>
        <v/>
      </c>
      <c r="Q246" s="4" t="str">
        <f>HYPERLINK("http://141.218.60.56/~jnz1568/getInfo.php?workbook=10_01.xlsx&amp;sheet=A0&amp;row=246&amp;col=17&amp;number=0&amp;sourceID=12","0")</f>
        <v>0</v>
      </c>
      <c r="R246" s="4" t="str">
        <f>HYPERLINK("http://141.218.60.56/~jnz1568/getInfo.php?workbook=10_01.xlsx&amp;sheet=A0&amp;row=246&amp;col=18&amp;number=&amp;sourceID=12","")</f>
        <v/>
      </c>
      <c r="S246" s="4" t="str">
        <f>HYPERLINK("http://141.218.60.56/~jnz1568/getInfo.php?workbook=10_01.xlsx&amp;sheet=A0&amp;row=246&amp;col=19&amp;number=0&amp;sourceID=12","0")</f>
        <v>0</v>
      </c>
      <c r="T246" s="4" t="str">
        <f>HYPERLINK("http://141.218.60.56/~jnz1568/getInfo.php?workbook=10_01.xlsx&amp;sheet=A0&amp;row=246&amp;col=20&amp;number=&amp;sourceID=12","")</f>
        <v/>
      </c>
      <c r="U246" s="4" t="str">
        <f>HYPERLINK("http://141.218.60.56/~jnz1568/getInfo.php?workbook=10_01.xlsx&amp;sheet=A0&amp;row=246&amp;col=21&amp;number=0.2603&amp;sourceID=30","0.2603")</f>
        <v>0.2603</v>
      </c>
      <c r="V246" s="4" t="str">
        <f>HYPERLINK("http://141.218.60.56/~jnz1568/getInfo.php?workbook=10_01.xlsx&amp;sheet=A0&amp;row=246&amp;col=22&amp;number=0.2603&amp;sourceID=30","0.2603")</f>
        <v>0.2603</v>
      </c>
      <c r="W246" s="4" t="str">
        <f>HYPERLINK("http://141.218.60.56/~jnz1568/getInfo.php?workbook=10_01.xlsx&amp;sheet=A0&amp;row=246&amp;col=23&amp;number=&amp;sourceID=30","")</f>
        <v/>
      </c>
      <c r="X246" s="4" t="str">
        <f>HYPERLINK("http://141.218.60.56/~jnz1568/getInfo.php?workbook=10_01.xlsx&amp;sheet=A0&amp;row=246&amp;col=24&amp;number=&amp;sourceID=30","")</f>
        <v/>
      </c>
      <c r="Y246" s="4" t="str">
        <f>HYPERLINK("http://141.218.60.56/~jnz1568/getInfo.php?workbook=10_01.xlsx&amp;sheet=A0&amp;row=246&amp;col=25&amp;number=0&amp;sourceID=30","0")</f>
        <v>0</v>
      </c>
      <c r="Z246" s="4" t="str">
        <f>HYPERLINK("http://141.218.60.56/~jnz1568/getInfo.php?workbook=10_01.xlsx&amp;sheet=A0&amp;row=246&amp;col=26&amp;number=&amp;sourceID=13","")</f>
        <v/>
      </c>
      <c r="AA246" s="4" t="str">
        <f>HYPERLINK("http://141.218.60.56/~jnz1568/getInfo.php?workbook=10_01.xlsx&amp;sheet=A0&amp;row=246&amp;col=27&amp;number=&amp;sourceID=13","")</f>
        <v/>
      </c>
      <c r="AB246" s="4" t="str">
        <f>HYPERLINK("http://141.218.60.56/~jnz1568/getInfo.php?workbook=10_01.xlsx&amp;sheet=A0&amp;row=246&amp;col=28&amp;number=&amp;sourceID=13","")</f>
        <v/>
      </c>
      <c r="AC246" s="4" t="str">
        <f>HYPERLINK("http://141.218.60.56/~jnz1568/getInfo.php?workbook=10_01.xlsx&amp;sheet=A0&amp;row=246&amp;col=29&amp;number=&amp;sourceID=13","")</f>
        <v/>
      </c>
      <c r="AD246" s="4" t="str">
        <f>HYPERLINK("http://141.218.60.56/~jnz1568/getInfo.php?workbook=10_01.xlsx&amp;sheet=A0&amp;row=246&amp;col=30&amp;number=&amp;sourceID=13","")</f>
        <v/>
      </c>
      <c r="AE246" s="4" t="str">
        <f>HYPERLINK("http://141.218.60.56/~jnz1568/getInfo.php?workbook=10_01.xlsx&amp;sheet=A0&amp;row=246&amp;col=31&amp;number=&amp;sourceID=13","")</f>
        <v/>
      </c>
      <c r="AF246" s="4" t="str">
        <f>HYPERLINK("http://141.218.60.56/~jnz1568/getInfo.php?workbook=10_01.xlsx&amp;sheet=A0&amp;row=246&amp;col=32&amp;number=&amp;sourceID=20","")</f>
        <v/>
      </c>
    </row>
    <row r="247" spans="1:32">
      <c r="A247" s="3">
        <v>10</v>
      </c>
      <c r="B247" s="3">
        <v>1</v>
      </c>
      <c r="C247" s="3">
        <v>23</v>
      </c>
      <c r="D247" s="3">
        <v>22</v>
      </c>
      <c r="E247" s="3">
        <f>((1/(INDEX(E0!J$4:J$28,C247,1)-INDEX(E0!J$4:J$28,D247,1))))*100000000</f>
        <v>0</v>
      </c>
      <c r="F247" s="4" t="str">
        <f>HYPERLINK("http://141.218.60.56/~jnz1568/getInfo.php?workbook=10_01.xlsx&amp;sheet=A0&amp;row=247&amp;col=6&amp;number=&amp;sourceID=18","")</f>
        <v/>
      </c>
      <c r="G247" s="4" t="str">
        <f>HYPERLINK("http://141.218.60.56/~jnz1568/getInfo.php?workbook=10_01.xlsx&amp;sheet=A0&amp;row=247&amp;col=7&amp;number==&amp;sourceID=11","=")</f>
        <v>=</v>
      </c>
      <c r="H247" s="4" t="str">
        <f>HYPERLINK("http://141.218.60.56/~jnz1568/getInfo.php?workbook=10_01.xlsx&amp;sheet=A0&amp;row=247&amp;col=8&amp;number=&amp;sourceID=11","")</f>
        <v/>
      </c>
      <c r="I247" s="4" t="str">
        <f>HYPERLINK("http://141.218.60.56/~jnz1568/getInfo.php?workbook=10_01.xlsx&amp;sheet=A0&amp;row=247&amp;col=9&amp;number=1.6e-14&amp;sourceID=11","1.6e-14")</f>
        <v>1.6e-14</v>
      </c>
      <c r="J247" s="4" t="str">
        <f>HYPERLINK("http://141.218.60.56/~jnz1568/getInfo.php?workbook=10_01.xlsx&amp;sheet=A0&amp;row=247&amp;col=10&amp;number=&amp;sourceID=11","")</f>
        <v/>
      </c>
      <c r="K247" s="4" t="str">
        <f>HYPERLINK("http://141.218.60.56/~jnz1568/getInfo.php?workbook=10_01.xlsx&amp;sheet=A0&amp;row=247&amp;col=11&amp;number=0&amp;sourceID=11","0")</f>
        <v>0</v>
      </c>
      <c r="L247" s="4" t="str">
        <f>HYPERLINK("http://141.218.60.56/~jnz1568/getInfo.php?workbook=10_01.xlsx&amp;sheet=A0&amp;row=247&amp;col=12&amp;number=&amp;sourceID=11","")</f>
        <v/>
      </c>
      <c r="M247" s="4" t="str">
        <f>HYPERLINK("http://141.218.60.56/~jnz1568/getInfo.php?workbook=10_01.xlsx&amp;sheet=A0&amp;row=247&amp;col=13&amp;number=0&amp;sourceID=11","0")</f>
        <v>0</v>
      </c>
      <c r="N247" s="4" t="str">
        <f>HYPERLINK("http://141.218.60.56/~jnz1568/getInfo.php?workbook=10_01.xlsx&amp;sheet=A0&amp;row=247&amp;col=14&amp;number=1.6e-14&amp;sourceID=12","1.6e-14")</f>
        <v>1.6e-14</v>
      </c>
      <c r="O247" s="4" t="str">
        <f>HYPERLINK("http://141.218.60.56/~jnz1568/getInfo.php?workbook=10_01.xlsx&amp;sheet=A0&amp;row=247&amp;col=15&amp;number=&amp;sourceID=12","")</f>
        <v/>
      </c>
      <c r="P247" s="4" t="str">
        <f>HYPERLINK("http://141.218.60.56/~jnz1568/getInfo.php?workbook=10_01.xlsx&amp;sheet=A0&amp;row=247&amp;col=16&amp;number=1.6e-14&amp;sourceID=12","1.6e-14")</f>
        <v>1.6e-14</v>
      </c>
      <c r="Q247" s="4" t="str">
        <f>HYPERLINK("http://141.218.60.56/~jnz1568/getInfo.php?workbook=10_01.xlsx&amp;sheet=A0&amp;row=247&amp;col=17&amp;number=&amp;sourceID=12","")</f>
        <v/>
      </c>
      <c r="R247" s="4" t="str">
        <f>HYPERLINK("http://141.218.60.56/~jnz1568/getInfo.php?workbook=10_01.xlsx&amp;sheet=A0&amp;row=247&amp;col=18&amp;number=0&amp;sourceID=12","0")</f>
        <v>0</v>
      </c>
      <c r="S247" s="4" t="str">
        <f>HYPERLINK("http://141.218.60.56/~jnz1568/getInfo.php?workbook=10_01.xlsx&amp;sheet=A0&amp;row=247&amp;col=19&amp;number=&amp;sourceID=12","")</f>
        <v/>
      </c>
      <c r="T247" s="4" t="str">
        <f>HYPERLINK("http://141.218.60.56/~jnz1568/getInfo.php?workbook=10_01.xlsx&amp;sheet=A0&amp;row=247&amp;col=20&amp;number=0&amp;sourceID=12","0")</f>
        <v>0</v>
      </c>
      <c r="U247" s="4" t="str">
        <f>HYPERLINK("http://141.218.60.56/~jnz1568/getInfo.php?workbook=10_01.xlsx&amp;sheet=A0&amp;row=247&amp;col=21&amp;number=1.6e-14&amp;sourceID=30","1.6e-14")</f>
        <v>1.6e-14</v>
      </c>
      <c r="V247" s="4" t="str">
        <f>HYPERLINK("http://141.218.60.56/~jnz1568/getInfo.php?workbook=10_01.xlsx&amp;sheet=A0&amp;row=247&amp;col=22&amp;number=&amp;sourceID=30","")</f>
        <v/>
      </c>
      <c r="W247" s="4" t="str">
        <f>HYPERLINK("http://141.218.60.56/~jnz1568/getInfo.php?workbook=10_01.xlsx&amp;sheet=A0&amp;row=247&amp;col=23&amp;number=1.6e-14&amp;sourceID=30","1.6e-14")</f>
        <v>1.6e-14</v>
      </c>
      <c r="X247" s="4" t="str">
        <f>HYPERLINK("http://141.218.60.56/~jnz1568/getInfo.php?workbook=10_01.xlsx&amp;sheet=A0&amp;row=247&amp;col=24&amp;number=0&amp;sourceID=30","0")</f>
        <v>0</v>
      </c>
      <c r="Y247" s="4" t="str">
        <f>HYPERLINK("http://141.218.60.56/~jnz1568/getInfo.php?workbook=10_01.xlsx&amp;sheet=A0&amp;row=247&amp;col=25&amp;number=&amp;sourceID=30","")</f>
        <v/>
      </c>
      <c r="Z247" s="4" t="str">
        <f>HYPERLINK("http://141.218.60.56/~jnz1568/getInfo.php?workbook=10_01.xlsx&amp;sheet=A0&amp;row=247&amp;col=26&amp;number=&amp;sourceID=13","")</f>
        <v/>
      </c>
      <c r="AA247" s="4" t="str">
        <f>HYPERLINK("http://141.218.60.56/~jnz1568/getInfo.php?workbook=10_01.xlsx&amp;sheet=A0&amp;row=247&amp;col=27&amp;number=&amp;sourceID=13","")</f>
        <v/>
      </c>
      <c r="AB247" s="4" t="str">
        <f>HYPERLINK("http://141.218.60.56/~jnz1568/getInfo.php?workbook=10_01.xlsx&amp;sheet=A0&amp;row=247&amp;col=28&amp;number=&amp;sourceID=13","")</f>
        <v/>
      </c>
      <c r="AC247" s="4" t="str">
        <f>HYPERLINK("http://141.218.60.56/~jnz1568/getInfo.php?workbook=10_01.xlsx&amp;sheet=A0&amp;row=247&amp;col=29&amp;number=&amp;sourceID=13","")</f>
        <v/>
      </c>
      <c r="AD247" s="4" t="str">
        <f>HYPERLINK("http://141.218.60.56/~jnz1568/getInfo.php?workbook=10_01.xlsx&amp;sheet=A0&amp;row=247&amp;col=30&amp;number=&amp;sourceID=13","")</f>
        <v/>
      </c>
      <c r="AE247" s="4" t="str">
        <f>HYPERLINK("http://141.218.60.56/~jnz1568/getInfo.php?workbook=10_01.xlsx&amp;sheet=A0&amp;row=247&amp;col=31&amp;number=&amp;sourceID=13","")</f>
        <v/>
      </c>
      <c r="AF247" s="4" t="str">
        <f>HYPERLINK("http://141.218.60.56/~jnz1568/getInfo.php?workbook=10_01.xlsx&amp;sheet=A0&amp;row=247&amp;col=32&amp;number=&amp;sourceID=20","")</f>
        <v/>
      </c>
    </row>
    <row r="248" spans="1:32">
      <c r="A248" s="3">
        <v>10</v>
      </c>
      <c r="B248" s="3">
        <v>1</v>
      </c>
      <c r="C248" s="3">
        <v>24</v>
      </c>
      <c r="D248" s="3">
        <v>1</v>
      </c>
      <c r="E248" s="3">
        <f>((1/(INDEX(E0!J$4:J$28,C248,1)-INDEX(E0!J$4:J$28,D248,1))))*100000000</f>
        <v>0</v>
      </c>
      <c r="F248" s="4" t="str">
        <f>HYPERLINK("http://141.218.60.56/~jnz1568/getInfo.php?workbook=10_01.xlsx&amp;sheet=A0&amp;row=248&amp;col=6&amp;number=&amp;sourceID=18","")</f>
        <v/>
      </c>
      <c r="G248" s="4" t="str">
        <f>HYPERLINK("http://141.218.60.56/~jnz1568/getInfo.php?workbook=10_01.xlsx&amp;sheet=A0&amp;row=248&amp;col=7&amp;number==&amp;sourceID=11","=")</f>
        <v>=</v>
      </c>
      <c r="H248" s="4" t="str">
        <f>HYPERLINK("http://141.218.60.56/~jnz1568/getInfo.php?workbook=10_01.xlsx&amp;sheet=A0&amp;row=248&amp;col=8&amp;number=&amp;sourceID=11","")</f>
        <v/>
      </c>
      <c r="I248" s="4" t="str">
        <f>HYPERLINK("http://141.218.60.56/~jnz1568/getInfo.php?workbook=10_01.xlsx&amp;sheet=A0&amp;row=248&amp;col=9&amp;number=&amp;sourceID=11","")</f>
        <v/>
      </c>
      <c r="J248" s="4" t="str">
        <f>HYPERLINK("http://141.218.60.56/~jnz1568/getInfo.php?workbook=10_01.xlsx&amp;sheet=A0&amp;row=248&amp;col=10&amp;number=25518&amp;sourceID=11","25518")</f>
        <v>25518</v>
      </c>
      <c r="K248" s="4" t="str">
        <f>HYPERLINK("http://141.218.60.56/~jnz1568/getInfo.php?workbook=10_01.xlsx&amp;sheet=A0&amp;row=248&amp;col=11&amp;number=&amp;sourceID=11","")</f>
        <v/>
      </c>
      <c r="L248" s="4" t="str">
        <f>HYPERLINK("http://141.218.60.56/~jnz1568/getInfo.php?workbook=10_01.xlsx&amp;sheet=A0&amp;row=248&amp;col=12&amp;number=&amp;sourceID=11","")</f>
        <v/>
      </c>
      <c r="M248" s="4" t="str">
        <f>HYPERLINK("http://141.218.60.56/~jnz1568/getInfo.php?workbook=10_01.xlsx&amp;sheet=A0&amp;row=248&amp;col=13&amp;number=&amp;sourceID=11","")</f>
        <v/>
      </c>
      <c r="N248" s="4" t="str">
        <f>HYPERLINK("http://141.218.60.56/~jnz1568/getInfo.php?workbook=10_01.xlsx&amp;sheet=A0&amp;row=248&amp;col=14&amp;number=25519&amp;sourceID=12","25519")</f>
        <v>25519</v>
      </c>
      <c r="O248" s="4" t="str">
        <f>HYPERLINK("http://141.218.60.56/~jnz1568/getInfo.php?workbook=10_01.xlsx&amp;sheet=A0&amp;row=248&amp;col=15&amp;number=&amp;sourceID=12","")</f>
        <v/>
      </c>
      <c r="P248" s="4" t="str">
        <f>HYPERLINK("http://141.218.60.56/~jnz1568/getInfo.php?workbook=10_01.xlsx&amp;sheet=A0&amp;row=248&amp;col=16&amp;number=&amp;sourceID=12","")</f>
        <v/>
      </c>
      <c r="Q248" s="4" t="str">
        <f>HYPERLINK("http://141.218.60.56/~jnz1568/getInfo.php?workbook=10_01.xlsx&amp;sheet=A0&amp;row=248&amp;col=17&amp;number=25519&amp;sourceID=12","25519")</f>
        <v>25519</v>
      </c>
      <c r="R248" s="4" t="str">
        <f>HYPERLINK("http://141.218.60.56/~jnz1568/getInfo.php?workbook=10_01.xlsx&amp;sheet=A0&amp;row=248&amp;col=18&amp;number=&amp;sourceID=12","")</f>
        <v/>
      </c>
      <c r="S248" s="4" t="str">
        <f>HYPERLINK("http://141.218.60.56/~jnz1568/getInfo.php?workbook=10_01.xlsx&amp;sheet=A0&amp;row=248&amp;col=19&amp;number=&amp;sourceID=12","")</f>
        <v/>
      </c>
      <c r="T248" s="4" t="str">
        <f>HYPERLINK("http://141.218.60.56/~jnz1568/getInfo.php?workbook=10_01.xlsx&amp;sheet=A0&amp;row=248&amp;col=20&amp;number=&amp;sourceID=12","")</f>
        <v/>
      </c>
      <c r="U248" s="4" t="str">
        <f>HYPERLINK("http://141.218.60.56/~jnz1568/getInfo.php?workbook=10_01.xlsx&amp;sheet=A0&amp;row=248&amp;col=21&amp;number=&amp;sourceID=30","")</f>
        <v/>
      </c>
      <c r="V248" s="4" t="str">
        <f>HYPERLINK("http://141.218.60.56/~jnz1568/getInfo.php?workbook=10_01.xlsx&amp;sheet=A0&amp;row=248&amp;col=22&amp;number=&amp;sourceID=30","")</f>
        <v/>
      </c>
      <c r="W248" s="4" t="str">
        <f>HYPERLINK("http://141.218.60.56/~jnz1568/getInfo.php?workbook=10_01.xlsx&amp;sheet=A0&amp;row=248&amp;col=23&amp;number=&amp;sourceID=30","")</f>
        <v/>
      </c>
      <c r="X248" s="4" t="str">
        <f>HYPERLINK("http://141.218.60.56/~jnz1568/getInfo.php?workbook=10_01.xlsx&amp;sheet=A0&amp;row=248&amp;col=24&amp;number=&amp;sourceID=30","")</f>
        <v/>
      </c>
      <c r="Y248" s="4" t="str">
        <f>HYPERLINK("http://141.218.60.56/~jnz1568/getInfo.php?workbook=10_01.xlsx&amp;sheet=A0&amp;row=248&amp;col=25&amp;number=&amp;sourceID=30","")</f>
        <v/>
      </c>
      <c r="Z248" s="4" t="str">
        <f>HYPERLINK("http://141.218.60.56/~jnz1568/getInfo.php?workbook=10_01.xlsx&amp;sheet=A0&amp;row=248&amp;col=26&amp;number=&amp;sourceID=13","")</f>
        <v/>
      </c>
      <c r="AA248" s="4" t="str">
        <f>HYPERLINK("http://141.218.60.56/~jnz1568/getInfo.php?workbook=10_01.xlsx&amp;sheet=A0&amp;row=248&amp;col=27&amp;number=&amp;sourceID=13","")</f>
        <v/>
      </c>
      <c r="AB248" s="4" t="str">
        <f>HYPERLINK("http://141.218.60.56/~jnz1568/getInfo.php?workbook=10_01.xlsx&amp;sheet=A0&amp;row=248&amp;col=28&amp;number=&amp;sourceID=13","")</f>
        <v/>
      </c>
      <c r="AC248" s="4" t="str">
        <f>HYPERLINK("http://141.218.60.56/~jnz1568/getInfo.php?workbook=10_01.xlsx&amp;sheet=A0&amp;row=248&amp;col=29&amp;number=&amp;sourceID=13","")</f>
        <v/>
      </c>
      <c r="AD248" s="4" t="str">
        <f>HYPERLINK("http://141.218.60.56/~jnz1568/getInfo.php?workbook=10_01.xlsx&amp;sheet=A0&amp;row=248&amp;col=30&amp;number=&amp;sourceID=13","")</f>
        <v/>
      </c>
      <c r="AE248" s="4" t="str">
        <f>HYPERLINK("http://141.218.60.56/~jnz1568/getInfo.php?workbook=10_01.xlsx&amp;sheet=A0&amp;row=248&amp;col=31&amp;number=&amp;sourceID=13","")</f>
        <v/>
      </c>
      <c r="AF248" s="4" t="str">
        <f>HYPERLINK("http://141.218.60.56/~jnz1568/getInfo.php?workbook=10_01.xlsx&amp;sheet=A0&amp;row=248&amp;col=32&amp;number=&amp;sourceID=20","")</f>
        <v/>
      </c>
    </row>
    <row r="249" spans="1:32">
      <c r="A249" s="3">
        <v>10</v>
      </c>
      <c r="B249" s="3">
        <v>1</v>
      </c>
      <c r="C249" s="3">
        <v>24</v>
      </c>
      <c r="D249" s="3">
        <v>2</v>
      </c>
      <c r="E249" s="3">
        <f>((1/(INDEX(E0!J$4:J$28,C249,1)-INDEX(E0!J$4:J$28,D249,1))))*100000000</f>
        <v>0</v>
      </c>
      <c r="F249" s="4" t="str">
        <f>HYPERLINK("http://141.218.60.56/~jnz1568/getInfo.php?workbook=10_01.xlsx&amp;sheet=A0&amp;row=249&amp;col=6&amp;number=&amp;sourceID=18","")</f>
        <v/>
      </c>
      <c r="G249" s="4" t="str">
        <f>HYPERLINK("http://141.218.60.56/~jnz1568/getInfo.php?workbook=10_01.xlsx&amp;sheet=A0&amp;row=249&amp;col=7&amp;number==&amp;sourceID=11","=")</f>
        <v>=</v>
      </c>
      <c r="H249" s="4" t="str">
        <f>HYPERLINK("http://141.218.60.56/~jnz1568/getInfo.php?workbook=10_01.xlsx&amp;sheet=A0&amp;row=249&amp;col=8&amp;number=&amp;sourceID=11","")</f>
        <v/>
      </c>
      <c r="I249" s="4" t="str">
        <f>HYPERLINK("http://141.218.60.56/~jnz1568/getInfo.php?workbook=10_01.xlsx&amp;sheet=A0&amp;row=249&amp;col=9&amp;number=&amp;sourceID=11","")</f>
        <v/>
      </c>
      <c r="J249" s="4" t="str">
        <f>HYPERLINK("http://141.218.60.56/~jnz1568/getInfo.php?workbook=10_01.xlsx&amp;sheet=A0&amp;row=249&amp;col=10&amp;number=&amp;sourceID=11","")</f>
        <v/>
      </c>
      <c r="K249" s="4" t="str">
        <f>HYPERLINK("http://141.218.60.56/~jnz1568/getInfo.php?workbook=10_01.xlsx&amp;sheet=A0&amp;row=249&amp;col=11&amp;number=&amp;sourceID=11","")</f>
        <v/>
      </c>
      <c r="L249" s="4" t="str">
        <f>HYPERLINK("http://141.218.60.56/~jnz1568/getInfo.php?workbook=10_01.xlsx&amp;sheet=A0&amp;row=249&amp;col=12&amp;number=&amp;sourceID=11","")</f>
        <v/>
      </c>
      <c r="M249" s="4" t="str">
        <f>HYPERLINK("http://141.218.60.56/~jnz1568/getInfo.php?workbook=10_01.xlsx&amp;sheet=A0&amp;row=249&amp;col=13&amp;number=0.92618&amp;sourceID=11","0.92618")</f>
        <v>0.92618</v>
      </c>
      <c r="N249" s="4" t="str">
        <f>HYPERLINK("http://141.218.60.56/~jnz1568/getInfo.php?workbook=10_01.xlsx&amp;sheet=A0&amp;row=249&amp;col=14&amp;number=0.92621&amp;sourceID=12","0.92621")</f>
        <v>0.92621</v>
      </c>
      <c r="O249" s="4" t="str">
        <f>HYPERLINK("http://141.218.60.56/~jnz1568/getInfo.php?workbook=10_01.xlsx&amp;sheet=A0&amp;row=249&amp;col=15&amp;number=&amp;sourceID=12","")</f>
        <v/>
      </c>
      <c r="P249" s="4" t="str">
        <f>HYPERLINK("http://141.218.60.56/~jnz1568/getInfo.php?workbook=10_01.xlsx&amp;sheet=A0&amp;row=249&amp;col=16&amp;number=&amp;sourceID=12","")</f>
        <v/>
      </c>
      <c r="Q249" s="4" t="str">
        <f>HYPERLINK("http://141.218.60.56/~jnz1568/getInfo.php?workbook=10_01.xlsx&amp;sheet=A0&amp;row=249&amp;col=17&amp;number=&amp;sourceID=12","")</f>
        <v/>
      </c>
      <c r="R249" s="4" t="str">
        <f>HYPERLINK("http://141.218.60.56/~jnz1568/getInfo.php?workbook=10_01.xlsx&amp;sheet=A0&amp;row=249&amp;col=18&amp;number=&amp;sourceID=12","")</f>
        <v/>
      </c>
      <c r="S249" s="4" t="str">
        <f>HYPERLINK("http://141.218.60.56/~jnz1568/getInfo.php?workbook=10_01.xlsx&amp;sheet=A0&amp;row=249&amp;col=19&amp;number=&amp;sourceID=12","")</f>
        <v/>
      </c>
      <c r="T249" s="4" t="str">
        <f>HYPERLINK("http://141.218.60.56/~jnz1568/getInfo.php?workbook=10_01.xlsx&amp;sheet=A0&amp;row=249&amp;col=20&amp;number=0.92621&amp;sourceID=12","0.92621")</f>
        <v>0.92621</v>
      </c>
      <c r="U249" s="4" t="str">
        <f>HYPERLINK("http://141.218.60.56/~jnz1568/getInfo.php?workbook=10_01.xlsx&amp;sheet=A0&amp;row=249&amp;col=21&amp;number=&amp;sourceID=30","")</f>
        <v/>
      </c>
      <c r="V249" s="4" t="str">
        <f>HYPERLINK("http://141.218.60.56/~jnz1568/getInfo.php?workbook=10_01.xlsx&amp;sheet=A0&amp;row=249&amp;col=22&amp;number=&amp;sourceID=30","")</f>
        <v/>
      </c>
      <c r="W249" s="4" t="str">
        <f>HYPERLINK("http://141.218.60.56/~jnz1568/getInfo.php?workbook=10_01.xlsx&amp;sheet=A0&amp;row=249&amp;col=23&amp;number=&amp;sourceID=30","")</f>
        <v/>
      </c>
      <c r="X249" s="4" t="str">
        <f>HYPERLINK("http://141.218.60.56/~jnz1568/getInfo.php?workbook=10_01.xlsx&amp;sheet=A0&amp;row=249&amp;col=24&amp;number=&amp;sourceID=30","")</f>
        <v/>
      </c>
      <c r="Y249" s="4" t="str">
        <f>HYPERLINK("http://141.218.60.56/~jnz1568/getInfo.php?workbook=10_01.xlsx&amp;sheet=A0&amp;row=249&amp;col=25&amp;number=&amp;sourceID=30","")</f>
        <v/>
      </c>
      <c r="Z249" s="4" t="str">
        <f>HYPERLINK("http://141.218.60.56/~jnz1568/getInfo.php?workbook=10_01.xlsx&amp;sheet=A0&amp;row=249&amp;col=26&amp;number=&amp;sourceID=13","")</f>
        <v/>
      </c>
      <c r="AA249" s="4" t="str">
        <f>HYPERLINK("http://141.218.60.56/~jnz1568/getInfo.php?workbook=10_01.xlsx&amp;sheet=A0&amp;row=249&amp;col=27&amp;number=&amp;sourceID=13","")</f>
        <v/>
      </c>
      <c r="AB249" s="4" t="str">
        <f>HYPERLINK("http://141.218.60.56/~jnz1568/getInfo.php?workbook=10_01.xlsx&amp;sheet=A0&amp;row=249&amp;col=28&amp;number=&amp;sourceID=13","")</f>
        <v/>
      </c>
      <c r="AC249" s="4" t="str">
        <f>HYPERLINK("http://141.218.60.56/~jnz1568/getInfo.php?workbook=10_01.xlsx&amp;sheet=A0&amp;row=249&amp;col=29&amp;number=&amp;sourceID=13","")</f>
        <v/>
      </c>
      <c r="AD249" s="4" t="str">
        <f>HYPERLINK("http://141.218.60.56/~jnz1568/getInfo.php?workbook=10_01.xlsx&amp;sheet=A0&amp;row=249&amp;col=30&amp;number=&amp;sourceID=13","")</f>
        <v/>
      </c>
      <c r="AE249" s="4" t="str">
        <f>HYPERLINK("http://141.218.60.56/~jnz1568/getInfo.php?workbook=10_01.xlsx&amp;sheet=A0&amp;row=249&amp;col=31&amp;number=&amp;sourceID=13","")</f>
        <v/>
      </c>
      <c r="AF249" s="4" t="str">
        <f>HYPERLINK("http://141.218.60.56/~jnz1568/getInfo.php?workbook=10_01.xlsx&amp;sheet=A0&amp;row=249&amp;col=32&amp;number=&amp;sourceID=20","")</f>
        <v/>
      </c>
    </row>
    <row r="250" spans="1:32">
      <c r="A250" s="3">
        <v>10</v>
      </c>
      <c r="B250" s="3">
        <v>1</v>
      </c>
      <c r="C250" s="3">
        <v>24</v>
      </c>
      <c r="D250" s="3">
        <v>3</v>
      </c>
      <c r="E250" s="3">
        <f>((1/(INDEX(E0!J$4:J$28,C250,1)-INDEX(E0!J$4:J$28,D250,1))))*100000000</f>
        <v>0</v>
      </c>
      <c r="F250" s="4" t="str">
        <f>HYPERLINK("http://141.218.60.56/~jnz1568/getInfo.php?workbook=10_01.xlsx&amp;sheet=A0&amp;row=250&amp;col=6&amp;number=&amp;sourceID=18","")</f>
        <v/>
      </c>
      <c r="G250" s="4" t="str">
        <f>HYPERLINK("http://141.218.60.56/~jnz1568/getInfo.php?workbook=10_01.xlsx&amp;sheet=A0&amp;row=250&amp;col=7&amp;number==&amp;sourceID=11","=")</f>
        <v>=</v>
      </c>
      <c r="H250" s="4" t="str">
        <f>HYPERLINK("http://141.218.60.56/~jnz1568/getInfo.php?workbook=10_01.xlsx&amp;sheet=A0&amp;row=250&amp;col=8&amp;number=&amp;sourceID=11","")</f>
        <v/>
      </c>
      <c r="I250" s="4" t="str">
        <f>HYPERLINK("http://141.218.60.56/~jnz1568/getInfo.php?workbook=10_01.xlsx&amp;sheet=A0&amp;row=250&amp;col=9&amp;number=&amp;sourceID=11","")</f>
        <v/>
      </c>
      <c r="J250" s="4" t="str">
        <f>HYPERLINK("http://141.218.60.56/~jnz1568/getInfo.php?workbook=10_01.xlsx&amp;sheet=A0&amp;row=250&amp;col=10&amp;number=7079.3&amp;sourceID=11","7079.3")</f>
        <v>7079.3</v>
      </c>
      <c r="K250" s="4" t="str">
        <f>HYPERLINK("http://141.218.60.56/~jnz1568/getInfo.php?workbook=10_01.xlsx&amp;sheet=A0&amp;row=250&amp;col=11&amp;number=&amp;sourceID=11","")</f>
        <v/>
      </c>
      <c r="L250" s="4" t="str">
        <f>HYPERLINK("http://141.218.60.56/~jnz1568/getInfo.php?workbook=10_01.xlsx&amp;sheet=A0&amp;row=250&amp;col=12&amp;number=&amp;sourceID=11","")</f>
        <v/>
      </c>
      <c r="M250" s="4" t="str">
        <f>HYPERLINK("http://141.218.60.56/~jnz1568/getInfo.php?workbook=10_01.xlsx&amp;sheet=A0&amp;row=250&amp;col=13&amp;number=&amp;sourceID=11","")</f>
        <v/>
      </c>
      <c r="N250" s="4" t="str">
        <f>HYPERLINK("http://141.218.60.56/~jnz1568/getInfo.php?workbook=10_01.xlsx&amp;sheet=A0&amp;row=250&amp;col=14&amp;number=7079.5&amp;sourceID=12","7079.5")</f>
        <v>7079.5</v>
      </c>
      <c r="O250" s="4" t="str">
        <f>HYPERLINK("http://141.218.60.56/~jnz1568/getInfo.php?workbook=10_01.xlsx&amp;sheet=A0&amp;row=250&amp;col=15&amp;number=&amp;sourceID=12","")</f>
        <v/>
      </c>
      <c r="P250" s="4" t="str">
        <f>HYPERLINK("http://141.218.60.56/~jnz1568/getInfo.php?workbook=10_01.xlsx&amp;sheet=A0&amp;row=250&amp;col=16&amp;number=&amp;sourceID=12","")</f>
        <v/>
      </c>
      <c r="Q250" s="4" t="str">
        <f>HYPERLINK("http://141.218.60.56/~jnz1568/getInfo.php?workbook=10_01.xlsx&amp;sheet=A0&amp;row=250&amp;col=17&amp;number=7079.5&amp;sourceID=12","7079.5")</f>
        <v>7079.5</v>
      </c>
      <c r="R250" s="4" t="str">
        <f>HYPERLINK("http://141.218.60.56/~jnz1568/getInfo.php?workbook=10_01.xlsx&amp;sheet=A0&amp;row=250&amp;col=18&amp;number=&amp;sourceID=12","")</f>
        <v/>
      </c>
      <c r="S250" s="4" t="str">
        <f>HYPERLINK("http://141.218.60.56/~jnz1568/getInfo.php?workbook=10_01.xlsx&amp;sheet=A0&amp;row=250&amp;col=19&amp;number=&amp;sourceID=12","")</f>
        <v/>
      </c>
      <c r="T250" s="4" t="str">
        <f>HYPERLINK("http://141.218.60.56/~jnz1568/getInfo.php?workbook=10_01.xlsx&amp;sheet=A0&amp;row=250&amp;col=20&amp;number=&amp;sourceID=12","")</f>
        <v/>
      </c>
      <c r="U250" s="4" t="str">
        <f>HYPERLINK("http://141.218.60.56/~jnz1568/getInfo.php?workbook=10_01.xlsx&amp;sheet=A0&amp;row=250&amp;col=21&amp;number=&amp;sourceID=30","")</f>
        <v/>
      </c>
      <c r="V250" s="4" t="str">
        <f>HYPERLINK("http://141.218.60.56/~jnz1568/getInfo.php?workbook=10_01.xlsx&amp;sheet=A0&amp;row=250&amp;col=22&amp;number=&amp;sourceID=30","")</f>
        <v/>
      </c>
      <c r="W250" s="4" t="str">
        <f>HYPERLINK("http://141.218.60.56/~jnz1568/getInfo.php?workbook=10_01.xlsx&amp;sheet=A0&amp;row=250&amp;col=23&amp;number=&amp;sourceID=30","")</f>
        <v/>
      </c>
      <c r="X250" s="4" t="str">
        <f>HYPERLINK("http://141.218.60.56/~jnz1568/getInfo.php?workbook=10_01.xlsx&amp;sheet=A0&amp;row=250&amp;col=24&amp;number=&amp;sourceID=30","")</f>
        <v/>
      </c>
      <c r="Y250" s="4" t="str">
        <f>HYPERLINK("http://141.218.60.56/~jnz1568/getInfo.php?workbook=10_01.xlsx&amp;sheet=A0&amp;row=250&amp;col=25&amp;number=&amp;sourceID=30","")</f>
        <v/>
      </c>
      <c r="Z250" s="4" t="str">
        <f>HYPERLINK("http://141.218.60.56/~jnz1568/getInfo.php?workbook=10_01.xlsx&amp;sheet=A0&amp;row=250&amp;col=26&amp;number=&amp;sourceID=13","")</f>
        <v/>
      </c>
      <c r="AA250" s="4" t="str">
        <f>HYPERLINK("http://141.218.60.56/~jnz1568/getInfo.php?workbook=10_01.xlsx&amp;sheet=A0&amp;row=250&amp;col=27&amp;number=&amp;sourceID=13","")</f>
        <v/>
      </c>
      <c r="AB250" s="4" t="str">
        <f>HYPERLINK("http://141.218.60.56/~jnz1568/getInfo.php?workbook=10_01.xlsx&amp;sheet=A0&amp;row=250&amp;col=28&amp;number=&amp;sourceID=13","")</f>
        <v/>
      </c>
      <c r="AC250" s="4" t="str">
        <f>HYPERLINK("http://141.218.60.56/~jnz1568/getInfo.php?workbook=10_01.xlsx&amp;sheet=A0&amp;row=250&amp;col=29&amp;number=&amp;sourceID=13","")</f>
        <v/>
      </c>
      <c r="AD250" s="4" t="str">
        <f>HYPERLINK("http://141.218.60.56/~jnz1568/getInfo.php?workbook=10_01.xlsx&amp;sheet=A0&amp;row=250&amp;col=30&amp;number=&amp;sourceID=13","")</f>
        <v/>
      </c>
      <c r="AE250" s="4" t="str">
        <f>HYPERLINK("http://141.218.60.56/~jnz1568/getInfo.php?workbook=10_01.xlsx&amp;sheet=A0&amp;row=250&amp;col=31&amp;number=&amp;sourceID=13","")</f>
        <v/>
      </c>
      <c r="AF250" s="4" t="str">
        <f>HYPERLINK("http://141.218.60.56/~jnz1568/getInfo.php?workbook=10_01.xlsx&amp;sheet=A0&amp;row=250&amp;col=32&amp;number=&amp;sourceID=20","")</f>
        <v/>
      </c>
    </row>
    <row r="251" spans="1:32">
      <c r="A251" s="3">
        <v>10</v>
      </c>
      <c r="B251" s="3">
        <v>1</v>
      </c>
      <c r="C251" s="3">
        <v>24</v>
      </c>
      <c r="D251" s="3">
        <v>4</v>
      </c>
      <c r="E251" s="3">
        <f>((1/(INDEX(E0!J$4:J$28,C251,1)-INDEX(E0!J$4:J$28,D251,1))))*100000000</f>
        <v>0</v>
      </c>
      <c r="F251" s="4" t="str">
        <f>HYPERLINK("http://141.218.60.56/~jnz1568/getInfo.php?workbook=10_01.xlsx&amp;sheet=A0&amp;row=251&amp;col=6&amp;number=&amp;sourceID=18","")</f>
        <v/>
      </c>
      <c r="G251" s="4" t="str">
        <f>HYPERLINK("http://141.218.60.56/~jnz1568/getInfo.php?workbook=10_01.xlsx&amp;sheet=A0&amp;row=251&amp;col=7&amp;number==&amp;sourceID=11","=")</f>
        <v>=</v>
      </c>
      <c r="H251" s="4" t="str">
        <f>HYPERLINK("http://141.218.60.56/~jnz1568/getInfo.php?workbook=10_01.xlsx&amp;sheet=A0&amp;row=251&amp;col=8&amp;number=&amp;sourceID=11","")</f>
        <v/>
      </c>
      <c r="I251" s="4" t="str">
        <f>HYPERLINK("http://141.218.60.56/~jnz1568/getInfo.php?workbook=10_01.xlsx&amp;sheet=A0&amp;row=251&amp;col=9&amp;number=41276000&amp;sourceID=11","41276000")</f>
        <v>41276000</v>
      </c>
      <c r="J251" s="4" t="str">
        <f>HYPERLINK("http://141.218.60.56/~jnz1568/getInfo.php?workbook=10_01.xlsx&amp;sheet=A0&amp;row=251&amp;col=10&amp;number=&amp;sourceID=11","")</f>
        <v/>
      </c>
      <c r="K251" s="4" t="str">
        <f>HYPERLINK("http://141.218.60.56/~jnz1568/getInfo.php?workbook=10_01.xlsx&amp;sheet=A0&amp;row=251&amp;col=11&amp;number=&amp;sourceID=11","")</f>
        <v/>
      </c>
      <c r="L251" s="4" t="str">
        <f>HYPERLINK("http://141.218.60.56/~jnz1568/getInfo.php?workbook=10_01.xlsx&amp;sheet=A0&amp;row=251&amp;col=12&amp;number=&amp;sourceID=11","")</f>
        <v/>
      </c>
      <c r="M251" s="4" t="str">
        <f>HYPERLINK("http://141.218.60.56/~jnz1568/getInfo.php?workbook=10_01.xlsx&amp;sheet=A0&amp;row=251&amp;col=13&amp;number=2.7671&amp;sourceID=11","2.7671")</f>
        <v>2.7671</v>
      </c>
      <c r="N251" s="4" t="str">
        <f>HYPERLINK("http://141.218.60.56/~jnz1568/getInfo.php?workbook=10_01.xlsx&amp;sheet=A0&amp;row=251&amp;col=14&amp;number=41278000&amp;sourceID=12","41278000")</f>
        <v>41278000</v>
      </c>
      <c r="O251" s="4" t="str">
        <f>HYPERLINK("http://141.218.60.56/~jnz1568/getInfo.php?workbook=10_01.xlsx&amp;sheet=A0&amp;row=251&amp;col=15&amp;number=&amp;sourceID=12","")</f>
        <v/>
      </c>
      <c r="P251" s="4" t="str">
        <f>HYPERLINK("http://141.218.60.56/~jnz1568/getInfo.php?workbook=10_01.xlsx&amp;sheet=A0&amp;row=251&amp;col=16&amp;number=41278000&amp;sourceID=12","41278000")</f>
        <v>41278000</v>
      </c>
      <c r="Q251" s="4" t="str">
        <f>HYPERLINK("http://141.218.60.56/~jnz1568/getInfo.php?workbook=10_01.xlsx&amp;sheet=A0&amp;row=251&amp;col=17&amp;number=&amp;sourceID=12","")</f>
        <v/>
      </c>
      <c r="R251" s="4" t="str">
        <f>HYPERLINK("http://141.218.60.56/~jnz1568/getInfo.php?workbook=10_01.xlsx&amp;sheet=A0&amp;row=251&amp;col=18&amp;number=&amp;sourceID=12","")</f>
        <v/>
      </c>
      <c r="S251" s="4" t="str">
        <f>HYPERLINK("http://141.218.60.56/~jnz1568/getInfo.php?workbook=10_01.xlsx&amp;sheet=A0&amp;row=251&amp;col=19&amp;number=&amp;sourceID=12","")</f>
        <v/>
      </c>
      <c r="T251" s="4" t="str">
        <f>HYPERLINK("http://141.218.60.56/~jnz1568/getInfo.php?workbook=10_01.xlsx&amp;sheet=A0&amp;row=251&amp;col=20&amp;number=2.7671&amp;sourceID=12","2.7671")</f>
        <v>2.7671</v>
      </c>
      <c r="U251" s="4" t="str">
        <f>HYPERLINK("http://141.218.60.56/~jnz1568/getInfo.php?workbook=10_01.xlsx&amp;sheet=A0&amp;row=251&amp;col=21&amp;number=41280000&amp;sourceID=30","41280000")</f>
        <v>41280000</v>
      </c>
      <c r="V251" s="4" t="str">
        <f>HYPERLINK("http://141.218.60.56/~jnz1568/getInfo.php?workbook=10_01.xlsx&amp;sheet=A0&amp;row=251&amp;col=22&amp;number=&amp;sourceID=30","")</f>
        <v/>
      </c>
      <c r="W251" s="4" t="str">
        <f>HYPERLINK("http://141.218.60.56/~jnz1568/getInfo.php?workbook=10_01.xlsx&amp;sheet=A0&amp;row=251&amp;col=23&amp;number=41280000&amp;sourceID=30","41280000")</f>
        <v>41280000</v>
      </c>
      <c r="X251" s="4" t="str">
        <f>HYPERLINK("http://141.218.60.56/~jnz1568/getInfo.php?workbook=10_01.xlsx&amp;sheet=A0&amp;row=251&amp;col=24&amp;number=&amp;sourceID=30","")</f>
        <v/>
      </c>
      <c r="Y251" s="4" t="str">
        <f>HYPERLINK("http://141.218.60.56/~jnz1568/getInfo.php?workbook=10_01.xlsx&amp;sheet=A0&amp;row=251&amp;col=25&amp;number=&amp;sourceID=30","")</f>
        <v/>
      </c>
      <c r="Z251" s="4" t="str">
        <f>HYPERLINK("http://141.218.60.56/~jnz1568/getInfo.php?workbook=10_01.xlsx&amp;sheet=A0&amp;row=251&amp;col=26&amp;number=&amp;sourceID=13","")</f>
        <v/>
      </c>
      <c r="AA251" s="4" t="str">
        <f>HYPERLINK("http://141.218.60.56/~jnz1568/getInfo.php?workbook=10_01.xlsx&amp;sheet=A0&amp;row=251&amp;col=27&amp;number=&amp;sourceID=13","")</f>
        <v/>
      </c>
      <c r="AB251" s="4" t="str">
        <f>HYPERLINK("http://141.218.60.56/~jnz1568/getInfo.php?workbook=10_01.xlsx&amp;sheet=A0&amp;row=251&amp;col=28&amp;number=&amp;sourceID=13","")</f>
        <v/>
      </c>
      <c r="AC251" s="4" t="str">
        <f>HYPERLINK("http://141.218.60.56/~jnz1568/getInfo.php?workbook=10_01.xlsx&amp;sheet=A0&amp;row=251&amp;col=29&amp;number=&amp;sourceID=13","")</f>
        <v/>
      </c>
      <c r="AD251" s="4" t="str">
        <f>HYPERLINK("http://141.218.60.56/~jnz1568/getInfo.php?workbook=10_01.xlsx&amp;sheet=A0&amp;row=251&amp;col=30&amp;number=&amp;sourceID=13","")</f>
        <v/>
      </c>
      <c r="AE251" s="4" t="str">
        <f>HYPERLINK("http://141.218.60.56/~jnz1568/getInfo.php?workbook=10_01.xlsx&amp;sheet=A0&amp;row=251&amp;col=31&amp;number=&amp;sourceID=13","")</f>
        <v/>
      </c>
      <c r="AF251" s="4" t="str">
        <f>HYPERLINK("http://141.218.60.56/~jnz1568/getInfo.php?workbook=10_01.xlsx&amp;sheet=A0&amp;row=251&amp;col=32&amp;number=&amp;sourceID=20","")</f>
        <v/>
      </c>
    </row>
    <row r="252" spans="1:32">
      <c r="A252" s="3">
        <v>10</v>
      </c>
      <c r="B252" s="3">
        <v>1</v>
      </c>
      <c r="C252" s="3">
        <v>24</v>
      </c>
      <c r="D252" s="3">
        <v>5</v>
      </c>
      <c r="E252" s="3">
        <f>((1/(INDEX(E0!J$4:J$28,C252,1)-INDEX(E0!J$4:J$28,D252,1))))*100000000</f>
        <v>0</v>
      </c>
      <c r="F252" s="4" t="str">
        <f>HYPERLINK("http://141.218.60.56/~jnz1568/getInfo.php?workbook=10_01.xlsx&amp;sheet=A0&amp;row=252&amp;col=6&amp;number=&amp;sourceID=18","")</f>
        <v/>
      </c>
      <c r="G252" s="4" t="str">
        <f>HYPERLINK("http://141.218.60.56/~jnz1568/getInfo.php?workbook=10_01.xlsx&amp;sheet=A0&amp;row=252&amp;col=7&amp;number==&amp;sourceID=11","=")</f>
        <v>=</v>
      </c>
      <c r="H252" s="4" t="str">
        <f>HYPERLINK("http://141.218.60.56/~jnz1568/getInfo.php?workbook=10_01.xlsx&amp;sheet=A0&amp;row=252&amp;col=8&amp;number=&amp;sourceID=11","")</f>
        <v/>
      </c>
      <c r="I252" s="4" t="str">
        <f>HYPERLINK("http://141.218.60.56/~jnz1568/getInfo.php?workbook=10_01.xlsx&amp;sheet=A0&amp;row=252&amp;col=9&amp;number=&amp;sourceID=11","")</f>
        <v/>
      </c>
      <c r="J252" s="4" t="str">
        <f>HYPERLINK("http://141.218.60.56/~jnz1568/getInfo.php?workbook=10_01.xlsx&amp;sheet=A0&amp;row=252&amp;col=10&amp;number=&amp;sourceID=11","")</f>
        <v/>
      </c>
      <c r="K252" s="4" t="str">
        <f>HYPERLINK("http://141.218.60.56/~jnz1568/getInfo.php?workbook=10_01.xlsx&amp;sheet=A0&amp;row=252&amp;col=11&amp;number=&amp;sourceID=11","")</f>
        <v/>
      </c>
      <c r="L252" s="4" t="str">
        <f>HYPERLINK("http://141.218.60.56/~jnz1568/getInfo.php?workbook=10_01.xlsx&amp;sheet=A0&amp;row=252&amp;col=12&amp;number=&amp;sourceID=11","")</f>
        <v/>
      </c>
      <c r="M252" s="4" t="str">
        <f>HYPERLINK("http://141.218.60.56/~jnz1568/getInfo.php?workbook=10_01.xlsx&amp;sheet=A0&amp;row=252&amp;col=13&amp;number=7.4971e-05&amp;sourceID=11","7.4971e-05")</f>
        <v>7.4971e-05</v>
      </c>
      <c r="N252" s="4" t="str">
        <f>HYPERLINK("http://141.218.60.56/~jnz1568/getInfo.php?workbook=10_01.xlsx&amp;sheet=A0&amp;row=252&amp;col=14&amp;number=7.4973e-05&amp;sourceID=12","7.4973e-05")</f>
        <v>7.4973e-05</v>
      </c>
      <c r="O252" s="4" t="str">
        <f>HYPERLINK("http://141.218.60.56/~jnz1568/getInfo.php?workbook=10_01.xlsx&amp;sheet=A0&amp;row=252&amp;col=15&amp;number=&amp;sourceID=12","")</f>
        <v/>
      </c>
      <c r="P252" s="4" t="str">
        <f>HYPERLINK("http://141.218.60.56/~jnz1568/getInfo.php?workbook=10_01.xlsx&amp;sheet=A0&amp;row=252&amp;col=16&amp;number=&amp;sourceID=12","")</f>
        <v/>
      </c>
      <c r="Q252" s="4" t="str">
        <f>HYPERLINK("http://141.218.60.56/~jnz1568/getInfo.php?workbook=10_01.xlsx&amp;sheet=A0&amp;row=252&amp;col=17&amp;number=&amp;sourceID=12","")</f>
        <v/>
      </c>
      <c r="R252" s="4" t="str">
        <f>HYPERLINK("http://141.218.60.56/~jnz1568/getInfo.php?workbook=10_01.xlsx&amp;sheet=A0&amp;row=252&amp;col=18&amp;number=&amp;sourceID=12","")</f>
        <v/>
      </c>
      <c r="S252" s="4" t="str">
        <f>HYPERLINK("http://141.218.60.56/~jnz1568/getInfo.php?workbook=10_01.xlsx&amp;sheet=A0&amp;row=252&amp;col=19&amp;number=&amp;sourceID=12","")</f>
        <v/>
      </c>
      <c r="T252" s="4" t="str">
        <f>HYPERLINK("http://141.218.60.56/~jnz1568/getInfo.php?workbook=10_01.xlsx&amp;sheet=A0&amp;row=252&amp;col=20&amp;number=7.4973e-05&amp;sourceID=12","7.4973e-05")</f>
        <v>7.4973e-05</v>
      </c>
      <c r="U252" s="4" t="str">
        <f>HYPERLINK("http://141.218.60.56/~jnz1568/getInfo.php?workbook=10_01.xlsx&amp;sheet=A0&amp;row=252&amp;col=21&amp;number=&amp;sourceID=30","")</f>
        <v/>
      </c>
      <c r="V252" s="4" t="str">
        <f>HYPERLINK("http://141.218.60.56/~jnz1568/getInfo.php?workbook=10_01.xlsx&amp;sheet=A0&amp;row=252&amp;col=22&amp;number=&amp;sourceID=30","")</f>
        <v/>
      </c>
      <c r="W252" s="4" t="str">
        <f>HYPERLINK("http://141.218.60.56/~jnz1568/getInfo.php?workbook=10_01.xlsx&amp;sheet=A0&amp;row=252&amp;col=23&amp;number=&amp;sourceID=30","")</f>
        <v/>
      </c>
      <c r="X252" s="4" t="str">
        <f>HYPERLINK("http://141.218.60.56/~jnz1568/getInfo.php?workbook=10_01.xlsx&amp;sheet=A0&amp;row=252&amp;col=24&amp;number=&amp;sourceID=30","")</f>
        <v/>
      </c>
      <c r="Y252" s="4" t="str">
        <f>HYPERLINK("http://141.218.60.56/~jnz1568/getInfo.php?workbook=10_01.xlsx&amp;sheet=A0&amp;row=252&amp;col=25&amp;number=&amp;sourceID=30","")</f>
        <v/>
      </c>
      <c r="Z252" s="4" t="str">
        <f>HYPERLINK("http://141.218.60.56/~jnz1568/getInfo.php?workbook=10_01.xlsx&amp;sheet=A0&amp;row=252&amp;col=26&amp;number=&amp;sourceID=13","")</f>
        <v/>
      </c>
      <c r="AA252" s="4" t="str">
        <f>HYPERLINK("http://141.218.60.56/~jnz1568/getInfo.php?workbook=10_01.xlsx&amp;sheet=A0&amp;row=252&amp;col=27&amp;number=&amp;sourceID=13","")</f>
        <v/>
      </c>
      <c r="AB252" s="4" t="str">
        <f>HYPERLINK("http://141.218.60.56/~jnz1568/getInfo.php?workbook=10_01.xlsx&amp;sheet=A0&amp;row=252&amp;col=28&amp;number=&amp;sourceID=13","")</f>
        <v/>
      </c>
      <c r="AC252" s="4" t="str">
        <f>HYPERLINK("http://141.218.60.56/~jnz1568/getInfo.php?workbook=10_01.xlsx&amp;sheet=A0&amp;row=252&amp;col=29&amp;number=&amp;sourceID=13","")</f>
        <v/>
      </c>
      <c r="AD252" s="4" t="str">
        <f>HYPERLINK("http://141.218.60.56/~jnz1568/getInfo.php?workbook=10_01.xlsx&amp;sheet=A0&amp;row=252&amp;col=30&amp;number=&amp;sourceID=13","")</f>
        <v/>
      </c>
      <c r="AE252" s="4" t="str">
        <f>HYPERLINK("http://141.218.60.56/~jnz1568/getInfo.php?workbook=10_01.xlsx&amp;sheet=A0&amp;row=252&amp;col=31&amp;number=&amp;sourceID=13","")</f>
        <v/>
      </c>
      <c r="AF252" s="4" t="str">
        <f>HYPERLINK("http://141.218.60.56/~jnz1568/getInfo.php?workbook=10_01.xlsx&amp;sheet=A0&amp;row=252&amp;col=32&amp;number=&amp;sourceID=20","")</f>
        <v/>
      </c>
    </row>
    <row r="253" spans="1:32">
      <c r="A253" s="3">
        <v>10</v>
      </c>
      <c r="B253" s="3">
        <v>1</v>
      </c>
      <c r="C253" s="3">
        <v>24</v>
      </c>
      <c r="D253" s="3">
        <v>6</v>
      </c>
      <c r="E253" s="3">
        <f>((1/(INDEX(E0!J$4:J$28,C253,1)-INDEX(E0!J$4:J$28,D253,1))))*100000000</f>
        <v>0</v>
      </c>
      <c r="F253" s="4" t="str">
        <f>HYPERLINK("http://141.218.60.56/~jnz1568/getInfo.php?workbook=10_01.xlsx&amp;sheet=A0&amp;row=253&amp;col=6&amp;number=&amp;sourceID=18","")</f>
        <v/>
      </c>
      <c r="G253" s="4" t="str">
        <f>HYPERLINK("http://141.218.60.56/~jnz1568/getInfo.php?workbook=10_01.xlsx&amp;sheet=A0&amp;row=253&amp;col=7&amp;number==&amp;sourceID=11","=")</f>
        <v>=</v>
      </c>
      <c r="H253" s="4" t="str">
        <f>HYPERLINK("http://141.218.60.56/~jnz1568/getInfo.php?workbook=10_01.xlsx&amp;sheet=A0&amp;row=253&amp;col=8&amp;number=&amp;sourceID=11","")</f>
        <v/>
      </c>
      <c r="I253" s="4" t="str">
        <f>HYPERLINK("http://141.218.60.56/~jnz1568/getInfo.php?workbook=10_01.xlsx&amp;sheet=A0&amp;row=253&amp;col=9&amp;number=&amp;sourceID=11","")</f>
        <v/>
      </c>
      <c r="J253" s="4" t="str">
        <f>HYPERLINK("http://141.218.60.56/~jnz1568/getInfo.php?workbook=10_01.xlsx&amp;sheet=A0&amp;row=253&amp;col=10&amp;number=105.62&amp;sourceID=11","105.62")</f>
        <v>105.62</v>
      </c>
      <c r="K253" s="4" t="str">
        <f>HYPERLINK("http://141.218.60.56/~jnz1568/getInfo.php?workbook=10_01.xlsx&amp;sheet=A0&amp;row=253&amp;col=11&amp;number=&amp;sourceID=11","")</f>
        <v/>
      </c>
      <c r="L253" s="4" t="str">
        <f>HYPERLINK("http://141.218.60.56/~jnz1568/getInfo.php?workbook=10_01.xlsx&amp;sheet=A0&amp;row=253&amp;col=12&amp;number=&amp;sourceID=11","")</f>
        <v/>
      </c>
      <c r="M253" s="4" t="str">
        <f>HYPERLINK("http://141.218.60.56/~jnz1568/getInfo.php?workbook=10_01.xlsx&amp;sheet=A0&amp;row=253&amp;col=13&amp;number=&amp;sourceID=11","")</f>
        <v/>
      </c>
      <c r="N253" s="4" t="str">
        <f>HYPERLINK("http://141.218.60.56/~jnz1568/getInfo.php?workbook=10_01.xlsx&amp;sheet=A0&amp;row=253&amp;col=14&amp;number=105.62&amp;sourceID=12","105.62")</f>
        <v>105.62</v>
      </c>
      <c r="O253" s="4" t="str">
        <f>HYPERLINK("http://141.218.60.56/~jnz1568/getInfo.php?workbook=10_01.xlsx&amp;sheet=A0&amp;row=253&amp;col=15&amp;number=&amp;sourceID=12","")</f>
        <v/>
      </c>
      <c r="P253" s="4" t="str">
        <f>HYPERLINK("http://141.218.60.56/~jnz1568/getInfo.php?workbook=10_01.xlsx&amp;sheet=A0&amp;row=253&amp;col=16&amp;number=&amp;sourceID=12","")</f>
        <v/>
      </c>
      <c r="Q253" s="4" t="str">
        <f>HYPERLINK("http://141.218.60.56/~jnz1568/getInfo.php?workbook=10_01.xlsx&amp;sheet=A0&amp;row=253&amp;col=17&amp;number=105.62&amp;sourceID=12","105.62")</f>
        <v>105.62</v>
      </c>
      <c r="R253" s="4" t="str">
        <f>HYPERLINK("http://141.218.60.56/~jnz1568/getInfo.php?workbook=10_01.xlsx&amp;sheet=A0&amp;row=253&amp;col=18&amp;number=&amp;sourceID=12","")</f>
        <v/>
      </c>
      <c r="S253" s="4" t="str">
        <f>HYPERLINK("http://141.218.60.56/~jnz1568/getInfo.php?workbook=10_01.xlsx&amp;sheet=A0&amp;row=253&amp;col=19&amp;number=&amp;sourceID=12","")</f>
        <v/>
      </c>
      <c r="T253" s="4" t="str">
        <f>HYPERLINK("http://141.218.60.56/~jnz1568/getInfo.php?workbook=10_01.xlsx&amp;sheet=A0&amp;row=253&amp;col=20&amp;number=&amp;sourceID=12","")</f>
        <v/>
      </c>
      <c r="U253" s="4" t="str">
        <f>HYPERLINK("http://141.218.60.56/~jnz1568/getInfo.php?workbook=10_01.xlsx&amp;sheet=A0&amp;row=253&amp;col=21&amp;number=&amp;sourceID=30","")</f>
        <v/>
      </c>
      <c r="V253" s="4" t="str">
        <f>HYPERLINK("http://141.218.60.56/~jnz1568/getInfo.php?workbook=10_01.xlsx&amp;sheet=A0&amp;row=253&amp;col=22&amp;number=&amp;sourceID=30","")</f>
        <v/>
      </c>
      <c r="W253" s="4" t="str">
        <f>HYPERLINK("http://141.218.60.56/~jnz1568/getInfo.php?workbook=10_01.xlsx&amp;sheet=A0&amp;row=253&amp;col=23&amp;number=&amp;sourceID=30","")</f>
        <v/>
      </c>
      <c r="X253" s="4" t="str">
        <f>HYPERLINK("http://141.218.60.56/~jnz1568/getInfo.php?workbook=10_01.xlsx&amp;sheet=A0&amp;row=253&amp;col=24&amp;number=&amp;sourceID=30","")</f>
        <v/>
      </c>
      <c r="Y253" s="4" t="str">
        <f>HYPERLINK("http://141.218.60.56/~jnz1568/getInfo.php?workbook=10_01.xlsx&amp;sheet=A0&amp;row=253&amp;col=25&amp;number=&amp;sourceID=30","")</f>
        <v/>
      </c>
      <c r="Z253" s="4" t="str">
        <f>HYPERLINK("http://141.218.60.56/~jnz1568/getInfo.php?workbook=10_01.xlsx&amp;sheet=A0&amp;row=253&amp;col=26&amp;number=&amp;sourceID=13","")</f>
        <v/>
      </c>
      <c r="AA253" s="4" t="str">
        <f>HYPERLINK("http://141.218.60.56/~jnz1568/getInfo.php?workbook=10_01.xlsx&amp;sheet=A0&amp;row=253&amp;col=27&amp;number=&amp;sourceID=13","")</f>
        <v/>
      </c>
      <c r="AB253" s="4" t="str">
        <f>HYPERLINK("http://141.218.60.56/~jnz1568/getInfo.php?workbook=10_01.xlsx&amp;sheet=A0&amp;row=253&amp;col=28&amp;number=&amp;sourceID=13","")</f>
        <v/>
      </c>
      <c r="AC253" s="4" t="str">
        <f>HYPERLINK("http://141.218.60.56/~jnz1568/getInfo.php?workbook=10_01.xlsx&amp;sheet=A0&amp;row=253&amp;col=29&amp;number=&amp;sourceID=13","")</f>
        <v/>
      </c>
      <c r="AD253" s="4" t="str">
        <f>HYPERLINK("http://141.218.60.56/~jnz1568/getInfo.php?workbook=10_01.xlsx&amp;sheet=A0&amp;row=253&amp;col=30&amp;number=&amp;sourceID=13","")</f>
        <v/>
      </c>
      <c r="AE253" s="4" t="str">
        <f>HYPERLINK("http://141.218.60.56/~jnz1568/getInfo.php?workbook=10_01.xlsx&amp;sheet=A0&amp;row=253&amp;col=31&amp;number=&amp;sourceID=13","")</f>
        <v/>
      </c>
      <c r="AF253" s="4" t="str">
        <f>HYPERLINK("http://141.218.60.56/~jnz1568/getInfo.php?workbook=10_01.xlsx&amp;sheet=A0&amp;row=253&amp;col=32&amp;number=&amp;sourceID=20","")</f>
        <v/>
      </c>
    </row>
    <row r="254" spans="1:32">
      <c r="A254" s="3">
        <v>10</v>
      </c>
      <c r="B254" s="3">
        <v>1</v>
      </c>
      <c r="C254" s="3">
        <v>24</v>
      </c>
      <c r="D254" s="3">
        <v>7</v>
      </c>
      <c r="E254" s="3">
        <f>((1/(INDEX(E0!J$4:J$28,C254,1)-INDEX(E0!J$4:J$28,D254,1))))*100000000</f>
        <v>0</v>
      </c>
      <c r="F254" s="4" t="str">
        <f>HYPERLINK("http://141.218.60.56/~jnz1568/getInfo.php?workbook=10_01.xlsx&amp;sheet=A0&amp;row=254&amp;col=6&amp;number=&amp;sourceID=18","")</f>
        <v/>
      </c>
      <c r="G254" s="4" t="str">
        <f>HYPERLINK("http://141.218.60.56/~jnz1568/getInfo.php?workbook=10_01.xlsx&amp;sheet=A0&amp;row=254&amp;col=7&amp;number==&amp;sourceID=11","=")</f>
        <v>=</v>
      </c>
      <c r="H254" s="4" t="str">
        <f>HYPERLINK("http://141.218.60.56/~jnz1568/getInfo.php?workbook=10_01.xlsx&amp;sheet=A0&amp;row=254&amp;col=8&amp;number=&amp;sourceID=11","")</f>
        <v/>
      </c>
      <c r="I254" s="4" t="str">
        <f>HYPERLINK("http://141.218.60.56/~jnz1568/getInfo.php?workbook=10_01.xlsx&amp;sheet=A0&amp;row=254&amp;col=9&amp;number=&amp;sourceID=11","")</f>
        <v/>
      </c>
      <c r="J254" s="4" t="str">
        <f>HYPERLINK("http://141.218.60.56/~jnz1568/getInfo.php?workbook=10_01.xlsx&amp;sheet=A0&amp;row=254&amp;col=10&amp;number=1.1534&amp;sourceID=11","1.1534")</f>
        <v>1.1534</v>
      </c>
      <c r="K254" s="4" t="str">
        <f>HYPERLINK("http://141.218.60.56/~jnz1568/getInfo.php?workbook=10_01.xlsx&amp;sheet=A0&amp;row=254&amp;col=11&amp;number=&amp;sourceID=11","")</f>
        <v/>
      </c>
      <c r="L254" s="4" t="str">
        <f>HYPERLINK("http://141.218.60.56/~jnz1568/getInfo.php?workbook=10_01.xlsx&amp;sheet=A0&amp;row=254&amp;col=12&amp;number=87.109&amp;sourceID=11","87.109")</f>
        <v>87.109</v>
      </c>
      <c r="M254" s="4" t="str">
        <f>HYPERLINK("http://141.218.60.56/~jnz1568/getInfo.php?workbook=10_01.xlsx&amp;sheet=A0&amp;row=254&amp;col=13&amp;number=&amp;sourceID=11","")</f>
        <v/>
      </c>
      <c r="N254" s="4" t="str">
        <f>HYPERLINK("http://141.218.60.56/~jnz1568/getInfo.php?workbook=10_01.xlsx&amp;sheet=A0&amp;row=254&amp;col=14&amp;number=88.265&amp;sourceID=12","88.265")</f>
        <v>88.265</v>
      </c>
      <c r="O254" s="4" t="str">
        <f>HYPERLINK("http://141.218.60.56/~jnz1568/getInfo.php?workbook=10_01.xlsx&amp;sheet=A0&amp;row=254&amp;col=15&amp;number=&amp;sourceID=12","")</f>
        <v/>
      </c>
      <c r="P254" s="4" t="str">
        <f>HYPERLINK("http://141.218.60.56/~jnz1568/getInfo.php?workbook=10_01.xlsx&amp;sheet=A0&amp;row=254&amp;col=16&amp;number=&amp;sourceID=12","")</f>
        <v/>
      </c>
      <c r="Q254" s="4" t="str">
        <f>HYPERLINK("http://141.218.60.56/~jnz1568/getInfo.php?workbook=10_01.xlsx&amp;sheet=A0&amp;row=254&amp;col=17&amp;number=1.1535&amp;sourceID=12","1.1535")</f>
        <v>1.1535</v>
      </c>
      <c r="R254" s="4" t="str">
        <f>HYPERLINK("http://141.218.60.56/~jnz1568/getInfo.php?workbook=10_01.xlsx&amp;sheet=A0&amp;row=254&amp;col=18&amp;number=&amp;sourceID=12","")</f>
        <v/>
      </c>
      <c r="S254" s="4" t="str">
        <f>HYPERLINK("http://141.218.60.56/~jnz1568/getInfo.php?workbook=10_01.xlsx&amp;sheet=A0&amp;row=254&amp;col=19&amp;number=87.112&amp;sourceID=12","87.112")</f>
        <v>87.112</v>
      </c>
      <c r="T254" s="4" t="str">
        <f>HYPERLINK("http://141.218.60.56/~jnz1568/getInfo.php?workbook=10_01.xlsx&amp;sheet=A0&amp;row=254&amp;col=20&amp;number=&amp;sourceID=12","")</f>
        <v/>
      </c>
      <c r="U254" s="4" t="str">
        <f>HYPERLINK("http://141.218.60.56/~jnz1568/getInfo.php?workbook=10_01.xlsx&amp;sheet=A0&amp;row=254&amp;col=21&amp;number=87.11&amp;sourceID=30","87.11")</f>
        <v>87.11</v>
      </c>
      <c r="V254" s="4" t="str">
        <f>HYPERLINK("http://141.218.60.56/~jnz1568/getInfo.php?workbook=10_01.xlsx&amp;sheet=A0&amp;row=254&amp;col=22&amp;number=&amp;sourceID=30","")</f>
        <v/>
      </c>
      <c r="W254" s="4" t="str">
        <f>HYPERLINK("http://141.218.60.56/~jnz1568/getInfo.php?workbook=10_01.xlsx&amp;sheet=A0&amp;row=254&amp;col=23&amp;number=&amp;sourceID=30","")</f>
        <v/>
      </c>
      <c r="X254" s="4" t="str">
        <f>HYPERLINK("http://141.218.60.56/~jnz1568/getInfo.php?workbook=10_01.xlsx&amp;sheet=A0&amp;row=254&amp;col=24&amp;number=&amp;sourceID=30","")</f>
        <v/>
      </c>
      <c r="Y254" s="4" t="str">
        <f>HYPERLINK("http://141.218.60.56/~jnz1568/getInfo.php?workbook=10_01.xlsx&amp;sheet=A0&amp;row=254&amp;col=25&amp;number=87.11&amp;sourceID=30","87.11")</f>
        <v>87.11</v>
      </c>
      <c r="Z254" s="4" t="str">
        <f>HYPERLINK("http://141.218.60.56/~jnz1568/getInfo.php?workbook=10_01.xlsx&amp;sheet=A0&amp;row=254&amp;col=26&amp;number=&amp;sourceID=13","")</f>
        <v/>
      </c>
      <c r="AA254" s="4" t="str">
        <f>HYPERLINK("http://141.218.60.56/~jnz1568/getInfo.php?workbook=10_01.xlsx&amp;sheet=A0&amp;row=254&amp;col=27&amp;number=&amp;sourceID=13","")</f>
        <v/>
      </c>
      <c r="AB254" s="4" t="str">
        <f>HYPERLINK("http://141.218.60.56/~jnz1568/getInfo.php?workbook=10_01.xlsx&amp;sheet=A0&amp;row=254&amp;col=28&amp;number=&amp;sourceID=13","")</f>
        <v/>
      </c>
      <c r="AC254" s="4" t="str">
        <f>HYPERLINK("http://141.218.60.56/~jnz1568/getInfo.php?workbook=10_01.xlsx&amp;sheet=A0&amp;row=254&amp;col=29&amp;number=&amp;sourceID=13","")</f>
        <v/>
      </c>
      <c r="AD254" s="4" t="str">
        <f>HYPERLINK("http://141.218.60.56/~jnz1568/getInfo.php?workbook=10_01.xlsx&amp;sheet=A0&amp;row=254&amp;col=30&amp;number=&amp;sourceID=13","")</f>
        <v/>
      </c>
      <c r="AE254" s="4" t="str">
        <f>HYPERLINK("http://141.218.60.56/~jnz1568/getInfo.php?workbook=10_01.xlsx&amp;sheet=A0&amp;row=254&amp;col=31&amp;number=&amp;sourceID=13","")</f>
        <v/>
      </c>
      <c r="AF254" s="4" t="str">
        <f>HYPERLINK("http://141.218.60.56/~jnz1568/getInfo.php?workbook=10_01.xlsx&amp;sheet=A0&amp;row=254&amp;col=32&amp;number=&amp;sourceID=20","")</f>
        <v/>
      </c>
    </row>
    <row r="255" spans="1:32">
      <c r="A255" s="3">
        <v>10</v>
      </c>
      <c r="B255" s="3">
        <v>1</v>
      </c>
      <c r="C255" s="3">
        <v>24</v>
      </c>
      <c r="D255" s="3">
        <v>8</v>
      </c>
      <c r="E255" s="3">
        <f>((1/(INDEX(E0!J$4:J$28,C255,1)-INDEX(E0!J$4:J$28,D255,1))))*100000000</f>
        <v>0</v>
      </c>
      <c r="F255" s="4" t="str">
        <f>HYPERLINK("http://141.218.60.56/~jnz1568/getInfo.php?workbook=10_01.xlsx&amp;sheet=A0&amp;row=255&amp;col=6&amp;number=&amp;sourceID=18","")</f>
        <v/>
      </c>
      <c r="G255" s="4" t="str">
        <f>HYPERLINK("http://141.218.60.56/~jnz1568/getInfo.php?workbook=10_01.xlsx&amp;sheet=A0&amp;row=255&amp;col=7&amp;number==&amp;sourceID=11","=")</f>
        <v>=</v>
      </c>
      <c r="H255" s="4" t="str">
        <f>HYPERLINK("http://141.218.60.56/~jnz1568/getInfo.php?workbook=10_01.xlsx&amp;sheet=A0&amp;row=255&amp;col=8&amp;number=&amp;sourceID=11","")</f>
        <v/>
      </c>
      <c r="I255" s="4" t="str">
        <f>HYPERLINK("http://141.218.60.56/~jnz1568/getInfo.php?workbook=10_01.xlsx&amp;sheet=A0&amp;row=255&amp;col=9&amp;number=26667&amp;sourceID=11","26667")</f>
        <v>26667</v>
      </c>
      <c r="J255" s="4" t="str">
        <f>HYPERLINK("http://141.218.60.56/~jnz1568/getInfo.php?workbook=10_01.xlsx&amp;sheet=A0&amp;row=255&amp;col=10&amp;number=&amp;sourceID=11","")</f>
        <v/>
      </c>
      <c r="K255" s="4" t="str">
        <f>HYPERLINK("http://141.218.60.56/~jnz1568/getInfo.php?workbook=10_01.xlsx&amp;sheet=A0&amp;row=255&amp;col=11&amp;number=&amp;sourceID=11","")</f>
        <v/>
      </c>
      <c r="L255" s="4" t="str">
        <f>HYPERLINK("http://141.218.60.56/~jnz1568/getInfo.php?workbook=10_01.xlsx&amp;sheet=A0&amp;row=255&amp;col=12&amp;number=&amp;sourceID=11","")</f>
        <v/>
      </c>
      <c r="M255" s="4" t="str">
        <f>HYPERLINK("http://141.218.60.56/~jnz1568/getInfo.php?workbook=10_01.xlsx&amp;sheet=A0&amp;row=255&amp;col=13&amp;number=0.00020457&amp;sourceID=11","0.00020457")</f>
        <v>0.00020457</v>
      </c>
      <c r="N255" s="4" t="str">
        <f>HYPERLINK("http://141.218.60.56/~jnz1568/getInfo.php?workbook=10_01.xlsx&amp;sheet=A0&amp;row=255&amp;col=14&amp;number=26668&amp;sourceID=12","26668")</f>
        <v>26668</v>
      </c>
      <c r="O255" s="4" t="str">
        <f>HYPERLINK("http://141.218.60.56/~jnz1568/getInfo.php?workbook=10_01.xlsx&amp;sheet=A0&amp;row=255&amp;col=15&amp;number=&amp;sourceID=12","")</f>
        <v/>
      </c>
      <c r="P255" s="4" t="str">
        <f>HYPERLINK("http://141.218.60.56/~jnz1568/getInfo.php?workbook=10_01.xlsx&amp;sheet=A0&amp;row=255&amp;col=16&amp;number=26668&amp;sourceID=12","26668")</f>
        <v>26668</v>
      </c>
      <c r="Q255" s="4" t="str">
        <f>HYPERLINK("http://141.218.60.56/~jnz1568/getInfo.php?workbook=10_01.xlsx&amp;sheet=A0&amp;row=255&amp;col=17&amp;number=&amp;sourceID=12","")</f>
        <v/>
      </c>
      <c r="R255" s="4" t="str">
        <f>HYPERLINK("http://141.218.60.56/~jnz1568/getInfo.php?workbook=10_01.xlsx&amp;sheet=A0&amp;row=255&amp;col=18&amp;number=&amp;sourceID=12","")</f>
        <v/>
      </c>
      <c r="S255" s="4" t="str">
        <f>HYPERLINK("http://141.218.60.56/~jnz1568/getInfo.php?workbook=10_01.xlsx&amp;sheet=A0&amp;row=255&amp;col=19&amp;number=&amp;sourceID=12","")</f>
        <v/>
      </c>
      <c r="T255" s="4" t="str">
        <f>HYPERLINK("http://141.218.60.56/~jnz1568/getInfo.php?workbook=10_01.xlsx&amp;sheet=A0&amp;row=255&amp;col=20&amp;number=0.00020458&amp;sourceID=12","0.00020458")</f>
        <v>0.00020458</v>
      </c>
      <c r="U255" s="4" t="str">
        <f>HYPERLINK("http://141.218.60.56/~jnz1568/getInfo.php?workbook=10_01.xlsx&amp;sheet=A0&amp;row=255&amp;col=21&amp;number=26670&amp;sourceID=30","26670")</f>
        <v>26670</v>
      </c>
      <c r="V255" s="4" t="str">
        <f>HYPERLINK("http://141.218.60.56/~jnz1568/getInfo.php?workbook=10_01.xlsx&amp;sheet=A0&amp;row=255&amp;col=22&amp;number=&amp;sourceID=30","")</f>
        <v/>
      </c>
      <c r="W255" s="4" t="str">
        <f>HYPERLINK("http://141.218.60.56/~jnz1568/getInfo.php?workbook=10_01.xlsx&amp;sheet=A0&amp;row=255&amp;col=23&amp;number=26670&amp;sourceID=30","26670")</f>
        <v>26670</v>
      </c>
      <c r="X255" s="4" t="str">
        <f>HYPERLINK("http://141.218.60.56/~jnz1568/getInfo.php?workbook=10_01.xlsx&amp;sheet=A0&amp;row=255&amp;col=24&amp;number=&amp;sourceID=30","")</f>
        <v/>
      </c>
      <c r="Y255" s="4" t="str">
        <f>HYPERLINK("http://141.218.60.56/~jnz1568/getInfo.php?workbook=10_01.xlsx&amp;sheet=A0&amp;row=255&amp;col=25&amp;number=&amp;sourceID=30","")</f>
        <v/>
      </c>
      <c r="Z255" s="4" t="str">
        <f>HYPERLINK("http://141.218.60.56/~jnz1568/getInfo.php?workbook=10_01.xlsx&amp;sheet=A0&amp;row=255&amp;col=26&amp;number=&amp;sourceID=13","")</f>
        <v/>
      </c>
      <c r="AA255" s="4" t="str">
        <f>HYPERLINK("http://141.218.60.56/~jnz1568/getInfo.php?workbook=10_01.xlsx&amp;sheet=A0&amp;row=255&amp;col=27&amp;number=&amp;sourceID=13","")</f>
        <v/>
      </c>
      <c r="AB255" s="4" t="str">
        <f>HYPERLINK("http://141.218.60.56/~jnz1568/getInfo.php?workbook=10_01.xlsx&amp;sheet=A0&amp;row=255&amp;col=28&amp;number=&amp;sourceID=13","")</f>
        <v/>
      </c>
      <c r="AC255" s="4" t="str">
        <f>HYPERLINK("http://141.218.60.56/~jnz1568/getInfo.php?workbook=10_01.xlsx&amp;sheet=A0&amp;row=255&amp;col=29&amp;number=&amp;sourceID=13","")</f>
        <v/>
      </c>
      <c r="AD255" s="4" t="str">
        <f>HYPERLINK("http://141.218.60.56/~jnz1568/getInfo.php?workbook=10_01.xlsx&amp;sheet=A0&amp;row=255&amp;col=30&amp;number=&amp;sourceID=13","")</f>
        <v/>
      </c>
      <c r="AE255" s="4" t="str">
        <f>HYPERLINK("http://141.218.60.56/~jnz1568/getInfo.php?workbook=10_01.xlsx&amp;sheet=A0&amp;row=255&amp;col=31&amp;number=&amp;sourceID=13","")</f>
        <v/>
      </c>
      <c r="AF255" s="4" t="str">
        <f>HYPERLINK("http://141.218.60.56/~jnz1568/getInfo.php?workbook=10_01.xlsx&amp;sheet=A0&amp;row=255&amp;col=32&amp;number=&amp;sourceID=20","")</f>
        <v/>
      </c>
    </row>
    <row r="256" spans="1:32">
      <c r="A256" s="3">
        <v>10</v>
      </c>
      <c r="B256" s="3">
        <v>1</v>
      </c>
      <c r="C256" s="3">
        <v>24</v>
      </c>
      <c r="D256" s="3">
        <v>9</v>
      </c>
      <c r="E256" s="3">
        <f>((1/(INDEX(E0!J$4:J$28,C256,1)-INDEX(E0!J$4:J$28,D256,1))))*100000000</f>
        <v>0</v>
      </c>
      <c r="F256" s="4" t="str">
        <f>HYPERLINK("http://141.218.60.56/~jnz1568/getInfo.php?workbook=10_01.xlsx&amp;sheet=A0&amp;row=256&amp;col=6&amp;number=&amp;sourceID=18","")</f>
        <v/>
      </c>
      <c r="G256" s="4" t="str">
        <f>HYPERLINK("http://141.218.60.56/~jnz1568/getInfo.php?workbook=10_01.xlsx&amp;sheet=A0&amp;row=256&amp;col=7&amp;number==&amp;sourceID=11","=")</f>
        <v>=</v>
      </c>
      <c r="H256" s="4" t="str">
        <f>HYPERLINK("http://141.218.60.56/~jnz1568/getInfo.php?workbook=10_01.xlsx&amp;sheet=A0&amp;row=256&amp;col=8&amp;number=45446000000&amp;sourceID=11","45446000000")</f>
        <v>45446000000</v>
      </c>
      <c r="I256" s="4" t="str">
        <f>HYPERLINK("http://141.218.60.56/~jnz1568/getInfo.php?workbook=10_01.xlsx&amp;sheet=A0&amp;row=256&amp;col=9&amp;number=&amp;sourceID=11","")</f>
        <v/>
      </c>
      <c r="J256" s="4" t="str">
        <f>HYPERLINK("http://141.218.60.56/~jnz1568/getInfo.php?workbook=10_01.xlsx&amp;sheet=A0&amp;row=256&amp;col=10&amp;number=3.4861&amp;sourceID=11","3.4861")</f>
        <v>3.4861</v>
      </c>
      <c r="K256" s="4" t="str">
        <f>HYPERLINK("http://141.218.60.56/~jnz1568/getInfo.php?workbook=10_01.xlsx&amp;sheet=A0&amp;row=256&amp;col=11&amp;number=&amp;sourceID=11","")</f>
        <v/>
      </c>
      <c r="L256" s="4" t="str">
        <f>HYPERLINK("http://141.218.60.56/~jnz1568/getInfo.php?workbook=10_01.xlsx&amp;sheet=A0&amp;row=256&amp;col=12&amp;number=598.64&amp;sourceID=11","598.64")</f>
        <v>598.64</v>
      </c>
      <c r="M256" s="4" t="str">
        <f>HYPERLINK("http://141.218.60.56/~jnz1568/getInfo.php?workbook=10_01.xlsx&amp;sheet=A0&amp;row=256&amp;col=13&amp;number=&amp;sourceID=11","")</f>
        <v/>
      </c>
      <c r="N256" s="4" t="str">
        <f>HYPERLINK("http://141.218.60.56/~jnz1568/getInfo.php?workbook=10_01.xlsx&amp;sheet=A0&amp;row=256&amp;col=14&amp;number=45447000000&amp;sourceID=12","45447000000")</f>
        <v>45447000000</v>
      </c>
      <c r="O256" s="4" t="str">
        <f>HYPERLINK("http://141.218.60.56/~jnz1568/getInfo.php?workbook=10_01.xlsx&amp;sheet=A0&amp;row=256&amp;col=15&amp;number=45447000000&amp;sourceID=12","45447000000")</f>
        <v>45447000000</v>
      </c>
      <c r="P256" s="4" t="str">
        <f>HYPERLINK("http://141.218.60.56/~jnz1568/getInfo.php?workbook=10_01.xlsx&amp;sheet=A0&amp;row=256&amp;col=16&amp;number=&amp;sourceID=12","")</f>
        <v/>
      </c>
      <c r="Q256" s="4" t="str">
        <f>HYPERLINK("http://141.218.60.56/~jnz1568/getInfo.php?workbook=10_01.xlsx&amp;sheet=A0&amp;row=256&amp;col=17&amp;number=3.4862&amp;sourceID=12","3.4862")</f>
        <v>3.4862</v>
      </c>
      <c r="R256" s="4" t="str">
        <f>HYPERLINK("http://141.218.60.56/~jnz1568/getInfo.php?workbook=10_01.xlsx&amp;sheet=A0&amp;row=256&amp;col=18&amp;number=&amp;sourceID=12","")</f>
        <v/>
      </c>
      <c r="S256" s="4" t="str">
        <f>HYPERLINK("http://141.218.60.56/~jnz1568/getInfo.php?workbook=10_01.xlsx&amp;sheet=A0&amp;row=256&amp;col=19&amp;number=598.66&amp;sourceID=12","598.66")</f>
        <v>598.66</v>
      </c>
      <c r="T256" s="4" t="str">
        <f>HYPERLINK("http://141.218.60.56/~jnz1568/getInfo.php?workbook=10_01.xlsx&amp;sheet=A0&amp;row=256&amp;col=20&amp;number=&amp;sourceID=12","")</f>
        <v/>
      </c>
      <c r="U256" s="4" t="str">
        <f>HYPERLINK("http://141.218.60.56/~jnz1568/getInfo.php?workbook=10_01.xlsx&amp;sheet=A0&amp;row=256&amp;col=21&amp;number=45450000598.7&amp;sourceID=30","45450000598.7")</f>
        <v>45450000598.7</v>
      </c>
      <c r="V256" s="4" t="str">
        <f>HYPERLINK("http://141.218.60.56/~jnz1568/getInfo.php?workbook=10_01.xlsx&amp;sheet=A0&amp;row=256&amp;col=22&amp;number=45450000000&amp;sourceID=30","45450000000")</f>
        <v>45450000000</v>
      </c>
      <c r="W256" s="4" t="str">
        <f>HYPERLINK("http://141.218.60.56/~jnz1568/getInfo.php?workbook=10_01.xlsx&amp;sheet=A0&amp;row=256&amp;col=23&amp;number=&amp;sourceID=30","")</f>
        <v/>
      </c>
      <c r="X256" s="4" t="str">
        <f>HYPERLINK("http://141.218.60.56/~jnz1568/getInfo.php?workbook=10_01.xlsx&amp;sheet=A0&amp;row=256&amp;col=24&amp;number=&amp;sourceID=30","")</f>
        <v/>
      </c>
      <c r="Y256" s="4" t="str">
        <f>HYPERLINK("http://141.218.60.56/~jnz1568/getInfo.php?workbook=10_01.xlsx&amp;sheet=A0&amp;row=256&amp;col=25&amp;number=598.7&amp;sourceID=30","598.7")</f>
        <v>598.7</v>
      </c>
      <c r="Z256" s="4" t="str">
        <f>HYPERLINK("http://141.218.60.56/~jnz1568/getInfo.php?workbook=10_01.xlsx&amp;sheet=A0&amp;row=256&amp;col=26&amp;number=&amp;sourceID=13","")</f>
        <v/>
      </c>
      <c r="AA256" s="4" t="str">
        <f>HYPERLINK("http://141.218.60.56/~jnz1568/getInfo.php?workbook=10_01.xlsx&amp;sheet=A0&amp;row=256&amp;col=27&amp;number=&amp;sourceID=13","")</f>
        <v/>
      </c>
      <c r="AB256" s="4" t="str">
        <f>HYPERLINK("http://141.218.60.56/~jnz1568/getInfo.php?workbook=10_01.xlsx&amp;sheet=A0&amp;row=256&amp;col=28&amp;number=&amp;sourceID=13","")</f>
        <v/>
      </c>
      <c r="AC256" s="4" t="str">
        <f>HYPERLINK("http://141.218.60.56/~jnz1568/getInfo.php?workbook=10_01.xlsx&amp;sheet=A0&amp;row=256&amp;col=29&amp;number=&amp;sourceID=13","")</f>
        <v/>
      </c>
      <c r="AD256" s="4" t="str">
        <f>HYPERLINK("http://141.218.60.56/~jnz1568/getInfo.php?workbook=10_01.xlsx&amp;sheet=A0&amp;row=256&amp;col=30&amp;number=&amp;sourceID=13","")</f>
        <v/>
      </c>
      <c r="AE256" s="4" t="str">
        <f>HYPERLINK("http://141.218.60.56/~jnz1568/getInfo.php?workbook=10_01.xlsx&amp;sheet=A0&amp;row=256&amp;col=31&amp;number=&amp;sourceID=13","")</f>
        <v/>
      </c>
      <c r="AF256" s="4" t="str">
        <f>HYPERLINK("http://141.218.60.56/~jnz1568/getInfo.php?workbook=10_01.xlsx&amp;sheet=A0&amp;row=256&amp;col=32&amp;number=&amp;sourceID=20","")</f>
        <v/>
      </c>
    </row>
    <row r="257" spans="1:32">
      <c r="A257" s="3">
        <v>10</v>
      </c>
      <c r="B257" s="3">
        <v>1</v>
      </c>
      <c r="C257" s="3">
        <v>24</v>
      </c>
      <c r="D257" s="3">
        <v>10</v>
      </c>
      <c r="E257" s="3">
        <f>((1/(INDEX(E0!J$4:J$28,C257,1)-INDEX(E0!J$4:J$28,D257,1))))*100000000</f>
        <v>0</v>
      </c>
      <c r="F257" s="4" t="str">
        <f>HYPERLINK("http://141.218.60.56/~jnz1568/getInfo.php?workbook=10_01.xlsx&amp;sheet=A0&amp;row=257&amp;col=6&amp;number=&amp;sourceID=18","")</f>
        <v/>
      </c>
      <c r="G257" s="4" t="str">
        <f>HYPERLINK("http://141.218.60.56/~jnz1568/getInfo.php?workbook=10_01.xlsx&amp;sheet=A0&amp;row=257&amp;col=7&amp;number==&amp;sourceID=11","=")</f>
        <v>=</v>
      </c>
      <c r="H257" s="4" t="str">
        <f>HYPERLINK("http://141.218.60.56/~jnz1568/getInfo.php?workbook=10_01.xlsx&amp;sheet=A0&amp;row=257&amp;col=8&amp;number=&amp;sourceID=11","")</f>
        <v/>
      </c>
      <c r="I257" s="4" t="str">
        <f>HYPERLINK("http://141.218.60.56/~jnz1568/getInfo.php?workbook=10_01.xlsx&amp;sheet=A0&amp;row=257&amp;col=9&amp;number=&amp;sourceID=11","")</f>
        <v/>
      </c>
      <c r="J257" s="4" t="str">
        <f>HYPERLINK("http://141.218.60.56/~jnz1568/getInfo.php?workbook=10_01.xlsx&amp;sheet=A0&amp;row=257&amp;col=10&amp;number=&amp;sourceID=11","")</f>
        <v/>
      </c>
      <c r="K257" s="4" t="str">
        <f>HYPERLINK("http://141.218.60.56/~jnz1568/getInfo.php?workbook=10_01.xlsx&amp;sheet=A0&amp;row=257&amp;col=11&amp;number=&amp;sourceID=11","")</f>
        <v/>
      </c>
      <c r="L257" s="4" t="str">
        <f>HYPERLINK("http://141.218.60.56/~jnz1568/getInfo.php?workbook=10_01.xlsx&amp;sheet=A0&amp;row=257&amp;col=12&amp;number=&amp;sourceID=11","")</f>
        <v/>
      </c>
      <c r="M257" s="4" t="str">
        <f>HYPERLINK("http://141.218.60.56/~jnz1568/getInfo.php?workbook=10_01.xlsx&amp;sheet=A0&amp;row=257&amp;col=13&amp;number=0.00024338&amp;sourceID=11","0.00024338")</f>
        <v>0.00024338</v>
      </c>
      <c r="N257" s="4" t="str">
        <f>HYPERLINK("http://141.218.60.56/~jnz1568/getInfo.php?workbook=10_01.xlsx&amp;sheet=A0&amp;row=257&amp;col=14&amp;number=0.00024339&amp;sourceID=12","0.00024339")</f>
        <v>0.00024339</v>
      </c>
      <c r="O257" s="4" t="str">
        <f>HYPERLINK("http://141.218.60.56/~jnz1568/getInfo.php?workbook=10_01.xlsx&amp;sheet=A0&amp;row=257&amp;col=15&amp;number=&amp;sourceID=12","")</f>
        <v/>
      </c>
      <c r="P257" s="4" t="str">
        <f>HYPERLINK("http://141.218.60.56/~jnz1568/getInfo.php?workbook=10_01.xlsx&amp;sheet=A0&amp;row=257&amp;col=16&amp;number=&amp;sourceID=12","")</f>
        <v/>
      </c>
      <c r="Q257" s="4" t="str">
        <f>HYPERLINK("http://141.218.60.56/~jnz1568/getInfo.php?workbook=10_01.xlsx&amp;sheet=A0&amp;row=257&amp;col=17&amp;number=&amp;sourceID=12","")</f>
        <v/>
      </c>
      <c r="R257" s="4" t="str">
        <f>HYPERLINK("http://141.218.60.56/~jnz1568/getInfo.php?workbook=10_01.xlsx&amp;sheet=A0&amp;row=257&amp;col=18&amp;number=&amp;sourceID=12","")</f>
        <v/>
      </c>
      <c r="S257" s="4" t="str">
        <f>HYPERLINK("http://141.218.60.56/~jnz1568/getInfo.php?workbook=10_01.xlsx&amp;sheet=A0&amp;row=257&amp;col=19&amp;number=&amp;sourceID=12","")</f>
        <v/>
      </c>
      <c r="T257" s="4" t="str">
        <f>HYPERLINK("http://141.218.60.56/~jnz1568/getInfo.php?workbook=10_01.xlsx&amp;sheet=A0&amp;row=257&amp;col=20&amp;number=0.00024339&amp;sourceID=12","0.00024339")</f>
        <v>0.00024339</v>
      </c>
      <c r="U257" s="4" t="str">
        <f>HYPERLINK("http://141.218.60.56/~jnz1568/getInfo.php?workbook=10_01.xlsx&amp;sheet=A0&amp;row=257&amp;col=21&amp;number=&amp;sourceID=30","")</f>
        <v/>
      </c>
      <c r="V257" s="4" t="str">
        <f>HYPERLINK("http://141.218.60.56/~jnz1568/getInfo.php?workbook=10_01.xlsx&amp;sheet=A0&amp;row=257&amp;col=22&amp;number=&amp;sourceID=30","")</f>
        <v/>
      </c>
      <c r="W257" s="4" t="str">
        <f>HYPERLINK("http://141.218.60.56/~jnz1568/getInfo.php?workbook=10_01.xlsx&amp;sheet=A0&amp;row=257&amp;col=23&amp;number=&amp;sourceID=30","")</f>
        <v/>
      </c>
      <c r="X257" s="4" t="str">
        <f>HYPERLINK("http://141.218.60.56/~jnz1568/getInfo.php?workbook=10_01.xlsx&amp;sheet=A0&amp;row=257&amp;col=24&amp;number=&amp;sourceID=30","")</f>
        <v/>
      </c>
      <c r="Y257" s="4" t="str">
        <f>HYPERLINK("http://141.218.60.56/~jnz1568/getInfo.php?workbook=10_01.xlsx&amp;sheet=A0&amp;row=257&amp;col=25&amp;number=&amp;sourceID=30","")</f>
        <v/>
      </c>
      <c r="Z257" s="4" t="str">
        <f>HYPERLINK("http://141.218.60.56/~jnz1568/getInfo.php?workbook=10_01.xlsx&amp;sheet=A0&amp;row=257&amp;col=26&amp;number=&amp;sourceID=13","")</f>
        <v/>
      </c>
      <c r="AA257" s="4" t="str">
        <f>HYPERLINK("http://141.218.60.56/~jnz1568/getInfo.php?workbook=10_01.xlsx&amp;sheet=A0&amp;row=257&amp;col=27&amp;number=&amp;sourceID=13","")</f>
        <v/>
      </c>
      <c r="AB257" s="4" t="str">
        <f>HYPERLINK("http://141.218.60.56/~jnz1568/getInfo.php?workbook=10_01.xlsx&amp;sheet=A0&amp;row=257&amp;col=28&amp;number=&amp;sourceID=13","")</f>
        <v/>
      </c>
      <c r="AC257" s="4" t="str">
        <f>HYPERLINK("http://141.218.60.56/~jnz1568/getInfo.php?workbook=10_01.xlsx&amp;sheet=A0&amp;row=257&amp;col=29&amp;number=&amp;sourceID=13","")</f>
        <v/>
      </c>
      <c r="AD257" s="4" t="str">
        <f>HYPERLINK("http://141.218.60.56/~jnz1568/getInfo.php?workbook=10_01.xlsx&amp;sheet=A0&amp;row=257&amp;col=30&amp;number=&amp;sourceID=13","")</f>
        <v/>
      </c>
      <c r="AE257" s="4" t="str">
        <f>HYPERLINK("http://141.218.60.56/~jnz1568/getInfo.php?workbook=10_01.xlsx&amp;sheet=A0&amp;row=257&amp;col=31&amp;number=&amp;sourceID=13","")</f>
        <v/>
      </c>
      <c r="AF257" s="4" t="str">
        <f>HYPERLINK("http://141.218.60.56/~jnz1568/getInfo.php?workbook=10_01.xlsx&amp;sheet=A0&amp;row=257&amp;col=32&amp;number=&amp;sourceID=20","")</f>
        <v/>
      </c>
    </row>
    <row r="258" spans="1:32">
      <c r="A258" s="3">
        <v>10</v>
      </c>
      <c r="B258" s="3">
        <v>1</v>
      </c>
      <c r="C258" s="3">
        <v>24</v>
      </c>
      <c r="D258" s="3">
        <v>11</v>
      </c>
      <c r="E258" s="3">
        <f>((1/(INDEX(E0!J$4:J$28,C258,1)-INDEX(E0!J$4:J$28,D258,1))))*100000000</f>
        <v>0</v>
      </c>
      <c r="F258" s="4" t="str">
        <f>HYPERLINK("http://141.218.60.56/~jnz1568/getInfo.php?workbook=10_01.xlsx&amp;sheet=A0&amp;row=258&amp;col=6&amp;number=&amp;sourceID=18","")</f>
        <v/>
      </c>
      <c r="G258" s="4" t="str">
        <f>HYPERLINK("http://141.218.60.56/~jnz1568/getInfo.php?workbook=10_01.xlsx&amp;sheet=A0&amp;row=258&amp;col=7&amp;number==&amp;sourceID=11","=")</f>
        <v>=</v>
      </c>
      <c r="H258" s="4" t="str">
        <f>HYPERLINK("http://141.218.60.56/~jnz1568/getInfo.php?workbook=10_01.xlsx&amp;sheet=A0&amp;row=258&amp;col=8&amp;number=&amp;sourceID=11","")</f>
        <v/>
      </c>
      <c r="I258" s="4" t="str">
        <f>HYPERLINK("http://141.218.60.56/~jnz1568/getInfo.php?workbook=10_01.xlsx&amp;sheet=A0&amp;row=258&amp;col=9&amp;number=&amp;sourceID=11","")</f>
        <v/>
      </c>
      <c r="J258" s="4" t="str">
        <f>HYPERLINK("http://141.218.60.56/~jnz1568/getInfo.php?workbook=10_01.xlsx&amp;sheet=A0&amp;row=258&amp;col=10&amp;number=12.583&amp;sourceID=11","12.583")</f>
        <v>12.583</v>
      </c>
      <c r="K258" s="4" t="str">
        <f>HYPERLINK("http://141.218.60.56/~jnz1568/getInfo.php?workbook=10_01.xlsx&amp;sheet=A0&amp;row=258&amp;col=11&amp;number=&amp;sourceID=11","")</f>
        <v/>
      </c>
      <c r="L258" s="4" t="str">
        <f>HYPERLINK("http://141.218.60.56/~jnz1568/getInfo.php?workbook=10_01.xlsx&amp;sheet=A0&amp;row=258&amp;col=12&amp;number=&amp;sourceID=11","")</f>
        <v/>
      </c>
      <c r="M258" s="4" t="str">
        <f>HYPERLINK("http://141.218.60.56/~jnz1568/getInfo.php?workbook=10_01.xlsx&amp;sheet=A0&amp;row=258&amp;col=13&amp;number=&amp;sourceID=11","")</f>
        <v/>
      </c>
      <c r="N258" s="4" t="str">
        <f>HYPERLINK("http://141.218.60.56/~jnz1568/getInfo.php?workbook=10_01.xlsx&amp;sheet=A0&amp;row=258&amp;col=14&amp;number=12.583&amp;sourceID=12","12.583")</f>
        <v>12.583</v>
      </c>
      <c r="O258" s="4" t="str">
        <f>HYPERLINK("http://141.218.60.56/~jnz1568/getInfo.php?workbook=10_01.xlsx&amp;sheet=A0&amp;row=258&amp;col=15&amp;number=&amp;sourceID=12","")</f>
        <v/>
      </c>
      <c r="P258" s="4" t="str">
        <f>HYPERLINK("http://141.218.60.56/~jnz1568/getInfo.php?workbook=10_01.xlsx&amp;sheet=A0&amp;row=258&amp;col=16&amp;number=&amp;sourceID=12","")</f>
        <v/>
      </c>
      <c r="Q258" s="4" t="str">
        <f>HYPERLINK("http://141.218.60.56/~jnz1568/getInfo.php?workbook=10_01.xlsx&amp;sheet=A0&amp;row=258&amp;col=17&amp;number=12.583&amp;sourceID=12","12.583")</f>
        <v>12.583</v>
      </c>
      <c r="R258" s="4" t="str">
        <f>HYPERLINK("http://141.218.60.56/~jnz1568/getInfo.php?workbook=10_01.xlsx&amp;sheet=A0&amp;row=258&amp;col=18&amp;number=&amp;sourceID=12","")</f>
        <v/>
      </c>
      <c r="S258" s="4" t="str">
        <f>HYPERLINK("http://141.218.60.56/~jnz1568/getInfo.php?workbook=10_01.xlsx&amp;sheet=A0&amp;row=258&amp;col=19&amp;number=&amp;sourceID=12","")</f>
        <v/>
      </c>
      <c r="T258" s="4" t="str">
        <f>HYPERLINK("http://141.218.60.56/~jnz1568/getInfo.php?workbook=10_01.xlsx&amp;sheet=A0&amp;row=258&amp;col=20&amp;number=&amp;sourceID=12","")</f>
        <v/>
      </c>
      <c r="U258" s="4" t="str">
        <f>HYPERLINK("http://141.218.60.56/~jnz1568/getInfo.php?workbook=10_01.xlsx&amp;sheet=A0&amp;row=258&amp;col=21&amp;number=&amp;sourceID=30","")</f>
        <v/>
      </c>
      <c r="V258" s="4" t="str">
        <f>HYPERLINK("http://141.218.60.56/~jnz1568/getInfo.php?workbook=10_01.xlsx&amp;sheet=A0&amp;row=258&amp;col=22&amp;number=&amp;sourceID=30","")</f>
        <v/>
      </c>
      <c r="W258" s="4" t="str">
        <f>HYPERLINK("http://141.218.60.56/~jnz1568/getInfo.php?workbook=10_01.xlsx&amp;sheet=A0&amp;row=258&amp;col=23&amp;number=&amp;sourceID=30","")</f>
        <v/>
      </c>
      <c r="X258" s="4" t="str">
        <f>HYPERLINK("http://141.218.60.56/~jnz1568/getInfo.php?workbook=10_01.xlsx&amp;sheet=A0&amp;row=258&amp;col=24&amp;number=&amp;sourceID=30","")</f>
        <v/>
      </c>
      <c r="Y258" s="4" t="str">
        <f>HYPERLINK("http://141.218.60.56/~jnz1568/getInfo.php?workbook=10_01.xlsx&amp;sheet=A0&amp;row=258&amp;col=25&amp;number=&amp;sourceID=30","")</f>
        <v/>
      </c>
      <c r="Z258" s="4" t="str">
        <f>HYPERLINK("http://141.218.60.56/~jnz1568/getInfo.php?workbook=10_01.xlsx&amp;sheet=A0&amp;row=258&amp;col=26&amp;number=&amp;sourceID=13","")</f>
        <v/>
      </c>
      <c r="AA258" s="4" t="str">
        <f>HYPERLINK("http://141.218.60.56/~jnz1568/getInfo.php?workbook=10_01.xlsx&amp;sheet=A0&amp;row=258&amp;col=27&amp;number=&amp;sourceID=13","")</f>
        <v/>
      </c>
      <c r="AB258" s="4" t="str">
        <f>HYPERLINK("http://141.218.60.56/~jnz1568/getInfo.php?workbook=10_01.xlsx&amp;sheet=A0&amp;row=258&amp;col=28&amp;number=&amp;sourceID=13","")</f>
        <v/>
      </c>
      <c r="AC258" s="4" t="str">
        <f>HYPERLINK("http://141.218.60.56/~jnz1568/getInfo.php?workbook=10_01.xlsx&amp;sheet=A0&amp;row=258&amp;col=29&amp;number=&amp;sourceID=13","")</f>
        <v/>
      </c>
      <c r="AD258" s="4" t="str">
        <f>HYPERLINK("http://141.218.60.56/~jnz1568/getInfo.php?workbook=10_01.xlsx&amp;sheet=A0&amp;row=258&amp;col=30&amp;number=&amp;sourceID=13","")</f>
        <v/>
      </c>
      <c r="AE258" s="4" t="str">
        <f>HYPERLINK("http://141.218.60.56/~jnz1568/getInfo.php?workbook=10_01.xlsx&amp;sheet=A0&amp;row=258&amp;col=31&amp;number=&amp;sourceID=13","")</f>
        <v/>
      </c>
      <c r="AF258" s="4" t="str">
        <f>HYPERLINK("http://141.218.60.56/~jnz1568/getInfo.php?workbook=10_01.xlsx&amp;sheet=A0&amp;row=258&amp;col=32&amp;number=&amp;sourceID=20","")</f>
        <v/>
      </c>
    </row>
    <row r="259" spans="1:32">
      <c r="A259" s="3">
        <v>10</v>
      </c>
      <c r="B259" s="3">
        <v>1</v>
      </c>
      <c r="C259" s="3">
        <v>24</v>
      </c>
      <c r="D259" s="3">
        <v>12</v>
      </c>
      <c r="E259" s="3">
        <f>((1/(INDEX(E0!J$4:J$28,C259,1)-INDEX(E0!J$4:J$28,D259,1))))*100000000</f>
        <v>0</v>
      </c>
      <c r="F259" s="4" t="str">
        <f>HYPERLINK("http://141.218.60.56/~jnz1568/getInfo.php?workbook=10_01.xlsx&amp;sheet=A0&amp;row=259&amp;col=6&amp;number=&amp;sourceID=18","")</f>
        <v/>
      </c>
      <c r="G259" s="4" t="str">
        <f>HYPERLINK("http://141.218.60.56/~jnz1568/getInfo.php?workbook=10_01.xlsx&amp;sheet=A0&amp;row=259&amp;col=7&amp;number==&amp;sourceID=11","=")</f>
        <v>=</v>
      </c>
      <c r="H259" s="4" t="str">
        <f>HYPERLINK("http://141.218.60.56/~jnz1568/getInfo.php?workbook=10_01.xlsx&amp;sheet=A0&amp;row=259&amp;col=8&amp;number=&amp;sourceID=11","")</f>
        <v/>
      </c>
      <c r="I259" s="4" t="str">
        <f>HYPERLINK("http://141.218.60.56/~jnz1568/getInfo.php?workbook=10_01.xlsx&amp;sheet=A0&amp;row=259&amp;col=9&amp;number=&amp;sourceID=11","")</f>
        <v/>
      </c>
      <c r="J259" s="4" t="str">
        <f>HYPERLINK("http://141.218.60.56/~jnz1568/getInfo.php?workbook=10_01.xlsx&amp;sheet=A0&amp;row=259&amp;col=10&amp;number=1.9985&amp;sourceID=11","1.9985")</f>
        <v>1.9985</v>
      </c>
      <c r="K259" s="4" t="str">
        <f>HYPERLINK("http://141.218.60.56/~jnz1568/getInfo.php?workbook=10_01.xlsx&amp;sheet=A0&amp;row=259&amp;col=11&amp;number=&amp;sourceID=11","")</f>
        <v/>
      </c>
      <c r="L259" s="4" t="str">
        <f>HYPERLINK("http://141.218.60.56/~jnz1568/getInfo.php?workbook=10_01.xlsx&amp;sheet=A0&amp;row=259&amp;col=12&amp;number=4.9588&amp;sourceID=11","4.9588")</f>
        <v>4.9588</v>
      </c>
      <c r="M259" s="4" t="str">
        <f>HYPERLINK("http://141.218.60.56/~jnz1568/getInfo.php?workbook=10_01.xlsx&amp;sheet=A0&amp;row=259&amp;col=13&amp;number=&amp;sourceID=11","")</f>
        <v/>
      </c>
      <c r="N259" s="4" t="str">
        <f>HYPERLINK("http://141.218.60.56/~jnz1568/getInfo.php?workbook=10_01.xlsx&amp;sheet=A0&amp;row=259&amp;col=14&amp;number=6.9575&amp;sourceID=12","6.9575")</f>
        <v>6.9575</v>
      </c>
      <c r="O259" s="4" t="str">
        <f>HYPERLINK("http://141.218.60.56/~jnz1568/getInfo.php?workbook=10_01.xlsx&amp;sheet=A0&amp;row=259&amp;col=15&amp;number=&amp;sourceID=12","")</f>
        <v/>
      </c>
      <c r="P259" s="4" t="str">
        <f>HYPERLINK("http://141.218.60.56/~jnz1568/getInfo.php?workbook=10_01.xlsx&amp;sheet=A0&amp;row=259&amp;col=16&amp;number=&amp;sourceID=12","")</f>
        <v/>
      </c>
      <c r="Q259" s="4" t="str">
        <f>HYPERLINK("http://141.218.60.56/~jnz1568/getInfo.php?workbook=10_01.xlsx&amp;sheet=A0&amp;row=259&amp;col=17&amp;number=1.9986&amp;sourceID=12","1.9986")</f>
        <v>1.9986</v>
      </c>
      <c r="R259" s="4" t="str">
        <f>HYPERLINK("http://141.218.60.56/~jnz1568/getInfo.php?workbook=10_01.xlsx&amp;sheet=A0&amp;row=259&amp;col=18&amp;number=&amp;sourceID=12","")</f>
        <v/>
      </c>
      <c r="S259" s="4" t="str">
        <f>HYPERLINK("http://141.218.60.56/~jnz1568/getInfo.php?workbook=10_01.xlsx&amp;sheet=A0&amp;row=259&amp;col=19&amp;number=4.9589&amp;sourceID=12","4.9589")</f>
        <v>4.9589</v>
      </c>
      <c r="T259" s="4" t="str">
        <f>HYPERLINK("http://141.218.60.56/~jnz1568/getInfo.php?workbook=10_01.xlsx&amp;sheet=A0&amp;row=259&amp;col=20&amp;number=&amp;sourceID=12","")</f>
        <v/>
      </c>
      <c r="U259" s="4" t="str">
        <f>HYPERLINK("http://141.218.60.56/~jnz1568/getInfo.php?workbook=10_01.xlsx&amp;sheet=A0&amp;row=259&amp;col=21&amp;number=4.959&amp;sourceID=30","4.959")</f>
        <v>4.959</v>
      </c>
      <c r="V259" s="4" t="str">
        <f>HYPERLINK("http://141.218.60.56/~jnz1568/getInfo.php?workbook=10_01.xlsx&amp;sheet=A0&amp;row=259&amp;col=22&amp;number=&amp;sourceID=30","")</f>
        <v/>
      </c>
      <c r="W259" s="4" t="str">
        <f>HYPERLINK("http://141.218.60.56/~jnz1568/getInfo.php?workbook=10_01.xlsx&amp;sheet=A0&amp;row=259&amp;col=23&amp;number=&amp;sourceID=30","")</f>
        <v/>
      </c>
      <c r="X259" s="4" t="str">
        <f>HYPERLINK("http://141.218.60.56/~jnz1568/getInfo.php?workbook=10_01.xlsx&amp;sheet=A0&amp;row=259&amp;col=24&amp;number=&amp;sourceID=30","")</f>
        <v/>
      </c>
      <c r="Y259" s="4" t="str">
        <f>HYPERLINK("http://141.218.60.56/~jnz1568/getInfo.php?workbook=10_01.xlsx&amp;sheet=A0&amp;row=259&amp;col=25&amp;number=4.959&amp;sourceID=30","4.959")</f>
        <v>4.959</v>
      </c>
      <c r="Z259" s="4" t="str">
        <f>HYPERLINK("http://141.218.60.56/~jnz1568/getInfo.php?workbook=10_01.xlsx&amp;sheet=A0&amp;row=259&amp;col=26&amp;number=&amp;sourceID=13","")</f>
        <v/>
      </c>
      <c r="AA259" s="4" t="str">
        <f>HYPERLINK("http://141.218.60.56/~jnz1568/getInfo.php?workbook=10_01.xlsx&amp;sheet=A0&amp;row=259&amp;col=27&amp;number=&amp;sourceID=13","")</f>
        <v/>
      </c>
      <c r="AB259" s="4" t="str">
        <f>HYPERLINK("http://141.218.60.56/~jnz1568/getInfo.php?workbook=10_01.xlsx&amp;sheet=A0&amp;row=259&amp;col=28&amp;number=&amp;sourceID=13","")</f>
        <v/>
      </c>
      <c r="AC259" s="4" t="str">
        <f>HYPERLINK("http://141.218.60.56/~jnz1568/getInfo.php?workbook=10_01.xlsx&amp;sheet=A0&amp;row=259&amp;col=29&amp;number=&amp;sourceID=13","")</f>
        <v/>
      </c>
      <c r="AD259" s="4" t="str">
        <f>HYPERLINK("http://141.218.60.56/~jnz1568/getInfo.php?workbook=10_01.xlsx&amp;sheet=A0&amp;row=259&amp;col=30&amp;number=&amp;sourceID=13","")</f>
        <v/>
      </c>
      <c r="AE259" s="4" t="str">
        <f>HYPERLINK("http://141.218.60.56/~jnz1568/getInfo.php?workbook=10_01.xlsx&amp;sheet=A0&amp;row=259&amp;col=31&amp;number=&amp;sourceID=13","")</f>
        <v/>
      </c>
      <c r="AF259" s="4" t="str">
        <f>HYPERLINK("http://141.218.60.56/~jnz1568/getInfo.php?workbook=10_01.xlsx&amp;sheet=A0&amp;row=259&amp;col=32&amp;number=&amp;sourceID=20","")</f>
        <v/>
      </c>
    </row>
    <row r="260" spans="1:32">
      <c r="A260" s="3">
        <v>10</v>
      </c>
      <c r="B260" s="3">
        <v>1</v>
      </c>
      <c r="C260" s="3">
        <v>24</v>
      </c>
      <c r="D260" s="3">
        <v>13</v>
      </c>
      <c r="E260" s="3">
        <f>((1/(INDEX(E0!J$4:J$28,C260,1)-INDEX(E0!J$4:J$28,D260,1))))*100000000</f>
        <v>0</v>
      </c>
      <c r="F260" s="4" t="str">
        <f>HYPERLINK("http://141.218.60.56/~jnz1568/getInfo.php?workbook=10_01.xlsx&amp;sheet=A0&amp;row=260&amp;col=6&amp;number=&amp;sourceID=18","")</f>
        <v/>
      </c>
      <c r="G260" s="4" t="str">
        <f>HYPERLINK("http://141.218.60.56/~jnz1568/getInfo.php?workbook=10_01.xlsx&amp;sheet=A0&amp;row=260&amp;col=7&amp;number==&amp;sourceID=11","=")</f>
        <v>=</v>
      </c>
      <c r="H260" s="4" t="str">
        <f>HYPERLINK("http://141.218.60.56/~jnz1568/getInfo.php?workbook=10_01.xlsx&amp;sheet=A0&amp;row=260&amp;col=8&amp;number=&amp;sourceID=11","")</f>
        <v/>
      </c>
      <c r="I260" s="4" t="str">
        <f>HYPERLINK("http://141.218.60.56/~jnz1568/getInfo.php?workbook=10_01.xlsx&amp;sheet=A0&amp;row=260&amp;col=9&amp;number=939330&amp;sourceID=11","939330")</f>
        <v>939330</v>
      </c>
      <c r="J260" s="4" t="str">
        <f>HYPERLINK("http://141.218.60.56/~jnz1568/getInfo.php?workbook=10_01.xlsx&amp;sheet=A0&amp;row=260&amp;col=10&amp;number=&amp;sourceID=11","")</f>
        <v/>
      </c>
      <c r="K260" s="4" t="str">
        <f>HYPERLINK("http://141.218.60.56/~jnz1568/getInfo.php?workbook=10_01.xlsx&amp;sheet=A0&amp;row=260&amp;col=11&amp;number=&amp;sourceID=11","")</f>
        <v/>
      </c>
      <c r="L260" s="4" t="str">
        <f>HYPERLINK("http://141.218.60.56/~jnz1568/getInfo.php?workbook=10_01.xlsx&amp;sheet=A0&amp;row=260&amp;col=12&amp;number=&amp;sourceID=11","")</f>
        <v/>
      </c>
      <c r="M260" s="4" t="str">
        <f>HYPERLINK("http://141.218.60.56/~jnz1568/getInfo.php?workbook=10_01.xlsx&amp;sheet=A0&amp;row=260&amp;col=13&amp;number=0.00072377&amp;sourceID=11","0.00072377")</f>
        <v>0.00072377</v>
      </c>
      <c r="N260" s="4" t="str">
        <f>HYPERLINK("http://141.218.60.56/~jnz1568/getInfo.php?workbook=10_01.xlsx&amp;sheet=A0&amp;row=260&amp;col=14&amp;number=939350&amp;sourceID=12","939350")</f>
        <v>939350</v>
      </c>
      <c r="O260" s="4" t="str">
        <f>HYPERLINK("http://141.218.60.56/~jnz1568/getInfo.php?workbook=10_01.xlsx&amp;sheet=A0&amp;row=260&amp;col=15&amp;number=&amp;sourceID=12","")</f>
        <v/>
      </c>
      <c r="P260" s="4" t="str">
        <f>HYPERLINK("http://141.218.60.56/~jnz1568/getInfo.php?workbook=10_01.xlsx&amp;sheet=A0&amp;row=260&amp;col=16&amp;number=939350&amp;sourceID=12","939350")</f>
        <v>939350</v>
      </c>
      <c r="Q260" s="4" t="str">
        <f>HYPERLINK("http://141.218.60.56/~jnz1568/getInfo.php?workbook=10_01.xlsx&amp;sheet=A0&amp;row=260&amp;col=17&amp;number=&amp;sourceID=12","")</f>
        <v/>
      </c>
      <c r="R260" s="4" t="str">
        <f>HYPERLINK("http://141.218.60.56/~jnz1568/getInfo.php?workbook=10_01.xlsx&amp;sheet=A0&amp;row=260&amp;col=18&amp;number=&amp;sourceID=12","")</f>
        <v/>
      </c>
      <c r="S260" s="4" t="str">
        <f>HYPERLINK("http://141.218.60.56/~jnz1568/getInfo.php?workbook=10_01.xlsx&amp;sheet=A0&amp;row=260&amp;col=19&amp;number=&amp;sourceID=12","")</f>
        <v/>
      </c>
      <c r="T260" s="4" t="str">
        <f>HYPERLINK("http://141.218.60.56/~jnz1568/getInfo.php?workbook=10_01.xlsx&amp;sheet=A0&amp;row=260&amp;col=20&amp;number=0.00072379&amp;sourceID=12","0.00072379")</f>
        <v>0.00072379</v>
      </c>
      <c r="U260" s="4" t="str">
        <f>HYPERLINK("http://141.218.60.56/~jnz1568/getInfo.php?workbook=10_01.xlsx&amp;sheet=A0&amp;row=260&amp;col=21&amp;number=939400&amp;sourceID=30","939400")</f>
        <v>939400</v>
      </c>
      <c r="V260" s="4" t="str">
        <f>HYPERLINK("http://141.218.60.56/~jnz1568/getInfo.php?workbook=10_01.xlsx&amp;sheet=A0&amp;row=260&amp;col=22&amp;number=&amp;sourceID=30","")</f>
        <v/>
      </c>
      <c r="W260" s="4" t="str">
        <f>HYPERLINK("http://141.218.60.56/~jnz1568/getInfo.php?workbook=10_01.xlsx&amp;sheet=A0&amp;row=260&amp;col=23&amp;number=939400&amp;sourceID=30","939400")</f>
        <v>939400</v>
      </c>
      <c r="X260" s="4" t="str">
        <f>HYPERLINK("http://141.218.60.56/~jnz1568/getInfo.php?workbook=10_01.xlsx&amp;sheet=A0&amp;row=260&amp;col=24&amp;number=&amp;sourceID=30","")</f>
        <v/>
      </c>
      <c r="Y260" s="4" t="str">
        <f>HYPERLINK("http://141.218.60.56/~jnz1568/getInfo.php?workbook=10_01.xlsx&amp;sheet=A0&amp;row=260&amp;col=25&amp;number=&amp;sourceID=30","")</f>
        <v/>
      </c>
      <c r="Z260" s="4" t="str">
        <f>HYPERLINK("http://141.218.60.56/~jnz1568/getInfo.php?workbook=10_01.xlsx&amp;sheet=A0&amp;row=260&amp;col=26&amp;number=&amp;sourceID=13","")</f>
        <v/>
      </c>
      <c r="AA260" s="4" t="str">
        <f>HYPERLINK("http://141.218.60.56/~jnz1568/getInfo.php?workbook=10_01.xlsx&amp;sheet=A0&amp;row=260&amp;col=27&amp;number=&amp;sourceID=13","")</f>
        <v/>
      </c>
      <c r="AB260" s="4" t="str">
        <f>HYPERLINK("http://141.218.60.56/~jnz1568/getInfo.php?workbook=10_01.xlsx&amp;sheet=A0&amp;row=260&amp;col=28&amp;number=&amp;sourceID=13","")</f>
        <v/>
      </c>
      <c r="AC260" s="4" t="str">
        <f>HYPERLINK("http://141.218.60.56/~jnz1568/getInfo.php?workbook=10_01.xlsx&amp;sheet=A0&amp;row=260&amp;col=29&amp;number=&amp;sourceID=13","")</f>
        <v/>
      </c>
      <c r="AD260" s="4" t="str">
        <f>HYPERLINK("http://141.218.60.56/~jnz1568/getInfo.php?workbook=10_01.xlsx&amp;sheet=A0&amp;row=260&amp;col=30&amp;number=&amp;sourceID=13","")</f>
        <v/>
      </c>
      <c r="AE260" s="4" t="str">
        <f>HYPERLINK("http://141.218.60.56/~jnz1568/getInfo.php?workbook=10_01.xlsx&amp;sheet=A0&amp;row=260&amp;col=31&amp;number=&amp;sourceID=13","")</f>
        <v/>
      </c>
      <c r="AF260" s="4" t="str">
        <f>HYPERLINK("http://141.218.60.56/~jnz1568/getInfo.php?workbook=10_01.xlsx&amp;sheet=A0&amp;row=260&amp;col=32&amp;number=&amp;sourceID=20","")</f>
        <v/>
      </c>
    </row>
    <row r="261" spans="1:32">
      <c r="A261" s="3">
        <v>10</v>
      </c>
      <c r="B261" s="3">
        <v>1</v>
      </c>
      <c r="C261" s="3">
        <v>24</v>
      </c>
      <c r="D261" s="3">
        <v>14</v>
      </c>
      <c r="E261" s="3">
        <f>((1/(INDEX(E0!J$4:J$28,C261,1)-INDEX(E0!J$4:J$28,D261,1))))*100000000</f>
        <v>0</v>
      </c>
      <c r="F261" s="4" t="str">
        <f>HYPERLINK("http://141.218.60.56/~jnz1568/getInfo.php?workbook=10_01.xlsx&amp;sheet=A0&amp;row=261&amp;col=6&amp;number=&amp;sourceID=18","")</f>
        <v/>
      </c>
      <c r="G261" s="4" t="str">
        <f>HYPERLINK("http://141.218.60.56/~jnz1568/getInfo.php?workbook=10_01.xlsx&amp;sheet=A0&amp;row=261&amp;col=7&amp;number==&amp;sourceID=11","=")</f>
        <v>=</v>
      </c>
      <c r="H261" s="4" t="str">
        <f>HYPERLINK("http://141.218.60.56/~jnz1568/getInfo.php?workbook=10_01.xlsx&amp;sheet=A0&amp;row=261&amp;col=8&amp;number=&amp;sourceID=11","")</f>
        <v/>
      </c>
      <c r="I261" s="4" t="str">
        <f>HYPERLINK("http://141.218.60.56/~jnz1568/getInfo.php?workbook=10_01.xlsx&amp;sheet=A0&amp;row=261&amp;col=9&amp;number=16395&amp;sourceID=11","16395")</f>
        <v>16395</v>
      </c>
      <c r="J261" s="4" t="str">
        <f>HYPERLINK("http://141.218.60.56/~jnz1568/getInfo.php?workbook=10_01.xlsx&amp;sheet=A0&amp;row=261&amp;col=10&amp;number=&amp;sourceID=11","")</f>
        <v/>
      </c>
      <c r="K261" s="4" t="str">
        <f>HYPERLINK("http://141.218.60.56/~jnz1568/getInfo.php?workbook=10_01.xlsx&amp;sheet=A0&amp;row=261&amp;col=11&amp;number=0.0030069&amp;sourceID=11","0.0030069")</f>
        <v>0.0030069</v>
      </c>
      <c r="L261" s="4" t="str">
        <f>HYPERLINK("http://141.218.60.56/~jnz1568/getInfo.php?workbook=10_01.xlsx&amp;sheet=A0&amp;row=261&amp;col=12&amp;number=&amp;sourceID=11","")</f>
        <v/>
      </c>
      <c r="M261" s="4" t="str">
        <f>HYPERLINK("http://141.218.60.56/~jnz1568/getInfo.php?workbook=10_01.xlsx&amp;sheet=A0&amp;row=261&amp;col=13&amp;number=1.8692e-06&amp;sourceID=11","1.8692e-06")</f>
        <v>1.8692e-06</v>
      </c>
      <c r="N261" s="4" t="str">
        <f>HYPERLINK("http://141.218.60.56/~jnz1568/getInfo.php?workbook=10_01.xlsx&amp;sheet=A0&amp;row=261&amp;col=14&amp;number=16395&amp;sourceID=12","16395")</f>
        <v>16395</v>
      </c>
      <c r="O261" s="4" t="str">
        <f>HYPERLINK("http://141.218.60.56/~jnz1568/getInfo.php?workbook=10_01.xlsx&amp;sheet=A0&amp;row=261&amp;col=15&amp;number=&amp;sourceID=12","")</f>
        <v/>
      </c>
      <c r="P261" s="4" t="str">
        <f>HYPERLINK("http://141.218.60.56/~jnz1568/getInfo.php?workbook=10_01.xlsx&amp;sheet=A0&amp;row=261&amp;col=16&amp;number=16395&amp;sourceID=12","16395")</f>
        <v>16395</v>
      </c>
      <c r="Q261" s="4" t="str">
        <f>HYPERLINK("http://141.218.60.56/~jnz1568/getInfo.php?workbook=10_01.xlsx&amp;sheet=A0&amp;row=261&amp;col=17&amp;number=&amp;sourceID=12","")</f>
        <v/>
      </c>
      <c r="R261" s="4" t="str">
        <f>HYPERLINK("http://141.218.60.56/~jnz1568/getInfo.php?workbook=10_01.xlsx&amp;sheet=A0&amp;row=261&amp;col=18&amp;number=0.0030071&amp;sourceID=12","0.0030071")</f>
        <v>0.0030071</v>
      </c>
      <c r="S261" s="4" t="str">
        <f>HYPERLINK("http://141.218.60.56/~jnz1568/getInfo.php?workbook=10_01.xlsx&amp;sheet=A0&amp;row=261&amp;col=19&amp;number=&amp;sourceID=12","")</f>
        <v/>
      </c>
      <c r="T261" s="4" t="str">
        <f>HYPERLINK("http://141.218.60.56/~jnz1568/getInfo.php?workbook=10_01.xlsx&amp;sheet=A0&amp;row=261&amp;col=20&amp;number=1.8693e-06&amp;sourceID=12","1.8693e-06")</f>
        <v>1.8693e-06</v>
      </c>
      <c r="U261" s="4" t="str">
        <f>HYPERLINK("http://141.218.60.56/~jnz1568/getInfo.php?workbook=10_01.xlsx&amp;sheet=A0&amp;row=261&amp;col=21&amp;number=16400.003008&amp;sourceID=30","16400.003008")</f>
        <v>16400.003008</v>
      </c>
      <c r="V261" s="4" t="str">
        <f>HYPERLINK("http://141.218.60.56/~jnz1568/getInfo.php?workbook=10_01.xlsx&amp;sheet=A0&amp;row=261&amp;col=22&amp;number=&amp;sourceID=30","")</f>
        <v/>
      </c>
      <c r="W261" s="4" t="str">
        <f>HYPERLINK("http://141.218.60.56/~jnz1568/getInfo.php?workbook=10_01.xlsx&amp;sheet=A0&amp;row=261&amp;col=23&amp;number=16400&amp;sourceID=30","16400")</f>
        <v>16400</v>
      </c>
      <c r="X261" s="4" t="str">
        <f>HYPERLINK("http://141.218.60.56/~jnz1568/getInfo.php?workbook=10_01.xlsx&amp;sheet=A0&amp;row=261&amp;col=24&amp;number=0.003008&amp;sourceID=30","0.003008")</f>
        <v>0.003008</v>
      </c>
      <c r="Y261" s="4" t="str">
        <f>HYPERLINK("http://141.218.60.56/~jnz1568/getInfo.php?workbook=10_01.xlsx&amp;sheet=A0&amp;row=261&amp;col=25&amp;number=&amp;sourceID=30","")</f>
        <v/>
      </c>
      <c r="Z261" s="4" t="str">
        <f>HYPERLINK("http://141.218.60.56/~jnz1568/getInfo.php?workbook=10_01.xlsx&amp;sheet=A0&amp;row=261&amp;col=26&amp;number=&amp;sourceID=13","")</f>
        <v/>
      </c>
      <c r="AA261" s="4" t="str">
        <f>HYPERLINK("http://141.218.60.56/~jnz1568/getInfo.php?workbook=10_01.xlsx&amp;sheet=A0&amp;row=261&amp;col=27&amp;number=&amp;sourceID=13","")</f>
        <v/>
      </c>
      <c r="AB261" s="4" t="str">
        <f>HYPERLINK("http://141.218.60.56/~jnz1568/getInfo.php?workbook=10_01.xlsx&amp;sheet=A0&amp;row=261&amp;col=28&amp;number=&amp;sourceID=13","")</f>
        <v/>
      </c>
      <c r="AC261" s="4" t="str">
        <f>HYPERLINK("http://141.218.60.56/~jnz1568/getInfo.php?workbook=10_01.xlsx&amp;sheet=A0&amp;row=261&amp;col=29&amp;number=&amp;sourceID=13","")</f>
        <v/>
      </c>
      <c r="AD261" s="4" t="str">
        <f>HYPERLINK("http://141.218.60.56/~jnz1568/getInfo.php?workbook=10_01.xlsx&amp;sheet=A0&amp;row=261&amp;col=30&amp;number=&amp;sourceID=13","")</f>
        <v/>
      </c>
      <c r="AE261" s="4" t="str">
        <f>HYPERLINK("http://141.218.60.56/~jnz1568/getInfo.php?workbook=10_01.xlsx&amp;sheet=A0&amp;row=261&amp;col=31&amp;number=&amp;sourceID=13","")</f>
        <v/>
      </c>
      <c r="AF261" s="4" t="str">
        <f>HYPERLINK("http://141.218.60.56/~jnz1568/getInfo.php?workbook=10_01.xlsx&amp;sheet=A0&amp;row=261&amp;col=32&amp;number=&amp;sourceID=20","")</f>
        <v/>
      </c>
    </row>
    <row r="262" spans="1:32">
      <c r="A262" s="3">
        <v>10</v>
      </c>
      <c r="B262" s="3">
        <v>1</v>
      </c>
      <c r="C262" s="3">
        <v>24</v>
      </c>
      <c r="D262" s="3">
        <v>15</v>
      </c>
      <c r="E262" s="3">
        <f>((1/(INDEX(E0!J$4:J$28,C262,1)-INDEX(E0!J$4:J$28,D262,1))))*100000000</f>
        <v>0</v>
      </c>
      <c r="F262" s="4" t="str">
        <f>HYPERLINK("http://141.218.60.56/~jnz1568/getInfo.php?workbook=10_01.xlsx&amp;sheet=A0&amp;row=262&amp;col=6&amp;number=&amp;sourceID=18","")</f>
        <v/>
      </c>
      <c r="G262" s="4" t="str">
        <f>HYPERLINK("http://141.218.60.56/~jnz1568/getInfo.php?workbook=10_01.xlsx&amp;sheet=A0&amp;row=262&amp;col=7&amp;number==SUM(H262:M262)&amp;sourceID=11","=SUM(H262:M262)")</f>
        <v>=SUM(H262:M262)</v>
      </c>
      <c r="H262" s="4" t="str">
        <f>HYPERLINK("http://141.218.60.56/~jnz1568/getInfo.php?workbook=10_01.xlsx&amp;sheet=A0&amp;row=262&amp;col=8&amp;number=25858000000&amp;sourceID=11","25858000000")</f>
        <v>25858000000</v>
      </c>
      <c r="I262" s="4" t="str">
        <f>HYPERLINK("http://141.218.60.56/~jnz1568/getInfo.php?workbook=10_01.xlsx&amp;sheet=A0&amp;row=262&amp;col=9&amp;number=&amp;sourceID=11","")</f>
        <v/>
      </c>
      <c r="J262" s="4" t="str">
        <f>HYPERLINK("http://141.218.60.56/~jnz1568/getInfo.php?workbook=10_01.xlsx&amp;sheet=A0&amp;row=262&amp;col=10&amp;number=5.9805&amp;sourceID=11","5.9805")</f>
        <v>5.9805</v>
      </c>
      <c r="K262" s="4" t="str">
        <f>HYPERLINK("http://141.218.60.56/~jnz1568/getInfo.php?workbook=10_01.xlsx&amp;sheet=A0&amp;row=262&amp;col=11&amp;number=&amp;sourceID=11","")</f>
        <v/>
      </c>
      <c r="L262" s="4" t="str">
        <f>HYPERLINK("http://141.218.60.56/~jnz1568/getInfo.php?workbook=10_01.xlsx&amp;sheet=A0&amp;row=262&amp;col=12&amp;number=34.126&amp;sourceID=11","34.126")</f>
        <v>34.126</v>
      </c>
      <c r="M262" s="4" t="str">
        <f>HYPERLINK("http://141.218.60.56/~jnz1568/getInfo.php?workbook=10_01.xlsx&amp;sheet=A0&amp;row=262&amp;col=13&amp;number=&amp;sourceID=11","")</f>
        <v/>
      </c>
      <c r="N262" s="4" t="str">
        <f>HYPERLINK("http://141.218.60.56/~jnz1568/getInfo.php?workbook=10_01.xlsx&amp;sheet=A0&amp;row=262&amp;col=14&amp;number=25858000000&amp;sourceID=12","25858000000")</f>
        <v>25858000000</v>
      </c>
      <c r="O262" s="4" t="str">
        <f>HYPERLINK("http://141.218.60.56/~jnz1568/getInfo.php?workbook=10_01.xlsx&amp;sheet=A0&amp;row=262&amp;col=15&amp;number=25858000000&amp;sourceID=12","25858000000")</f>
        <v>25858000000</v>
      </c>
      <c r="P262" s="4" t="str">
        <f>HYPERLINK("http://141.218.60.56/~jnz1568/getInfo.php?workbook=10_01.xlsx&amp;sheet=A0&amp;row=262&amp;col=16&amp;number=&amp;sourceID=12","")</f>
        <v/>
      </c>
      <c r="Q262" s="4" t="str">
        <f>HYPERLINK("http://141.218.60.56/~jnz1568/getInfo.php?workbook=10_01.xlsx&amp;sheet=A0&amp;row=262&amp;col=17&amp;number=5.9807&amp;sourceID=12","5.9807")</f>
        <v>5.9807</v>
      </c>
      <c r="R262" s="4" t="str">
        <f>HYPERLINK("http://141.218.60.56/~jnz1568/getInfo.php?workbook=10_01.xlsx&amp;sheet=A0&amp;row=262&amp;col=18&amp;number=&amp;sourceID=12","")</f>
        <v/>
      </c>
      <c r="S262" s="4" t="str">
        <f>HYPERLINK("http://141.218.60.56/~jnz1568/getInfo.php?workbook=10_01.xlsx&amp;sheet=A0&amp;row=262&amp;col=19&amp;number=34.127&amp;sourceID=12","34.127")</f>
        <v>34.127</v>
      </c>
      <c r="T262" s="4" t="str">
        <f>HYPERLINK("http://141.218.60.56/~jnz1568/getInfo.php?workbook=10_01.xlsx&amp;sheet=A0&amp;row=262&amp;col=20&amp;number=&amp;sourceID=12","")</f>
        <v/>
      </c>
      <c r="U262" s="4" t="str">
        <f>HYPERLINK("http://141.218.60.56/~jnz1568/getInfo.php?workbook=10_01.xlsx&amp;sheet=A0&amp;row=262&amp;col=21&amp;number=25860000034.1&amp;sourceID=30","25860000034.1")</f>
        <v>25860000034.1</v>
      </c>
      <c r="V262" s="4" t="str">
        <f>HYPERLINK("http://141.218.60.56/~jnz1568/getInfo.php?workbook=10_01.xlsx&amp;sheet=A0&amp;row=262&amp;col=22&amp;number=25860000000&amp;sourceID=30","25860000000")</f>
        <v>25860000000</v>
      </c>
      <c r="W262" s="4" t="str">
        <f>HYPERLINK("http://141.218.60.56/~jnz1568/getInfo.php?workbook=10_01.xlsx&amp;sheet=A0&amp;row=262&amp;col=23&amp;number=&amp;sourceID=30","")</f>
        <v/>
      </c>
      <c r="X262" s="4" t="str">
        <f>HYPERLINK("http://141.218.60.56/~jnz1568/getInfo.php?workbook=10_01.xlsx&amp;sheet=A0&amp;row=262&amp;col=24&amp;number=&amp;sourceID=30","")</f>
        <v/>
      </c>
      <c r="Y262" s="4" t="str">
        <f>HYPERLINK("http://141.218.60.56/~jnz1568/getInfo.php?workbook=10_01.xlsx&amp;sheet=A0&amp;row=262&amp;col=25&amp;number=34.13&amp;sourceID=30","34.13")</f>
        <v>34.13</v>
      </c>
      <c r="Z262" s="4" t="str">
        <f>HYPERLINK("http://141.218.60.56/~jnz1568/getInfo.php?workbook=10_01.xlsx&amp;sheet=A0&amp;row=262&amp;col=26&amp;number=&amp;sourceID=13","")</f>
        <v/>
      </c>
      <c r="AA262" s="4" t="str">
        <f>HYPERLINK("http://141.218.60.56/~jnz1568/getInfo.php?workbook=10_01.xlsx&amp;sheet=A0&amp;row=262&amp;col=27&amp;number=&amp;sourceID=13","")</f>
        <v/>
      </c>
      <c r="AB262" s="4" t="str">
        <f>HYPERLINK("http://141.218.60.56/~jnz1568/getInfo.php?workbook=10_01.xlsx&amp;sheet=A0&amp;row=262&amp;col=28&amp;number=&amp;sourceID=13","")</f>
        <v/>
      </c>
      <c r="AC262" s="4" t="str">
        <f>HYPERLINK("http://141.218.60.56/~jnz1568/getInfo.php?workbook=10_01.xlsx&amp;sheet=A0&amp;row=262&amp;col=29&amp;number=&amp;sourceID=13","")</f>
        <v/>
      </c>
      <c r="AD262" s="4" t="str">
        <f>HYPERLINK("http://141.218.60.56/~jnz1568/getInfo.php?workbook=10_01.xlsx&amp;sheet=A0&amp;row=262&amp;col=30&amp;number=&amp;sourceID=13","")</f>
        <v/>
      </c>
      <c r="AE262" s="4" t="str">
        <f>HYPERLINK("http://141.218.60.56/~jnz1568/getInfo.php?workbook=10_01.xlsx&amp;sheet=A0&amp;row=262&amp;col=31&amp;number=&amp;sourceID=13","")</f>
        <v/>
      </c>
      <c r="AF262" s="4" t="str">
        <f>HYPERLINK("http://141.218.60.56/~jnz1568/getInfo.php?workbook=10_01.xlsx&amp;sheet=A0&amp;row=262&amp;col=32&amp;number=&amp;sourceID=20","")</f>
        <v/>
      </c>
    </row>
    <row r="263" spans="1:32">
      <c r="A263" s="3">
        <v>10</v>
      </c>
      <c r="B263" s="3">
        <v>1</v>
      </c>
      <c r="C263" s="3">
        <v>24</v>
      </c>
      <c r="D263" s="3">
        <v>16</v>
      </c>
      <c r="E263" s="3">
        <f>((1/(INDEX(E0!J$4:J$28,C263,1)-INDEX(E0!J$4:J$28,D263,1))))*100000000</f>
        <v>0</v>
      </c>
      <c r="F263" s="4" t="str">
        <f>HYPERLINK("http://141.218.60.56/~jnz1568/getInfo.php?workbook=10_01.xlsx&amp;sheet=A0&amp;row=263&amp;col=6&amp;number=&amp;sourceID=18","")</f>
        <v/>
      </c>
      <c r="G263" s="4" t="str">
        <f>HYPERLINK("http://141.218.60.56/~jnz1568/getInfo.php?workbook=10_01.xlsx&amp;sheet=A0&amp;row=263&amp;col=7&amp;number==&amp;sourceID=11","=")</f>
        <v>=</v>
      </c>
      <c r="H263" s="4" t="str">
        <f>HYPERLINK("http://141.218.60.56/~jnz1568/getInfo.php?workbook=10_01.xlsx&amp;sheet=A0&amp;row=263&amp;col=8&amp;number=&amp;sourceID=11","")</f>
        <v/>
      </c>
      <c r="I263" s="4" t="str">
        <f>HYPERLINK("http://141.218.60.56/~jnz1568/getInfo.php?workbook=10_01.xlsx&amp;sheet=A0&amp;row=263&amp;col=9&amp;number=136570&amp;sourceID=11","136570")</f>
        <v>136570</v>
      </c>
      <c r="J263" s="4" t="str">
        <f>HYPERLINK("http://141.218.60.56/~jnz1568/getInfo.php?workbook=10_01.xlsx&amp;sheet=A0&amp;row=263&amp;col=10&amp;number=&amp;sourceID=11","")</f>
        <v/>
      </c>
      <c r="K263" s="4" t="str">
        <f>HYPERLINK("http://141.218.60.56/~jnz1568/getInfo.php?workbook=10_01.xlsx&amp;sheet=A0&amp;row=263&amp;col=11&amp;number=0.030231&amp;sourceID=11","0.030231")</f>
        <v>0.030231</v>
      </c>
      <c r="L263" s="4" t="str">
        <f>HYPERLINK("http://141.218.60.56/~jnz1568/getInfo.php?workbook=10_01.xlsx&amp;sheet=A0&amp;row=263&amp;col=12&amp;number=&amp;sourceID=11","")</f>
        <v/>
      </c>
      <c r="M263" s="4" t="str">
        <f>HYPERLINK("http://141.218.60.56/~jnz1568/getInfo.php?workbook=10_01.xlsx&amp;sheet=A0&amp;row=263&amp;col=13&amp;number=0.00024649&amp;sourceID=11","0.00024649")</f>
        <v>0.00024649</v>
      </c>
      <c r="N263" s="4" t="str">
        <f>HYPERLINK("http://141.218.60.56/~jnz1568/getInfo.php?workbook=10_01.xlsx&amp;sheet=A0&amp;row=263&amp;col=14&amp;number=136570&amp;sourceID=12","136570")</f>
        <v>136570</v>
      </c>
      <c r="O263" s="4" t="str">
        <f>HYPERLINK("http://141.218.60.56/~jnz1568/getInfo.php?workbook=10_01.xlsx&amp;sheet=A0&amp;row=263&amp;col=15&amp;number=&amp;sourceID=12","")</f>
        <v/>
      </c>
      <c r="P263" s="4" t="str">
        <f>HYPERLINK("http://141.218.60.56/~jnz1568/getInfo.php?workbook=10_01.xlsx&amp;sheet=A0&amp;row=263&amp;col=16&amp;number=136570&amp;sourceID=12","136570")</f>
        <v>136570</v>
      </c>
      <c r="Q263" s="4" t="str">
        <f>HYPERLINK("http://141.218.60.56/~jnz1568/getInfo.php?workbook=10_01.xlsx&amp;sheet=A0&amp;row=263&amp;col=17&amp;number=&amp;sourceID=12","")</f>
        <v/>
      </c>
      <c r="R263" s="4" t="str">
        <f>HYPERLINK("http://141.218.60.56/~jnz1568/getInfo.php?workbook=10_01.xlsx&amp;sheet=A0&amp;row=263&amp;col=18&amp;number=0.030232&amp;sourceID=12","0.030232")</f>
        <v>0.030232</v>
      </c>
      <c r="S263" s="4" t="str">
        <f>HYPERLINK("http://141.218.60.56/~jnz1568/getInfo.php?workbook=10_01.xlsx&amp;sheet=A0&amp;row=263&amp;col=19&amp;number=&amp;sourceID=12","")</f>
        <v/>
      </c>
      <c r="T263" s="4" t="str">
        <f>HYPERLINK("http://141.218.60.56/~jnz1568/getInfo.php?workbook=10_01.xlsx&amp;sheet=A0&amp;row=263&amp;col=20&amp;number=0.0002465&amp;sourceID=12","0.0002465")</f>
        <v>0.0002465</v>
      </c>
      <c r="U263" s="4" t="str">
        <f>HYPERLINK("http://141.218.60.56/~jnz1568/getInfo.php?workbook=10_01.xlsx&amp;sheet=A0&amp;row=263&amp;col=21&amp;number=136600.03023&amp;sourceID=30","136600.03023")</f>
        <v>136600.03023</v>
      </c>
      <c r="V263" s="4" t="str">
        <f>HYPERLINK("http://141.218.60.56/~jnz1568/getInfo.php?workbook=10_01.xlsx&amp;sheet=A0&amp;row=263&amp;col=22&amp;number=&amp;sourceID=30","")</f>
        <v/>
      </c>
      <c r="W263" s="4" t="str">
        <f>HYPERLINK("http://141.218.60.56/~jnz1568/getInfo.php?workbook=10_01.xlsx&amp;sheet=A0&amp;row=263&amp;col=23&amp;number=136600&amp;sourceID=30","136600")</f>
        <v>136600</v>
      </c>
      <c r="X263" s="4" t="str">
        <f>HYPERLINK("http://141.218.60.56/~jnz1568/getInfo.php?workbook=10_01.xlsx&amp;sheet=A0&amp;row=263&amp;col=24&amp;number=0.03023&amp;sourceID=30","0.03023")</f>
        <v>0.03023</v>
      </c>
      <c r="Y263" s="4" t="str">
        <f>HYPERLINK("http://141.218.60.56/~jnz1568/getInfo.php?workbook=10_01.xlsx&amp;sheet=A0&amp;row=263&amp;col=25&amp;number=&amp;sourceID=30","")</f>
        <v/>
      </c>
      <c r="Z263" s="4" t="str">
        <f>HYPERLINK("http://141.218.60.56/~jnz1568/getInfo.php?workbook=10_01.xlsx&amp;sheet=A0&amp;row=263&amp;col=26&amp;number=&amp;sourceID=13","")</f>
        <v/>
      </c>
      <c r="AA263" s="4" t="str">
        <f>HYPERLINK("http://141.218.60.56/~jnz1568/getInfo.php?workbook=10_01.xlsx&amp;sheet=A0&amp;row=263&amp;col=27&amp;number=&amp;sourceID=13","")</f>
        <v/>
      </c>
      <c r="AB263" s="4" t="str">
        <f>HYPERLINK("http://141.218.60.56/~jnz1568/getInfo.php?workbook=10_01.xlsx&amp;sheet=A0&amp;row=263&amp;col=28&amp;number=&amp;sourceID=13","")</f>
        <v/>
      </c>
      <c r="AC263" s="4" t="str">
        <f>HYPERLINK("http://141.218.60.56/~jnz1568/getInfo.php?workbook=10_01.xlsx&amp;sheet=A0&amp;row=263&amp;col=29&amp;number=&amp;sourceID=13","")</f>
        <v/>
      </c>
      <c r="AD263" s="4" t="str">
        <f>HYPERLINK("http://141.218.60.56/~jnz1568/getInfo.php?workbook=10_01.xlsx&amp;sheet=A0&amp;row=263&amp;col=30&amp;number=&amp;sourceID=13","")</f>
        <v/>
      </c>
      <c r="AE263" s="4" t="str">
        <f>HYPERLINK("http://141.218.60.56/~jnz1568/getInfo.php?workbook=10_01.xlsx&amp;sheet=A0&amp;row=263&amp;col=31&amp;number=&amp;sourceID=13","")</f>
        <v/>
      </c>
      <c r="AF263" s="4" t="str">
        <f>HYPERLINK("http://141.218.60.56/~jnz1568/getInfo.php?workbook=10_01.xlsx&amp;sheet=A0&amp;row=263&amp;col=32&amp;number=&amp;sourceID=20","")</f>
        <v/>
      </c>
    </row>
    <row r="264" spans="1:32">
      <c r="A264" s="3">
        <v>10</v>
      </c>
      <c r="B264" s="3">
        <v>1</v>
      </c>
      <c r="C264" s="3">
        <v>24</v>
      </c>
      <c r="D264" s="3">
        <v>17</v>
      </c>
      <c r="E264" s="3">
        <f>((1/(INDEX(E0!J$4:J$28,C264,1)-INDEX(E0!J$4:J$28,D264,1))))*100000000</f>
        <v>0</v>
      </c>
      <c r="F264" s="4" t="str">
        <f>HYPERLINK("http://141.218.60.56/~jnz1568/getInfo.php?workbook=10_01.xlsx&amp;sheet=A0&amp;row=264&amp;col=6&amp;number=&amp;sourceID=18","")</f>
        <v/>
      </c>
      <c r="G264" s="4" t="str">
        <f>HYPERLINK("http://141.218.60.56/~jnz1568/getInfo.php?workbook=10_01.xlsx&amp;sheet=A0&amp;row=264&amp;col=7&amp;number==&amp;sourceID=11","=")</f>
        <v>=</v>
      </c>
      <c r="H264" s="4" t="str">
        <f>HYPERLINK("http://141.218.60.56/~jnz1568/getInfo.php?workbook=10_01.xlsx&amp;sheet=A0&amp;row=264&amp;col=8&amp;number=&amp;sourceID=11","")</f>
        <v/>
      </c>
      <c r="I264" s="4" t="str">
        <f>HYPERLINK("http://141.218.60.56/~jnz1568/getInfo.php?workbook=10_01.xlsx&amp;sheet=A0&amp;row=264&amp;col=9&amp;number=&amp;sourceID=11","")</f>
        <v/>
      </c>
      <c r="J264" s="4" t="str">
        <f>HYPERLINK("http://141.218.60.56/~jnz1568/getInfo.php?workbook=10_01.xlsx&amp;sheet=A0&amp;row=264&amp;col=10&amp;number=&amp;sourceID=11","")</f>
        <v/>
      </c>
      <c r="K264" s="4" t="str">
        <f>HYPERLINK("http://141.218.60.56/~jnz1568/getInfo.php?workbook=10_01.xlsx&amp;sheet=A0&amp;row=264&amp;col=11&amp;number=&amp;sourceID=11","")</f>
        <v/>
      </c>
      <c r="L264" s="4" t="str">
        <f>HYPERLINK("http://141.218.60.56/~jnz1568/getInfo.php?workbook=10_01.xlsx&amp;sheet=A0&amp;row=264&amp;col=12&amp;number=&amp;sourceID=11","")</f>
        <v/>
      </c>
      <c r="M264" s="4" t="str">
        <f>HYPERLINK("http://141.218.60.56/~jnz1568/getInfo.php?workbook=10_01.xlsx&amp;sheet=A0&amp;row=264&amp;col=13&amp;number=0&amp;sourceID=11","0")</f>
        <v>0</v>
      </c>
      <c r="N264" s="4" t="str">
        <f>HYPERLINK("http://141.218.60.56/~jnz1568/getInfo.php?workbook=10_01.xlsx&amp;sheet=A0&amp;row=264&amp;col=14&amp;number=0&amp;sourceID=12","0")</f>
        <v>0</v>
      </c>
      <c r="O264" s="4" t="str">
        <f>HYPERLINK("http://141.218.60.56/~jnz1568/getInfo.php?workbook=10_01.xlsx&amp;sheet=A0&amp;row=264&amp;col=15&amp;number=&amp;sourceID=12","")</f>
        <v/>
      </c>
      <c r="P264" s="4" t="str">
        <f>HYPERLINK("http://141.218.60.56/~jnz1568/getInfo.php?workbook=10_01.xlsx&amp;sheet=A0&amp;row=264&amp;col=16&amp;number=&amp;sourceID=12","")</f>
        <v/>
      </c>
      <c r="Q264" s="4" t="str">
        <f>HYPERLINK("http://141.218.60.56/~jnz1568/getInfo.php?workbook=10_01.xlsx&amp;sheet=A0&amp;row=264&amp;col=17&amp;number=&amp;sourceID=12","")</f>
        <v/>
      </c>
      <c r="R264" s="4" t="str">
        <f>HYPERLINK("http://141.218.60.56/~jnz1568/getInfo.php?workbook=10_01.xlsx&amp;sheet=A0&amp;row=264&amp;col=18&amp;number=&amp;sourceID=12","")</f>
        <v/>
      </c>
      <c r="S264" s="4" t="str">
        <f>HYPERLINK("http://141.218.60.56/~jnz1568/getInfo.php?workbook=10_01.xlsx&amp;sheet=A0&amp;row=264&amp;col=19&amp;number=&amp;sourceID=12","")</f>
        <v/>
      </c>
      <c r="T264" s="4" t="str">
        <f>HYPERLINK("http://141.218.60.56/~jnz1568/getInfo.php?workbook=10_01.xlsx&amp;sheet=A0&amp;row=264&amp;col=20&amp;number=0&amp;sourceID=12","0")</f>
        <v>0</v>
      </c>
      <c r="U264" s="4" t="str">
        <f>HYPERLINK("http://141.218.60.56/~jnz1568/getInfo.php?workbook=10_01.xlsx&amp;sheet=A0&amp;row=264&amp;col=21&amp;number=&amp;sourceID=30","")</f>
        <v/>
      </c>
      <c r="V264" s="4" t="str">
        <f>HYPERLINK("http://141.218.60.56/~jnz1568/getInfo.php?workbook=10_01.xlsx&amp;sheet=A0&amp;row=264&amp;col=22&amp;number=&amp;sourceID=30","")</f>
        <v/>
      </c>
      <c r="W264" s="4" t="str">
        <f>HYPERLINK("http://141.218.60.56/~jnz1568/getInfo.php?workbook=10_01.xlsx&amp;sheet=A0&amp;row=264&amp;col=23&amp;number=&amp;sourceID=30","")</f>
        <v/>
      </c>
      <c r="X264" s="4" t="str">
        <f>HYPERLINK("http://141.218.60.56/~jnz1568/getInfo.php?workbook=10_01.xlsx&amp;sheet=A0&amp;row=264&amp;col=24&amp;number=&amp;sourceID=30","")</f>
        <v/>
      </c>
      <c r="Y264" s="4" t="str">
        <f>HYPERLINK("http://141.218.60.56/~jnz1568/getInfo.php?workbook=10_01.xlsx&amp;sheet=A0&amp;row=264&amp;col=25&amp;number=&amp;sourceID=30","")</f>
        <v/>
      </c>
      <c r="Z264" s="4" t="str">
        <f>HYPERLINK("http://141.218.60.56/~jnz1568/getInfo.php?workbook=10_01.xlsx&amp;sheet=A0&amp;row=264&amp;col=26&amp;number=&amp;sourceID=13","")</f>
        <v/>
      </c>
      <c r="AA264" s="4" t="str">
        <f>HYPERLINK("http://141.218.60.56/~jnz1568/getInfo.php?workbook=10_01.xlsx&amp;sheet=A0&amp;row=264&amp;col=27&amp;number=&amp;sourceID=13","")</f>
        <v/>
      </c>
      <c r="AB264" s="4" t="str">
        <f>HYPERLINK("http://141.218.60.56/~jnz1568/getInfo.php?workbook=10_01.xlsx&amp;sheet=A0&amp;row=264&amp;col=28&amp;number=&amp;sourceID=13","")</f>
        <v/>
      </c>
      <c r="AC264" s="4" t="str">
        <f>HYPERLINK("http://141.218.60.56/~jnz1568/getInfo.php?workbook=10_01.xlsx&amp;sheet=A0&amp;row=264&amp;col=29&amp;number=&amp;sourceID=13","")</f>
        <v/>
      </c>
      <c r="AD264" s="4" t="str">
        <f>HYPERLINK("http://141.218.60.56/~jnz1568/getInfo.php?workbook=10_01.xlsx&amp;sheet=A0&amp;row=264&amp;col=30&amp;number=&amp;sourceID=13","")</f>
        <v/>
      </c>
      <c r="AE264" s="4" t="str">
        <f>HYPERLINK("http://141.218.60.56/~jnz1568/getInfo.php?workbook=10_01.xlsx&amp;sheet=A0&amp;row=264&amp;col=31&amp;number=&amp;sourceID=13","")</f>
        <v/>
      </c>
      <c r="AF264" s="4" t="str">
        <f>HYPERLINK("http://141.218.60.56/~jnz1568/getInfo.php?workbook=10_01.xlsx&amp;sheet=A0&amp;row=264&amp;col=32&amp;number=&amp;sourceID=20","")</f>
        <v/>
      </c>
    </row>
    <row r="265" spans="1:32">
      <c r="A265" s="3">
        <v>10</v>
      </c>
      <c r="B265" s="3">
        <v>1</v>
      </c>
      <c r="C265" s="3">
        <v>24</v>
      </c>
      <c r="D265" s="3">
        <v>18</v>
      </c>
      <c r="E265" s="3">
        <f>((1/(INDEX(E0!J$4:J$28,C265,1)-INDEX(E0!J$4:J$28,D265,1))))*100000000</f>
        <v>0</v>
      </c>
      <c r="F265" s="4" t="str">
        <f>HYPERLINK("http://141.218.60.56/~jnz1568/getInfo.php?workbook=10_01.xlsx&amp;sheet=A0&amp;row=265&amp;col=6&amp;number=&amp;sourceID=18","")</f>
        <v/>
      </c>
      <c r="G265" s="4" t="str">
        <f>HYPERLINK("http://141.218.60.56/~jnz1568/getInfo.php?workbook=10_01.xlsx&amp;sheet=A0&amp;row=265&amp;col=7&amp;number==&amp;sourceID=11","=")</f>
        <v>=</v>
      </c>
      <c r="H265" s="4" t="str">
        <f>HYPERLINK("http://141.218.60.56/~jnz1568/getInfo.php?workbook=10_01.xlsx&amp;sheet=A0&amp;row=265&amp;col=8&amp;number=&amp;sourceID=11","")</f>
        <v/>
      </c>
      <c r="I265" s="4" t="str">
        <f>HYPERLINK("http://141.218.60.56/~jnz1568/getInfo.php?workbook=10_01.xlsx&amp;sheet=A0&amp;row=265&amp;col=9&amp;number=&amp;sourceID=11","")</f>
        <v/>
      </c>
      <c r="J265" s="4" t="str">
        <f>HYPERLINK("http://141.218.60.56/~jnz1568/getInfo.php?workbook=10_01.xlsx&amp;sheet=A0&amp;row=265&amp;col=10&amp;number=0&amp;sourceID=11","0")</f>
        <v>0</v>
      </c>
      <c r="K265" s="4" t="str">
        <f>HYPERLINK("http://141.218.60.56/~jnz1568/getInfo.php?workbook=10_01.xlsx&amp;sheet=A0&amp;row=265&amp;col=11&amp;number=&amp;sourceID=11","")</f>
        <v/>
      </c>
      <c r="L265" s="4" t="str">
        <f>HYPERLINK("http://141.218.60.56/~jnz1568/getInfo.php?workbook=10_01.xlsx&amp;sheet=A0&amp;row=265&amp;col=12&amp;number=&amp;sourceID=11","")</f>
        <v/>
      </c>
      <c r="M265" s="4" t="str">
        <f>HYPERLINK("http://141.218.60.56/~jnz1568/getInfo.php?workbook=10_01.xlsx&amp;sheet=A0&amp;row=265&amp;col=13&amp;number=&amp;sourceID=11","")</f>
        <v/>
      </c>
      <c r="N265" s="4" t="str">
        <f>HYPERLINK("http://141.218.60.56/~jnz1568/getInfo.php?workbook=10_01.xlsx&amp;sheet=A0&amp;row=265&amp;col=14&amp;number=0&amp;sourceID=12","0")</f>
        <v>0</v>
      </c>
      <c r="O265" s="4" t="str">
        <f>HYPERLINK("http://141.218.60.56/~jnz1568/getInfo.php?workbook=10_01.xlsx&amp;sheet=A0&amp;row=265&amp;col=15&amp;number=&amp;sourceID=12","")</f>
        <v/>
      </c>
      <c r="P265" s="4" t="str">
        <f>HYPERLINK("http://141.218.60.56/~jnz1568/getInfo.php?workbook=10_01.xlsx&amp;sheet=A0&amp;row=265&amp;col=16&amp;number=&amp;sourceID=12","")</f>
        <v/>
      </c>
      <c r="Q265" s="4" t="str">
        <f>HYPERLINK("http://141.218.60.56/~jnz1568/getInfo.php?workbook=10_01.xlsx&amp;sheet=A0&amp;row=265&amp;col=17&amp;number=0&amp;sourceID=12","0")</f>
        <v>0</v>
      </c>
      <c r="R265" s="4" t="str">
        <f>HYPERLINK("http://141.218.60.56/~jnz1568/getInfo.php?workbook=10_01.xlsx&amp;sheet=A0&amp;row=265&amp;col=18&amp;number=&amp;sourceID=12","")</f>
        <v/>
      </c>
      <c r="S265" s="4" t="str">
        <f>HYPERLINK("http://141.218.60.56/~jnz1568/getInfo.php?workbook=10_01.xlsx&amp;sheet=A0&amp;row=265&amp;col=19&amp;number=&amp;sourceID=12","")</f>
        <v/>
      </c>
      <c r="T265" s="4" t="str">
        <f>HYPERLINK("http://141.218.60.56/~jnz1568/getInfo.php?workbook=10_01.xlsx&amp;sheet=A0&amp;row=265&amp;col=20&amp;number=&amp;sourceID=12","")</f>
        <v/>
      </c>
      <c r="U265" s="4" t="str">
        <f>HYPERLINK("http://141.218.60.56/~jnz1568/getInfo.php?workbook=10_01.xlsx&amp;sheet=A0&amp;row=265&amp;col=21&amp;number=&amp;sourceID=30","")</f>
        <v/>
      </c>
      <c r="V265" s="4" t="str">
        <f>HYPERLINK("http://141.218.60.56/~jnz1568/getInfo.php?workbook=10_01.xlsx&amp;sheet=A0&amp;row=265&amp;col=22&amp;number=&amp;sourceID=30","")</f>
        <v/>
      </c>
      <c r="W265" s="4" t="str">
        <f>HYPERLINK("http://141.218.60.56/~jnz1568/getInfo.php?workbook=10_01.xlsx&amp;sheet=A0&amp;row=265&amp;col=23&amp;number=&amp;sourceID=30","")</f>
        <v/>
      </c>
      <c r="X265" s="4" t="str">
        <f>HYPERLINK("http://141.218.60.56/~jnz1568/getInfo.php?workbook=10_01.xlsx&amp;sheet=A0&amp;row=265&amp;col=24&amp;number=&amp;sourceID=30","")</f>
        <v/>
      </c>
      <c r="Y265" s="4" t="str">
        <f>HYPERLINK("http://141.218.60.56/~jnz1568/getInfo.php?workbook=10_01.xlsx&amp;sheet=A0&amp;row=265&amp;col=25&amp;number=&amp;sourceID=30","")</f>
        <v/>
      </c>
      <c r="Z265" s="4" t="str">
        <f>HYPERLINK("http://141.218.60.56/~jnz1568/getInfo.php?workbook=10_01.xlsx&amp;sheet=A0&amp;row=265&amp;col=26&amp;number=&amp;sourceID=13","")</f>
        <v/>
      </c>
      <c r="AA265" s="4" t="str">
        <f>HYPERLINK("http://141.218.60.56/~jnz1568/getInfo.php?workbook=10_01.xlsx&amp;sheet=A0&amp;row=265&amp;col=27&amp;number=&amp;sourceID=13","")</f>
        <v/>
      </c>
      <c r="AB265" s="4" t="str">
        <f>HYPERLINK("http://141.218.60.56/~jnz1568/getInfo.php?workbook=10_01.xlsx&amp;sheet=A0&amp;row=265&amp;col=28&amp;number=&amp;sourceID=13","")</f>
        <v/>
      </c>
      <c r="AC265" s="4" t="str">
        <f>HYPERLINK("http://141.218.60.56/~jnz1568/getInfo.php?workbook=10_01.xlsx&amp;sheet=A0&amp;row=265&amp;col=29&amp;number=&amp;sourceID=13","")</f>
        <v/>
      </c>
      <c r="AD265" s="4" t="str">
        <f>HYPERLINK("http://141.218.60.56/~jnz1568/getInfo.php?workbook=10_01.xlsx&amp;sheet=A0&amp;row=265&amp;col=30&amp;number=&amp;sourceID=13","")</f>
        <v/>
      </c>
      <c r="AE265" s="4" t="str">
        <f>HYPERLINK("http://141.218.60.56/~jnz1568/getInfo.php?workbook=10_01.xlsx&amp;sheet=A0&amp;row=265&amp;col=31&amp;number=&amp;sourceID=13","")</f>
        <v/>
      </c>
      <c r="AF265" s="4" t="str">
        <f>HYPERLINK("http://141.218.60.56/~jnz1568/getInfo.php?workbook=10_01.xlsx&amp;sheet=A0&amp;row=265&amp;col=32&amp;number=&amp;sourceID=20","")</f>
        <v/>
      </c>
    </row>
    <row r="266" spans="1:32">
      <c r="A266" s="3">
        <v>10</v>
      </c>
      <c r="B266" s="3">
        <v>1</v>
      </c>
      <c r="C266" s="3">
        <v>24</v>
      </c>
      <c r="D266" s="3">
        <v>19</v>
      </c>
      <c r="E266" s="3">
        <f>((1/(INDEX(E0!J$4:J$28,C266,1)-INDEX(E0!J$4:J$28,D266,1))))*100000000</f>
        <v>0</v>
      </c>
      <c r="F266" s="4" t="str">
        <f>HYPERLINK("http://141.218.60.56/~jnz1568/getInfo.php?workbook=10_01.xlsx&amp;sheet=A0&amp;row=266&amp;col=6&amp;number=&amp;sourceID=18","")</f>
        <v/>
      </c>
      <c r="G266" s="4" t="str">
        <f>HYPERLINK("http://141.218.60.56/~jnz1568/getInfo.php?workbook=10_01.xlsx&amp;sheet=A0&amp;row=266&amp;col=7&amp;number==&amp;sourceID=11","=")</f>
        <v>=</v>
      </c>
      <c r="H266" s="4" t="str">
        <f>HYPERLINK("http://141.218.60.56/~jnz1568/getInfo.php?workbook=10_01.xlsx&amp;sheet=A0&amp;row=266&amp;col=8&amp;number=&amp;sourceID=11","")</f>
        <v/>
      </c>
      <c r="I266" s="4" t="str">
        <f>HYPERLINK("http://141.218.60.56/~jnz1568/getInfo.php?workbook=10_01.xlsx&amp;sheet=A0&amp;row=266&amp;col=9&amp;number=&amp;sourceID=11","")</f>
        <v/>
      </c>
      <c r="J266" s="4" t="str">
        <f>HYPERLINK("http://141.218.60.56/~jnz1568/getInfo.php?workbook=10_01.xlsx&amp;sheet=A0&amp;row=266&amp;col=10&amp;number=0&amp;sourceID=11","0")</f>
        <v>0</v>
      </c>
      <c r="K266" s="4" t="str">
        <f>HYPERLINK("http://141.218.60.56/~jnz1568/getInfo.php?workbook=10_01.xlsx&amp;sheet=A0&amp;row=266&amp;col=11&amp;number=&amp;sourceID=11","")</f>
        <v/>
      </c>
      <c r="L266" s="4" t="str">
        <f>HYPERLINK("http://141.218.60.56/~jnz1568/getInfo.php?workbook=10_01.xlsx&amp;sheet=A0&amp;row=266&amp;col=12&amp;number=1e-15&amp;sourceID=11","1e-15")</f>
        <v>1e-15</v>
      </c>
      <c r="M266" s="4" t="str">
        <f>HYPERLINK("http://141.218.60.56/~jnz1568/getInfo.php?workbook=10_01.xlsx&amp;sheet=A0&amp;row=266&amp;col=13&amp;number=&amp;sourceID=11","")</f>
        <v/>
      </c>
      <c r="N266" s="4" t="str">
        <f>HYPERLINK("http://141.218.60.56/~jnz1568/getInfo.php?workbook=10_01.xlsx&amp;sheet=A0&amp;row=266&amp;col=14&amp;number=1e-15&amp;sourceID=12","1e-15")</f>
        <v>1e-15</v>
      </c>
      <c r="O266" s="4" t="str">
        <f>HYPERLINK("http://141.218.60.56/~jnz1568/getInfo.php?workbook=10_01.xlsx&amp;sheet=A0&amp;row=266&amp;col=15&amp;number=&amp;sourceID=12","")</f>
        <v/>
      </c>
      <c r="P266" s="4" t="str">
        <f>HYPERLINK("http://141.218.60.56/~jnz1568/getInfo.php?workbook=10_01.xlsx&amp;sheet=A0&amp;row=266&amp;col=16&amp;number=&amp;sourceID=12","")</f>
        <v/>
      </c>
      <c r="Q266" s="4" t="str">
        <f>HYPERLINK("http://141.218.60.56/~jnz1568/getInfo.php?workbook=10_01.xlsx&amp;sheet=A0&amp;row=266&amp;col=17&amp;number=0&amp;sourceID=12","0")</f>
        <v>0</v>
      </c>
      <c r="R266" s="4" t="str">
        <f>HYPERLINK("http://141.218.60.56/~jnz1568/getInfo.php?workbook=10_01.xlsx&amp;sheet=A0&amp;row=266&amp;col=18&amp;number=&amp;sourceID=12","")</f>
        <v/>
      </c>
      <c r="S266" s="4" t="str">
        <f>HYPERLINK("http://141.218.60.56/~jnz1568/getInfo.php?workbook=10_01.xlsx&amp;sheet=A0&amp;row=266&amp;col=19&amp;number=1e-15&amp;sourceID=12","1e-15")</f>
        <v>1e-15</v>
      </c>
      <c r="T266" s="4" t="str">
        <f>HYPERLINK("http://141.218.60.56/~jnz1568/getInfo.php?workbook=10_01.xlsx&amp;sheet=A0&amp;row=266&amp;col=20&amp;number=&amp;sourceID=12","")</f>
        <v/>
      </c>
      <c r="U266" s="4" t="str">
        <f>HYPERLINK("http://141.218.60.56/~jnz1568/getInfo.php?workbook=10_01.xlsx&amp;sheet=A0&amp;row=266&amp;col=21&amp;number=1e-15&amp;sourceID=30","1e-15")</f>
        <v>1e-15</v>
      </c>
      <c r="V266" s="4" t="str">
        <f>HYPERLINK("http://141.218.60.56/~jnz1568/getInfo.php?workbook=10_01.xlsx&amp;sheet=A0&amp;row=266&amp;col=22&amp;number=&amp;sourceID=30","")</f>
        <v/>
      </c>
      <c r="W266" s="4" t="str">
        <f>HYPERLINK("http://141.218.60.56/~jnz1568/getInfo.php?workbook=10_01.xlsx&amp;sheet=A0&amp;row=266&amp;col=23&amp;number=&amp;sourceID=30","")</f>
        <v/>
      </c>
      <c r="X266" s="4" t="str">
        <f>HYPERLINK("http://141.218.60.56/~jnz1568/getInfo.php?workbook=10_01.xlsx&amp;sheet=A0&amp;row=266&amp;col=24&amp;number=&amp;sourceID=30","")</f>
        <v/>
      </c>
      <c r="Y266" s="4" t="str">
        <f>HYPERLINK("http://141.218.60.56/~jnz1568/getInfo.php?workbook=10_01.xlsx&amp;sheet=A0&amp;row=266&amp;col=25&amp;number=1e-15&amp;sourceID=30","1e-15")</f>
        <v>1e-15</v>
      </c>
      <c r="Z266" s="4" t="str">
        <f>HYPERLINK("http://141.218.60.56/~jnz1568/getInfo.php?workbook=10_01.xlsx&amp;sheet=A0&amp;row=266&amp;col=26&amp;number=&amp;sourceID=13","")</f>
        <v/>
      </c>
      <c r="AA266" s="4" t="str">
        <f>HYPERLINK("http://141.218.60.56/~jnz1568/getInfo.php?workbook=10_01.xlsx&amp;sheet=A0&amp;row=266&amp;col=27&amp;number=&amp;sourceID=13","")</f>
        <v/>
      </c>
      <c r="AB266" s="4" t="str">
        <f>HYPERLINK("http://141.218.60.56/~jnz1568/getInfo.php?workbook=10_01.xlsx&amp;sheet=A0&amp;row=266&amp;col=28&amp;number=&amp;sourceID=13","")</f>
        <v/>
      </c>
      <c r="AC266" s="4" t="str">
        <f>HYPERLINK("http://141.218.60.56/~jnz1568/getInfo.php?workbook=10_01.xlsx&amp;sheet=A0&amp;row=266&amp;col=29&amp;number=&amp;sourceID=13","")</f>
        <v/>
      </c>
      <c r="AD266" s="4" t="str">
        <f>HYPERLINK("http://141.218.60.56/~jnz1568/getInfo.php?workbook=10_01.xlsx&amp;sheet=A0&amp;row=266&amp;col=30&amp;number=&amp;sourceID=13","")</f>
        <v/>
      </c>
      <c r="AE266" s="4" t="str">
        <f>HYPERLINK("http://141.218.60.56/~jnz1568/getInfo.php?workbook=10_01.xlsx&amp;sheet=A0&amp;row=266&amp;col=31&amp;number=&amp;sourceID=13","")</f>
        <v/>
      </c>
      <c r="AF266" s="4" t="str">
        <f>HYPERLINK("http://141.218.60.56/~jnz1568/getInfo.php?workbook=10_01.xlsx&amp;sheet=A0&amp;row=266&amp;col=32&amp;number=&amp;sourceID=20","")</f>
        <v/>
      </c>
    </row>
    <row r="267" spans="1:32">
      <c r="A267" s="3">
        <v>10</v>
      </c>
      <c r="B267" s="3">
        <v>1</v>
      </c>
      <c r="C267" s="3">
        <v>24</v>
      </c>
      <c r="D267" s="3">
        <v>20</v>
      </c>
      <c r="E267" s="3">
        <f>((1/(INDEX(E0!J$4:J$28,C267,1)-INDEX(E0!J$4:J$28,D267,1))))*100000000</f>
        <v>0</v>
      </c>
      <c r="F267" s="4" t="str">
        <f>HYPERLINK("http://141.218.60.56/~jnz1568/getInfo.php?workbook=10_01.xlsx&amp;sheet=A0&amp;row=267&amp;col=6&amp;number=&amp;sourceID=18","")</f>
        <v/>
      </c>
      <c r="G267" s="4" t="str">
        <f>HYPERLINK("http://141.218.60.56/~jnz1568/getInfo.php?workbook=10_01.xlsx&amp;sheet=A0&amp;row=267&amp;col=7&amp;number==&amp;sourceID=11","=")</f>
        <v>=</v>
      </c>
      <c r="H267" s="4" t="str">
        <f>HYPERLINK("http://141.218.60.56/~jnz1568/getInfo.php?workbook=10_01.xlsx&amp;sheet=A0&amp;row=267&amp;col=8&amp;number=&amp;sourceID=11","")</f>
        <v/>
      </c>
      <c r="I267" s="4" t="str">
        <f>HYPERLINK("http://141.218.60.56/~jnz1568/getInfo.php?workbook=10_01.xlsx&amp;sheet=A0&amp;row=267&amp;col=9&amp;number=8.2744e-11&amp;sourceID=11","8.2744e-11")</f>
        <v>8.2744e-11</v>
      </c>
      <c r="J267" s="4" t="str">
        <f>HYPERLINK("http://141.218.60.56/~jnz1568/getInfo.php?workbook=10_01.xlsx&amp;sheet=A0&amp;row=267&amp;col=10&amp;number=&amp;sourceID=11","")</f>
        <v/>
      </c>
      <c r="K267" s="4" t="str">
        <f>HYPERLINK("http://141.218.60.56/~jnz1568/getInfo.php?workbook=10_01.xlsx&amp;sheet=A0&amp;row=267&amp;col=11&amp;number=&amp;sourceID=11","")</f>
        <v/>
      </c>
      <c r="L267" s="4" t="str">
        <f>HYPERLINK("http://141.218.60.56/~jnz1568/getInfo.php?workbook=10_01.xlsx&amp;sheet=A0&amp;row=267&amp;col=12&amp;number=&amp;sourceID=11","")</f>
        <v/>
      </c>
      <c r="M267" s="4" t="str">
        <f>HYPERLINK("http://141.218.60.56/~jnz1568/getInfo.php?workbook=10_01.xlsx&amp;sheet=A0&amp;row=267&amp;col=13&amp;number=0&amp;sourceID=11","0")</f>
        <v>0</v>
      </c>
      <c r="N267" s="4" t="str">
        <f>HYPERLINK("http://141.218.60.56/~jnz1568/getInfo.php?workbook=10_01.xlsx&amp;sheet=A0&amp;row=267&amp;col=14&amp;number=8.2764e-11&amp;sourceID=12","8.2764e-11")</f>
        <v>8.2764e-11</v>
      </c>
      <c r="O267" s="4" t="str">
        <f>HYPERLINK("http://141.218.60.56/~jnz1568/getInfo.php?workbook=10_01.xlsx&amp;sheet=A0&amp;row=267&amp;col=15&amp;number=&amp;sourceID=12","")</f>
        <v/>
      </c>
      <c r="P267" s="4" t="str">
        <f>HYPERLINK("http://141.218.60.56/~jnz1568/getInfo.php?workbook=10_01.xlsx&amp;sheet=A0&amp;row=267&amp;col=16&amp;number=8.2764e-11&amp;sourceID=12","8.2764e-11")</f>
        <v>8.2764e-11</v>
      </c>
      <c r="Q267" s="4" t="str">
        <f>HYPERLINK("http://141.218.60.56/~jnz1568/getInfo.php?workbook=10_01.xlsx&amp;sheet=A0&amp;row=267&amp;col=17&amp;number=&amp;sourceID=12","")</f>
        <v/>
      </c>
      <c r="R267" s="4" t="str">
        <f>HYPERLINK("http://141.218.60.56/~jnz1568/getInfo.php?workbook=10_01.xlsx&amp;sheet=A0&amp;row=267&amp;col=18&amp;number=&amp;sourceID=12","")</f>
        <v/>
      </c>
      <c r="S267" s="4" t="str">
        <f>HYPERLINK("http://141.218.60.56/~jnz1568/getInfo.php?workbook=10_01.xlsx&amp;sheet=A0&amp;row=267&amp;col=19&amp;number=&amp;sourceID=12","")</f>
        <v/>
      </c>
      <c r="T267" s="4" t="str">
        <f>HYPERLINK("http://141.218.60.56/~jnz1568/getInfo.php?workbook=10_01.xlsx&amp;sheet=A0&amp;row=267&amp;col=20&amp;number=0&amp;sourceID=12","0")</f>
        <v>0</v>
      </c>
      <c r="U267" s="4" t="str">
        <f>HYPERLINK("http://141.218.60.56/~jnz1568/getInfo.php?workbook=10_01.xlsx&amp;sheet=A0&amp;row=267&amp;col=21&amp;number=8.276e-11&amp;sourceID=30","8.276e-11")</f>
        <v>8.276e-11</v>
      </c>
      <c r="V267" s="4" t="str">
        <f>HYPERLINK("http://141.218.60.56/~jnz1568/getInfo.php?workbook=10_01.xlsx&amp;sheet=A0&amp;row=267&amp;col=22&amp;number=&amp;sourceID=30","")</f>
        <v/>
      </c>
      <c r="W267" s="4" t="str">
        <f>HYPERLINK("http://141.218.60.56/~jnz1568/getInfo.php?workbook=10_01.xlsx&amp;sheet=A0&amp;row=267&amp;col=23&amp;number=8.276e-11&amp;sourceID=30","8.276e-11")</f>
        <v>8.276e-11</v>
      </c>
      <c r="X267" s="4" t="str">
        <f>HYPERLINK("http://141.218.60.56/~jnz1568/getInfo.php?workbook=10_01.xlsx&amp;sheet=A0&amp;row=267&amp;col=24&amp;number=&amp;sourceID=30","")</f>
        <v/>
      </c>
      <c r="Y267" s="4" t="str">
        <f>HYPERLINK("http://141.218.60.56/~jnz1568/getInfo.php?workbook=10_01.xlsx&amp;sheet=A0&amp;row=267&amp;col=25&amp;number=&amp;sourceID=30","")</f>
        <v/>
      </c>
      <c r="Z267" s="4" t="str">
        <f>HYPERLINK("http://141.218.60.56/~jnz1568/getInfo.php?workbook=10_01.xlsx&amp;sheet=A0&amp;row=267&amp;col=26&amp;number=&amp;sourceID=13","")</f>
        <v/>
      </c>
      <c r="AA267" s="4" t="str">
        <f>HYPERLINK("http://141.218.60.56/~jnz1568/getInfo.php?workbook=10_01.xlsx&amp;sheet=A0&amp;row=267&amp;col=27&amp;number=&amp;sourceID=13","")</f>
        <v/>
      </c>
      <c r="AB267" s="4" t="str">
        <f>HYPERLINK("http://141.218.60.56/~jnz1568/getInfo.php?workbook=10_01.xlsx&amp;sheet=A0&amp;row=267&amp;col=28&amp;number=&amp;sourceID=13","")</f>
        <v/>
      </c>
      <c r="AC267" s="4" t="str">
        <f>HYPERLINK("http://141.218.60.56/~jnz1568/getInfo.php?workbook=10_01.xlsx&amp;sheet=A0&amp;row=267&amp;col=29&amp;number=&amp;sourceID=13","")</f>
        <v/>
      </c>
      <c r="AD267" s="4" t="str">
        <f>HYPERLINK("http://141.218.60.56/~jnz1568/getInfo.php?workbook=10_01.xlsx&amp;sheet=A0&amp;row=267&amp;col=30&amp;number=&amp;sourceID=13","")</f>
        <v/>
      </c>
      <c r="AE267" s="4" t="str">
        <f>HYPERLINK("http://141.218.60.56/~jnz1568/getInfo.php?workbook=10_01.xlsx&amp;sheet=A0&amp;row=267&amp;col=31&amp;number=&amp;sourceID=13","")</f>
        <v/>
      </c>
      <c r="AF267" s="4" t="str">
        <f>HYPERLINK("http://141.218.60.56/~jnz1568/getInfo.php?workbook=10_01.xlsx&amp;sheet=A0&amp;row=267&amp;col=32&amp;number=&amp;sourceID=20","")</f>
        <v/>
      </c>
    </row>
    <row r="268" spans="1:32">
      <c r="A268" s="3">
        <v>10</v>
      </c>
      <c r="B268" s="3">
        <v>1</v>
      </c>
      <c r="C268" s="3">
        <v>24</v>
      </c>
      <c r="D268" s="3">
        <v>21</v>
      </c>
      <c r="E268" s="3">
        <f>((1/(INDEX(E0!J$4:J$28,C268,1)-INDEX(E0!J$4:J$28,D268,1))))*100000000</f>
        <v>0</v>
      </c>
      <c r="F268" s="4" t="str">
        <f>HYPERLINK("http://141.218.60.56/~jnz1568/getInfo.php?workbook=10_01.xlsx&amp;sheet=A0&amp;row=268&amp;col=6&amp;number=&amp;sourceID=18","")</f>
        <v/>
      </c>
      <c r="G268" s="4" t="str">
        <f>HYPERLINK("http://141.218.60.56/~jnz1568/getInfo.php?workbook=10_01.xlsx&amp;sheet=A0&amp;row=268&amp;col=7&amp;number==&amp;sourceID=11","=")</f>
        <v>=</v>
      </c>
      <c r="H268" s="4" t="str">
        <f>HYPERLINK("http://141.218.60.56/~jnz1568/getInfo.php?workbook=10_01.xlsx&amp;sheet=A0&amp;row=268&amp;col=8&amp;number=&amp;sourceID=11","")</f>
        <v/>
      </c>
      <c r="I268" s="4" t="str">
        <f>HYPERLINK("http://141.218.60.56/~jnz1568/getInfo.php?workbook=10_01.xlsx&amp;sheet=A0&amp;row=268&amp;col=9&amp;number=3.6e-14&amp;sourceID=11","3.6e-14")</f>
        <v>3.6e-14</v>
      </c>
      <c r="J268" s="4" t="str">
        <f>HYPERLINK("http://141.218.60.56/~jnz1568/getInfo.php?workbook=10_01.xlsx&amp;sheet=A0&amp;row=268&amp;col=10&amp;number=&amp;sourceID=11","")</f>
        <v/>
      </c>
      <c r="K268" s="4" t="str">
        <f>HYPERLINK("http://141.218.60.56/~jnz1568/getInfo.php?workbook=10_01.xlsx&amp;sheet=A0&amp;row=268&amp;col=11&amp;number=6.8442e-07&amp;sourceID=11","6.8442e-07")</f>
        <v>6.8442e-07</v>
      </c>
      <c r="L268" s="4" t="str">
        <f>HYPERLINK("http://141.218.60.56/~jnz1568/getInfo.php?workbook=10_01.xlsx&amp;sheet=A0&amp;row=268&amp;col=12&amp;number=&amp;sourceID=11","")</f>
        <v/>
      </c>
      <c r="M268" s="4" t="str">
        <f>HYPERLINK("http://141.218.60.56/~jnz1568/getInfo.php?workbook=10_01.xlsx&amp;sheet=A0&amp;row=268&amp;col=13&amp;number=0&amp;sourceID=11","0")</f>
        <v>0</v>
      </c>
      <c r="N268" s="4" t="str">
        <f>HYPERLINK("http://141.218.60.56/~jnz1568/getInfo.php?workbook=10_01.xlsx&amp;sheet=A0&amp;row=268&amp;col=14&amp;number=6.8452e-07&amp;sourceID=12","6.8452e-07")</f>
        <v>6.8452e-07</v>
      </c>
      <c r="O268" s="4" t="str">
        <f>HYPERLINK("http://141.218.60.56/~jnz1568/getInfo.php?workbook=10_01.xlsx&amp;sheet=A0&amp;row=268&amp;col=15&amp;number=&amp;sourceID=12","")</f>
        <v/>
      </c>
      <c r="P268" s="4" t="str">
        <f>HYPERLINK("http://141.218.60.56/~jnz1568/getInfo.php?workbook=10_01.xlsx&amp;sheet=A0&amp;row=268&amp;col=16&amp;number=3.6e-14&amp;sourceID=12","3.6e-14")</f>
        <v>3.6e-14</v>
      </c>
      <c r="Q268" s="4" t="str">
        <f>HYPERLINK("http://141.218.60.56/~jnz1568/getInfo.php?workbook=10_01.xlsx&amp;sheet=A0&amp;row=268&amp;col=17&amp;number=&amp;sourceID=12","")</f>
        <v/>
      </c>
      <c r="R268" s="4" t="str">
        <f>HYPERLINK("http://141.218.60.56/~jnz1568/getInfo.php?workbook=10_01.xlsx&amp;sheet=A0&amp;row=268&amp;col=18&amp;number=6.8452e-07&amp;sourceID=12","6.8452e-07")</f>
        <v>6.8452e-07</v>
      </c>
      <c r="S268" s="4" t="str">
        <f>HYPERLINK("http://141.218.60.56/~jnz1568/getInfo.php?workbook=10_01.xlsx&amp;sheet=A0&amp;row=268&amp;col=19&amp;number=&amp;sourceID=12","")</f>
        <v/>
      </c>
      <c r="T268" s="4" t="str">
        <f>HYPERLINK("http://141.218.60.56/~jnz1568/getInfo.php?workbook=10_01.xlsx&amp;sheet=A0&amp;row=268&amp;col=20&amp;number=0&amp;sourceID=12","0")</f>
        <v>0</v>
      </c>
      <c r="U268" s="4" t="str">
        <f>HYPERLINK("http://141.218.60.56/~jnz1568/getInfo.php?workbook=10_01.xlsx&amp;sheet=A0&amp;row=268&amp;col=21&amp;number=6.84500036e-07&amp;sourceID=30","6.84500036e-07")</f>
        <v>6.84500036e-07</v>
      </c>
      <c r="V268" s="4" t="str">
        <f>HYPERLINK("http://141.218.60.56/~jnz1568/getInfo.php?workbook=10_01.xlsx&amp;sheet=A0&amp;row=268&amp;col=22&amp;number=&amp;sourceID=30","")</f>
        <v/>
      </c>
      <c r="W268" s="4" t="str">
        <f>HYPERLINK("http://141.218.60.56/~jnz1568/getInfo.php?workbook=10_01.xlsx&amp;sheet=A0&amp;row=268&amp;col=23&amp;number=3.6e-14&amp;sourceID=30","3.6e-14")</f>
        <v>3.6e-14</v>
      </c>
      <c r="X268" s="4" t="str">
        <f>HYPERLINK("http://141.218.60.56/~jnz1568/getInfo.php?workbook=10_01.xlsx&amp;sheet=A0&amp;row=268&amp;col=24&amp;number=6.845e-07&amp;sourceID=30","6.845e-07")</f>
        <v>6.845e-07</v>
      </c>
      <c r="Y268" s="4" t="str">
        <f>HYPERLINK("http://141.218.60.56/~jnz1568/getInfo.php?workbook=10_01.xlsx&amp;sheet=A0&amp;row=268&amp;col=25&amp;number=&amp;sourceID=30","")</f>
        <v/>
      </c>
      <c r="Z268" s="4" t="str">
        <f>HYPERLINK("http://141.218.60.56/~jnz1568/getInfo.php?workbook=10_01.xlsx&amp;sheet=A0&amp;row=268&amp;col=26&amp;number=&amp;sourceID=13","")</f>
        <v/>
      </c>
      <c r="AA268" s="4" t="str">
        <f>HYPERLINK("http://141.218.60.56/~jnz1568/getInfo.php?workbook=10_01.xlsx&amp;sheet=A0&amp;row=268&amp;col=27&amp;number=&amp;sourceID=13","")</f>
        <v/>
      </c>
      <c r="AB268" s="4" t="str">
        <f>HYPERLINK("http://141.218.60.56/~jnz1568/getInfo.php?workbook=10_01.xlsx&amp;sheet=A0&amp;row=268&amp;col=28&amp;number=&amp;sourceID=13","")</f>
        <v/>
      </c>
      <c r="AC268" s="4" t="str">
        <f>HYPERLINK("http://141.218.60.56/~jnz1568/getInfo.php?workbook=10_01.xlsx&amp;sheet=A0&amp;row=268&amp;col=29&amp;number=&amp;sourceID=13","")</f>
        <v/>
      </c>
      <c r="AD268" s="4" t="str">
        <f>HYPERLINK("http://141.218.60.56/~jnz1568/getInfo.php?workbook=10_01.xlsx&amp;sheet=A0&amp;row=268&amp;col=30&amp;number=&amp;sourceID=13","")</f>
        <v/>
      </c>
      <c r="AE268" s="4" t="str">
        <f>HYPERLINK("http://141.218.60.56/~jnz1568/getInfo.php?workbook=10_01.xlsx&amp;sheet=A0&amp;row=268&amp;col=31&amp;number=&amp;sourceID=13","")</f>
        <v/>
      </c>
      <c r="AF268" s="4" t="str">
        <f>HYPERLINK("http://141.218.60.56/~jnz1568/getInfo.php?workbook=10_01.xlsx&amp;sheet=A0&amp;row=268&amp;col=32&amp;number=&amp;sourceID=20","")</f>
        <v/>
      </c>
    </row>
    <row r="269" spans="1:32">
      <c r="A269" s="3">
        <v>10</v>
      </c>
      <c r="B269" s="3">
        <v>1</v>
      </c>
      <c r="C269" s="3">
        <v>24</v>
      </c>
      <c r="D269" s="3">
        <v>22</v>
      </c>
      <c r="E269" s="3">
        <f>((1/(INDEX(E0!J$4:J$28,C269,1)-INDEX(E0!J$4:J$28,D269,1))))*100000000</f>
        <v>0</v>
      </c>
      <c r="F269" s="4" t="str">
        <f>HYPERLINK("http://141.218.60.56/~jnz1568/getInfo.php?workbook=10_01.xlsx&amp;sheet=A0&amp;row=269&amp;col=6&amp;number=&amp;sourceID=18","")</f>
        <v/>
      </c>
      <c r="G269" s="4" t="str">
        <f>HYPERLINK("http://141.218.60.56/~jnz1568/getInfo.php?workbook=10_01.xlsx&amp;sheet=A0&amp;row=269&amp;col=7&amp;number==&amp;sourceID=11","=")</f>
        <v>=</v>
      </c>
      <c r="H269" s="4" t="str">
        <f>HYPERLINK("http://141.218.60.56/~jnz1568/getInfo.php?workbook=10_01.xlsx&amp;sheet=A0&amp;row=269&amp;col=8&amp;number=0.46263&amp;sourceID=11","0.46263")</f>
        <v>0.46263</v>
      </c>
      <c r="I269" s="4" t="str">
        <f>HYPERLINK("http://141.218.60.56/~jnz1568/getInfo.php?workbook=10_01.xlsx&amp;sheet=A0&amp;row=269&amp;col=9&amp;number=&amp;sourceID=11","")</f>
        <v/>
      </c>
      <c r="J269" s="4" t="str">
        <f>HYPERLINK("http://141.218.60.56/~jnz1568/getInfo.php?workbook=10_01.xlsx&amp;sheet=A0&amp;row=269&amp;col=10&amp;number=0&amp;sourceID=11","0")</f>
        <v>0</v>
      </c>
      <c r="K269" s="4" t="str">
        <f>HYPERLINK("http://141.218.60.56/~jnz1568/getInfo.php?workbook=10_01.xlsx&amp;sheet=A0&amp;row=269&amp;col=11&amp;number=&amp;sourceID=11","")</f>
        <v/>
      </c>
      <c r="L269" s="4" t="str">
        <f>HYPERLINK("http://141.218.60.56/~jnz1568/getInfo.php?workbook=10_01.xlsx&amp;sheet=A0&amp;row=269&amp;col=12&amp;number=0&amp;sourceID=11","0")</f>
        <v>0</v>
      </c>
      <c r="M269" s="4" t="str">
        <f>HYPERLINK("http://141.218.60.56/~jnz1568/getInfo.php?workbook=10_01.xlsx&amp;sheet=A0&amp;row=269&amp;col=13&amp;number=&amp;sourceID=11","")</f>
        <v/>
      </c>
      <c r="N269" s="4" t="str">
        <f>HYPERLINK("http://141.218.60.56/~jnz1568/getInfo.php?workbook=10_01.xlsx&amp;sheet=A0&amp;row=269&amp;col=14&amp;number=0.4627&amp;sourceID=12","0.4627")</f>
        <v>0.4627</v>
      </c>
      <c r="O269" s="4" t="str">
        <f>HYPERLINK("http://141.218.60.56/~jnz1568/getInfo.php?workbook=10_01.xlsx&amp;sheet=A0&amp;row=269&amp;col=15&amp;number=0.4627&amp;sourceID=12","0.4627")</f>
        <v>0.4627</v>
      </c>
      <c r="P269" s="4" t="str">
        <f>HYPERLINK("http://141.218.60.56/~jnz1568/getInfo.php?workbook=10_01.xlsx&amp;sheet=A0&amp;row=269&amp;col=16&amp;number=&amp;sourceID=12","")</f>
        <v/>
      </c>
      <c r="Q269" s="4" t="str">
        <f>HYPERLINK("http://141.218.60.56/~jnz1568/getInfo.php?workbook=10_01.xlsx&amp;sheet=A0&amp;row=269&amp;col=17&amp;number=0&amp;sourceID=12","0")</f>
        <v>0</v>
      </c>
      <c r="R269" s="4" t="str">
        <f>HYPERLINK("http://141.218.60.56/~jnz1568/getInfo.php?workbook=10_01.xlsx&amp;sheet=A0&amp;row=269&amp;col=18&amp;number=&amp;sourceID=12","")</f>
        <v/>
      </c>
      <c r="S269" s="4" t="str">
        <f>HYPERLINK("http://141.218.60.56/~jnz1568/getInfo.php?workbook=10_01.xlsx&amp;sheet=A0&amp;row=269&amp;col=19&amp;number=0&amp;sourceID=12","0")</f>
        <v>0</v>
      </c>
      <c r="T269" s="4" t="str">
        <f>HYPERLINK("http://141.218.60.56/~jnz1568/getInfo.php?workbook=10_01.xlsx&amp;sheet=A0&amp;row=269&amp;col=20&amp;number=&amp;sourceID=12","")</f>
        <v/>
      </c>
      <c r="U269" s="4" t="str">
        <f>HYPERLINK("http://141.218.60.56/~jnz1568/getInfo.php?workbook=10_01.xlsx&amp;sheet=A0&amp;row=269&amp;col=21&amp;number=0.4627&amp;sourceID=30","0.4627")</f>
        <v>0.4627</v>
      </c>
      <c r="V269" s="4" t="str">
        <f>HYPERLINK("http://141.218.60.56/~jnz1568/getInfo.php?workbook=10_01.xlsx&amp;sheet=A0&amp;row=269&amp;col=22&amp;number=0.4627&amp;sourceID=30","0.4627")</f>
        <v>0.4627</v>
      </c>
      <c r="W269" s="4" t="str">
        <f>HYPERLINK("http://141.218.60.56/~jnz1568/getInfo.php?workbook=10_01.xlsx&amp;sheet=A0&amp;row=269&amp;col=23&amp;number=&amp;sourceID=30","")</f>
        <v/>
      </c>
      <c r="X269" s="4" t="str">
        <f>HYPERLINK("http://141.218.60.56/~jnz1568/getInfo.php?workbook=10_01.xlsx&amp;sheet=A0&amp;row=269&amp;col=24&amp;number=&amp;sourceID=30","")</f>
        <v/>
      </c>
      <c r="Y269" s="4" t="str">
        <f>HYPERLINK("http://141.218.60.56/~jnz1568/getInfo.php?workbook=10_01.xlsx&amp;sheet=A0&amp;row=269&amp;col=25&amp;number=0&amp;sourceID=30","0")</f>
        <v>0</v>
      </c>
      <c r="Z269" s="4" t="str">
        <f>HYPERLINK("http://141.218.60.56/~jnz1568/getInfo.php?workbook=10_01.xlsx&amp;sheet=A0&amp;row=269&amp;col=26&amp;number=&amp;sourceID=13","")</f>
        <v/>
      </c>
      <c r="AA269" s="4" t="str">
        <f>HYPERLINK("http://141.218.60.56/~jnz1568/getInfo.php?workbook=10_01.xlsx&amp;sheet=A0&amp;row=269&amp;col=27&amp;number=&amp;sourceID=13","")</f>
        <v/>
      </c>
      <c r="AB269" s="4" t="str">
        <f>HYPERLINK("http://141.218.60.56/~jnz1568/getInfo.php?workbook=10_01.xlsx&amp;sheet=A0&amp;row=269&amp;col=28&amp;number=&amp;sourceID=13","")</f>
        <v/>
      </c>
      <c r="AC269" s="4" t="str">
        <f>HYPERLINK("http://141.218.60.56/~jnz1568/getInfo.php?workbook=10_01.xlsx&amp;sheet=A0&amp;row=269&amp;col=29&amp;number=&amp;sourceID=13","")</f>
        <v/>
      </c>
      <c r="AD269" s="4" t="str">
        <f>HYPERLINK("http://141.218.60.56/~jnz1568/getInfo.php?workbook=10_01.xlsx&amp;sheet=A0&amp;row=269&amp;col=30&amp;number=&amp;sourceID=13","")</f>
        <v/>
      </c>
      <c r="AE269" s="4" t="str">
        <f>HYPERLINK("http://141.218.60.56/~jnz1568/getInfo.php?workbook=10_01.xlsx&amp;sheet=A0&amp;row=269&amp;col=31&amp;number=&amp;sourceID=13","")</f>
        <v/>
      </c>
      <c r="AF269" s="4" t="str">
        <f>HYPERLINK("http://141.218.60.56/~jnz1568/getInfo.php?workbook=10_01.xlsx&amp;sheet=A0&amp;row=269&amp;col=32&amp;number=&amp;sourceID=20","")</f>
        <v/>
      </c>
    </row>
    <row r="270" spans="1:32">
      <c r="A270" s="3">
        <v>10</v>
      </c>
      <c r="B270" s="3">
        <v>1</v>
      </c>
      <c r="C270" s="3">
        <v>25</v>
      </c>
      <c r="D270" s="3">
        <v>4</v>
      </c>
      <c r="E270" s="3">
        <f>((1/(INDEX(E0!J$4:J$28,C270,1)-INDEX(E0!J$4:J$28,D270,1))))*100000000</f>
        <v>0</v>
      </c>
      <c r="F270" s="4" t="str">
        <f>HYPERLINK("http://141.218.60.56/~jnz1568/getInfo.php?workbook=10_01.xlsx&amp;sheet=A0&amp;row=270&amp;col=6&amp;number=&amp;sourceID=18","")</f>
        <v/>
      </c>
      <c r="G270" s="4" t="str">
        <f>HYPERLINK("http://141.218.60.56/~jnz1568/getInfo.php?workbook=10_01.xlsx&amp;sheet=A0&amp;row=270&amp;col=7&amp;number==&amp;sourceID=11","=")</f>
        <v>=</v>
      </c>
      <c r="H270" s="4" t="str">
        <f>HYPERLINK("http://141.218.60.56/~jnz1568/getInfo.php?workbook=10_01.xlsx&amp;sheet=A0&amp;row=270&amp;col=8&amp;number=&amp;sourceID=11","")</f>
        <v/>
      </c>
      <c r="I270" s="4" t="str">
        <f>HYPERLINK("http://141.218.60.56/~jnz1568/getInfo.php?workbook=10_01.xlsx&amp;sheet=A0&amp;row=270&amp;col=9&amp;number=&amp;sourceID=11","")</f>
        <v/>
      </c>
      <c r="J270" s="4" t="str">
        <f>HYPERLINK("http://141.218.60.56/~jnz1568/getInfo.php?workbook=10_01.xlsx&amp;sheet=A0&amp;row=270&amp;col=10&amp;number=3346.3&amp;sourceID=11","3346.3")</f>
        <v>3346.3</v>
      </c>
      <c r="K270" s="4" t="str">
        <f>HYPERLINK("http://141.218.60.56/~jnz1568/getInfo.php?workbook=10_01.xlsx&amp;sheet=A0&amp;row=270&amp;col=11&amp;number=&amp;sourceID=11","")</f>
        <v/>
      </c>
      <c r="L270" s="4" t="str">
        <f>HYPERLINK("http://141.218.60.56/~jnz1568/getInfo.php?workbook=10_01.xlsx&amp;sheet=A0&amp;row=270&amp;col=12&amp;number=&amp;sourceID=11","")</f>
        <v/>
      </c>
      <c r="M270" s="4" t="str">
        <f>HYPERLINK("http://141.218.60.56/~jnz1568/getInfo.php?workbook=10_01.xlsx&amp;sheet=A0&amp;row=270&amp;col=13&amp;number=&amp;sourceID=11","")</f>
        <v/>
      </c>
      <c r="N270" s="4" t="str">
        <f>HYPERLINK("http://141.218.60.56/~jnz1568/getInfo.php?workbook=10_01.xlsx&amp;sheet=A0&amp;row=270&amp;col=14&amp;number=3346.4&amp;sourceID=12","3346.4")</f>
        <v>3346.4</v>
      </c>
      <c r="O270" s="4" t="str">
        <f>HYPERLINK("http://141.218.60.56/~jnz1568/getInfo.php?workbook=10_01.xlsx&amp;sheet=A0&amp;row=270&amp;col=15&amp;number=&amp;sourceID=12","")</f>
        <v/>
      </c>
      <c r="P270" s="4" t="str">
        <f>HYPERLINK("http://141.218.60.56/~jnz1568/getInfo.php?workbook=10_01.xlsx&amp;sheet=A0&amp;row=270&amp;col=16&amp;number=&amp;sourceID=12","")</f>
        <v/>
      </c>
      <c r="Q270" s="4" t="str">
        <f>HYPERLINK("http://141.218.60.56/~jnz1568/getInfo.php?workbook=10_01.xlsx&amp;sheet=A0&amp;row=270&amp;col=17&amp;number=3346.4&amp;sourceID=12","3346.4")</f>
        <v>3346.4</v>
      </c>
      <c r="R270" s="4" t="str">
        <f>HYPERLINK("http://141.218.60.56/~jnz1568/getInfo.php?workbook=10_01.xlsx&amp;sheet=A0&amp;row=270&amp;col=18&amp;number=&amp;sourceID=12","")</f>
        <v/>
      </c>
      <c r="S270" s="4" t="str">
        <f>HYPERLINK("http://141.218.60.56/~jnz1568/getInfo.php?workbook=10_01.xlsx&amp;sheet=A0&amp;row=270&amp;col=19&amp;number=&amp;sourceID=12","")</f>
        <v/>
      </c>
      <c r="T270" s="4" t="str">
        <f>HYPERLINK("http://141.218.60.56/~jnz1568/getInfo.php?workbook=10_01.xlsx&amp;sheet=A0&amp;row=270&amp;col=20&amp;number=&amp;sourceID=12","")</f>
        <v/>
      </c>
      <c r="U270" s="4" t="str">
        <f>HYPERLINK("http://141.218.60.56/~jnz1568/getInfo.php?workbook=10_01.xlsx&amp;sheet=A0&amp;row=270&amp;col=21&amp;number=&amp;sourceID=30","")</f>
        <v/>
      </c>
      <c r="V270" s="4" t="str">
        <f>HYPERLINK("http://141.218.60.56/~jnz1568/getInfo.php?workbook=10_01.xlsx&amp;sheet=A0&amp;row=270&amp;col=22&amp;number=&amp;sourceID=30","")</f>
        <v/>
      </c>
      <c r="W270" s="4" t="str">
        <f>HYPERLINK("http://141.218.60.56/~jnz1568/getInfo.php?workbook=10_01.xlsx&amp;sheet=A0&amp;row=270&amp;col=23&amp;number=&amp;sourceID=30","")</f>
        <v/>
      </c>
      <c r="X270" s="4" t="str">
        <f>HYPERLINK("http://141.218.60.56/~jnz1568/getInfo.php?workbook=10_01.xlsx&amp;sheet=A0&amp;row=270&amp;col=24&amp;number=&amp;sourceID=30","")</f>
        <v/>
      </c>
      <c r="Y270" s="4" t="str">
        <f>HYPERLINK("http://141.218.60.56/~jnz1568/getInfo.php?workbook=10_01.xlsx&amp;sheet=A0&amp;row=270&amp;col=25&amp;number=&amp;sourceID=30","")</f>
        <v/>
      </c>
      <c r="Z270" s="4" t="str">
        <f>HYPERLINK("http://141.218.60.56/~jnz1568/getInfo.php?workbook=10_01.xlsx&amp;sheet=A0&amp;row=270&amp;col=26&amp;number=&amp;sourceID=13","")</f>
        <v/>
      </c>
      <c r="AA270" s="4" t="str">
        <f>HYPERLINK("http://141.218.60.56/~jnz1568/getInfo.php?workbook=10_01.xlsx&amp;sheet=A0&amp;row=270&amp;col=27&amp;number=&amp;sourceID=13","")</f>
        <v/>
      </c>
      <c r="AB270" s="4" t="str">
        <f>HYPERLINK("http://141.218.60.56/~jnz1568/getInfo.php?workbook=10_01.xlsx&amp;sheet=A0&amp;row=270&amp;col=28&amp;number=&amp;sourceID=13","")</f>
        <v/>
      </c>
      <c r="AC270" s="4" t="str">
        <f>HYPERLINK("http://141.218.60.56/~jnz1568/getInfo.php?workbook=10_01.xlsx&amp;sheet=A0&amp;row=270&amp;col=29&amp;number=&amp;sourceID=13","")</f>
        <v/>
      </c>
      <c r="AD270" s="4" t="str">
        <f>HYPERLINK("http://141.218.60.56/~jnz1568/getInfo.php?workbook=10_01.xlsx&amp;sheet=A0&amp;row=270&amp;col=30&amp;number=&amp;sourceID=13","")</f>
        <v/>
      </c>
      <c r="AE270" s="4" t="str">
        <f>HYPERLINK("http://141.218.60.56/~jnz1568/getInfo.php?workbook=10_01.xlsx&amp;sheet=A0&amp;row=270&amp;col=31&amp;number=&amp;sourceID=13","")</f>
        <v/>
      </c>
      <c r="AF270" s="4" t="str">
        <f>HYPERLINK("http://141.218.60.56/~jnz1568/getInfo.php?workbook=10_01.xlsx&amp;sheet=A0&amp;row=270&amp;col=32&amp;number=&amp;sourceID=20","")</f>
        <v/>
      </c>
    </row>
    <row r="271" spans="1:32">
      <c r="A271" s="3">
        <v>10</v>
      </c>
      <c r="B271" s="3">
        <v>1</v>
      </c>
      <c r="C271" s="3">
        <v>25</v>
      </c>
      <c r="D271" s="3">
        <v>7</v>
      </c>
      <c r="E271" s="3">
        <f>((1/(INDEX(E0!J$4:J$28,C271,1)-INDEX(E0!J$4:J$28,D271,1))))*100000000</f>
        <v>0</v>
      </c>
      <c r="F271" s="4" t="str">
        <f>HYPERLINK("http://141.218.60.56/~jnz1568/getInfo.php?workbook=10_01.xlsx&amp;sheet=A0&amp;row=271&amp;col=6&amp;number=&amp;sourceID=18","")</f>
        <v/>
      </c>
      <c r="G271" s="4" t="str">
        <f>HYPERLINK("http://141.218.60.56/~jnz1568/getInfo.php?workbook=10_01.xlsx&amp;sheet=A0&amp;row=271&amp;col=7&amp;number==&amp;sourceID=11","=")</f>
        <v>=</v>
      </c>
      <c r="H271" s="4" t="str">
        <f>HYPERLINK("http://141.218.60.56/~jnz1568/getInfo.php?workbook=10_01.xlsx&amp;sheet=A0&amp;row=271&amp;col=8&amp;number=&amp;sourceID=11","")</f>
        <v/>
      </c>
      <c r="I271" s="4" t="str">
        <f>HYPERLINK("http://141.218.60.56/~jnz1568/getInfo.php?workbook=10_01.xlsx&amp;sheet=A0&amp;row=271&amp;col=9&amp;number=&amp;sourceID=11","")</f>
        <v/>
      </c>
      <c r="J271" s="4" t="str">
        <f>HYPERLINK("http://141.218.60.56/~jnz1568/getInfo.php?workbook=10_01.xlsx&amp;sheet=A0&amp;row=271&amp;col=10&amp;number=&amp;sourceID=11","")</f>
        <v/>
      </c>
      <c r="K271" s="4" t="str">
        <f>HYPERLINK("http://141.218.60.56/~jnz1568/getInfo.php?workbook=10_01.xlsx&amp;sheet=A0&amp;row=271&amp;col=11&amp;number=&amp;sourceID=11","")</f>
        <v/>
      </c>
      <c r="L271" s="4" t="str">
        <f>HYPERLINK("http://141.218.60.56/~jnz1568/getInfo.php?workbook=10_01.xlsx&amp;sheet=A0&amp;row=271&amp;col=12&amp;number=&amp;sourceID=11","")</f>
        <v/>
      </c>
      <c r="M271" s="4" t="str">
        <f>HYPERLINK("http://141.218.60.56/~jnz1568/getInfo.php?workbook=10_01.xlsx&amp;sheet=A0&amp;row=271&amp;col=13&amp;number=0.035728&amp;sourceID=11","0.035728")</f>
        <v>0.035728</v>
      </c>
      <c r="N271" s="4" t="str">
        <f>HYPERLINK("http://141.218.60.56/~jnz1568/getInfo.php?workbook=10_01.xlsx&amp;sheet=A0&amp;row=271&amp;col=14&amp;number=0.035729&amp;sourceID=12","0.035729")</f>
        <v>0.035729</v>
      </c>
      <c r="O271" s="4" t="str">
        <f>HYPERLINK("http://141.218.60.56/~jnz1568/getInfo.php?workbook=10_01.xlsx&amp;sheet=A0&amp;row=271&amp;col=15&amp;number=&amp;sourceID=12","")</f>
        <v/>
      </c>
      <c r="P271" s="4" t="str">
        <f>HYPERLINK("http://141.218.60.56/~jnz1568/getInfo.php?workbook=10_01.xlsx&amp;sheet=A0&amp;row=271&amp;col=16&amp;number=&amp;sourceID=12","")</f>
        <v/>
      </c>
      <c r="Q271" s="4" t="str">
        <f>HYPERLINK("http://141.218.60.56/~jnz1568/getInfo.php?workbook=10_01.xlsx&amp;sheet=A0&amp;row=271&amp;col=17&amp;number=&amp;sourceID=12","")</f>
        <v/>
      </c>
      <c r="R271" s="4" t="str">
        <f>HYPERLINK("http://141.218.60.56/~jnz1568/getInfo.php?workbook=10_01.xlsx&amp;sheet=A0&amp;row=271&amp;col=18&amp;number=&amp;sourceID=12","")</f>
        <v/>
      </c>
      <c r="S271" s="4" t="str">
        <f>HYPERLINK("http://141.218.60.56/~jnz1568/getInfo.php?workbook=10_01.xlsx&amp;sheet=A0&amp;row=271&amp;col=19&amp;number=&amp;sourceID=12","")</f>
        <v/>
      </c>
      <c r="T271" s="4" t="str">
        <f>HYPERLINK("http://141.218.60.56/~jnz1568/getInfo.php?workbook=10_01.xlsx&amp;sheet=A0&amp;row=271&amp;col=20&amp;number=0.035729&amp;sourceID=12","0.035729")</f>
        <v>0.035729</v>
      </c>
      <c r="U271" s="4" t="str">
        <f>HYPERLINK("http://141.218.60.56/~jnz1568/getInfo.php?workbook=10_01.xlsx&amp;sheet=A0&amp;row=271&amp;col=21&amp;number=&amp;sourceID=30","")</f>
        <v/>
      </c>
      <c r="V271" s="4" t="str">
        <f>HYPERLINK("http://141.218.60.56/~jnz1568/getInfo.php?workbook=10_01.xlsx&amp;sheet=A0&amp;row=271&amp;col=22&amp;number=&amp;sourceID=30","")</f>
        <v/>
      </c>
      <c r="W271" s="4" t="str">
        <f>HYPERLINK("http://141.218.60.56/~jnz1568/getInfo.php?workbook=10_01.xlsx&amp;sheet=A0&amp;row=271&amp;col=23&amp;number=&amp;sourceID=30","")</f>
        <v/>
      </c>
      <c r="X271" s="4" t="str">
        <f>HYPERLINK("http://141.218.60.56/~jnz1568/getInfo.php?workbook=10_01.xlsx&amp;sheet=A0&amp;row=271&amp;col=24&amp;number=&amp;sourceID=30","")</f>
        <v/>
      </c>
      <c r="Y271" s="4" t="str">
        <f>HYPERLINK("http://141.218.60.56/~jnz1568/getInfo.php?workbook=10_01.xlsx&amp;sheet=A0&amp;row=271&amp;col=25&amp;number=&amp;sourceID=30","")</f>
        <v/>
      </c>
      <c r="Z271" s="4" t="str">
        <f>HYPERLINK("http://141.218.60.56/~jnz1568/getInfo.php?workbook=10_01.xlsx&amp;sheet=A0&amp;row=271&amp;col=26&amp;number=&amp;sourceID=13","")</f>
        <v/>
      </c>
      <c r="AA271" s="4" t="str">
        <f>HYPERLINK("http://141.218.60.56/~jnz1568/getInfo.php?workbook=10_01.xlsx&amp;sheet=A0&amp;row=271&amp;col=27&amp;number=&amp;sourceID=13","")</f>
        <v/>
      </c>
      <c r="AB271" s="4" t="str">
        <f>HYPERLINK("http://141.218.60.56/~jnz1568/getInfo.php?workbook=10_01.xlsx&amp;sheet=A0&amp;row=271&amp;col=28&amp;number=&amp;sourceID=13","")</f>
        <v/>
      </c>
      <c r="AC271" s="4" t="str">
        <f>HYPERLINK("http://141.218.60.56/~jnz1568/getInfo.php?workbook=10_01.xlsx&amp;sheet=A0&amp;row=271&amp;col=29&amp;number=&amp;sourceID=13","")</f>
        <v/>
      </c>
      <c r="AD271" s="4" t="str">
        <f>HYPERLINK("http://141.218.60.56/~jnz1568/getInfo.php?workbook=10_01.xlsx&amp;sheet=A0&amp;row=271&amp;col=30&amp;number=&amp;sourceID=13","")</f>
        <v/>
      </c>
      <c r="AE271" s="4" t="str">
        <f>HYPERLINK("http://141.218.60.56/~jnz1568/getInfo.php?workbook=10_01.xlsx&amp;sheet=A0&amp;row=271&amp;col=31&amp;number=&amp;sourceID=13","")</f>
        <v/>
      </c>
      <c r="AF271" s="4" t="str">
        <f>HYPERLINK("http://141.218.60.56/~jnz1568/getInfo.php?workbook=10_01.xlsx&amp;sheet=A0&amp;row=271&amp;col=32&amp;number=&amp;sourceID=20","")</f>
        <v/>
      </c>
    </row>
    <row r="272" spans="1:32">
      <c r="A272" s="3">
        <v>10</v>
      </c>
      <c r="B272" s="3">
        <v>1</v>
      </c>
      <c r="C272" s="3">
        <v>25</v>
      </c>
      <c r="D272" s="3">
        <v>8</v>
      </c>
      <c r="E272" s="3">
        <f>((1/(INDEX(E0!J$4:J$28,C272,1)-INDEX(E0!J$4:J$28,D272,1))))*100000000</f>
        <v>0</v>
      </c>
      <c r="F272" s="4" t="str">
        <f>HYPERLINK("http://141.218.60.56/~jnz1568/getInfo.php?workbook=10_01.xlsx&amp;sheet=A0&amp;row=272&amp;col=6&amp;number=&amp;sourceID=18","")</f>
        <v/>
      </c>
      <c r="G272" s="4" t="str">
        <f>HYPERLINK("http://141.218.60.56/~jnz1568/getInfo.php?workbook=10_01.xlsx&amp;sheet=A0&amp;row=272&amp;col=7&amp;number==&amp;sourceID=11","=")</f>
        <v>=</v>
      </c>
      <c r="H272" s="4" t="str">
        <f>HYPERLINK("http://141.218.60.56/~jnz1568/getInfo.php?workbook=10_01.xlsx&amp;sheet=A0&amp;row=272&amp;col=8&amp;number=&amp;sourceID=11","")</f>
        <v/>
      </c>
      <c r="I272" s="4" t="str">
        <f>HYPERLINK("http://141.218.60.56/~jnz1568/getInfo.php?workbook=10_01.xlsx&amp;sheet=A0&amp;row=272&amp;col=9&amp;number=&amp;sourceID=11","")</f>
        <v/>
      </c>
      <c r="J272" s="4" t="str">
        <f>HYPERLINK("http://141.218.60.56/~jnz1568/getInfo.php?workbook=10_01.xlsx&amp;sheet=A0&amp;row=272&amp;col=10&amp;number=1417.2&amp;sourceID=11","1417.2")</f>
        <v>1417.2</v>
      </c>
      <c r="K272" s="4" t="str">
        <f>HYPERLINK("http://141.218.60.56/~jnz1568/getInfo.php?workbook=10_01.xlsx&amp;sheet=A0&amp;row=272&amp;col=11&amp;number=&amp;sourceID=11","")</f>
        <v/>
      </c>
      <c r="L272" s="4" t="str">
        <f>HYPERLINK("http://141.218.60.56/~jnz1568/getInfo.php?workbook=10_01.xlsx&amp;sheet=A0&amp;row=272&amp;col=12&amp;number=&amp;sourceID=11","")</f>
        <v/>
      </c>
      <c r="M272" s="4" t="str">
        <f>HYPERLINK("http://141.218.60.56/~jnz1568/getInfo.php?workbook=10_01.xlsx&amp;sheet=A0&amp;row=272&amp;col=13&amp;number=&amp;sourceID=11","")</f>
        <v/>
      </c>
      <c r="N272" s="4" t="str">
        <f>HYPERLINK("http://141.218.60.56/~jnz1568/getInfo.php?workbook=10_01.xlsx&amp;sheet=A0&amp;row=272&amp;col=14&amp;number=1417.3&amp;sourceID=12","1417.3")</f>
        <v>1417.3</v>
      </c>
      <c r="O272" s="4" t="str">
        <f>HYPERLINK("http://141.218.60.56/~jnz1568/getInfo.php?workbook=10_01.xlsx&amp;sheet=A0&amp;row=272&amp;col=15&amp;number=&amp;sourceID=12","")</f>
        <v/>
      </c>
      <c r="P272" s="4" t="str">
        <f>HYPERLINK("http://141.218.60.56/~jnz1568/getInfo.php?workbook=10_01.xlsx&amp;sheet=A0&amp;row=272&amp;col=16&amp;number=&amp;sourceID=12","")</f>
        <v/>
      </c>
      <c r="Q272" s="4" t="str">
        <f>HYPERLINK("http://141.218.60.56/~jnz1568/getInfo.php?workbook=10_01.xlsx&amp;sheet=A0&amp;row=272&amp;col=17&amp;number=1417.3&amp;sourceID=12","1417.3")</f>
        <v>1417.3</v>
      </c>
      <c r="R272" s="4" t="str">
        <f>HYPERLINK("http://141.218.60.56/~jnz1568/getInfo.php?workbook=10_01.xlsx&amp;sheet=A0&amp;row=272&amp;col=18&amp;number=&amp;sourceID=12","")</f>
        <v/>
      </c>
      <c r="S272" s="4" t="str">
        <f>HYPERLINK("http://141.218.60.56/~jnz1568/getInfo.php?workbook=10_01.xlsx&amp;sheet=A0&amp;row=272&amp;col=19&amp;number=&amp;sourceID=12","")</f>
        <v/>
      </c>
      <c r="T272" s="4" t="str">
        <f>HYPERLINK("http://141.218.60.56/~jnz1568/getInfo.php?workbook=10_01.xlsx&amp;sheet=A0&amp;row=272&amp;col=20&amp;number=&amp;sourceID=12","")</f>
        <v/>
      </c>
      <c r="U272" s="4" t="str">
        <f>HYPERLINK("http://141.218.60.56/~jnz1568/getInfo.php?workbook=10_01.xlsx&amp;sheet=A0&amp;row=272&amp;col=21&amp;number=&amp;sourceID=30","")</f>
        <v/>
      </c>
      <c r="V272" s="4" t="str">
        <f>HYPERLINK("http://141.218.60.56/~jnz1568/getInfo.php?workbook=10_01.xlsx&amp;sheet=A0&amp;row=272&amp;col=22&amp;number=&amp;sourceID=30","")</f>
        <v/>
      </c>
      <c r="W272" s="4" t="str">
        <f>HYPERLINK("http://141.218.60.56/~jnz1568/getInfo.php?workbook=10_01.xlsx&amp;sheet=A0&amp;row=272&amp;col=23&amp;number=&amp;sourceID=30","")</f>
        <v/>
      </c>
      <c r="X272" s="4" t="str">
        <f>HYPERLINK("http://141.218.60.56/~jnz1568/getInfo.php?workbook=10_01.xlsx&amp;sheet=A0&amp;row=272&amp;col=24&amp;number=&amp;sourceID=30","")</f>
        <v/>
      </c>
      <c r="Y272" s="4" t="str">
        <f>HYPERLINK("http://141.218.60.56/~jnz1568/getInfo.php?workbook=10_01.xlsx&amp;sheet=A0&amp;row=272&amp;col=25&amp;number=&amp;sourceID=30","")</f>
        <v/>
      </c>
      <c r="Z272" s="4" t="str">
        <f>HYPERLINK("http://141.218.60.56/~jnz1568/getInfo.php?workbook=10_01.xlsx&amp;sheet=A0&amp;row=272&amp;col=26&amp;number=&amp;sourceID=13","")</f>
        <v/>
      </c>
      <c r="AA272" s="4" t="str">
        <f>HYPERLINK("http://141.218.60.56/~jnz1568/getInfo.php?workbook=10_01.xlsx&amp;sheet=A0&amp;row=272&amp;col=27&amp;number=&amp;sourceID=13","")</f>
        <v/>
      </c>
      <c r="AB272" s="4" t="str">
        <f>HYPERLINK("http://141.218.60.56/~jnz1568/getInfo.php?workbook=10_01.xlsx&amp;sheet=A0&amp;row=272&amp;col=28&amp;number=&amp;sourceID=13","")</f>
        <v/>
      </c>
      <c r="AC272" s="4" t="str">
        <f>HYPERLINK("http://141.218.60.56/~jnz1568/getInfo.php?workbook=10_01.xlsx&amp;sheet=A0&amp;row=272&amp;col=29&amp;number=&amp;sourceID=13","")</f>
        <v/>
      </c>
      <c r="AD272" s="4" t="str">
        <f>HYPERLINK("http://141.218.60.56/~jnz1568/getInfo.php?workbook=10_01.xlsx&amp;sheet=A0&amp;row=272&amp;col=30&amp;number=&amp;sourceID=13","")</f>
        <v/>
      </c>
      <c r="AE272" s="4" t="str">
        <f>HYPERLINK("http://141.218.60.56/~jnz1568/getInfo.php?workbook=10_01.xlsx&amp;sheet=A0&amp;row=272&amp;col=31&amp;number=&amp;sourceID=13","")</f>
        <v/>
      </c>
      <c r="AF272" s="4" t="str">
        <f>HYPERLINK("http://141.218.60.56/~jnz1568/getInfo.php?workbook=10_01.xlsx&amp;sheet=A0&amp;row=272&amp;col=32&amp;number=&amp;sourceID=20","")</f>
        <v/>
      </c>
    </row>
    <row r="273" spans="1:32">
      <c r="A273" s="3">
        <v>10</v>
      </c>
      <c r="B273" s="3">
        <v>1</v>
      </c>
      <c r="C273" s="3">
        <v>25</v>
      </c>
      <c r="D273" s="3">
        <v>9</v>
      </c>
      <c r="E273" s="3">
        <f>((1/(INDEX(E0!J$4:J$28,C273,1)-INDEX(E0!J$4:J$28,D273,1))))*100000000</f>
        <v>0</v>
      </c>
      <c r="F273" s="4" t="str">
        <f>HYPERLINK("http://141.218.60.56/~jnz1568/getInfo.php?workbook=10_01.xlsx&amp;sheet=A0&amp;row=273&amp;col=6&amp;number=&amp;sourceID=18","")</f>
        <v/>
      </c>
      <c r="G273" s="4" t="str">
        <f>HYPERLINK("http://141.218.60.56/~jnz1568/getInfo.php?workbook=10_01.xlsx&amp;sheet=A0&amp;row=273&amp;col=7&amp;number==&amp;sourceID=11","=")</f>
        <v>=</v>
      </c>
      <c r="H273" s="4" t="str">
        <f>HYPERLINK("http://141.218.60.56/~jnz1568/getInfo.php?workbook=10_01.xlsx&amp;sheet=A0&amp;row=273&amp;col=8&amp;number=&amp;sourceID=11","")</f>
        <v/>
      </c>
      <c r="I273" s="4" t="str">
        <f>HYPERLINK("http://141.218.60.56/~jnz1568/getInfo.php?workbook=10_01.xlsx&amp;sheet=A0&amp;row=273&amp;col=9&amp;number=11610000&amp;sourceID=11","11610000")</f>
        <v>11610000</v>
      </c>
      <c r="J273" s="4" t="str">
        <f>HYPERLINK("http://141.218.60.56/~jnz1568/getInfo.php?workbook=10_01.xlsx&amp;sheet=A0&amp;row=273&amp;col=10&amp;number=&amp;sourceID=11","")</f>
        <v/>
      </c>
      <c r="K273" s="4" t="str">
        <f>HYPERLINK("http://141.218.60.56/~jnz1568/getInfo.php?workbook=10_01.xlsx&amp;sheet=A0&amp;row=273&amp;col=11&amp;number=&amp;sourceID=11","")</f>
        <v/>
      </c>
      <c r="L273" s="4" t="str">
        <f>HYPERLINK("http://141.218.60.56/~jnz1568/getInfo.php?workbook=10_01.xlsx&amp;sheet=A0&amp;row=273&amp;col=12&amp;number=&amp;sourceID=11","")</f>
        <v/>
      </c>
      <c r="M273" s="4" t="str">
        <f>HYPERLINK("http://141.218.60.56/~jnz1568/getInfo.php?workbook=10_01.xlsx&amp;sheet=A0&amp;row=273&amp;col=13&amp;number=0.11631&amp;sourceID=11","0.11631")</f>
        <v>0.11631</v>
      </c>
      <c r="N273" s="4" t="str">
        <f>HYPERLINK("http://141.218.60.56/~jnz1568/getInfo.php?workbook=10_01.xlsx&amp;sheet=A0&amp;row=273&amp;col=14&amp;number=11610000&amp;sourceID=12","11610000")</f>
        <v>11610000</v>
      </c>
      <c r="O273" s="4" t="str">
        <f>HYPERLINK("http://141.218.60.56/~jnz1568/getInfo.php?workbook=10_01.xlsx&amp;sheet=A0&amp;row=273&amp;col=15&amp;number=&amp;sourceID=12","")</f>
        <v/>
      </c>
      <c r="P273" s="4" t="str">
        <f>HYPERLINK("http://141.218.60.56/~jnz1568/getInfo.php?workbook=10_01.xlsx&amp;sheet=A0&amp;row=273&amp;col=16&amp;number=11610000&amp;sourceID=12","11610000")</f>
        <v>11610000</v>
      </c>
      <c r="Q273" s="4" t="str">
        <f>HYPERLINK("http://141.218.60.56/~jnz1568/getInfo.php?workbook=10_01.xlsx&amp;sheet=A0&amp;row=273&amp;col=17&amp;number=&amp;sourceID=12","")</f>
        <v/>
      </c>
      <c r="R273" s="4" t="str">
        <f>HYPERLINK("http://141.218.60.56/~jnz1568/getInfo.php?workbook=10_01.xlsx&amp;sheet=A0&amp;row=273&amp;col=18&amp;number=&amp;sourceID=12","")</f>
        <v/>
      </c>
      <c r="S273" s="4" t="str">
        <f>HYPERLINK("http://141.218.60.56/~jnz1568/getInfo.php?workbook=10_01.xlsx&amp;sheet=A0&amp;row=273&amp;col=19&amp;number=&amp;sourceID=12","")</f>
        <v/>
      </c>
      <c r="T273" s="4" t="str">
        <f>HYPERLINK("http://141.218.60.56/~jnz1568/getInfo.php?workbook=10_01.xlsx&amp;sheet=A0&amp;row=273&amp;col=20&amp;number=0.11632&amp;sourceID=12","0.11632")</f>
        <v>0.11632</v>
      </c>
      <c r="U273" s="4" t="str">
        <f>HYPERLINK("http://141.218.60.56/~jnz1568/getInfo.php?workbook=10_01.xlsx&amp;sheet=A0&amp;row=273&amp;col=21&amp;number=11610000&amp;sourceID=30","11610000")</f>
        <v>11610000</v>
      </c>
      <c r="V273" s="4" t="str">
        <f>HYPERLINK("http://141.218.60.56/~jnz1568/getInfo.php?workbook=10_01.xlsx&amp;sheet=A0&amp;row=273&amp;col=22&amp;number=&amp;sourceID=30","")</f>
        <v/>
      </c>
      <c r="W273" s="4" t="str">
        <f>HYPERLINK("http://141.218.60.56/~jnz1568/getInfo.php?workbook=10_01.xlsx&amp;sheet=A0&amp;row=273&amp;col=23&amp;number=11610000&amp;sourceID=30","11610000")</f>
        <v>11610000</v>
      </c>
      <c r="X273" s="4" t="str">
        <f>HYPERLINK("http://141.218.60.56/~jnz1568/getInfo.php?workbook=10_01.xlsx&amp;sheet=A0&amp;row=273&amp;col=24&amp;number=&amp;sourceID=30","")</f>
        <v/>
      </c>
      <c r="Y273" s="4" t="str">
        <f>HYPERLINK("http://141.218.60.56/~jnz1568/getInfo.php?workbook=10_01.xlsx&amp;sheet=A0&amp;row=273&amp;col=25&amp;number=&amp;sourceID=30","")</f>
        <v/>
      </c>
      <c r="Z273" s="4" t="str">
        <f>HYPERLINK("http://141.218.60.56/~jnz1568/getInfo.php?workbook=10_01.xlsx&amp;sheet=A0&amp;row=273&amp;col=26&amp;number=&amp;sourceID=13","")</f>
        <v/>
      </c>
      <c r="AA273" s="4" t="str">
        <f>HYPERLINK("http://141.218.60.56/~jnz1568/getInfo.php?workbook=10_01.xlsx&amp;sheet=A0&amp;row=273&amp;col=27&amp;number=&amp;sourceID=13","")</f>
        <v/>
      </c>
      <c r="AB273" s="4" t="str">
        <f>HYPERLINK("http://141.218.60.56/~jnz1568/getInfo.php?workbook=10_01.xlsx&amp;sheet=A0&amp;row=273&amp;col=28&amp;number=&amp;sourceID=13","")</f>
        <v/>
      </c>
      <c r="AC273" s="4" t="str">
        <f>HYPERLINK("http://141.218.60.56/~jnz1568/getInfo.php?workbook=10_01.xlsx&amp;sheet=A0&amp;row=273&amp;col=29&amp;number=&amp;sourceID=13","")</f>
        <v/>
      </c>
      <c r="AD273" s="4" t="str">
        <f>HYPERLINK("http://141.218.60.56/~jnz1568/getInfo.php?workbook=10_01.xlsx&amp;sheet=A0&amp;row=273&amp;col=30&amp;number=&amp;sourceID=13","")</f>
        <v/>
      </c>
      <c r="AE273" s="4" t="str">
        <f>HYPERLINK("http://141.218.60.56/~jnz1568/getInfo.php?workbook=10_01.xlsx&amp;sheet=A0&amp;row=273&amp;col=31&amp;number=&amp;sourceID=13","")</f>
        <v/>
      </c>
      <c r="AF273" s="4" t="str">
        <f>HYPERLINK("http://141.218.60.56/~jnz1568/getInfo.php?workbook=10_01.xlsx&amp;sheet=A0&amp;row=273&amp;col=32&amp;number=&amp;sourceID=20","")</f>
        <v/>
      </c>
    </row>
    <row r="274" spans="1:32">
      <c r="A274" s="3">
        <v>10</v>
      </c>
      <c r="B274" s="3">
        <v>1</v>
      </c>
      <c r="C274" s="3">
        <v>25</v>
      </c>
      <c r="D274" s="3">
        <v>12</v>
      </c>
      <c r="E274" s="3">
        <f>((1/(INDEX(E0!J$4:J$28,C274,1)-INDEX(E0!J$4:J$28,D274,1))))*100000000</f>
        <v>0</v>
      </c>
      <c r="F274" s="4" t="str">
        <f>HYPERLINK("http://141.218.60.56/~jnz1568/getInfo.php?workbook=10_01.xlsx&amp;sheet=A0&amp;row=274&amp;col=6&amp;number=&amp;sourceID=18","")</f>
        <v/>
      </c>
      <c r="G274" s="4" t="str">
        <f>HYPERLINK("http://141.218.60.56/~jnz1568/getInfo.php?workbook=10_01.xlsx&amp;sheet=A0&amp;row=274&amp;col=7&amp;number==&amp;sourceID=11","=")</f>
        <v>=</v>
      </c>
      <c r="H274" s="4" t="str">
        <f>HYPERLINK("http://141.218.60.56/~jnz1568/getInfo.php?workbook=10_01.xlsx&amp;sheet=A0&amp;row=274&amp;col=8&amp;number=&amp;sourceID=11","")</f>
        <v/>
      </c>
      <c r="I274" s="4" t="str">
        <f>HYPERLINK("http://141.218.60.56/~jnz1568/getInfo.php?workbook=10_01.xlsx&amp;sheet=A0&amp;row=274&amp;col=9&amp;number=&amp;sourceID=11","")</f>
        <v/>
      </c>
      <c r="J274" s="4" t="str">
        <f>HYPERLINK("http://141.218.60.56/~jnz1568/getInfo.php?workbook=10_01.xlsx&amp;sheet=A0&amp;row=274&amp;col=10&amp;number=&amp;sourceID=11","")</f>
        <v/>
      </c>
      <c r="K274" s="4" t="str">
        <f>HYPERLINK("http://141.218.60.56/~jnz1568/getInfo.php?workbook=10_01.xlsx&amp;sheet=A0&amp;row=274&amp;col=11&amp;number=&amp;sourceID=11","")</f>
        <v/>
      </c>
      <c r="L274" s="4" t="str">
        <f>HYPERLINK("http://141.218.60.56/~jnz1568/getInfo.php?workbook=10_01.xlsx&amp;sheet=A0&amp;row=274&amp;col=12&amp;number=&amp;sourceID=11","")</f>
        <v/>
      </c>
      <c r="M274" s="4" t="str">
        <f>HYPERLINK("http://141.218.60.56/~jnz1568/getInfo.php?workbook=10_01.xlsx&amp;sheet=A0&amp;row=274&amp;col=13&amp;number=0.00030919&amp;sourceID=11","0.00030919")</f>
        <v>0.00030919</v>
      </c>
      <c r="N274" s="4" t="str">
        <f>HYPERLINK("http://141.218.60.56/~jnz1568/getInfo.php?workbook=10_01.xlsx&amp;sheet=A0&amp;row=274&amp;col=14&amp;number=0.0003092&amp;sourceID=12","0.0003092")</f>
        <v>0.0003092</v>
      </c>
      <c r="O274" s="4" t="str">
        <f>HYPERLINK("http://141.218.60.56/~jnz1568/getInfo.php?workbook=10_01.xlsx&amp;sheet=A0&amp;row=274&amp;col=15&amp;number=&amp;sourceID=12","")</f>
        <v/>
      </c>
      <c r="P274" s="4" t="str">
        <f>HYPERLINK("http://141.218.60.56/~jnz1568/getInfo.php?workbook=10_01.xlsx&amp;sheet=A0&amp;row=274&amp;col=16&amp;number=&amp;sourceID=12","")</f>
        <v/>
      </c>
      <c r="Q274" s="4" t="str">
        <f>HYPERLINK("http://141.218.60.56/~jnz1568/getInfo.php?workbook=10_01.xlsx&amp;sheet=A0&amp;row=274&amp;col=17&amp;number=&amp;sourceID=12","")</f>
        <v/>
      </c>
      <c r="R274" s="4" t="str">
        <f>HYPERLINK("http://141.218.60.56/~jnz1568/getInfo.php?workbook=10_01.xlsx&amp;sheet=A0&amp;row=274&amp;col=18&amp;number=&amp;sourceID=12","")</f>
        <v/>
      </c>
      <c r="S274" s="4" t="str">
        <f>HYPERLINK("http://141.218.60.56/~jnz1568/getInfo.php?workbook=10_01.xlsx&amp;sheet=A0&amp;row=274&amp;col=19&amp;number=&amp;sourceID=12","")</f>
        <v/>
      </c>
      <c r="T274" s="4" t="str">
        <f>HYPERLINK("http://141.218.60.56/~jnz1568/getInfo.php?workbook=10_01.xlsx&amp;sheet=A0&amp;row=274&amp;col=20&amp;number=0.0003092&amp;sourceID=12","0.0003092")</f>
        <v>0.0003092</v>
      </c>
      <c r="U274" s="4" t="str">
        <f>HYPERLINK("http://141.218.60.56/~jnz1568/getInfo.php?workbook=10_01.xlsx&amp;sheet=A0&amp;row=274&amp;col=21&amp;number=&amp;sourceID=30","")</f>
        <v/>
      </c>
      <c r="V274" s="4" t="str">
        <f>HYPERLINK("http://141.218.60.56/~jnz1568/getInfo.php?workbook=10_01.xlsx&amp;sheet=A0&amp;row=274&amp;col=22&amp;number=&amp;sourceID=30","")</f>
        <v/>
      </c>
      <c r="W274" s="4" t="str">
        <f>HYPERLINK("http://141.218.60.56/~jnz1568/getInfo.php?workbook=10_01.xlsx&amp;sheet=A0&amp;row=274&amp;col=23&amp;number=&amp;sourceID=30","")</f>
        <v/>
      </c>
      <c r="X274" s="4" t="str">
        <f>HYPERLINK("http://141.218.60.56/~jnz1568/getInfo.php?workbook=10_01.xlsx&amp;sheet=A0&amp;row=274&amp;col=24&amp;number=&amp;sourceID=30","")</f>
        <v/>
      </c>
      <c r="Y274" s="4" t="str">
        <f>HYPERLINK("http://141.218.60.56/~jnz1568/getInfo.php?workbook=10_01.xlsx&amp;sheet=A0&amp;row=274&amp;col=25&amp;number=&amp;sourceID=30","")</f>
        <v/>
      </c>
      <c r="Z274" s="4" t="str">
        <f>HYPERLINK("http://141.218.60.56/~jnz1568/getInfo.php?workbook=10_01.xlsx&amp;sheet=A0&amp;row=274&amp;col=26&amp;number=&amp;sourceID=13","")</f>
        <v/>
      </c>
      <c r="AA274" s="4" t="str">
        <f>HYPERLINK("http://141.218.60.56/~jnz1568/getInfo.php?workbook=10_01.xlsx&amp;sheet=A0&amp;row=274&amp;col=27&amp;number=&amp;sourceID=13","")</f>
        <v/>
      </c>
      <c r="AB274" s="4" t="str">
        <f>HYPERLINK("http://141.218.60.56/~jnz1568/getInfo.php?workbook=10_01.xlsx&amp;sheet=A0&amp;row=274&amp;col=28&amp;number=&amp;sourceID=13","")</f>
        <v/>
      </c>
      <c r="AC274" s="4" t="str">
        <f>HYPERLINK("http://141.218.60.56/~jnz1568/getInfo.php?workbook=10_01.xlsx&amp;sheet=A0&amp;row=274&amp;col=29&amp;number=&amp;sourceID=13","")</f>
        <v/>
      </c>
      <c r="AD274" s="4" t="str">
        <f>HYPERLINK("http://141.218.60.56/~jnz1568/getInfo.php?workbook=10_01.xlsx&amp;sheet=A0&amp;row=274&amp;col=30&amp;number=&amp;sourceID=13","")</f>
        <v/>
      </c>
      <c r="AE274" s="4" t="str">
        <f>HYPERLINK("http://141.218.60.56/~jnz1568/getInfo.php?workbook=10_01.xlsx&amp;sheet=A0&amp;row=274&amp;col=31&amp;number=&amp;sourceID=13","")</f>
        <v/>
      </c>
      <c r="AF274" s="4" t="str">
        <f>HYPERLINK("http://141.218.60.56/~jnz1568/getInfo.php?workbook=10_01.xlsx&amp;sheet=A0&amp;row=274&amp;col=32&amp;number=&amp;sourceID=20","")</f>
        <v/>
      </c>
    </row>
    <row r="275" spans="1:32">
      <c r="A275" s="3">
        <v>10</v>
      </c>
      <c r="B275" s="3">
        <v>1</v>
      </c>
      <c r="C275" s="3">
        <v>25</v>
      </c>
      <c r="D275" s="3">
        <v>13</v>
      </c>
      <c r="E275" s="3">
        <f>((1/(INDEX(E0!J$4:J$28,C275,1)-INDEX(E0!J$4:J$28,D275,1))))*100000000</f>
        <v>0</v>
      </c>
      <c r="F275" s="4" t="str">
        <f>HYPERLINK("http://141.218.60.56/~jnz1568/getInfo.php?workbook=10_01.xlsx&amp;sheet=A0&amp;row=275&amp;col=6&amp;number=&amp;sourceID=18","")</f>
        <v/>
      </c>
      <c r="G275" s="4" t="str">
        <f>HYPERLINK("http://141.218.60.56/~jnz1568/getInfo.php?workbook=10_01.xlsx&amp;sheet=A0&amp;row=275&amp;col=7&amp;number==&amp;sourceID=11","=")</f>
        <v>=</v>
      </c>
      <c r="H275" s="4" t="str">
        <f>HYPERLINK("http://141.218.60.56/~jnz1568/getInfo.php?workbook=10_01.xlsx&amp;sheet=A0&amp;row=275&amp;col=8&amp;number=&amp;sourceID=11","")</f>
        <v/>
      </c>
      <c r="I275" s="4" t="str">
        <f>HYPERLINK("http://141.218.60.56/~jnz1568/getInfo.php?workbook=10_01.xlsx&amp;sheet=A0&amp;row=275&amp;col=9&amp;number=&amp;sourceID=11","")</f>
        <v/>
      </c>
      <c r="J275" s="4" t="str">
        <f>HYPERLINK("http://141.218.60.56/~jnz1568/getInfo.php?workbook=10_01.xlsx&amp;sheet=A0&amp;row=275&amp;col=10&amp;number=13.112&amp;sourceID=11","13.112")</f>
        <v>13.112</v>
      </c>
      <c r="K275" s="4" t="str">
        <f>HYPERLINK("http://141.218.60.56/~jnz1568/getInfo.php?workbook=10_01.xlsx&amp;sheet=A0&amp;row=275&amp;col=11&amp;number=&amp;sourceID=11","")</f>
        <v/>
      </c>
      <c r="L275" s="4" t="str">
        <f>HYPERLINK("http://141.218.60.56/~jnz1568/getInfo.php?workbook=10_01.xlsx&amp;sheet=A0&amp;row=275&amp;col=12&amp;number=&amp;sourceID=11","")</f>
        <v/>
      </c>
      <c r="M275" s="4" t="str">
        <f>HYPERLINK("http://141.218.60.56/~jnz1568/getInfo.php?workbook=10_01.xlsx&amp;sheet=A0&amp;row=275&amp;col=13&amp;number=&amp;sourceID=11","")</f>
        <v/>
      </c>
      <c r="N275" s="4" t="str">
        <f>HYPERLINK("http://141.218.60.56/~jnz1568/getInfo.php?workbook=10_01.xlsx&amp;sheet=A0&amp;row=275&amp;col=14&amp;number=13.112&amp;sourceID=12","13.112")</f>
        <v>13.112</v>
      </c>
      <c r="O275" s="4" t="str">
        <f>HYPERLINK("http://141.218.60.56/~jnz1568/getInfo.php?workbook=10_01.xlsx&amp;sheet=A0&amp;row=275&amp;col=15&amp;number=&amp;sourceID=12","")</f>
        <v/>
      </c>
      <c r="P275" s="4" t="str">
        <f>HYPERLINK("http://141.218.60.56/~jnz1568/getInfo.php?workbook=10_01.xlsx&amp;sheet=A0&amp;row=275&amp;col=16&amp;number=&amp;sourceID=12","")</f>
        <v/>
      </c>
      <c r="Q275" s="4" t="str">
        <f>HYPERLINK("http://141.218.60.56/~jnz1568/getInfo.php?workbook=10_01.xlsx&amp;sheet=A0&amp;row=275&amp;col=17&amp;number=13.112&amp;sourceID=12","13.112")</f>
        <v>13.112</v>
      </c>
      <c r="R275" s="4" t="str">
        <f>HYPERLINK("http://141.218.60.56/~jnz1568/getInfo.php?workbook=10_01.xlsx&amp;sheet=A0&amp;row=275&amp;col=18&amp;number=&amp;sourceID=12","")</f>
        <v/>
      </c>
      <c r="S275" s="4" t="str">
        <f>HYPERLINK("http://141.218.60.56/~jnz1568/getInfo.php?workbook=10_01.xlsx&amp;sheet=A0&amp;row=275&amp;col=19&amp;number=&amp;sourceID=12","")</f>
        <v/>
      </c>
      <c r="T275" s="4" t="str">
        <f>HYPERLINK("http://141.218.60.56/~jnz1568/getInfo.php?workbook=10_01.xlsx&amp;sheet=A0&amp;row=275&amp;col=20&amp;number=&amp;sourceID=12","")</f>
        <v/>
      </c>
      <c r="U275" s="4" t="str">
        <f>HYPERLINK("http://141.218.60.56/~jnz1568/getInfo.php?workbook=10_01.xlsx&amp;sheet=A0&amp;row=275&amp;col=21&amp;number=&amp;sourceID=30","")</f>
        <v/>
      </c>
      <c r="V275" s="4" t="str">
        <f>HYPERLINK("http://141.218.60.56/~jnz1568/getInfo.php?workbook=10_01.xlsx&amp;sheet=A0&amp;row=275&amp;col=22&amp;number=&amp;sourceID=30","")</f>
        <v/>
      </c>
      <c r="W275" s="4" t="str">
        <f>HYPERLINK("http://141.218.60.56/~jnz1568/getInfo.php?workbook=10_01.xlsx&amp;sheet=A0&amp;row=275&amp;col=23&amp;number=&amp;sourceID=30","")</f>
        <v/>
      </c>
      <c r="X275" s="4" t="str">
        <f>HYPERLINK("http://141.218.60.56/~jnz1568/getInfo.php?workbook=10_01.xlsx&amp;sheet=A0&amp;row=275&amp;col=24&amp;number=&amp;sourceID=30","")</f>
        <v/>
      </c>
      <c r="Y275" s="4" t="str">
        <f>HYPERLINK("http://141.218.60.56/~jnz1568/getInfo.php?workbook=10_01.xlsx&amp;sheet=A0&amp;row=275&amp;col=25&amp;number=&amp;sourceID=30","")</f>
        <v/>
      </c>
      <c r="Z275" s="4" t="str">
        <f>HYPERLINK("http://141.218.60.56/~jnz1568/getInfo.php?workbook=10_01.xlsx&amp;sheet=A0&amp;row=275&amp;col=26&amp;number=&amp;sourceID=13","")</f>
        <v/>
      </c>
      <c r="AA275" s="4" t="str">
        <f>HYPERLINK("http://141.218.60.56/~jnz1568/getInfo.php?workbook=10_01.xlsx&amp;sheet=A0&amp;row=275&amp;col=27&amp;number=&amp;sourceID=13","")</f>
        <v/>
      </c>
      <c r="AB275" s="4" t="str">
        <f>HYPERLINK("http://141.218.60.56/~jnz1568/getInfo.php?workbook=10_01.xlsx&amp;sheet=A0&amp;row=275&amp;col=28&amp;number=&amp;sourceID=13","")</f>
        <v/>
      </c>
      <c r="AC275" s="4" t="str">
        <f>HYPERLINK("http://141.218.60.56/~jnz1568/getInfo.php?workbook=10_01.xlsx&amp;sheet=A0&amp;row=275&amp;col=29&amp;number=&amp;sourceID=13","")</f>
        <v/>
      </c>
      <c r="AD275" s="4" t="str">
        <f>HYPERLINK("http://141.218.60.56/~jnz1568/getInfo.php?workbook=10_01.xlsx&amp;sheet=A0&amp;row=275&amp;col=30&amp;number=&amp;sourceID=13","")</f>
        <v/>
      </c>
      <c r="AE275" s="4" t="str">
        <f>HYPERLINK("http://141.218.60.56/~jnz1568/getInfo.php?workbook=10_01.xlsx&amp;sheet=A0&amp;row=275&amp;col=31&amp;number=&amp;sourceID=13","")</f>
        <v/>
      </c>
      <c r="AF275" s="4" t="str">
        <f>HYPERLINK("http://141.218.60.56/~jnz1568/getInfo.php?workbook=10_01.xlsx&amp;sheet=A0&amp;row=275&amp;col=32&amp;number=&amp;sourceID=20","")</f>
        <v/>
      </c>
    </row>
    <row r="276" spans="1:32">
      <c r="A276" s="3">
        <v>10</v>
      </c>
      <c r="B276" s="3">
        <v>1</v>
      </c>
      <c r="C276" s="3">
        <v>25</v>
      </c>
      <c r="D276" s="3">
        <v>14</v>
      </c>
      <c r="E276" s="3">
        <f>((1/(INDEX(E0!J$4:J$28,C276,1)-INDEX(E0!J$4:J$28,D276,1))))*100000000</f>
        <v>0</v>
      </c>
      <c r="F276" s="4" t="str">
        <f>HYPERLINK("http://141.218.60.56/~jnz1568/getInfo.php?workbook=10_01.xlsx&amp;sheet=A0&amp;row=276&amp;col=6&amp;number=&amp;sourceID=18","")</f>
        <v/>
      </c>
      <c r="G276" s="4" t="str">
        <f>HYPERLINK("http://141.218.60.56/~jnz1568/getInfo.php?workbook=10_01.xlsx&amp;sheet=A0&amp;row=276&amp;col=7&amp;number==&amp;sourceID=11","=")</f>
        <v>=</v>
      </c>
      <c r="H276" s="4" t="str">
        <f>HYPERLINK("http://141.218.60.56/~jnz1568/getInfo.php?workbook=10_01.xlsx&amp;sheet=A0&amp;row=276&amp;col=8&amp;number=&amp;sourceID=11","")</f>
        <v/>
      </c>
      <c r="I276" s="4" t="str">
        <f>HYPERLINK("http://141.218.60.56/~jnz1568/getInfo.php?workbook=10_01.xlsx&amp;sheet=A0&amp;row=276&amp;col=9&amp;number=&amp;sourceID=11","")</f>
        <v/>
      </c>
      <c r="J276" s="4" t="str">
        <f>HYPERLINK("http://141.218.60.56/~jnz1568/getInfo.php?workbook=10_01.xlsx&amp;sheet=A0&amp;row=276&amp;col=10&amp;number=0.6105&amp;sourceID=11","0.6105")</f>
        <v>0.6105</v>
      </c>
      <c r="K276" s="4" t="str">
        <f>HYPERLINK("http://141.218.60.56/~jnz1568/getInfo.php?workbook=10_01.xlsx&amp;sheet=A0&amp;row=276&amp;col=11&amp;number=&amp;sourceID=11","")</f>
        <v/>
      </c>
      <c r="L276" s="4" t="str">
        <f>HYPERLINK("http://141.218.60.56/~jnz1568/getInfo.php?workbook=10_01.xlsx&amp;sheet=A0&amp;row=276&amp;col=12&amp;number=8.7394&amp;sourceID=11","8.7394")</f>
        <v>8.7394</v>
      </c>
      <c r="M276" s="4" t="str">
        <f>HYPERLINK("http://141.218.60.56/~jnz1568/getInfo.php?workbook=10_01.xlsx&amp;sheet=A0&amp;row=276&amp;col=13&amp;number=&amp;sourceID=11","")</f>
        <v/>
      </c>
      <c r="N276" s="4" t="str">
        <f>HYPERLINK("http://141.218.60.56/~jnz1568/getInfo.php?workbook=10_01.xlsx&amp;sheet=A0&amp;row=276&amp;col=14&amp;number=9.3501&amp;sourceID=12","9.3501")</f>
        <v>9.3501</v>
      </c>
      <c r="O276" s="4" t="str">
        <f>HYPERLINK("http://141.218.60.56/~jnz1568/getInfo.php?workbook=10_01.xlsx&amp;sheet=A0&amp;row=276&amp;col=15&amp;number=&amp;sourceID=12","")</f>
        <v/>
      </c>
      <c r="P276" s="4" t="str">
        <f>HYPERLINK("http://141.218.60.56/~jnz1568/getInfo.php?workbook=10_01.xlsx&amp;sheet=A0&amp;row=276&amp;col=16&amp;number=&amp;sourceID=12","")</f>
        <v/>
      </c>
      <c r="Q276" s="4" t="str">
        <f>HYPERLINK("http://141.218.60.56/~jnz1568/getInfo.php?workbook=10_01.xlsx&amp;sheet=A0&amp;row=276&amp;col=17&amp;number=0.61052&amp;sourceID=12","0.61052")</f>
        <v>0.61052</v>
      </c>
      <c r="R276" s="4" t="str">
        <f>HYPERLINK("http://141.218.60.56/~jnz1568/getInfo.php?workbook=10_01.xlsx&amp;sheet=A0&amp;row=276&amp;col=18&amp;number=&amp;sourceID=12","")</f>
        <v/>
      </c>
      <c r="S276" s="4" t="str">
        <f>HYPERLINK("http://141.218.60.56/~jnz1568/getInfo.php?workbook=10_01.xlsx&amp;sheet=A0&amp;row=276&amp;col=19&amp;number=8.7396&amp;sourceID=12","8.7396")</f>
        <v>8.7396</v>
      </c>
      <c r="T276" s="4" t="str">
        <f>HYPERLINK("http://141.218.60.56/~jnz1568/getInfo.php?workbook=10_01.xlsx&amp;sheet=A0&amp;row=276&amp;col=20&amp;number=&amp;sourceID=12","")</f>
        <v/>
      </c>
      <c r="U276" s="4" t="str">
        <f>HYPERLINK("http://141.218.60.56/~jnz1568/getInfo.php?workbook=10_01.xlsx&amp;sheet=A0&amp;row=276&amp;col=21&amp;number=8.74&amp;sourceID=30","8.74")</f>
        <v>8.74</v>
      </c>
      <c r="V276" s="4" t="str">
        <f>HYPERLINK("http://141.218.60.56/~jnz1568/getInfo.php?workbook=10_01.xlsx&amp;sheet=A0&amp;row=276&amp;col=22&amp;number=&amp;sourceID=30","")</f>
        <v/>
      </c>
      <c r="W276" s="4" t="str">
        <f>HYPERLINK("http://141.218.60.56/~jnz1568/getInfo.php?workbook=10_01.xlsx&amp;sheet=A0&amp;row=276&amp;col=23&amp;number=&amp;sourceID=30","")</f>
        <v/>
      </c>
      <c r="X276" s="4" t="str">
        <f>HYPERLINK("http://141.218.60.56/~jnz1568/getInfo.php?workbook=10_01.xlsx&amp;sheet=A0&amp;row=276&amp;col=24&amp;number=&amp;sourceID=30","")</f>
        <v/>
      </c>
      <c r="Y276" s="4" t="str">
        <f>HYPERLINK("http://141.218.60.56/~jnz1568/getInfo.php?workbook=10_01.xlsx&amp;sheet=A0&amp;row=276&amp;col=25&amp;number=8.74&amp;sourceID=30","8.74")</f>
        <v>8.74</v>
      </c>
      <c r="Z276" s="4" t="str">
        <f>HYPERLINK("http://141.218.60.56/~jnz1568/getInfo.php?workbook=10_01.xlsx&amp;sheet=A0&amp;row=276&amp;col=26&amp;number=&amp;sourceID=13","")</f>
        <v/>
      </c>
      <c r="AA276" s="4" t="str">
        <f>HYPERLINK("http://141.218.60.56/~jnz1568/getInfo.php?workbook=10_01.xlsx&amp;sheet=A0&amp;row=276&amp;col=27&amp;number=&amp;sourceID=13","")</f>
        <v/>
      </c>
      <c r="AB276" s="4" t="str">
        <f>HYPERLINK("http://141.218.60.56/~jnz1568/getInfo.php?workbook=10_01.xlsx&amp;sheet=A0&amp;row=276&amp;col=28&amp;number=&amp;sourceID=13","")</f>
        <v/>
      </c>
      <c r="AC276" s="4" t="str">
        <f>HYPERLINK("http://141.218.60.56/~jnz1568/getInfo.php?workbook=10_01.xlsx&amp;sheet=A0&amp;row=276&amp;col=29&amp;number=&amp;sourceID=13","")</f>
        <v/>
      </c>
      <c r="AD276" s="4" t="str">
        <f>HYPERLINK("http://141.218.60.56/~jnz1568/getInfo.php?workbook=10_01.xlsx&amp;sheet=A0&amp;row=276&amp;col=30&amp;number=&amp;sourceID=13","")</f>
        <v/>
      </c>
      <c r="AE276" s="4" t="str">
        <f>HYPERLINK("http://141.218.60.56/~jnz1568/getInfo.php?workbook=10_01.xlsx&amp;sheet=A0&amp;row=276&amp;col=31&amp;number=&amp;sourceID=13","")</f>
        <v/>
      </c>
      <c r="AF276" s="4" t="str">
        <f>HYPERLINK("http://141.218.60.56/~jnz1568/getInfo.php?workbook=10_01.xlsx&amp;sheet=A0&amp;row=276&amp;col=32&amp;number=&amp;sourceID=20","")</f>
        <v/>
      </c>
    </row>
    <row r="277" spans="1:32">
      <c r="A277" s="3">
        <v>10</v>
      </c>
      <c r="B277" s="3">
        <v>1</v>
      </c>
      <c r="C277" s="3">
        <v>25</v>
      </c>
      <c r="D277" s="3">
        <v>15</v>
      </c>
      <c r="E277" s="3">
        <f>((1/(INDEX(E0!J$4:J$28,C277,1)-INDEX(E0!J$4:J$28,D277,1))))*100000000</f>
        <v>0</v>
      </c>
      <c r="F277" s="4" t="str">
        <f>HYPERLINK("http://141.218.60.56/~jnz1568/getInfo.php?workbook=10_01.xlsx&amp;sheet=A0&amp;row=277&amp;col=6&amp;number=&amp;sourceID=18","")</f>
        <v/>
      </c>
      <c r="G277" s="4" t="str">
        <f>HYPERLINK("http://141.218.60.56/~jnz1568/getInfo.php?workbook=10_01.xlsx&amp;sheet=A0&amp;row=277&amp;col=7&amp;number==&amp;sourceID=11","=")</f>
        <v>=</v>
      </c>
      <c r="H277" s="4" t="str">
        <f>HYPERLINK("http://141.218.60.56/~jnz1568/getInfo.php?workbook=10_01.xlsx&amp;sheet=A0&amp;row=277&amp;col=8&amp;number=&amp;sourceID=11","")</f>
        <v/>
      </c>
      <c r="I277" s="4" t="str">
        <f>HYPERLINK("http://141.218.60.56/~jnz1568/getInfo.php?workbook=10_01.xlsx&amp;sheet=A0&amp;row=277&amp;col=9&amp;number=1000800&amp;sourceID=11","1000800")</f>
        <v>1000800</v>
      </c>
      <c r="J277" s="4" t="str">
        <f>HYPERLINK("http://141.218.60.56/~jnz1568/getInfo.php?workbook=10_01.xlsx&amp;sheet=A0&amp;row=277&amp;col=10&amp;number=&amp;sourceID=11","")</f>
        <v/>
      </c>
      <c r="K277" s="4" t="str">
        <f>HYPERLINK("http://141.218.60.56/~jnz1568/getInfo.php?workbook=10_01.xlsx&amp;sheet=A0&amp;row=277&amp;col=11&amp;number=&amp;sourceID=11","")</f>
        <v/>
      </c>
      <c r="L277" s="4" t="str">
        <f>HYPERLINK("http://141.218.60.56/~jnz1568/getInfo.php?workbook=10_01.xlsx&amp;sheet=A0&amp;row=277&amp;col=12&amp;number=&amp;sourceID=11","")</f>
        <v/>
      </c>
      <c r="M277" s="4" t="str">
        <f>HYPERLINK("http://141.218.60.56/~jnz1568/getInfo.php?workbook=10_01.xlsx&amp;sheet=A0&amp;row=277&amp;col=13&amp;number=0.0010042&amp;sourceID=11","0.0010042")</f>
        <v>0.0010042</v>
      </c>
      <c r="N277" s="4" t="str">
        <f>HYPERLINK("http://141.218.60.56/~jnz1568/getInfo.php?workbook=10_01.xlsx&amp;sheet=A0&amp;row=277&amp;col=14&amp;number=1000800&amp;sourceID=12","1000800")</f>
        <v>1000800</v>
      </c>
      <c r="O277" s="4" t="str">
        <f>HYPERLINK("http://141.218.60.56/~jnz1568/getInfo.php?workbook=10_01.xlsx&amp;sheet=A0&amp;row=277&amp;col=15&amp;number=&amp;sourceID=12","")</f>
        <v/>
      </c>
      <c r="P277" s="4" t="str">
        <f>HYPERLINK("http://141.218.60.56/~jnz1568/getInfo.php?workbook=10_01.xlsx&amp;sheet=A0&amp;row=277&amp;col=16&amp;number=1000800&amp;sourceID=12","1000800")</f>
        <v>1000800</v>
      </c>
      <c r="Q277" s="4" t="str">
        <f>HYPERLINK("http://141.218.60.56/~jnz1568/getInfo.php?workbook=10_01.xlsx&amp;sheet=A0&amp;row=277&amp;col=17&amp;number=&amp;sourceID=12","")</f>
        <v/>
      </c>
      <c r="R277" s="4" t="str">
        <f>HYPERLINK("http://141.218.60.56/~jnz1568/getInfo.php?workbook=10_01.xlsx&amp;sheet=A0&amp;row=277&amp;col=18&amp;number=&amp;sourceID=12","")</f>
        <v/>
      </c>
      <c r="S277" s="4" t="str">
        <f>HYPERLINK("http://141.218.60.56/~jnz1568/getInfo.php?workbook=10_01.xlsx&amp;sheet=A0&amp;row=277&amp;col=19&amp;number=&amp;sourceID=12","")</f>
        <v/>
      </c>
      <c r="T277" s="4" t="str">
        <f>HYPERLINK("http://141.218.60.56/~jnz1568/getInfo.php?workbook=10_01.xlsx&amp;sheet=A0&amp;row=277&amp;col=20&amp;number=0.0010042&amp;sourceID=12","0.0010042")</f>
        <v>0.0010042</v>
      </c>
      <c r="U277" s="4" t="str">
        <f>HYPERLINK("http://141.218.60.56/~jnz1568/getInfo.php?workbook=10_01.xlsx&amp;sheet=A0&amp;row=277&amp;col=21&amp;number=1001000&amp;sourceID=30","1001000")</f>
        <v>1001000</v>
      </c>
      <c r="V277" s="4" t="str">
        <f>HYPERLINK("http://141.218.60.56/~jnz1568/getInfo.php?workbook=10_01.xlsx&amp;sheet=A0&amp;row=277&amp;col=22&amp;number=&amp;sourceID=30","")</f>
        <v/>
      </c>
      <c r="W277" s="4" t="str">
        <f>HYPERLINK("http://141.218.60.56/~jnz1568/getInfo.php?workbook=10_01.xlsx&amp;sheet=A0&amp;row=277&amp;col=23&amp;number=1001000&amp;sourceID=30","1001000")</f>
        <v>1001000</v>
      </c>
      <c r="X277" s="4" t="str">
        <f>HYPERLINK("http://141.218.60.56/~jnz1568/getInfo.php?workbook=10_01.xlsx&amp;sheet=A0&amp;row=277&amp;col=24&amp;number=&amp;sourceID=30","")</f>
        <v/>
      </c>
      <c r="Y277" s="4" t="str">
        <f>HYPERLINK("http://141.218.60.56/~jnz1568/getInfo.php?workbook=10_01.xlsx&amp;sheet=A0&amp;row=277&amp;col=25&amp;number=&amp;sourceID=30","")</f>
        <v/>
      </c>
      <c r="Z277" s="4" t="str">
        <f>HYPERLINK("http://141.218.60.56/~jnz1568/getInfo.php?workbook=10_01.xlsx&amp;sheet=A0&amp;row=277&amp;col=26&amp;number=&amp;sourceID=13","")</f>
        <v/>
      </c>
      <c r="AA277" s="4" t="str">
        <f>HYPERLINK("http://141.218.60.56/~jnz1568/getInfo.php?workbook=10_01.xlsx&amp;sheet=A0&amp;row=277&amp;col=27&amp;number=&amp;sourceID=13","")</f>
        <v/>
      </c>
      <c r="AB277" s="4" t="str">
        <f>HYPERLINK("http://141.218.60.56/~jnz1568/getInfo.php?workbook=10_01.xlsx&amp;sheet=A0&amp;row=277&amp;col=28&amp;number=&amp;sourceID=13","")</f>
        <v/>
      </c>
      <c r="AC277" s="4" t="str">
        <f>HYPERLINK("http://141.218.60.56/~jnz1568/getInfo.php?workbook=10_01.xlsx&amp;sheet=A0&amp;row=277&amp;col=29&amp;number=&amp;sourceID=13","")</f>
        <v/>
      </c>
      <c r="AD277" s="4" t="str">
        <f>HYPERLINK("http://141.218.60.56/~jnz1568/getInfo.php?workbook=10_01.xlsx&amp;sheet=A0&amp;row=277&amp;col=30&amp;number=&amp;sourceID=13","")</f>
        <v/>
      </c>
      <c r="AE277" s="4" t="str">
        <f>HYPERLINK("http://141.218.60.56/~jnz1568/getInfo.php?workbook=10_01.xlsx&amp;sheet=A0&amp;row=277&amp;col=31&amp;number=&amp;sourceID=13","")</f>
        <v/>
      </c>
      <c r="AF277" s="4" t="str">
        <f>HYPERLINK("http://141.218.60.56/~jnz1568/getInfo.php?workbook=10_01.xlsx&amp;sheet=A0&amp;row=277&amp;col=32&amp;number=&amp;sourceID=20","")</f>
        <v/>
      </c>
    </row>
    <row r="278" spans="1:32">
      <c r="A278" s="3">
        <v>10</v>
      </c>
      <c r="B278" s="3">
        <v>1</v>
      </c>
      <c r="C278" s="3">
        <v>25</v>
      </c>
      <c r="D278" s="3">
        <v>16</v>
      </c>
      <c r="E278" s="3">
        <f>((1/(INDEX(E0!J$4:J$28,C278,1)-INDEX(E0!J$4:J$28,D278,1))))*100000000</f>
        <v>0</v>
      </c>
      <c r="F278" s="4" t="str">
        <f>HYPERLINK("http://141.218.60.56/~jnz1568/getInfo.php?workbook=10_01.xlsx&amp;sheet=A0&amp;row=278&amp;col=6&amp;number=&amp;sourceID=18","")</f>
        <v/>
      </c>
      <c r="G278" s="4" t="str">
        <f>HYPERLINK("http://141.218.60.56/~jnz1568/getInfo.php?workbook=10_01.xlsx&amp;sheet=A0&amp;row=278&amp;col=7&amp;number==&amp;sourceID=11","=")</f>
        <v>=</v>
      </c>
      <c r="H278" s="4" t="str">
        <f>HYPERLINK("http://141.218.60.56/~jnz1568/getInfo.php?workbook=10_01.xlsx&amp;sheet=A0&amp;row=278&amp;col=8&amp;number=42563000000&amp;sourceID=11","42563000000")</f>
        <v>42563000000</v>
      </c>
      <c r="I278" s="4" t="str">
        <f>HYPERLINK("http://141.218.60.56/~jnz1568/getInfo.php?workbook=10_01.xlsx&amp;sheet=A0&amp;row=278&amp;col=9&amp;number=&amp;sourceID=11","")</f>
        <v/>
      </c>
      <c r="J278" s="4" t="str">
        <f>HYPERLINK("http://141.218.60.56/~jnz1568/getInfo.php?workbook=10_01.xlsx&amp;sheet=A0&amp;row=278&amp;col=10&amp;number=3.6585&amp;sourceID=11","3.6585")</f>
        <v>3.6585</v>
      </c>
      <c r="K278" s="4" t="str">
        <f>HYPERLINK("http://141.218.60.56/~jnz1568/getInfo.php?workbook=10_01.xlsx&amp;sheet=A0&amp;row=278&amp;col=11&amp;number=&amp;sourceID=11","")</f>
        <v/>
      </c>
      <c r="L278" s="4" t="str">
        <f>HYPERLINK("http://141.218.60.56/~jnz1568/getInfo.php?workbook=10_01.xlsx&amp;sheet=A0&amp;row=278&amp;col=12&amp;number=81.025&amp;sourceID=11","81.025")</f>
        <v>81.025</v>
      </c>
      <c r="M278" s="4" t="str">
        <f>HYPERLINK("http://141.218.60.56/~jnz1568/getInfo.php?workbook=10_01.xlsx&amp;sheet=A0&amp;row=278&amp;col=13&amp;number=&amp;sourceID=11","")</f>
        <v/>
      </c>
      <c r="N278" s="4" t="str">
        <f>HYPERLINK("http://141.218.60.56/~jnz1568/getInfo.php?workbook=10_01.xlsx&amp;sheet=A0&amp;row=278&amp;col=14&amp;number=42564000000&amp;sourceID=12","42564000000")</f>
        <v>42564000000</v>
      </c>
      <c r="O278" s="4" t="str">
        <f>HYPERLINK("http://141.218.60.56/~jnz1568/getInfo.php?workbook=10_01.xlsx&amp;sheet=A0&amp;row=278&amp;col=15&amp;number=42564000000&amp;sourceID=12","42564000000")</f>
        <v>42564000000</v>
      </c>
      <c r="P278" s="4" t="str">
        <f>HYPERLINK("http://141.218.60.56/~jnz1568/getInfo.php?workbook=10_01.xlsx&amp;sheet=A0&amp;row=278&amp;col=16&amp;number=&amp;sourceID=12","")</f>
        <v/>
      </c>
      <c r="Q278" s="4" t="str">
        <f>HYPERLINK("http://141.218.60.56/~jnz1568/getInfo.php?workbook=10_01.xlsx&amp;sheet=A0&amp;row=278&amp;col=17&amp;number=3.6586&amp;sourceID=12","3.6586")</f>
        <v>3.6586</v>
      </c>
      <c r="R278" s="4" t="str">
        <f>HYPERLINK("http://141.218.60.56/~jnz1568/getInfo.php?workbook=10_01.xlsx&amp;sheet=A0&amp;row=278&amp;col=18&amp;number=&amp;sourceID=12","")</f>
        <v/>
      </c>
      <c r="S278" s="4" t="str">
        <f>HYPERLINK("http://141.218.60.56/~jnz1568/getInfo.php?workbook=10_01.xlsx&amp;sheet=A0&amp;row=278&amp;col=19&amp;number=81.027&amp;sourceID=12","81.027")</f>
        <v>81.027</v>
      </c>
      <c r="T278" s="4" t="str">
        <f>HYPERLINK("http://141.218.60.56/~jnz1568/getInfo.php?workbook=10_01.xlsx&amp;sheet=A0&amp;row=278&amp;col=20&amp;number=&amp;sourceID=12","")</f>
        <v/>
      </c>
      <c r="U278" s="4" t="str">
        <f>HYPERLINK("http://141.218.60.56/~jnz1568/getInfo.php?workbook=10_01.xlsx&amp;sheet=A0&amp;row=278&amp;col=21&amp;number=42560000081.0&amp;sourceID=30","42560000081.0")</f>
        <v>42560000081.0</v>
      </c>
      <c r="V278" s="4" t="str">
        <f>HYPERLINK("http://141.218.60.56/~jnz1568/getInfo.php?workbook=10_01.xlsx&amp;sheet=A0&amp;row=278&amp;col=22&amp;number=42560000000&amp;sourceID=30","42560000000")</f>
        <v>42560000000</v>
      </c>
      <c r="W278" s="4" t="str">
        <f>HYPERLINK("http://141.218.60.56/~jnz1568/getInfo.php?workbook=10_01.xlsx&amp;sheet=A0&amp;row=278&amp;col=23&amp;number=&amp;sourceID=30","")</f>
        <v/>
      </c>
      <c r="X278" s="4" t="str">
        <f>HYPERLINK("http://141.218.60.56/~jnz1568/getInfo.php?workbook=10_01.xlsx&amp;sheet=A0&amp;row=278&amp;col=24&amp;number=&amp;sourceID=30","")</f>
        <v/>
      </c>
      <c r="Y278" s="4" t="str">
        <f>HYPERLINK("http://141.218.60.56/~jnz1568/getInfo.php?workbook=10_01.xlsx&amp;sheet=A0&amp;row=278&amp;col=25&amp;number=81.03&amp;sourceID=30","81.03")</f>
        <v>81.03</v>
      </c>
      <c r="Z278" s="4" t="str">
        <f>HYPERLINK("http://141.218.60.56/~jnz1568/getInfo.php?workbook=10_01.xlsx&amp;sheet=A0&amp;row=278&amp;col=26&amp;number=&amp;sourceID=13","")</f>
        <v/>
      </c>
      <c r="AA278" s="4" t="str">
        <f>HYPERLINK("http://141.218.60.56/~jnz1568/getInfo.php?workbook=10_01.xlsx&amp;sheet=A0&amp;row=278&amp;col=27&amp;number=&amp;sourceID=13","")</f>
        <v/>
      </c>
      <c r="AB278" s="4" t="str">
        <f>HYPERLINK("http://141.218.60.56/~jnz1568/getInfo.php?workbook=10_01.xlsx&amp;sheet=A0&amp;row=278&amp;col=28&amp;number=&amp;sourceID=13","")</f>
        <v/>
      </c>
      <c r="AC278" s="4" t="str">
        <f>HYPERLINK("http://141.218.60.56/~jnz1568/getInfo.php?workbook=10_01.xlsx&amp;sheet=A0&amp;row=278&amp;col=29&amp;number=&amp;sourceID=13","")</f>
        <v/>
      </c>
      <c r="AD278" s="4" t="str">
        <f>HYPERLINK("http://141.218.60.56/~jnz1568/getInfo.php?workbook=10_01.xlsx&amp;sheet=A0&amp;row=278&amp;col=30&amp;number=&amp;sourceID=13","")</f>
        <v/>
      </c>
      <c r="AE278" s="4" t="str">
        <f>HYPERLINK("http://141.218.60.56/~jnz1568/getInfo.php?workbook=10_01.xlsx&amp;sheet=A0&amp;row=278&amp;col=31&amp;number=&amp;sourceID=13","")</f>
        <v/>
      </c>
      <c r="AF278" s="4" t="str">
        <f>HYPERLINK("http://141.218.60.56/~jnz1568/getInfo.php?workbook=10_01.xlsx&amp;sheet=A0&amp;row=278&amp;col=32&amp;number=&amp;sourceID=20","")</f>
        <v/>
      </c>
    </row>
    <row r="279" spans="1:32">
      <c r="A279" s="3">
        <v>10</v>
      </c>
      <c r="B279" s="3">
        <v>1</v>
      </c>
      <c r="C279" s="3">
        <v>25</v>
      </c>
      <c r="D279" s="3">
        <v>19</v>
      </c>
      <c r="E279" s="3">
        <f>((1/(INDEX(E0!J$4:J$28,C279,1)-INDEX(E0!J$4:J$28,D279,1))))*100000000</f>
        <v>0</v>
      </c>
      <c r="F279" s="4" t="str">
        <f>HYPERLINK("http://141.218.60.56/~jnz1568/getInfo.php?workbook=10_01.xlsx&amp;sheet=A0&amp;row=279&amp;col=6&amp;number=&amp;sourceID=18","")</f>
        <v/>
      </c>
      <c r="G279" s="4" t="str">
        <f>HYPERLINK("http://141.218.60.56/~jnz1568/getInfo.php?workbook=10_01.xlsx&amp;sheet=A0&amp;row=279&amp;col=7&amp;number==&amp;sourceID=11","=")</f>
        <v>=</v>
      </c>
      <c r="H279" s="4" t="str">
        <f>HYPERLINK("http://141.218.60.56/~jnz1568/getInfo.php?workbook=10_01.xlsx&amp;sheet=A0&amp;row=279&amp;col=8&amp;number=&amp;sourceID=11","")</f>
        <v/>
      </c>
      <c r="I279" s="4" t="str">
        <f>HYPERLINK("http://141.218.60.56/~jnz1568/getInfo.php?workbook=10_01.xlsx&amp;sheet=A0&amp;row=279&amp;col=9&amp;number=&amp;sourceID=11","")</f>
        <v/>
      </c>
      <c r="J279" s="4" t="str">
        <f>HYPERLINK("http://141.218.60.56/~jnz1568/getInfo.php?workbook=10_01.xlsx&amp;sheet=A0&amp;row=279&amp;col=10&amp;number=&amp;sourceID=11","")</f>
        <v/>
      </c>
      <c r="K279" s="4" t="str">
        <f>HYPERLINK("http://141.218.60.56/~jnz1568/getInfo.php?workbook=10_01.xlsx&amp;sheet=A0&amp;row=279&amp;col=11&amp;number=&amp;sourceID=11","")</f>
        <v/>
      </c>
      <c r="L279" s="4" t="str">
        <f>HYPERLINK("http://141.218.60.56/~jnz1568/getInfo.php?workbook=10_01.xlsx&amp;sheet=A0&amp;row=279&amp;col=12&amp;number=&amp;sourceID=11","")</f>
        <v/>
      </c>
      <c r="M279" s="4" t="str">
        <f>HYPERLINK("http://141.218.60.56/~jnz1568/getInfo.php?workbook=10_01.xlsx&amp;sheet=A0&amp;row=279&amp;col=13&amp;number=0&amp;sourceID=11","0")</f>
        <v>0</v>
      </c>
      <c r="N279" s="4" t="str">
        <f>HYPERLINK("http://141.218.60.56/~jnz1568/getInfo.php?workbook=10_01.xlsx&amp;sheet=A0&amp;row=279&amp;col=14&amp;number=0&amp;sourceID=12","0")</f>
        <v>0</v>
      </c>
      <c r="O279" s="4" t="str">
        <f>HYPERLINK("http://141.218.60.56/~jnz1568/getInfo.php?workbook=10_01.xlsx&amp;sheet=A0&amp;row=279&amp;col=15&amp;number=&amp;sourceID=12","")</f>
        <v/>
      </c>
      <c r="P279" s="4" t="str">
        <f>HYPERLINK("http://141.218.60.56/~jnz1568/getInfo.php?workbook=10_01.xlsx&amp;sheet=A0&amp;row=279&amp;col=16&amp;number=&amp;sourceID=12","")</f>
        <v/>
      </c>
      <c r="Q279" s="4" t="str">
        <f>HYPERLINK("http://141.218.60.56/~jnz1568/getInfo.php?workbook=10_01.xlsx&amp;sheet=A0&amp;row=279&amp;col=17&amp;number=&amp;sourceID=12","")</f>
        <v/>
      </c>
      <c r="R279" s="4" t="str">
        <f>HYPERLINK("http://141.218.60.56/~jnz1568/getInfo.php?workbook=10_01.xlsx&amp;sheet=A0&amp;row=279&amp;col=18&amp;number=&amp;sourceID=12","")</f>
        <v/>
      </c>
      <c r="S279" s="4" t="str">
        <f>HYPERLINK("http://141.218.60.56/~jnz1568/getInfo.php?workbook=10_01.xlsx&amp;sheet=A0&amp;row=279&amp;col=19&amp;number=&amp;sourceID=12","")</f>
        <v/>
      </c>
      <c r="T279" s="4" t="str">
        <f>HYPERLINK("http://141.218.60.56/~jnz1568/getInfo.php?workbook=10_01.xlsx&amp;sheet=A0&amp;row=279&amp;col=20&amp;number=0&amp;sourceID=12","0")</f>
        <v>0</v>
      </c>
      <c r="U279" s="4" t="str">
        <f>HYPERLINK("http://141.218.60.56/~jnz1568/getInfo.php?workbook=10_01.xlsx&amp;sheet=A0&amp;row=279&amp;col=21&amp;number=&amp;sourceID=30","")</f>
        <v/>
      </c>
      <c r="V279" s="4" t="str">
        <f>HYPERLINK("http://141.218.60.56/~jnz1568/getInfo.php?workbook=10_01.xlsx&amp;sheet=A0&amp;row=279&amp;col=22&amp;number=&amp;sourceID=30","")</f>
        <v/>
      </c>
      <c r="W279" s="4" t="str">
        <f>HYPERLINK("http://141.218.60.56/~jnz1568/getInfo.php?workbook=10_01.xlsx&amp;sheet=A0&amp;row=279&amp;col=23&amp;number=&amp;sourceID=30","")</f>
        <v/>
      </c>
      <c r="X279" s="4" t="str">
        <f>HYPERLINK("http://141.218.60.56/~jnz1568/getInfo.php?workbook=10_01.xlsx&amp;sheet=A0&amp;row=279&amp;col=24&amp;number=&amp;sourceID=30","")</f>
        <v/>
      </c>
      <c r="Y279" s="4" t="str">
        <f>HYPERLINK("http://141.218.60.56/~jnz1568/getInfo.php?workbook=10_01.xlsx&amp;sheet=A0&amp;row=279&amp;col=25&amp;number=&amp;sourceID=30","")</f>
        <v/>
      </c>
      <c r="Z279" s="4" t="str">
        <f>HYPERLINK("http://141.218.60.56/~jnz1568/getInfo.php?workbook=10_01.xlsx&amp;sheet=A0&amp;row=279&amp;col=26&amp;number=&amp;sourceID=13","")</f>
        <v/>
      </c>
      <c r="AA279" s="4" t="str">
        <f>HYPERLINK("http://141.218.60.56/~jnz1568/getInfo.php?workbook=10_01.xlsx&amp;sheet=A0&amp;row=279&amp;col=27&amp;number=&amp;sourceID=13","")</f>
        <v/>
      </c>
      <c r="AB279" s="4" t="str">
        <f>HYPERLINK("http://141.218.60.56/~jnz1568/getInfo.php?workbook=10_01.xlsx&amp;sheet=A0&amp;row=279&amp;col=28&amp;number=&amp;sourceID=13","")</f>
        <v/>
      </c>
      <c r="AC279" s="4" t="str">
        <f>HYPERLINK("http://141.218.60.56/~jnz1568/getInfo.php?workbook=10_01.xlsx&amp;sheet=A0&amp;row=279&amp;col=29&amp;number=&amp;sourceID=13","")</f>
        <v/>
      </c>
      <c r="AD279" s="4" t="str">
        <f>HYPERLINK("http://141.218.60.56/~jnz1568/getInfo.php?workbook=10_01.xlsx&amp;sheet=A0&amp;row=279&amp;col=30&amp;number=&amp;sourceID=13","")</f>
        <v/>
      </c>
      <c r="AE279" s="4" t="str">
        <f>HYPERLINK("http://141.218.60.56/~jnz1568/getInfo.php?workbook=10_01.xlsx&amp;sheet=A0&amp;row=279&amp;col=31&amp;number=&amp;sourceID=13","")</f>
        <v/>
      </c>
      <c r="AF279" s="4" t="str">
        <f>HYPERLINK("http://141.218.60.56/~jnz1568/getInfo.php?workbook=10_01.xlsx&amp;sheet=A0&amp;row=279&amp;col=32&amp;number=&amp;sourceID=20","")</f>
        <v/>
      </c>
    </row>
    <row r="280" spans="1:32">
      <c r="A280" s="3">
        <v>10</v>
      </c>
      <c r="B280" s="3">
        <v>1</v>
      </c>
      <c r="C280" s="3">
        <v>25</v>
      </c>
      <c r="D280" s="3">
        <v>20</v>
      </c>
      <c r="E280" s="3">
        <f>((1/(INDEX(E0!J$4:J$28,C280,1)-INDEX(E0!J$4:J$28,D280,1))))*100000000</f>
        <v>0</v>
      </c>
      <c r="F280" s="4" t="str">
        <f>HYPERLINK("http://141.218.60.56/~jnz1568/getInfo.php?workbook=10_01.xlsx&amp;sheet=A0&amp;row=280&amp;col=6&amp;number=&amp;sourceID=18","")</f>
        <v/>
      </c>
      <c r="G280" s="4" t="str">
        <f>HYPERLINK("http://141.218.60.56/~jnz1568/getInfo.php?workbook=10_01.xlsx&amp;sheet=A0&amp;row=280&amp;col=7&amp;number==&amp;sourceID=11","=")</f>
        <v>=</v>
      </c>
      <c r="H280" s="4" t="str">
        <f>HYPERLINK("http://141.218.60.56/~jnz1568/getInfo.php?workbook=10_01.xlsx&amp;sheet=A0&amp;row=280&amp;col=8&amp;number=&amp;sourceID=11","")</f>
        <v/>
      </c>
      <c r="I280" s="4" t="str">
        <f>HYPERLINK("http://141.218.60.56/~jnz1568/getInfo.php?workbook=10_01.xlsx&amp;sheet=A0&amp;row=280&amp;col=9&amp;number=&amp;sourceID=11","")</f>
        <v/>
      </c>
      <c r="J280" s="4" t="str">
        <f>HYPERLINK("http://141.218.60.56/~jnz1568/getInfo.php?workbook=10_01.xlsx&amp;sheet=A0&amp;row=280&amp;col=10&amp;number=0&amp;sourceID=11","0")</f>
        <v>0</v>
      </c>
      <c r="K280" s="4" t="str">
        <f>HYPERLINK("http://141.218.60.56/~jnz1568/getInfo.php?workbook=10_01.xlsx&amp;sheet=A0&amp;row=280&amp;col=11&amp;number=&amp;sourceID=11","")</f>
        <v/>
      </c>
      <c r="L280" s="4" t="str">
        <f>HYPERLINK("http://141.218.60.56/~jnz1568/getInfo.php?workbook=10_01.xlsx&amp;sheet=A0&amp;row=280&amp;col=12&amp;number=&amp;sourceID=11","")</f>
        <v/>
      </c>
      <c r="M280" s="4" t="str">
        <f>HYPERLINK("http://141.218.60.56/~jnz1568/getInfo.php?workbook=10_01.xlsx&amp;sheet=A0&amp;row=280&amp;col=13&amp;number=&amp;sourceID=11","")</f>
        <v/>
      </c>
      <c r="N280" s="4" t="str">
        <f>HYPERLINK("http://141.218.60.56/~jnz1568/getInfo.php?workbook=10_01.xlsx&amp;sheet=A0&amp;row=280&amp;col=14&amp;number=0&amp;sourceID=12","0")</f>
        <v>0</v>
      </c>
      <c r="O280" s="4" t="str">
        <f>HYPERLINK("http://141.218.60.56/~jnz1568/getInfo.php?workbook=10_01.xlsx&amp;sheet=A0&amp;row=280&amp;col=15&amp;number=&amp;sourceID=12","")</f>
        <v/>
      </c>
      <c r="P280" s="4" t="str">
        <f>HYPERLINK("http://141.218.60.56/~jnz1568/getInfo.php?workbook=10_01.xlsx&amp;sheet=A0&amp;row=280&amp;col=16&amp;number=&amp;sourceID=12","")</f>
        <v/>
      </c>
      <c r="Q280" s="4" t="str">
        <f>HYPERLINK("http://141.218.60.56/~jnz1568/getInfo.php?workbook=10_01.xlsx&amp;sheet=A0&amp;row=280&amp;col=17&amp;number=0&amp;sourceID=12","0")</f>
        <v>0</v>
      </c>
      <c r="R280" s="4" t="str">
        <f>HYPERLINK("http://141.218.60.56/~jnz1568/getInfo.php?workbook=10_01.xlsx&amp;sheet=A0&amp;row=280&amp;col=18&amp;number=&amp;sourceID=12","")</f>
        <v/>
      </c>
      <c r="S280" s="4" t="str">
        <f>HYPERLINK("http://141.218.60.56/~jnz1568/getInfo.php?workbook=10_01.xlsx&amp;sheet=A0&amp;row=280&amp;col=19&amp;number=&amp;sourceID=12","")</f>
        <v/>
      </c>
      <c r="T280" s="4" t="str">
        <f>HYPERLINK("http://141.218.60.56/~jnz1568/getInfo.php?workbook=10_01.xlsx&amp;sheet=A0&amp;row=280&amp;col=20&amp;number=&amp;sourceID=12","")</f>
        <v/>
      </c>
      <c r="U280" s="4" t="str">
        <f>HYPERLINK("http://141.218.60.56/~jnz1568/getInfo.php?workbook=10_01.xlsx&amp;sheet=A0&amp;row=280&amp;col=21&amp;number=&amp;sourceID=30","")</f>
        <v/>
      </c>
      <c r="V280" s="4" t="str">
        <f>HYPERLINK("http://141.218.60.56/~jnz1568/getInfo.php?workbook=10_01.xlsx&amp;sheet=A0&amp;row=280&amp;col=22&amp;number=&amp;sourceID=30","")</f>
        <v/>
      </c>
      <c r="W280" s="4" t="str">
        <f>HYPERLINK("http://141.218.60.56/~jnz1568/getInfo.php?workbook=10_01.xlsx&amp;sheet=A0&amp;row=280&amp;col=23&amp;number=&amp;sourceID=30","")</f>
        <v/>
      </c>
      <c r="X280" s="4" t="str">
        <f>HYPERLINK("http://141.218.60.56/~jnz1568/getInfo.php?workbook=10_01.xlsx&amp;sheet=A0&amp;row=280&amp;col=24&amp;number=&amp;sourceID=30","")</f>
        <v/>
      </c>
      <c r="Y280" s="4" t="str">
        <f>HYPERLINK("http://141.218.60.56/~jnz1568/getInfo.php?workbook=10_01.xlsx&amp;sheet=A0&amp;row=280&amp;col=25&amp;number=&amp;sourceID=30","")</f>
        <v/>
      </c>
      <c r="Z280" s="4" t="str">
        <f>HYPERLINK("http://141.218.60.56/~jnz1568/getInfo.php?workbook=10_01.xlsx&amp;sheet=A0&amp;row=280&amp;col=26&amp;number=&amp;sourceID=13","")</f>
        <v/>
      </c>
      <c r="AA280" s="4" t="str">
        <f>HYPERLINK("http://141.218.60.56/~jnz1568/getInfo.php?workbook=10_01.xlsx&amp;sheet=A0&amp;row=280&amp;col=27&amp;number=&amp;sourceID=13","")</f>
        <v/>
      </c>
      <c r="AB280" s="4" t="str">
        <f>HYPERLINK("http://141.218.60.56/~jnz1568/getInfo.php?workbook=10_01.xlsx&amp;sheet=A0&amp;row=280&amp;col=28&amp;number=&amp;sourceID=13","")</f>
        <v/>
      </c>
      <c r="AC280" s="4" t="str">
        <f>HYPERLINK("http://141.218.60.56/~jnz1568/getInfo.php?workbook=10_01.xlsx&amp;sheet=A0&amp;row=280&amp;col=29&amp;number=&amp;sourceID=13","")</f>
        <v/>
      </c>
      <c r="AD280" s="4" t="str">
        <f>HYPERLINK("http://141.218.60.56/~jnz1568/getInfo.php?workbook=10_01.xlsx&amp;sheet=A0&amp;row=280&amp;col=30&amp;number=&amp;sourceID=13","")</f>
        <v/>
      </c>
      <c r="AE280" s="4" t="str">
        <f>HYPERLINK("http://141.218.60.56/~jnz1568/getInfo.php?workbook=10_01.xlsx&amp;sheet=A0&amp;row=280&amp;col=31&amp;number=&amp;sourceID=13","")</f>
        <v/>
      </c>
      <c r="AF280" s="4" t="str">
        <f>HYPERLINK("http://141.218.60.56/~jnz1568/getInfo.php?workbook=10_01.xlsx&amp;sheet=A0&amp;row=280&amp;col=32&amp;number=&amp;sourceID=20","")</f>
        <v/>
      </c>
    </row>
    <row r="281" spans="1:32">
      <c r="A281" s="3">
        <v>10</v>
      </c>
      <c r="B281" s="3">
        <v>1</v>
      </c>
      <c r="C281" s="3">
        <v>25</v>
      </c>
      <c r="D281" s="3">
        <v>21</v>
      </c>
      <c r="E281" s="3">
        <f>((1/(INDEX(E0!J$4:J$28,C281,1)-INDEX(E0!J$4:J$28,D281,1))))*100000000</f>
        <v>0</v>
      </c>
      <c r="F281" s="4" t="str">
        <f>HYPERLINK("http://141.218.60.56/~jnz1568/getInfo.php?workbook=10_01.xlsx&amp;sheet=A0&amp;row=281&amp;col=6&amp;number=&amp;sourceID=18","")</f>
        <v/>
      </c>
      <c r="G281" s="4" t="str">
        <f>HYPERLINK("http://141.218.60.56/~jnz1568/getInfo.php?workbook=10_01.xlsx&amp;sheet=A0&amp;row=281&amp;col=7&amp;number==&amp;sourceID=11","=")</f>
        <v>=</v>
      </c>
      <c r="H281" s="4" t="str">
        <f>HYPERLINK("http://141.218.60.56/~jnz1568/getInfo.php?workbook=10_01.xlsx&amp;sheet=A0&amp;row=281&amp;col=8&amp;number=&amp;sourceID=11","")</f>
        <v/>
      </c>
      <c r="I281" s="4" t="str">
        <f>HYPERLINK("http://141.218.60.56/~jnz1568/getInfo.php?workbook=10_01.xlsx&amp;sheet=A0&amp;row=281&amp;col=9&amp;number=&amp;sourceID=11","")</f>
        <v/>
      </c>
      <c r="J281" s="4" t="str">
        <f>HYPERLINK("http://141.218.60.56/~jnz1568/getInfo.php?workbook=10_01.xlsx&amp;sheet=A0&amp;row=281&amp;col=10&amp;number=0&amp;sourceID=11","0")</f>
        <v>0</v>
      </c>
      <c r="K281" s="4" t="str">
        <f>HYPERLINK("http://141.218.60.56/~jnz1568/getInfo.php?workbook=10_01.xlsx&amp;sheet=A0&amp;row=281&amp;col=11&amp;number=&amp;sourceID=11","")</f>
        <v/>
      </c>
      <c r="L281" s="4" t="str">
        <f>HYPERLINK("http://141.218.60.56/~jnz1568/getInfo.php?workbook=10_01.xlsx&amp;sheet=A0&amp;row=281&amp;col=12&amp;number=0&amp;sourceID=11","0")</f>
        <v>0</v>
      </c>
      <c r="M281" s="4" t="str">
        <f>HYPERLINK("http://141.218.60.56/~jnz1568/getInfo.php?workbook=10_01.xlsx&amp;sheet=A0&amp;row=281&amp;col=13&amp;number=&amp;sourceID=11","")</f>
        <v/>
      </c>
      <c r="N281" s="4" t="str">
        <f>HYPERLINK("http://141.218.60.56/~jnz1568/getInfo.php?workbook=10_01.xlsx&amp;sheet=A0&amp;row=281&amp;col=14&amp;number=0&amp;sourceID=12","0")</f>
        <v>0</v>
      </c>
      <c r="O281" s="4" t="str">
        <f>HYPERLINK("http://141.218.60.56/~jnz1568/getInfo.php?workbook=10_01.xlsx&amp;sheet=A0&amp;row=281&amp;col=15&amp;number=&amp;sourceID=12","")</f>
        <v/>
      </c>
      <c r="P281" s="4" t="str">
        <f>HYPERLINK("http://141.218.60.56/~jnz1568/getInfo.php?workbook=10_01.xlsx&amp;sheet=A0&amp;row=281&amp;col=16&amp;number=&amp;sourceID=12","")</f>
        <v/>
      </c>
      <c r="Q281" s="4" t="str">
        <f>HYPERLINK("http://141.218.60.56/~jnz1568/getInfo.php?workbook=10_01.xlsx&amp;sheet=A0&amp;row=281&amp;col=17&amp;number=0&amp;sourceID=12","0")</f>
        <v>0</v>
      </c>
      <c r="R281" s="4" t="str">
        <f>HYPERLINK("http://141.218.60.56/~jnz1568/getInfo.php?workbook=10_01.xlsx&amp;sheet=A0&amp;row=281&amp;col=18&amp;number=&amp;sourceID=12","")</f>
        <v/>
      </c>
      <c r="S281" s="4" t="str">
        <f>HYPERLINK("http://141.218.60.56/~jnz1568/getInfo.php?workbook=10_01.xlsx&amp;sheet=A0&amp;row=281&amp;col=19&amp;number=0&amp;sourceID=12","0")</f>
        <v>0</v>
      </c>
      <c r="T281" s="4" t="str">
        <f>HYPERLINK("http://141.218.60.56/~jnz1568/getInfo.php?workbook=10_01.xlsx&amp;sheet=A0&amp;row=281&amp;col=20&amp;number=&amp;sourceID=12","")</f>
        <v/>
      </c>
      <c r="U281" s="4" t="str">
        <f>HYPERLINK("http://141.218.60.56/~jnz1568/getInfo.php?workbook=10_01.xlsx&amp;sheet=A0&amp;row=281&amp;col=21&amp;number=0&amp;sourceID=30","0")</f>
        <v>0</v>
      </c>
      <c r="V281" s="4" t="str">
        <f>HYPERLINK("http://141.218.60.56/~jnz1568/getInfo.php?workbook=10_01.xlsx&amp;sheet=A0&amp;row=281&amp;col=22&amp;number=&amp;sourceID=30","")</f>
        <v/>
      </c>
      <c r="W281" s="4" t="str">
        <f>HYPERLINK("http://141.218.60.56/~jnz1568/getInfo.php?workbook=10_01.xlsx&amp;sheet=A0&amp;row=281&amp;col=23&amp;number=&amp;sourceID=30","")</f>
        <v/>
      </c>
      <c r="X281" s="4" t="str">
        <f>HYPERLINK("http://141.218.60.56/~jnz1568/getInfo.php?workbook=10_01.xlsx&amp;sheet=A0&amp;row=281&amp;col=24&amp;number=&amp;sourceID=30","")</f>
        <v/>
      </c>
      <c r="Y281" s="4" t="str">
        <f>HYPERLINK("http://141.218.60.56/~jnz1568/getInfo.php?workbook=10_01.xlsx&amp;sheet=A0&amp;row=281&amp;col=25&amp;number=0&amp;sourceID=30","0")</f>
        <v>0</v>
      </c>
      <c r="Z281" s="4" t="str">
        <f>HYPERLINK("http://141.218.60.56/~jnz1568/getInfo.php?workbook=10_01.xlsx&amp;sheet=A0&amp;row=281&amp;col=26&amp;number=&amp;sourceID=13","")</f>
        <v/>
      </c>
      <c r="AA281" s="4" t="str">
        <f>HYPERLINK("http://141.218.60.56/~jnz1568/getInfo.php?workbook=10_01.xlsx&amp;sheet=A0&amp;row=281&amp;col=27&amp;number=&amp;sourceID=13","")</f>
        <v/>
      </c>
      <c r="AB281" s="4" t="str">
        <f>HYPERLINK("http://141.218.60.56/~jnz1568/getInfo.php?workbook=10_01.xlsx&amp;sheet=A0&amp;row=281&amp;col=28&amp;number=&amp;sourceID=13","")</f>
        <v/>
      </c>
      <c r="AC281" s="4" t="str">
        <f>HYPERLINK("http://141.218.60.56/~jnz1568/getInfo.php?workbook=10_01.xlsx&amp;sheet=A0&amp;row=281&amp;col=29&amp;number=&amp;sourceID=13","")</f>
        <v/>
      </c>
      <c r="AD281" s="4" t="str">
        <f>HYPERLINK("http://141.218.60.56/~jnz1568/getInfo.php?workbook=10_01.xlsx&amp;sheet=A0&amp;row=281&amp;col=30&amp;number=&amp;sourceID=13","")</f>
        <v/>
      </c>
      <c r="AE281" s="4" t="str">
        <f>HYPERLINK("http://141.218.60.56/~jnz1568/getInfo.php?workbook=10_01.xlsx&amp;sheet=A0&amp;row=281&amp;col=31&amp;number=&amp;sourceID=13","")</f>
        <v/>
      </c>
      <c r="AF281" s="4" t="str">
        <f>HYPERLINK("http://141.218.60.56/~jnz1568/getInfo.php?workbook=10_01.xlsx&amp;sheet=A0&amp;row=281&amp;col=32&amp;number=&amp;sourceID=20","")</f>
        <v/>
      </c>
    </row>
    <row r="282" spans="1:32">
      <c r="A282" s="3">
        <v>10</v>
      </c>
      <c r="B282" s="3">
        <v>1</v>
      </c>
      <c r="C282" s="3">
        <v>25</v>
      </c>
      <c r="D282" s="3">
        <v>22</v>
      </c>
      <c r="E282" s="3">
        <f>((1/(INDEX(E0!J$4:J$28,C282,1)-INDEX(E0!J$4:J$28,D282,1))))*100000000</f>
        <v>0</v>
      </c>
      <c r="F282" s="4" t="str">
        <f>HYPERLINK("http://141.218.60.56/~jnz1568/getInfo.php?workbook=10_01.xlsx&amp;sheet=A0&amp;row=282&amp;col=6&amp;number=&amp;sourceID=18","")</f>
        <v/>
      </c>
      <c r="G282" s="4" t="str">
        <f>HYPERLINK("http://141.218.60.56/~jnz1568/getInfo.php?workbook=10_01.xlsx&amp;sheet=A0&amp;row=282&amp;col=7&amp;number==&amp;sourceID=11","=")</f>
        <v>=</v>
      </c>
      <c r="H282" s="4" t="str">
        <f>HYPERLINK("http://141.218.60.56/~jnz1568/getInfo.php?workbook=10_01.xlsx&amp;sheet=A0&amp;row=282&amp;col=8&amp;number=&amp;sourceID=11","")</f>
        <v/>
      </c>
      <c r="I282" s="4" t="str">
        <f>HYPERLINK("http://141.218.60.56/~jnz1568/getInfo.php?workbook=10_01.xlsx&amp;sheet=A0&amp;row=282&amp;col=9&amp;number=1.697e-12&amp;sourceID=11","1.697e-12")</f>
        <v>1.697e-12</v>
      </c>
      <c r="J282" s="4" t="str">
        <f>HYPERLINK("http://141.218.60.56/~jnz1568/getInfo.php?workbook=10_01.xlsx&amp;sheet=A0&amp;row=282&amp;col=10&amp;number=&amp;sourceID=11","")</f>
        <v/>
      </c>
      <c r="K282" s="4" t="str">
        <f>HYPERLINK("http://141.218.60.56/~jnz1568/getInfo.php?workbook=10_01.xlsx&amp;sheet=A0&amp;row=282&amp;col=11&amp;number=&amp;sourceID=11","")</f>
        <v/>
      </c>
      <c r="L282" s="4" t="str">
        <f>HYPERLINK("http://141.218.60.56/~jnz1568/getInfo.php?workbook=10_01.xlsx&amp;sheet=A0&amp;row=282&amp;col=12&amp;number=&amp;sourceID=11","")</f>
        <v/>
      </c>
      <c r="M282" s="4" t="str">
        <f>HYPERLINK("http://141.218.60.56/~jnz1568/getInfo.php?workbook=10_01.xlsx&amp;sheet=A0&amp;row=282&amp;col=13&amp;number=0&amp;sourceID=11","0")</f>
        <v>0</v>
      </c>
      <c r="N282" s="4" t="str">
        <f>HYPERLINK("http://141.218.60.56/~jnz1568/getInfo.php?workbook=10_01.xlsx&amp;sheet=A0&amp;row=282&amp;col=14&amp;number=1.697e-12&amp;sourceID=12","1.697e-12")</f>
        <v>1.697e-12</v>
      </c>
      <c r="O282" s="4" t="str">
        <f>HYPERLINK("http://141.218.60.56/~jnz1568/getInfo.php?workbook=10_01.xlsx&amp;sheet=A0&amp;row=282&amp;col=15&amp;number=&amp;sourceID=12","")</f>
        <v/>
      </c>
      <c r="P282" s="4" t="str">
        <f>HYPERLINK("http://141.218.60.56/~jnz1568/getInfo.php?workbook=10_01.xlsx&amp;sheet=A0&amp;row=282&amp;col=16&amp;number=1.697e-12&amp;sourceID=12","1.697e-12")</f>
        <v>1.697e-12</v>
      </c>
      <c r="Q282" s="4" t="str">
        <f>HYPERLINK("http://141.218.60.56/~jnz1568/getInfo.php?workbook=10_01.xlsx&amp;sheet=A0&amp;row=282&amp;col=17&amp;number=&amp;sourceID=12","")</f>
        <v/>
      </c>
      <c r="R282" s="4" t="str">
        <f>HYPERLINK("http://141.218.60.56/~jnz1568/getInfo.php?workbook=10_01.xlsx&amp;sheet=A0&amp;row=282&amp;col=18&amp;number=&amp;sourceID=12","")</f>
        <v/>
      </c>
      <c r="S282" s="4" t="str">
        <f>HYPERLINK("http://141.218.60.56/~jnz1568/getInfo.php?workbook=10_01.xlsx&amp;sheet=A0&amp;row=282&amp;col=19&amp;number=&amp;sourceID=12","")</f>
        <v/>
      </c>
      <c r="T282" s="4" t="str">
        <f>HYPERLINK("http://141.218.60.56/~jnz1568/getInfo.php?workbook=10_01.xlsx&amp;sheet=A0&amp;row=282&amp;col=20&amp;number=0&amp;sourceID=12","0")</f>
        <v>0</v>
      </c>
      <c r="U282" s="4" t="str">
        <f>HYPERLINK("http://141.218.60.56/~jnz1568/getInfo.php?workbook=10_01.xlsx&amp;sheet=A0&amp;row=282&amp;col=21&amp;number=1.697e-12&amp;sourceID=30","1.697e-12")</f>
        <v>1.697e-12</v>
      </c>
      <c r="V282" s="4" t="str">
        <f>HYPERLINK("http://141.218.60.56/~jnz1568/getInfo.php?workbook=10_01.xlsx&amp;sheet=A0&amp;row=282&amp;col=22&amp;number=&amp;sourceID=30","")</f>
        <v/>
      </c>
      <c r="W282" s="4" t="str">
        <f>HYPERLINK("http://141.218.60.56/~jnz1568/getInfo.php?workbook=10_01.xlsx&amp;sheet=A0&amp;row=282&amp;col=23&amp;number=1.697e-12&amp;sourceID=30","1.697e-12")</f>
        <v>1.697e-12</v>
      </c>
      <c r="X282" s="4" t="str">
        <f>HYPERLINK("http://141.218.60.56/~jnz1568/getInfo.php?workbook=10_01.xlsx&amp;sheet=A0&amp;row=282&amp;col=24&amp;number=&amp;sourceID=30","")</f>
        <v/>
      </c>
      <c r="Y282" s="4" t="str">
        <f>HYPERLINK("http://141.218.60.56/~jnz1568/getInfo.php?workbook=10_01.xlsx&amp;sheet=A0&amp;row=282&amp;col=25&amp;number=&amp;sourceID=30","")</f>
        <v/>
      </c>
      <c r="Z282" s="4" t="str">
        <f>HYPERLINK("http://141.218.60.56/~jnz1568/getInfo.php?workbook=10_01.xlsx&amp;sheet=A0&amp;row=282&amp;col=26&amp;number=&amp;sourceID=13","")</f>
        <v/>
      </c>
      <c r="AA282" s="4" t="str">
        <f>HYPERLINK("http://141.218.60.56/~jnz1568/getInfo.php?workbook=10_01.xlsx&amp;sheet=A0&amp;row=282&amp;col=27&amp;number=&amp;sourceID=13","")</f>
        <v/>
      </c>
      <c r="AB282" s="4" t="str">
        <f>HYPERLINK("http://141.218.60.56/~jnz1568/getInfo.php?workbook=10_01.xlsx&amp;sheet=A0&amp;row=282&amp;col=28&amp;number=&amp;sourceID=13","")</f>
        <v/>
      </c>
      <c r="AC282" s="4" t="str">
        <f>HYPERLINK("http://141.218.60.56/~jnz1568/getInfo.php?workbook=10_01.xlsx&amp;sheet=A0&amp;row=282&amp;col=29&amp;number=&amp;sourceID=13","")</f>
        <v/>
      </c>
      <c r="AD282" s="4" t="str">
        <f>HYPERLINK("http://141.218.60.56/~jnz1568/getInfo.php?workbook=10_01.xlsx&amp;sheet=A0&amp;row=282&amp;col=30&amp;number=&amp;sourceID=13","")</f>
        <v/>
      </c>
      <c r="AE282" s="4" t="str">
        <f>HYPERLINK("http://141.218.60.56/~jnz1568/getInfo.php?workbook=10_01.xlsx&amp;sheet=A0&amp;row=282&amp;col=31&amp;number=&amp;sourceID=13","")</f>
        <v/>
      </c>
      <c r="AF282" s="4" t="str">
        <f>HYPERLINK("http://141.218.60.56/~jnz1568/getInfo.php?workbook=10_01.xlsx&amp;sheet=A0&amp;row=282&amp;col=32&amp;number=&amp;sourceID=20","")</f>
        <v/>
      </c>
    </row>
    <row r="283" spans="1:32">
      <c r="A283" s="3">
        <v>10</v>
      </c>
      <c r="B283" s="3">
        <v>1</v>
      </c>
      <c r="C283" s="3">
        <v>25</v>
      </c>
      <c r="D283" s="3">
        <v>23</v>
      </c>
      <c r="E283" s="3">
        <f>((1/(INDEX(E0!J$4:J$28,C283,1)-INDEX(E0!J$4:J$28,D283,1))))*100000000</f>
        <v>0</v>
      </c>
      <c r="F283" s="4" t="str">
        <f>HYPERLINK("http://141.218.60.56/~jnz1568/getInfo.php?workbook=10_01.xlsx&amp;sheet=A0&amp;row=283&amp;col=6&amp;number=&amp;sourceID=18","")</f>
        <v/>
      </c>
      <c r="G283" s="4" t="str">
        <f>HYPERLINK("http://141.218.60.56/~jnz1568/getInfo.php?workbook=10_01.xlsx&amp;sheet=A0&amp;row=283&amp;col=7&amp;number==&amp;sourceID=11","=")</f>
        <v>=</v>
      </c>
      <c r="H283" s="4" t="str">
        <f>HYPERLINK("http://141.218.60.56/~jnz1568/getInfo.php?workbook=10_01.xlsx&amp;sheet=A0&amp;row=283&amp;col=8&amp;number=&amp;sourceID=11","")</f>
        <v/>
      </c>
      <c r="I283" s="4" t="str">
        <f>HYPERLINK("http://141.218.60.56/~jnz1568/getInfo.php?workbook=10_01.xlsx&amp;sheet=A0&amp;row=283&amp;col=9&amp;number=1e-15&amp;sourceID=11","1e-15")</f>
        <v>1e-15</v>
      </c>
      <c r="J283" s="4" t="str">
        <f>HYPERLINK("http://141.218.60.56/~jnz1568/getInfo.php?workbook=10_01.xlsx&amp;sheet=A0&amp;row=283&amp;col=10&amp;number=&amp;sourceID=11","")</f>
        <v/>
      </c>
      <c r="K283" s="4" t="str">
        <f>HYPERLINK("http://141.218.60.56/~jnz1568/getInfo.php?workbook=10_01.xlsx&amp;sheet=A0&amp;row=283&amp;col=11&amp;number=1.532e-07&amp;sourceID=11","1.532e-07")</f>
        <v>1.532e-07</v>
      </c>
      <c r="L283" s="4" t="str">
        <f>HYPERLINK("http://141.218.60.56/~jnz1568/getInfo.php?workbook=10_01.xlsx&amp;sheet=A0&amp;row=283&amp;col=12&amp;number=&amp;sourceID=11","")</f>
        <v/>
      </c>
      <c r="M283" s="4" t="str">
        <f>HYPERLINK("http://141.218.60.56/~jnz1568/getInfo.php?workbook=10_01.xlsx&amp;sheet=A0&amp;row=283&amp;col=13&amp;number=0&amp;sourceID=11","0")</f>
        <v>0</v>
      </c>
      <c r="N283" s="4" t="str">
        <f>HYPERLINK("http://141.218.60.56/~jnz1568/getInfo.php?workbook=10_01.xlsx&amp;sheet=A0&amp;row=283&amp;col=14&amp;number=1.5321e-07&amp;sourceID=12","1.5321e-07")</f>
        <v>1.5321e-07</v>
      </c>
      <c r="O283" s="4" t="str">
        <f>HYPERLINK("http://141.218.60.56/~jnz1568/getInfo.php?workbook=10_01.xlsx&amp;sheet=A0&amp;row=283&amp;col=15&amp;number=&amp;sourceID=12","")</f>
        <v/>
      </c>
      <c r="P283" s="4" t="str">
        <f>HYPERLINK("http://141.218.60.56/~jnz1568/getInfo.php?workbook=10_01.xlsx&amp;sheet=A0&amp;row=283&amp;col=16&amp;number=1e-15&amp;sourceID=12","1e-15")</f>
        <v>1e-15</v>
      </c>
      <c r="Q283" s="4" t="str">
        <f>HYPERLINK("http://141.218.60.56/~jnz1568/getInfo.php?workbook=10_01.xlsx&amp;sheet=A0&amp;row=283&amp;col=17&amp;number=&amp;sourceID=12","")</f>
        <v/>
      </c>
      <c r="R283" s="4" t="str">
        <f>HYPERLINK("http://141.218.60.56/~jnz1568/getInfo.php?workbook=10_01.xlsx&amp;sheet=A0&amp;row=283&amp;col=18&amp;number=1.5321e-07&amp;sourceID=12","1.5321e-07")</f>
        <v>1.5321e-07</v>
      </c>
      <c r="S283" s="4" t="str">
        <f>HYPERLINK("http://141.218.60.56/~jnz1568/getInfo.php?workbook=10_01.xlsx&amp;sheet=A0&amp;row=283&amp;col=19&amp;number=&amp;sourceID=12","")</f>
        <v/>
      </c>
      <c r="T283" s="4" t="str">
        <f>HYPERLINK("http://141.218.60.56/~jnz1568/getInfo.php?workbook=10_01.xlsx&amp;sheet=A0&amp;row=283&amp;col=20&amp;number=0&amp;sourceID=12","0")</f>
        <v>0</v>
      </c>
      <c r="U283" s="4" t="str">
        <f>HYPERLINK("http://141.218.60.56/~jnz1568/getInfo.php?workbook=10_01.xlsx&amp;sheet=A0&amp;row=283&amp;col=21&amp;number=1.53200001e-07&amp;sourceID=30","1.53200001e-07")</f>
        <v>1.53200001e-07</v>
      </c>
      <c r="V283" s="4" t="str">
        <f>HYPERLINK("http://141.218.60.56/~jnz1568/getInfo.php?workbook=10_01.xlsx&amp;sheet=A0&amp;row=283&amp;col=22&amp;number=&amp;sourceID=30","")</f>
        <v/>
      </c>
      <c r="W283" s="4" t="str">
        <f>HYPERLINK("http://141.218.60.56/~jnz1568/getInfo.php?workbook=10_01.xlsx&amp;sheet=A0&amp;row=283&amp;col=23&amp;number=1e-15&amp;sourceID=30","1e-15")</f>
        <v>1e-15</v>
      </c>
      <c r="X283" s="4" t="str">
        <f>HYPERLINK("http://141.218.60.56/~jnz1568/getInfo.php?workbook=10_01.xlsx&amp;sheet=A0&amp;row=283&amp;col=24&amp;number=1.532e-07&amp;sourceID=30","1.532e-07")</f>
        <v>1.532e-07</v>
      </c>
      <c r="Y283" s="4" t="str">
        <f>HYPERLINK("http://141.218.60.56/~jnz1568/getInfo.php?workbook=10_01.xlsx&amp;sheet=A0&amp;row=283&amp;col=25&amp;number=&amp;sourceID=30","")</f>
        <v/>
      </c>
      <c r="Z283" s="4" t="str">
        <f>HYPERLINK("http://141.218.60.56/~jnz1568/getInfo.php?workbook=10_01.xlsx&amp;sheet=A0&amp;row=283&amp;col=26&amp;number=&amp;sourceID=13","")</f>
        <v/>
      </c>
      <c r="AA283" s="4" t="str">
        <f>HYPERLINK("http://141.218.60.56/~jnz1568/getInfo.php?workbook=10_01.xlsx&amp;sheet=A0&amp;row=283&amp;col=27&amp;number=&amp;sourceID=13","")</f>
        <v/>
      </c>
      <c r="AB283" s="4" t="str">
        <f>HYPERLINK("http://141.218.60.56/~jnz1568/getInfo.php?workbook=10_01.xlsx&amp;sheet=A0&amp;row=283&amp;col=28&amp;number=&amp;sourceID=13","")</f>
        <v/>
      </c>
      <c r="AC283" s="4" t="str">
        <f>HYPERLINK("http://141.218.60.56/~jnz1568/getInfo.php?workbook=10_01.xlsx&amp;sheet=A0&amp;row=283&amp;col=29&amp;number=&amp;sourceID=13","")</f>
        <v/>
      </c>
      <c r="AD283" s="4" t="str">
        <f>HYPERLINK("http://141.218.60.56/~jnz1568/getInfo.php?workbook=10_01.xlsx&amp;sheet=A0&amp;row=283&amp;col=30&amp;number=&amp;sourceID=13","")</f>
        <v/>
      </c>
      <c r="AE283" s="4" t="str">
        <f>HYPERLINK("http://141.218.60.56/~jnz1568/getInfo.php?workbook=10_01.xlsx&amp;sheet=A0&amp;row=283&amp;col=31&amp;number=&amp;sourceID=13","")</f>
        <v/>
      </c>
      <c r="AF283" s="4" t="str">
        <f>HYPERLINK("http://141.218.60.56/~jnz1568/getInfo.php?workbook=10_01.xlsx&amp;sheet=A0&amp;row=283&amp;col=32&amp;number=&amp;sourceID=20","")</f>
        <v/>
      </c>
    </row>
    <row r="284" spans="1:32">
      <c r="A284" s="3">
        <v>10</v>
      </c>
      <c r="B284" s="3">
        <v>1</v>
      </c>
      <c r="C284" s="3">
        <v>25</v>
      </c>
      <c r="D284" s="3">
        <v>24</v>
      </c>
      <c r="E284" s="3">
        <f>((1/(INDEX(E0!J$4:J$28,C284,1)-INDEX(E0!J$4:J$28,D284,1))))*100000000</f>
        <v>0</v>
      </c>
      <c r="F284" s="4" t="str">
        <f>HYPERLINK("http://141.218.60.56/~jnz1568/getInfo.php?workbook=10_01.xlsx&amp;sheet=A0&amp;row=284&amp;col=6&amp;number=&amp;sourceID=18","")</f>
        <v/>
      </c>
      <c r="G284" s="4" t="str">
        <f>HYPERLINK("http://141.218.60.56/~jnz1568/getInfo.php?workbook=10_01.xlsx&amp;sheet=A0&amp;row=284&amp;col=7&amp;number==&amp;sourceID=11","=")</f>
        <v>=</v>
      </c>
      <c r="H284" s="4" t="str">
        <f>HYPERLINK("http://141.218.60.56/~jnz1568/getInfo.php?workbook=10_01.xlsx&amp;sheet=A0&amp;row=284&amp;col=8&amp;number=0.058254&amp;sourceID=11","0.058254")</f>
        <v>0.058254</v>
      </c>
      <c r="I284" s="4" t="str">
        <f>HYPERLINK("http://141.218.60.56/~jnz1568/getInfo.php?workbook=10_01.xlsx&amp;sheet=A0&amp;row=284&amp;col=9&amp;number=&amp;sourceID=11","")</f>
        <v/>
      </c>
      <c r="J284" s="4" t="str">
        <f>HYPERLINK("http://141.218.60.56/~jnz1568/getInfo.php?workbook=10_01.xlsx&amp;sheet=A0&amp;row=284&amp;col=10&amp;number=0&amp;sourceID=11","0")</f>
        <v>0</v>
      </c>
      <c r="K284" s="4" t="str">
        <f>HYPERLINK("http://141.218.60.56/~jnz1568/getInfo.php?workbook=10_01.xlsx&amp;sheet=A0&amp;row=284&amp;col=11&amp;number=&amp;sourceID=11","")</f>
        <v/>
      </c>
      <c r="L284" s="4" t="str">
        <f>HYPERLINK("http://141.218.60.56/~jnz1568/getInfo.php?workbook=10_01.xlsx&amp;sheet=A0&amp;row=284&amp;col=12&amp;number=0&amp;sourceID=11","0")</f>
        <v>0</v>
      </c>
      <c r="M284" s="4" t="str">
        <f>HYPERLINK("http://141.218.60.56/~jnz1568/getInfo.php?workbook=10_01.xlsx&amp;sheet=A0&amp;row=284&amp;col=13&amp;number=&amp;sourceID=11","")</f>
        <v/>
      </c>
      <c r="N284" s="4" t="str">
        <f>HYPERLINK("http://141.218.60.56/~jnz1568/getInfo.php?workbook=10_01.xlsx&amp;sheet=A0&amp;row=284&amp;col=14&amp;number=0.058258&amp;sourceID=12","0.058258")</f>
        <v>0.058258</v>
      </c>
      <c r="O284" s="4" t="str">
        <f>HYPERLINK("http://141.218.60.56/~jnz1568/getInfo.php?workbook=10_01.xlsx&amp;sheet=A0&amp;row=284&amp;col=15&amp;number=0.058258&amp;sourceID=12","0.058258")</f>
        <v>0.058258</v>
      </c>
      <c r="P284" s="4" t="str">
        <f>HYPERLINK("http://141.218.60.56/~jnz1568/getInfo.php?workbook=10_01.xlsx&amp;sheet=A0&amp;row=284&amp;col=16&amp;number=&amp;sourceID=12","")</f>
        <v/>
      </c>
      <c r="Q284" s="4" t="str">
        <f>HYPERLINK("http://141.218.60.56/~jnz1568/getInfo.php?workbook=10_01.xlsx&amp;sheet=A0&amp;row=284&amp;col=17&amp;number=0&amp;sourceID=12","0")</f>
        <v>0</v>
      </c>
      <c r="R284" s="4" t="str">
        <f>HYPERLINK("http://141.218.60.56/~jnz1568/getInfo.php?workbook=10_01.xlsx&amp;sheet=A0&amp;row=284&amp;col=18&amp;number=&amp;sourceID=12","")</f>
        <v/>
      </c>
      <c r="S284" s="4" t="str">
        <f>HYPERLINK("http://141.218.60.56/~jnz1568/getInfo.php?workbook=10_01.xlsx&amp;sheet=A0&amp;row=284&amp;col=19&amp;number=0&amp;sourceID=12","0")</f>
        <v>0</v>
      </c>
      <c r="T284" s="4" t="str">
        <f>HYPERLINK("http://141.218.60.56/~jnz1568/getInfo.php?workbook=10_01.xlsx&amp;sheet=A0&amp;row=284&amp;col=20&amp;number=&amp;sourceID=12","")</f>
        <v/>
      </c>
      <c r="U284" s="4" t="str">
        <f>HYPERLINK("http://141.218.60.56/~jnz1568/getInfo.php?workbook=10_01.xlsx&amp;sheet=A0&amp;row=284&amp;col=21&amp;number=0.05826&amp;sourceID=30","0.05826")</f>
        <v>0.05826</v>
      </c>
      <c r="V284" s="4" t="str">
        <f>HYPERLINK("http://141.218.60.56/~jnz1568/getInfo.php?workbook=10_01.xlsx&amp;sheet=A0&amp;row=284&amp;col=22&amp;number=0.05826&amp;sourceID=30","0.05826")</f>
        <v>0.05826</v>
      </c>
      <c r="W284" s="4" t="str">
        <f>HYPERLINK("http://141.218.60.56/~jnz1568/getInfo.php?workbook=10_01.xlsx&amp;sheet=A0&amp;row=284&amp;col=23&amp;number=&amp;sourceID=30","")</f>
        <v/>
      </c>
      <c r="X284" s="4" t="str">
        <f>HYPERLINK("http://141.218.60.56/~jnz1568/getInfo.php?workbook=10_01.xlsx&amp;sheet=A0&amp;row=284&amp;col=24&amp;number=&amp;sourceID=30","")</f>
        <v/>
      </c>
      <c r="Y284" s="4" t="str">
        <f>HYPERLINK("http://141.218.60.56/~jnz1568/getInfo.php?workbook=10_01.xlsx&amp;sheet=A0&amp;row=284&amp;col=25&amp;number=0&amp;sourceID=30","0")</f>
        <v>0</v>
      </c>
      <c r="Z284" s="4" t="str">
        <f>HYPERLINK("http://141.218.60.56/~jnz1568/getInfo.php?workbook=10_01.xlsx&amp;sheet=A0&amp;row=284&amp;col=26&amp;number=&amp;sourceID=13","")</f>
        <v/>
      </c>
      <c r="AA284" s="4" t="str">
        <f>HYPERLINK("http://141.218.60.56/~jnz1568/getInfo.php?workbook=10_01.xlsx&amp;sheet=A0&amp;row=284&amp;col=27&amp;number=&amp;sourceID=13","")</f>
        <v/>
      </c>
      <c r="AB284" s="4" t="str">
        <f>HYPERLINK("http://141.218.60.56/~jnz1568/getInfo.php?workbook=10_01.xlsx&amp;sheet=A0&amp;row=284&amp;col=28&amp;number=&amp;sourceID=13","")</f>
        <v/>
      </c>
      <c r="AC284" s="4" t="str">
        <f>HYPERLINK("http://141.218.60.56/~jnz1568/getInfo.php?workbook=10_01.xlsx&amp;sheet=A0&amp;row=284&amp;col=29&amp;number=&amp;sourceID=13","")</f>
        <v/>
      </c>
      <c r="AD284" s="4" t="str">
        <f>HYPERLINK("http://141.218.60.56/~jnz1568/getInfo.php?workbook=10_01.xlsx&amp;sheet=A0&amp;row=284&amp;col=30&amp;number=&amp;sourceID=13","")</f>
        <v/>
      </c>
      <c r="AE284" s="4" t="str">
        <f>HYPERLINK("http://141.218.60.56/~jnz1568/getInfo.php?workbook=10_01.xlsx&amp;sheet=A0&amp;row=284&amp;col=31&amp;number=&amp;sourceID=13","")</f>
        <v/>
      </c>
      <c r="AF284" s="4" t="str">
        <f>HYPERLINK("http://141.218.60.56/~jnz1568/getInfo.php?workbook=10_01.xlsx&amp;sheet=A0&amp;row=284&amp;col=32&amp;number=&amp;sourceID=20","")</f>
        <v/>
      </c>
    </row>
  </sheetData>
  <mergeCells count="1">
    <mergeCell ref="A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</vt:lpstr>
      <vt:lpstr>A0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2015-04-13T07:18:18Z</dcterms:created>
  <dcterms:modified xsi:type="dcterms:W3CDTF">2015-04-13T07:18:18Z</dcterms:modified>
</cp:coreProperties>
</file>